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HIỀN\HĐND\CÁC KỲ HỌP\kỳ họp thứ 7\Tài liệu kỳ họp\TL ĐĂNG TRANG TTĐT\Tờ trình 96 về phân bổ ngân sách 2024\"/>
    </mc:Choice>
  </mc:AlternateContent>
  <bookViews>
    <workbookView xWindow="0" yWindow="0" windowWidth="16320" windowHeight="5448" tabRatio="936" firstSheet="2" activeTab="16"/>
  </bookViews>
  <sheets>
    <sheet name="THu NS cac cap huong" sheetId="3" state="hidden" r:id="rId1"/>
    <sheet name="Bieu 01 TT" sheetId="5" r:id="rId2"/>
    <sheet name="Bieu 02 TT" sheetId="6" r:id="rId3"/>
    <sheet name="Bieu 2a_TT phí le phi" sheetId="82" r:id="rId4"/>
    <sheet name="Bieu 02b_TT" sheetId="83" r:id="rId5"/>
    <sheet name="Bieu 03 TT" sheetId="4" r:id="rId6"/>
    <sheet name="Bieu 3a_10% tien dat " sheetId="54" r:id="rId7"/>
    <sheet name="Bieu 04_TT" sheetId="1" r:id="rId8"/>
    <sheet name="Bieu 5 TT" sheetId="19" r:id="rId9"/>
    <sheet name="Bieu 07b TT_dao tao" sheetId="61" state="hidden" r:id="rId10"/>
    <sheet name="File goc huyen" sheetId="62" state="hidden" r:id="rId11"/>
    <sheet name="Bieu 06 TT" sheetId="125" r:id="rId12"/>
    <sheet name="Bieu 07 TT" sheetId="126" r:id="rId13"/>
    <sheet name="Bieu 07a TT_MSSC" sheetId="53" r:id="rId14"/>
    <sheet name="Bieu 08_ TT" sheetId="60" r:id="rId15"/>
    <sheet name="Bieu 09_TT" sheetId="65" r:id="rId16"/>
    <sheet name="Bieu 09a_TT_TUBSMT huyen" sheetId="64" r:id="rId17"/>
    <sheet name="Bieu 10_TT " sheetId="36" r:id="rId18"/>
    <sheet name="DT chi TX 2022 theo ĐM HĐND" sheetId="2" state="hidden" r:id="rId19"/>
    <sheet name="TH chinh sach " sheetId="15" state="hidden" r:id="rId20"/>
  </sheets>
  <externalReferences>
    <externalReference r:id="rId21"/>
    <externalReference r:id="rId22"/>
    <externalReference r:id="rId23"/>
  </externalReferences>
  <definedNames>
    <definedName name="_">#N/A</definedName>
    <definedName name="__">#N/A</definedName>
    <definedName name="___">#N/A</definedName>
    <definedName name="____">#N/A</definedName>
    <definedName name="_________a1" localSheetId="1" hidden="1">{"'Sheet1'!$L$16"}</definedName>
    <definedName name="_________a1" localSheetId="4" hidden="1">{"'Sheet1'!$L$16"}</definedName>
    <definedName name="_________a1" localSheetId="5" hidden="1">{"'Sheet1'!$L$16"}</definedName>
    <definedName name="_________a1" localSheetId="13" hidden="1">{"'Sheet1'!$L$16"}</definedName>
    <definedName name="_________a1" localSheetId="14" hidden="1">{"'Sheet1'!$L$16"}</definedName>
    <definedName name="_________a1" localSheetId="15" hidden="1">{"'Sheet1'!$L$16"}</definedName>
    <definedName name="_________a1" localSheetId="16" hidden="1">{"'Sheet1'!$L$16"}</definedName>
    <definedName name="_________a1" localSheetId="17" hidden="1">{"'Sheet1'!$L$16"}</definedName>
    <definedName name="_________a1" localSheetId="3" hidden="1">{"'Sheet1'!$L$16"}</definedName>
    <definedName name="_________a1" localSheetId="6" hidden="1">{"'Sheet1'!$L$16"}</definedName>
    <definedName name="_________a1" localSheetId="8" hidden="1">{"'Sheet1'!$L$16"}</definedName>
    <definedName name="_________a1" localSheetId="19" hidden="1">{"'Sheet1'!$L$16"}</definedName>
    <definedName name="_________a1" hidden="1">{"'Sheet1'!$L$16"}</definedName>
    <definedName name="_________PA3" localSheetId="1" hidden="1">{"'Sheet1'!$L$16"}</definedName>
    <definedName name="_________PA3" localSheetId="4" hidden="1">{"'Sheet1'!$L$16"}</definedName>
    <definedName name="_________PA3" localSheetId="5" hidden="1">{"'Sheet1'!$L$16"}</definedName>
    <definedName name="_________PA3" localSheetId="13" hidden="1">{"'Sheet1'!$L$16"}</definedName>
    <definedName name="_________PA3" localSheetId="14" hidden="1">{"'Sheet1'!$L$16"}</definedName>
    <definedName name="_________PA3" localSheetId="15" hidden="1">{"'Sheet1'!$L$16"}</definedName>
    <definedName name="_________PA3" localSheetId="16" hidden="1">{"'Sheet1'!$L$16"}</definedName>
    <definedName name="_________PA3" localSheetId="17" hidden="1">{"'Sheet1'!$L$16"}</definedName>
    <definedName name="_________PA3" localSheetId="3" hidden="1">{"'Sheet1'!$L$16"}</definedName>
    <definedName name="_________PA3" localSheetId="6" hidden="1">{"'Sheet1'!$L$16"}</definedName>
    <definedName name="_________PA3" localSheetId="8" hidden="1">{"'Sheet1'!$L$16"}</definedName>
    <definedName name="_________PA3" localSheetId="19" hidden="1">{"'Sheet1'!$L$16"}</definedName>
    <definedName name="_________PA3" hidden="1">{"'Sheet1'!$L$16"}</definedName>
    <definedName name="_______a1" localSheetId="1" hidden="1">{"'Sheet1'!$L$16"}</definedName>
    <definedName name="_______a1" localSheetId="4" hidden="1">{"'Sheet1'!$L$16"}</definedName>
    <definedName name="_______a1" localSheetId="5" hidden="1">{"'Sheet1'!$L$16"}</definedName>
    <definedName name="_______a1" localSheetId="13" hidden="1">{"'Sheet1'!$L$16"}</definedName>
    <definedName name="_______a1" localSheetId="14" hidden="1">{"'Sheet1'!$L$16"}</definedName>
    <definedName name="_______a1" localSheetId="15" hidden="1">{"'Sheet1'!$L$16"}</definedName>
    <definedName name="_______a1" localSheetId="16" hidden="1">{"'Sheet1'!$L$16"}</definedName>
    <definedName name="_______a1" localSheetId="17" hidden="1">{"'Sheet1'!$L$16"}</definedName>
    <definedName name="_______a1" localSheetId="3" hidden="1">{"'Sheet1'!$L$16"}</definedName>
    <definedName name="_______a1" localSheetId="6" hidden="1">{"'Sheet1'!$L$16"}</definedName>
    <definedName name="_______a1" localSheetId="8" hidden="1">{"'Sheet1'!$L$16"}</definedName>
    <definedName name="_______a1" localSheetId="19" hidden="1">{"'Sheet1'!$L$16"}</definedName>
    <definedName name="_______a1" hidden="1">{"'Sheet1'!$L$16"}</definedName>
    <definedName name="_______PA3" localSheetId="1" hidden="1">{"'Sheet1'!$L$16"}</definedName>
    <definedName name="_______PA3" localSheetId="4" hidden="1">{"'Sheet1'!$L$16"}</definedName>
    <definedName name="_______PA3" localSheetId="5" hidden="1">{"'Sheet1'!$L$16"}</definedName>
    <definedName name="_______PA3" localSheetId="13" hidden="1">{"'Sheet1'!$L$16"}</definedName>
    <definedName name="_______PA3" localSheetId="14" hidden="1">{"'Sheet1'!$L$16"}</definedName>
    <definedName name="_______PA3" localSheetId="15" hidden="1">{"'Sheet1'!$L$16"}</definedName>
    <definedName name="_______PA3" localSheetId="16" hidden="1">{"'Sheet1'!$L$16"}</definedName>
    <definedName name="_______PA3" localSheetId="17" hidden="1">{"'Sheet1'!$L$16"}</definedName>
    <definedName name="_______PA3" localSheetId="3" hidden="1">{"'Sheet1'!$L$16"}</definedName>
    <definedName name="_______PA3" localSheetId="6" hidden="1">{"'Sheet1'!$L$16"}</definedName>
    <definedName name="_______PA3" localSheetId="8" hidden="1">{"'Sheet1'!$L$16"}</definedName>
    <definedName name="_______PA3" localSheetId="19" hidden="1">{"'Sheet1'!$L$16"}</definedName>
    <definedName name="_______PA3" hidden="1">{"'Sheet1'!$L$16"}</definedName>
    <definedName name="______a1" localSheetId="1" hidden="1">{"'Sheet1'!$L$16"}</definedName>
    <definedName name="______a1" localSheetId="4" hidden="1">{"'Sheet1'!$L$16"}</definedName>
    <definedName name="______a1" localSheetId="5" hidden="1">{"'Sheet1'!$L$16"}</definedName>
    <definedName name="______a1" localSheetId="13" hidden="1">{"'Sheet1'!$L$16"}</definedName>
    <definedName name="______a1" localSheetId="14" hidden="1">{"'Sheet1'!$L$16"}</definedName>
    <definedName name="______a1" localSheetId="15" hidden="1">{"'Sheet1'!$L$16"}</definedName>
    <definedName name="______a1" localSheetId="16" hidden="1">{"'Sheet1'!$L$16"}</definedName>
    <definedName name="______a1" localSheetId="17" hidden="1">{"'Sheet1'!$L$16"}</definedName>
    <definedName name="______a1" localSheetId="3" hidden="1">{"'Sheet1'!$L$16"}</definedName>
    <definedName name="______a1" localSheetId="6" hidden="1">{"'Sheet1'!$L$16"}</definedName>
    <definedName name="______a1" localSheetId="8" hidden="1">{"'Sheet1'!$L$16"}</definedName>
    <definedName name="______a1" localSheetId="19" hidden="1">{"'Sheet1'!$L$16"}</definedName>
    <definedName name="______a1" hidden="1">{"'Sheet1'!$L$16"}</definedName>
    <definedName name="______h1" localSheetId="1" hidden="1">{"'Sheet1'!$L$16"}</definedName>
    <definedName name="______h1" localSheetId="4" hidden="1">{"'Sheet1'!$L$16"}</definedName>
    <definedName name="______h1" localSheetId="5" hidden="1">{"'Sheet1'!$L$16"}</definedName>
    <definedName name="______h1" localSheetId="13" hidden="1">{"'Sheet1'!$L$16"}</definedName>
    <definedName name="______h1" localSheetId="14" hidden="1">{"'Sheet1'!$L$16"}</definedName>
    <definedName name="______h1" localSheetId="15" hidden="1">{"'Sheet1'!$L$16"}</definedName>
    <definedName name="______h1" localSheetId="16" hidden="1">{"'Sheet1'!$L$16"}</definedName>
    <definedName name="______h1" localSheetId="17" hidden="1">{"'Sheet1'!$L$16"}</definedName>
    <definedName name="______h1" localSheetId="3" hidden="1">{"'Sheet1'!$L$16"}</definedName>
    <definedName name="______h1" localSheetId="6" hidden="1">{"'Sheet1'!$L$16"}</definedName>
    <definedName name="______h1" localSheetId="8" hidden="1">{"'Sheet1'!$L$16"}</definedName>
    <definedName name="______h1" localSheetId="19" hidden="1">{"'Sheet1'!$L$16"}</definedName>
    <definedName name="______h1" hidden="1">{"'Sheet1'!$L$16"}</definedName>
    <definedName name="______h10" localSheetId="1" hidden="1">{#N/A,#N/A,FALSE,"Chi tiÆt"}</definedName>
    <definedName name="______h10" localSheetId="4" hidden="1">{#N/A,#N/A,FALSE,"Chi tiÆt"}</definedName>
    <definedName name="______h10" localSheetId="5" hidden="1">{#N/A,#N/A,FALSE,"Chi tiÆt"}</definedName>
    <definedName name="______h10" localSheetId="13" hidden="1">{#N/A,#N/A,FALSE,"Chi tiÆt"}</definedName>
    <definedName name="______h10" localSheetId="14" hidden="1">{#N/A,#N/A,FALSE,"Chi tiÆt"}</definedName>
    <definedName name="______h10" localSheetId="15" hidden="1">{#N/A,#N/A,FALSE,"Chi tiÆt"}</definedName>
    <definedName name="______h10" localSheetId="16" hidden="1">{#N/A,#N/A,FALSE,"Chi tiÆt"}</definedName>
    <definedName name="______h10" localSheetId="17" hidden="1">{#N/A,#N/A,FALSE,"Chi tiÆt"}</definedName>
    <definedName name="______h10" localSheetId="3" hidden="1">{#N/A,#N/A,FALSE,"Chi tiÆt"}</definedName>
    <definedName name="______h10" localSheetId="6" hidden="1">{#N/A,#N/A,FALSE,"Chi tiÆt"}</definedName>
    <definedName name="______h10" localSheetId="8" hidden="1">{#N/A,#N/A,FALSE,"Chi tiÆt"}</definedName>
    <definedName name="______h10" localSheetId="19" hidden="1">{#N/A,#N/A,FALSE,"Chi tiÆt"}</definedName>
    <definedName name="______h10" hidden="1">{#N/A,#N/A,FALSE,"Chi tiÆt"}</definedName>
    <definedName name="______h2" localSheetId="1" hidden="1">{"'Sheet1'!$L$16"}</definedName>
    <definedName name="______h2" localSheetId="4" hidden="1">{"'Sheet1'!$L$16"}</definedName>
    <definedName name="______h2" localSheetId="5" hidden="1">{"'Sheet1'!$L$16"}</definedName>
    <definedName name="______h2" localSheetId="13" hidden="1">{"'Sheet1'!$L$16"}</definedName>
    <definedName name="______h2" localSheetId="14" hidden="1">{"'Sheet1'!$L$16"}</definedName>
    <definedName name="______h2" localSheetId="15" hidden="1">{"'Sheet1'!$L$16"}</definedName>
    <definedName name="______h2" localSheetId="16" hidden="1">{"'Sheet1'!$L$16"}</definedName>
    <definedName name="______h2" localSheetId="17" hidden="1">{"'Sheet1'!$L$16"}</definedName>
    <definedName name="______h2" localSheetId="3" hidden="1">{"'Sheet1'!$L$16"}</definedName>
    <definedName name="______h2" localSheetId="6" hidden="1">{"'Sheet1'!$L$16"}</definedName>
    <definedName name="______h2" localSheetId="8" hidden="1">{"'Sheet1'!$L$16"}</definedName>
    <definedName name="______h2" localSheetId="19" hidden="1">{"'Sheet1'!$L$16"}</definedName>
    <definedName name="______h2" hidden="1">{"'Sheet1'!$L$16"}</definedName>
    <definedName name="______h3" localSheetId="1" hidden="1">{"'Sheet1'!$L$16"}</definedName>
    <definedName name="______h3" localSheetId="4" hidden="1">{"'Sheet1'!$L$16"}</definedName>
    <definedName name="______h3" localSheetId="5" hidden="1">{"'Sheet1'!$L$16"}</definedName>
    <definedName name="______h3" localSheetId="13" hidden="1">{"'Sheet1'!$L$16"}</definedName>
    <definedName name="______h3" localSheetId="14" hidden="1">{"'Sheet1'!$L$16"}</definedName>
    <definedName name="______h3" localSheetId="15" hidden="1">{"'Sheet1'!$L$16"}</definedName>
    <definedName name="______h3" localSheetId="16" hidden="1">{"'Sheet1'!$L$16"}</definedName>
    <definedName name="______h3" localSheetId="17" hidden="1">{"'Sheet1'!$L$16"}</definedName>
    <definedName name="______h3" localSheetId="3" hidden="1">{"'Sheet1'!$L$16"}</definedName>
    <definedName name="______h3" localSheetId="6" hidden="1">{"'Sheet1'!$L$16"}</definedName>
    <definedName name="______h3" localSheetId="8" hidden="1">{"'Sheet1'!$L$16"}</definedName>
    <definedName name="______h3" localSheetId="19" hidden="1">{"'Sheet1'!$L$16"}</definedName>
    <definedName name="______h3" hidden="1">{"'Sheet1'!$L$16"}</definedName>
    <definedName name="______h5" localSheetId="1" hidden="1">{"'Sheet1'!$L$16"}</definedName>
    <definedName name="______h5" localSheetId="4" hidden="1">{"'Sheet1'!$L$16"}</definedName>
    <definedName name="______h5" localSheetId="5" hidden="1">{"'Sheet1'!$L$16"}</definedName>
    <definedName name="______h5" localSheetId="13" hidden="1">{"'Sheet1'!$L$16"}</definedName>
    <definedName name="______h5" localSheetId="14" hidden="1">{"'Sheet1'!$L$16"}</definedName>
    <definedName name="______h5" localSheetId="15" hidden="1">{"'Sheet1'!$L$16"}</definedName>
    <definedName name="______h5" localSheetId="16" hidden="1">{"'Sheet1'!$L$16"}</definedName>
    <definedName name="______h5" localSheetId="17" hidden="1">{"'Sheet1'!$L$16"}</definedName>
    <definedName name="______h5" localSheetId="3" hidden="1">{"'Sheet1'!$L$16"}</definedName>
    <definedName name="______h5" localSheetId="6" hidden="1">{"'Sheet1'!$L$16"}</definedName>
    <definedName name="______h5" localSheetId="8" hidden="1">{"'Sheet1'!$L$16"}</definedName>
    <definedName name="______h5" localSheetId="19" hidden="1">{"'Sheet1'!$L$16"}</definedName>
    <definedName name="______h5" hidden="1">{"'Sheet1'!$L$16"}</definedName>
    <definedName name="______h6" localSheetId="1" hidden="1">{"'Sheet1'!$L$16"}</definedName>
    <definedName name="______h6" localSheetId="4" hidden="1">{"'Sheet1'!$L$16"}</definedName>
    <definedName name="______h6" localSheetId="5" hidden="1">{"'Sheet1'!$L$16"}</definedName>
    <definedName name="______h6" localSheetId="13" hidden="1">{"'Sheet1'!$L$16"}</definedName>
    <definedName name="______h6" localSheetId="14" hidden="1">{"'Sheet1'!$L$16"}</definedName>
    <definedName name="______h6" localSheetId="15" hidden="1">{"'Sheet1'!$L$16"}</definedName>
    <definedName name="______h6" localSheetId="16" hidden="1">{"'Sheet1'!$L$16"}</definedName>
    <definedName name="______h6" localSheetId="17" hidden="1">{"'Sheet1'!$L$16"}</definedName>
    <definedName name="______h6" localSheetId="3" hidden="1">{"'Sheet1'!$L$16"}</definedName>
    <definedName name="______h6" localSheetId="6" hidden="1">{"'Sheet1'!$L$16"}</definedName>
    <definedName name="______h6" localSheetId="8" hidden="1">{"'Sheet1'!$L$16"}</definedName>
    <definedName name="______h6" localSheetId="19" hidden="1">{"'Sheet1'!$L$16"}</definedName>
    <definedName name="______h6" hidden="1">{"'Sheet1'!$L$16"}</definedName>
    <definedName name="______h7" localSheetId="1" hidden="1">{"'Sheet1'!$L$16"}</definedName>
    <definedName name="______h7" localSheetId="4" hidden="1">{"'Sheet1'!$L$16"}</definedName>
    <definedName name="______h7" localSheetId="5" hidden="1">{"'Sheet1'!$L$16"}</definedName>
    <definedName name="______h7" localSheetId="13" hidden="1">{"'Sheet1'!$L$16"}</definedName>
    <definedName name="______h7" localSheetId="14" hidden="1">{"'Sheet1'!$L$16"}</definedName>
    <definedName name="______h7" localSheetId="15" hidden="1">{"'Sheet1'!$L$16"}</definedName>
    <definedName name="______h7" localSheetId="16" hidden="1">{"'Sheet1'!$L$16"}</definedName>
    <definedName name="______h7" localSheetId="17" hidden="1">{"'Sheet1'!$L$16"}</definedName>
    <definedName name="______h7" localSheetId="3" hidden="1">{"'Sheet1'!$L$16"}</definedName>
    <definedName name="______h7" localSheetId="6" hidden="1">{"'Sheet1'!$L$16"}</definedName>
    <definedName name="______h7" localSheetId="8" hidden="1">{"'Sheet1'!$L$16"}</definedName>
    <definedName name="______h7" localSheetId="19" hidden="1">{"'Sheet1'!$L$16"}</definedName>
    <definedName name="______h7" hidden="1">{"'Sheet1'!$L$16"}</definedName>
    <definedName name="______h8" localSheetId="1" hidden="1">{"'Sheet1'!$L$16"}</definedName>
    <definedName name="______h8" localSheetId="4" hidden="1">{"'Sheet1'!$L$16"}</definedName>
    <definedName name="______h8" localSheetId="5" hidden="1">{"'Sheet1'!$L$16"}</definedName>
    <definedName name="______h8" localSheetId="13" hidden="1">{"'Sheet1'!$L$16"}</definedName>
    <definedName name="______h8" localSheetId="14" hidden="1">{"'Sheet1'!$L$16"}</definedName>
    <definedName name="______h8" localSheetId="15" hidden="1">{"'Sheet1'!$L$16"}</definedName>
    <definedName name="______h8" localSheetId="16" hidden="1">{"'Sheet1'!$L$16"}</definedName>
    <definedName name="______h8" localSheetId="17" hidden="1">{"'Sheet1'!$L$16"}</definedName>
    <definedName name="______h8" localSheetId="3" hidden="1">{"'Sheet1'!$L$16"}</definedName>
    <definedName name="______h8" localSheetId="6" hidden="1">{"'Sheet1'!$L$16"}</definedName>
    <definedName name="______h8" localSheetId="8" hidden="1">{"'Sheet1'!$L$16"}</definedName>
    <definedName name="______h8" localSheetId="19" hidden="1">{"'Sheet1'!$L$16"}</definedName>
    <definedName name="______h8" hidden="1">{"'Sheet1'!$L$16"}</definedName>
    <definedName name="______h9" localSheetId="1" hidden="1">{"'Sheet1'!$L$16"}</definedName>
    <definedName name="______h9" localSheetId="4" hidden="1">{"'Sheet1'!$L$16"}</definedName>
    <definedName name="______h9" localSheetId="5" hidden="1">{"'Sheet1'!$L$16"}</definedName>
    <definedName name="______h9" localSheetId="13" hidden="1">{"'Sheet1'!$L$16"}</definedName>
    <definedName name="______h9" localSheetId="14" hidden="1">{"'Sheet1'!$L$16"}</definedName>
    <definedName name="______h9" localSheetId="15" hidden="1">{"'Sheet1'!$L$16"}</definedName>
    <definedName name="______h9" localSheetId="16" hidden="1">{"'Sheet1'!$L$16"}</definedName>
    <definedName name="______h9" localSheetId="17" hidden="1">{"'Sheet1'!$L$16"}</definedName>
    <definedName name="______h9" localSheetId="3" hidden="1">{"'Sheet1'!$L$16"}</definedName>
    <definedName name="______h9" localSheetId="6" hidden="1">{"'Sheet1'!$L$16"}</definedName>
    <definedName name="______h9" localSheetId="8" hidden="1">{"'Sheet1'!$L$16"}</definedName>
    <definedName name="______h9" localSheetId="19" hidden="1">{"'Sheet1'!$L$16"}</definedName>
    <definedName name="______h9" hidden="1">{"'Sheet1'!$L$16"}</definedName>
    <definedName name="______NSO2" localSheetId="1" hidden="1">{"'Sheet1'!$L$16"}</definedName>
    <definedName name="______NSO2" localSheetId="4" hidden="1">{"'Sheet1'!$L$16"}</definedName>
    <definedName name="______NSO2" localSheetId="5" hidden="1">{"'Sheet1'!$L$16"}</definedName>
    <definedName name="______NSO2" localSheetId="13" hidden="1">{"'Sheet1'!$L$16"}</definedName>
    <definedName name="______NSO2" localSheetId="14" hidden="1">{"'Sheet1'!$L$16"}</definedName>
    <definedName name="______NSO2" localSheetId="15" hidden="1">{"'Sheet1'!$L$16"}</definedName>
    <definedName name="______NSO2" localSheetId="16" hidden="1">{"'Sheet1'!$L$16"}</definedName>
    <definedName name="______NSO2" localSheetId="17" hidden="1">{"'Sheet1'!$L$16"}</definedName>
    <definedName name="______NSO2" localSheetId="3" hidden="1">{"'Sheet1'!$L$16"}</definedName>
    <definedName name="______NSO2" localSheetId="6" hidden="1">{"'Sheet1'!$L$16"}</definedName>
    <definedName name="______NSO2" localSheetId="8" hidden="1">{"'Sheet1'!$L$16"}</definedName>
    <definedName name="______NSO2" localSheetId="19" hidden="1">{"'Sheet1'!$L$16"}</definedName>
    <definedName name="______NSO2" hidden="1">{"'Sheet1'!$L$16"}</definedName>
    <definedName name="______PA3" localSheetId="1" hidden="1">{"'Sheet1'!$L$16"}</definedName>
    <definedName name="______PA3" localSheetId="4" hidden="1">{"'Sheet1'!$L$16"}</definedName>
    <definedName name="______PA3" localSheetId="5" hidden="1">{"'Sheet1'!$L$16"}</definedName>
    <definedName name="______PA3" localSheetId="13" hidden="1">{"'Sheet1'!$L$16"}</definedName>
    <definedName name="______PA3" localSheetId="14" hidden="1">{"'Sheet1'!$L$16"}</definedName>
    <definedName name="______PA3" localSheetId="15" hidden="1">{"'Sheet1'!$L$16"}</definedName>
    <definedName name="______PA3" localSheetId="16" hidden="1">{"'Sheet1'!$L$16"}</definedName>
    <definedName name="______PA3" localSheetId="17" hidden="1">{"'Sheet1'!$L$16"}</definedName>
    <definedName name="______PA3" localSheetId="3" hidden="1">{"'Sheet1'!$L$16"}</definedName>
    <definedName name="______PA3" localSheetId="6" hidden="1">{"'Sheet1'!$L$16"}</definedName>
    <definedName name="______PA3" localSheetId="8" hidden="1">{"'Sheet1'!$L$16"}</definedName>
    <definedName name="______PA3" localSheetId="19" hidden="1">{"'Sheet1'!$L$16"}</definedName>
    <definedName name="______PA3" hidden="1">{"'Sheet1'!$L$16"}</definedName>
    <definedName name="______vl2" localSheetId="1" hidden="1">{"'Sheet1'!$L$16"}</definedName>
    <definedName name="______vl2" localSheetId="4" hidden="1">{"'Sheet1'!$L$16"}</definedName>
    <definedName name="______vl2" localSheetId="5" hidden="1">{"'Sheet1'!$L$16"}</definedName>
    <definedName name="______vl2" localSheetId="13" hidden="1">{"'Sheet1'!$L$16"}</definedName>
    <definedName name="______vl2" localSheetId="14" hidden="1">{"'Sheet1'!$L$16"}</definedName>
    <definedName name="______vl2" localSheetId="15" hidden="1">{"'Sheet1'!$L$16"}</definedName>
    <definedName name="______vl2" localSheetId="16" hidden="1">{"'Sheet1'!$L$16"}</definedName>
    <definedName name="______vl2" localSheetId="17" hidden="1">{"'Sheet1'!$L$16"}</definedName>
    <definedName name="______vl2" localSheetId="3" hidden="1">{"'Sheet1'!$L$16"}</definedName>
    <definedName name="______vl2" localSheetId="6" hidden="1">{"'Sheet1'!$L$16"}</definedName>
    <definedName name="______vl2" localSheetId="8" hidden="1">{"'Sheet1'!$L$16"}</definedName>
    <definedName name="______vl2" localSheetId="19" hidden="1">{"'Sheet1'!$L$16"}</definedName>
    <definedName name="______vl2" hidden="1">{"'Sheet1'!$L$16"}</definedName>
    <definedName name="_____a1" localSheetId="1" hidden="1">{"'Sheet1'!$L$16"}</definedName>
    <definedName name="_____a1" localSheetId="4" hidden="1">{"'Sheet1'!$L$16"}</definedName>
    <definedName name="_____a1" localSheetId="5" hidden="1">{"'Sheet1'!$L$16"}</definedName>
    <definedName name="_____a1" localSheetId="13" hidden="1">{"'Sheet1'!$L$16"}</definedName>
    <definedName name="_____a1" localSheetId="14" hidden="1">{"'Sheet1'!$L$16"}</definedName>
    <definedName name="_____a1" localSheetId="15" hidden="1">{"'Sheet1'!$L$16"}</definedName>
    <definedName name="_____a1" localSheetId="16" hidden="1">{"'Sheet1'!$L$16"}</definedName>
    <definedName name="_____a1" localSheetId="17" hidden="1">{"'Sheet1'!$L$16"}</definedName>
    <definedName name="_____a1" localSheetId="3" hidden="1">{"'Sheet1'!$L$16"}</definedName>
    <definedName name="_____a1" localSheetId="6" hidden="1">{"'Sheet1'!$L$16"}</definedName>
    <definedName name="_____a1" localSheetId="8" hidden="1">{"'Sheet1'!$L$16"}</definedName>
    <definedName name="_____a1" localSheetId="19" hidden="1">{"'Sheet1'!$L$16"}</definedName>
    <definedName name="_____a1" hidden="1">{"'Sheet1'!$L$16"}</definedName>
    <definedName name="_____h1" localSheetId="1" hidden="1">{"'Sheet1'!$L$16"}</definedName>
    <definedName name="_____h1" localSheetId="4" hidden="1">{"'Sheet1'!$L$16"}</definedName>
    <definedName name="_____h1" localSheetId="5" hidden="1">{"'Sheet1'!$L$16"}</definedName>
    <definedName name="_____h1" localSheetId="13" hidden="1">{"'Sheet1'!$L$16"}</definedName>
    <definedName name="_____h1" localSheetId="14" hidden="1">{"'Sheet1'!$L$16"}</definedName>
    <definedName name="_____h1" localSheetId="15" hidden="1">{"'Sheet1'!$L$16"}</definedName>
    <definedName name="_____h1" localSheetId="16" hidden="1">{"'Sheet1'!$L$16"}</definedName>
    <definedName name="_____h1" localSheetId="17" hidden="1">{"'Sheet1'!$L$16"}</definedName>
    <definedName name="_____h1" localSheetId="3" hidden="1">{"'Sheet1'!$L$16"}</definedName>
    <definedName name="_____h1" localSheetId="6" hidden="1">{"'Sheet1'!$L$16"}</definedName>
    <definedName name="_____h1" localSheetId="8" hidden="1">{"'Sheet1'!$L$16"}</definedName>
    <definedName name="_____h1" localSheetId="19" hidden="1">{"'Sheet1'!$L$16"}</definedName>
    <definedName name="_____h1" hidden="1">{"'Sheet1'!$L$16"}</definedName>
    <definedName name="_____h10" localSheetId="1" hidden="1">{#N/A,#N/A,FALSE,"Chi tiÆt"}</definedName>
    <definedName name="_____h10" localSheetId="4" hidden="1">{#N/A,#N/A,FALSE,"Chi tiÆt"}</definedName>
    <definedName name="_____h10" localSheetId="5" hidden="1">{#N/A,#N/A,FALSE,"Chi tiÆt"}</definedName>
    <definedName name="_____h10" localSheetId="13" hidden="1">{#N/A,#N/A,FALSE,"Chi tiÆt"}</definedName>
    <definedName name="_____h10" localSheetId="14" hidden="1">{#N/A,#N/A,FALSE,"Chi tiÆt"}</definedName>
    <definedName name="_____h10" localSheetId="15" hidden="1">{#N/A,#N/A,FALSE,"Chi tiÆt"}</definedName>
    <definedName name="_____h10" localSheetId="16" hidden="1">{#N/A,#N/A,FALSE,"Chi tiÆt"}</definedName>
    <definedName name="_____h10" localSheetId="17" hidden="1">{#N/A,#N/A,FALSE,"Chi tiÆt"}</definedName>
    <definedName name="_____h10" localSheetId="3" hidden="1">{#N/A,#N/A,FALSE,"Chi tiÆt"}</definedName>
    <definedName name="_____h10" localSheetId="6" hidden="1">{#N/A,#N/A,FALSE,"Chi tiÆt"}</definedName>
    <definedName name="_____h10" localSheetId="8" hidden="1">{#N/A,#N/A,FALSE,"Chi tiÆt"}</definedName>
    <definedName name="_____h10" localSheetId="19" hidden="1">{#N/A,#N/A,FALSE,"Chi tiÆt"}</definedName>
    <definedName name="_____h10" hidden="1">{#N/A,#N/A,FALSE,"Chi tiÆt"}</definedName>
    <definedName name="_____h2" localSheetId="1" hidden="1">{"'Sheet1'!$L$16"}</definedName>
    <definedName name="_____h2" localSheetId="4" hidden="1">{"'Sheet1'!$L$16"}</definedName>
    <definedName name="_____h2" localSheetId="5" hidden="1">{"'Sheet1'!$L$16"}</definedName>
    <definedName name="_____h2" localSheetId="13" hidden="1">{"'Sheet1'!$L$16"}</definedName>
    <definedName name="_____h2" localSheetId="14" hidden="1">{"'Sheet1'!$L$16"}</definedName>
    <definedName name="_____h2" localSheetId="15" hidden="1">{"'Sheet1'!$L$16"}</definedName>
    <definedName name="_____h2" localSheetId="16" hidden="1">{"'Sheet1'!$L$16"}</definedName>
    <definedName name="_____h2" localSheetId="17" hidden="1">{"'Sheet1'!$L$16"}</definedName>
    <definedName name="_____h2" localSheetId="3" hidden="1">{"'Sheet1'!$L$16"}</definedName>
    <definedName name="_____h2" localSheetId="6" hidden="1">{"'Sheet1'!$L$16"}</definedName>
    <definedName name="_____h2" localSheetId="8" hidden="1">{"'Sheet1'!$L$16"}</definedName>
    <definedName name="_____h2" localSheetId="19" hidden="1">{"'Sheet1'!$L$16"}</definedName>
    <definedName name="_____h2" hidden="1">{"'Sheet1'!$L$16"}</definedName>
    <definedName name="_____h3" localSheetId="1" hidden="1">{"'Sheet1'!$L$16"}</definedName>
    <definedName name="_____h3" localSheetId="4" hidden="1">{"'Sheet1'!$L$16"}</definedName>
    <definedName name="_____h3" localSheetId="5" hidden="1">{"'Sheet1'!$L$16"}</definedName>
    <definedName name="_____h3" localSheetId="13" hidden="1">{"'Sheet1'!$L$16"}</definedName>
    <definedName name="_____h3" localSheetId="14" hidden="1">{"'Sheet1'!$L$16"}</definedName>
    <definedName name="_____h3" localSheetId="15" hidden="1">{"'Sheet1'!$L$16"}</definedName>
    <definedName name="_____h3" localSheetId="16" hidden="1">{"'Sheet1'!$L$16"}</definedName>
    <definedName name="_____h3" localSheetId="17" hidden="1">{"'Sheet1'!$L$16"}</definedName>
    <definedName name="_____h3" localSheetId="3" hidden="1">{"'Sheet1'!$L$16"}</definedName>
    <definedName name="_____h3" localSheetId="6" hidden="1">{"'Sheet1'!$L$16"}</definedName>
    <definedName name="_____h3" localSheetId="8" hidden="1">{"'Sheet1'!$L$16"}</definedName>
    <definedName name="_____h3" localSheetId="19" hidden="1">{"'Sheet1'!$L$16"}</definedName>
    <definedName name="_____h3" hidden="1">{"'Sheet1'!$L$16"}</definedName>
    <definedName name="_____h5" localSheetId="1" hidden="1">{"'Sheet1'!$L$16"}</definedName>
    <definedName name="_____h5" localSheetId="4" hidden="1">{"'Sheet1'!$L$16"}</definedName>
    <definedName name="_____h5" localSheetId="5" hidden="1">{"'Sheet1'!$L$16"}</definedName>
    <definedName name="_____h5" localSheetId="13" hidden="1">{"'Sheet1'!$L$16"}</definedName>
    <definedName name="_____h5" localSheetId="14" hidden="1">{"'Sheet1'!$L$16"}</definedName>
    <definedName name="_____h5" localSheetId="15" hidden="1">{"'Sheet1'!$L$16"}</definedName>
    <definedName name="_____h5" localSheetId="16" hidden="1">{"'Sheet1'!$L$16"}</definedName>
    <definedName name="_____h5" localSheetId="17" hidden="1">{"'Sheet1'!$L$16"}</definedName>
    <definedName name="_____h5" localSheetId="3" hidden="1">{"'Sheet1'!$L$16"}</definedName>
    <definedName name="_____h5" localSheetId="6" hidden="1">{"'Sheet1'!$L$16"}</definedName>
    <definedName name="_____h5" localSheetId="8" hidden="1">{"'Sheet1'!$L$16"}</definedName>
    <definedName name="_____h5" localSheetId="19" hidden="1">{"'Sheet1'!$L$16"}</definedName>
    <definedName name="_____h5" hidden="1">{"'Sheet1'!$L$16"}</definedName>
    <definedName name="_____h6" localSheetId="1" hidden="1">{"'Sheet1'!$L$16"}</definedName>
    <definedName name="_____h6" localSheetId="4" hidden="1">{"'Sheet1'!$L$16"}</definedName>
    <definedName name="_____h6" localSheetId="5" hidden="1">{"'Sheet1'!$L$16"}</definedName>
    <definedName name="_____h6" localSheetId="13" hidden="1">{"'Sheet1'!$L$16"}</definedName>
    <definedName name="_____h6" localSheetId="14" hidden="1">{"'Sheet1'!$L$16"}</definedName>
    <definedName name="_____h6" localSheetId="15" hidden="1">{"'Sheet1'!$L$16"}</definedName>
    <definedName name="_____h6" localSheetId="16" hidden="1">{"'Sheet1'!$L$16"}</definedName>
    <definedName name="_____h6" localSheetId="17" hidden="1">{"'Sheet1'!$L$16"}</definedName>
    <definedName name="_____h6" localSheetId="3" hidden="1">{"'Sheet1'!$L$16"}</definedName>
    <definedName name="_____h6" localSheetId="6" hidden="1">{"'Sheet1'!$L$16"}</definedName>
    <definedName name="_____h6" localSheetId="8" hidden="1">{"'Sheet1'!$L$16"}</definedName>
    <definedName name="_____h6" localSheetId="19" hidden="1">{"'Sheet1'!$L$16"}</definedName>
    <definedName name="_____h6" hidden="1">{"'Sheet1'!$L$16"}</definedName>
    <definedName name="_____h7" localSheetId="1" hidden="1">{"'Sheet1'!$L$16"}</definedName>
    <definedName name="_____h7" localSheetId="4" hidden="1">{"'Sheet1'!$L$16"}</definedName>
    <definedName name="_____h7" localSheetId="5" hidden="1">{"'Sheet1'!$L$16"}</definedName>
    <definedName name="_____h7" localSheetId="13" hidden="1">{"'Sheet1'!$L$16"}</definedName>
    <definedName name="_____h7" localSheetId="14" hidden="1">{"'Sheet1'!$L$16"}</definedName>
    <definedName name="_____h7" localSheetId="15" hidden="1">{"'Sheet1'!$L$16"}</definedName>
    <definedName name="_____h7" localSheetId="16" hidden="1">{"'Sheet1'!$L$16"}</definedName>
    <definedName name="_____h7" localSheetId="17" hidden="1">{"'Sheet1'!$L$16"}</definedName>
    <definedName name="_____h7" localSheetId="3" hidden="1">{"'Sheet1'!$L$16"}</definedName>
    <definedName name="_____h7" localSheetId="6" hidden="1">{"'Sheet1'!$L$16"}</definedName>
    <definedName name="_____h7" localSheetId="8" hidden="1">{"'Sheet1'!$L$16"}</definedName>
    <definedName name="_____h7" localSheetId="19" hidden="1">{"'Sheet1'!$L$16"}</definedName>
    <definedName name="_____h7" hidden="1">{"'Sheet1'!$L$16"}</definedName>
    <definedName name="_____h8" localSheetId="1" hidden="1">{"'Sheet1'!$L$16"}</definedName>
    <definedName name="_____h8" localSheetId="4" hidden="1">{"'Sheet1'!$L$16"}</definedName>
    <definedName name="_____h8" localSheetId="5" hidden="1">{"'Sheet1'!$L$16"}</definedName>
    <definedName name="_____h8" localSheetId="13" hidden="1">{"'Sheet1'!$L$16"}</definedName>
    <definedName name="_____h8" localSheetId="14" hidden="1">{"'Sheet1'!$L$16"}</definedName>
    <definedName name="_____h8" localSheetId="15" hidden="1">{"'Sheet1'!$L$16"}</definedName>
    <definedName name="_____h8" localSheetId="16" hidden="1">{"'Sheet1'!$L$16"}</definedName>
    <definedName name="_____h8" localSheetId="17" hidden="1">{"'Sheet1'!$L$16"}</definedName>
    <definedName name="_____h8" localSheetId="3" hidden="1">{"'Sheet1'!$L$16"}</definedName>
    <definedName name="_____h8" localSheetId="6" hidden="1">{"'Sheet1'!$L$16"}</definedName>
    <definedName name="_____h8" localSheetId="8" hidden="1">{"'Sheet1'!$L$16"}</definedName>
    <definedName name="_____h8" localSheetId="19" hidden="1">{"'Sheet1'!$L$16"}</definedName>
    <definedName name="_____h8" hidden="1">{"'Sheet1'!$L$16"}</definedName>
    <definedName name="_____h9" localSheetId="1" hidden="1">{"'Sheet1'!$L$16"}</definedName>
    <definedName name="_____h9" localSheetId="4" hidden="1">{"'Sheet1'!$L$16"}</definedName>
    <definedName name="_____h9" localSheetId="5" hidden="1">{"'Sheet1'!$L$16"}</definedName>
    <definedName name="_____h9" localSheetId="13" hidden="1">{"'Sheet1'!$L$16"}</definedName>
    <definedName name="_____h9" localSheetId="14" hidden="1">{"'Sheet1'!$L$16"}</definedName>
    <definedName name="_____h9" localSheetId="15" hidden="1">{"'Sheet1'!$L$16"}</definedName>
    <definedName name="_____h9" localSheetId="16" hidden="1">{"'Sheet1'!$L$16"}</definedName>
    <definedName name="_____h9" localSheetId="17" hidden="1">{"'Sheet1'!$L$16"}</definedName>
    <definedName name="_____h9" localSheetId="3" hidden="1">{"'Sheet1'!$L$16"}</definedName>
    <definedName name="_____h9" localSheetId="6" hidden="1">{"'Sheet1'!$L$16"}</definedName>
    <definedName name="_____h9" localSheetId="8" hidden="1">{"'Sheet1'!$L$16"}</definedName>
    <definedName name="_____h9" localSheetId="19" hidden="1">{"'Sheet1'!$L$16"}</definedName>
    <definedName name="_____h9" hidden="1">{"'Sheet1'!$L$16"}</definedName>
    <definedName name="_____NSO2" localSheetId="1" hidden="1">{"'Sheet1'!$L$16"}</definedName>
    <definedName name="_____NSO2" localSheetId="4" hidden="1">{"'Sheet1'!$L$16"}</definedName>
    <definedName name="_____NSO2" localSheetId="5" hidden="1">{"'Sheet1'!$L$16"}</definedName>
    <definedName name="_____NSO2" localSheetId="13" hidden="1">{"'Sheet1'!$L$16"}</definedName>
    <definedName name="_____NSO2" localSheetId="14" hidden="1">{"'Sheet1'!$L$16"}</definedName>
    <definedName name="_____NSO2" localSheetId="15" hidden="1">{"'Sheet1'!$L$16"}</definedName>
    <definedName name="_____NSO2" localSheetId="16" hidden="1">{"'Sheet1'!$L$16"}</definedName>
    <definedName name="_____NSO2" localSheetId="17" hidden="1">{"'Sheet1'!$L$16"}</definedName>
    <definedName name="_____NSO2" localSheetId="3" hidden="1">{"'Sheet1'!$L$16"}</definedName>
    <definedName name="_____NSO2" localSheetId="6" hidden="1">{"'Sheet1'!$L$16"}</definedName>
    <definedName name="_____NSO2" localSheetId="8" hidden="1">{"'Sheet1'!$L$16"}</definedName>
    <definedName name="_____NSO2" localSheetId="19" hidden="1">{"'Sheet1'!$L$16"}</definedName>
    <definedName name="_____NSO2" hidden="1">{"'Sheet1'!$L$16"}</definedName>
    <definedName name="_____PA3" localSheetId="1" hidden="1">{"'Sheet1'!$L$16"}</definedName>
    <definedName name="_____PA3" localSheetId="4" hidden="1">{"'Sheet1'!$L$16"}</definedName>
    <definedName name="_____PA3" localSheetId="5" hidden="1">{"'Sheet1'!$L$16"}</definedName>
    <definedName name="_____PA3" localSheetId="13" hidden="1">{"'Sheet1'!$L$16"}</definedName>
    <definedName name="_____PA3" localSheetId="14" hidden="1">{"'Sheet1'!$L$16"}</definedName>
    <definedName name="_____PA3" localSheetId="15" hidden="1">{"'Sheet1'!$L$16"}</definedName>
    <definedName name="_____PA3" localSheetId="16" hidden="1">{"'Sheet1'!$L$16"}</definedName>
    <definedName name="_____PA3" localSheetId="17" hidden="1">{"'Sheet1'!$L$16"}</definedName>
    <definedName name="_____PA3" localSheetId="3" hidden="1">{"'Sheet1'!$L$16"}</definedName>
    <definedName name="_____PA3" localSheetId="6" hidden="1">{"'Sheet1'!$L$16"}</definedName>
    <definedName name="_____PA3" localSheetId="8" hidden="1">{"'Sheet1'!$L$16"}</definedName>
    <definedName name="_____PA3" localSheetId="19" hidden="1">{"'Sheet1'!$L$16"}</definedName>
    <definedName name="_____PA3" hidden="1">{"'Sheet1'!$L$16"}</definedName>
    <definedName name="_____vl2" localSheetId="1" hidden="1">{"'Sheet1'!$L$16"}</definedName>
    <definedName name="_____vl2" localSheetId="4" hidden="1">{"'Sheet1'!$L$16"}</definedName>
    <definedName name="_____vl2" localSheetId="5" hidden="1">{"'Sheet1'!$L$16"}</definedName>
    <definedName name="_____vl2" localSheetId="13" hidden="1">{"'Sheet1'!$L$16"}</definedName>
    <definedName name="_____vl2" localSheetId="14" hidden="1">{"'Sheet1'!$L$16"}</definedName>
    <definedName name="_____vl2" localSheetId="15" hidden="1">{"'Sheet1'!$L$16"}</definedName>
    <definedName name="_____vl2" localSheetId="16" hidden="1">{"'Sheet1'!$L$16"}</definedName>
    <definedName name="_____vl2" localSheetId="17" hidden="1">{"'Sheet1'!$L$16"}</definedName>
    <definedName name="_____vl2" localSheetId="3" hidden="1">{"'Sheet1'!$L$16"}</definedName>
    <definedName name="_____vl2" localSheetId="6" hidden="1">{"'Sheet1'!$L$16"}</definedName>
    <definedName name="_____vl2" localSheetId="8" hidden="1">{"'Sheet1'!$L$16"}</definedName>
    <definedName name="_____vl2" localSheetId="19" hidden="1">{"'Sheet1'!$L$16"}</definedName>
    <definedName name="_____vl2" hidden="1">{"'Sheet1'!$L$16"}</definedName>
    <definedName name="____ban2" localSheetId="1" hidden="1">{"'Sheet1'!$L$16"}</definedName>
    <definedName name="____ban2" localSheetId="2" hidden="1">{"'Sheet1'!$L$16"}</definedName>
    <definedName name="____ban2" localSheetId="4" hidden="1">{"'Sheet1'!$L$16"}</definedName>
    <definedName name="____ban2" localSheetId="5" hidden="1">{"'Sheet1'!$L$16"}</definedName>
    <definedName name="____ban2" localSheetId="7" hidden="1">{"'Sheet1'!$L$16"}</definedName>
    <definedName name="____ban2" localSheetId="11" hidden="1">{"'Sheet1'!$L$16"}</definedName>
    <definedName name="____ban2" localSheetId="13" hidden="1">{"'Sheet1'!$L$16"}</definedName>
    <definedName name="____ban2" localSheetId="14" hidden="1">{"'Sheet1'!$L$16"}</definedName>
    <definedName name="____ban2" localSheetId="15" hidden="1">{"'Sheet1'!$L$16"}</definedName>
    <definedName name="____ban2" localSheetId="16" hidden="1">{"'Sheet1'!$L$16"}</definedName>
    <definedName name="____ban2" localSheetId="17" hidden="1">{"'Sheet1'!$L$16"}</definedName>
    <definedName name="____ban2" localSheetId="3" hidden="1">{"'Sheet1'!$L$16"}</definedName>
    <definedName name="____ban2" localSheetId="6" hidden="1">{"'Sheet1'!$L$16"}</definedName>
    <definedName name="____ban2" localSheetId="8" hidden="1">{"'Sheet1'!$L$16"}</definedName>
    <definedName name="____ban2" localSheetId="18" hidden="1">{"'Sheet1'!$L$16"}</definedName>
    <definedName name="____ban2" localSheetId="19" hidden="1">{"'Sheet1'!$L$16"}</definedName>
    <definedName name="____ban2" localSheetId="0" hidden="1">{"'Sheet1'!$L$16"}</definedName>
    <definedName name="____ban2" hidden="1">{"'Sheet1'!$L$16"}</definedName>
    <definedName name="____cep1" localSheetId="1" hidden="1">{"'Sheet1'!$L$16"}</definedName>
    <definedName name="____cep1" localSheetId="2" hidden="1">{"'Sheet1'!$L$16"}</definedName>
    <definedName name="____cep1" localSheetId="4" hidden="1">{"'Sheet1'!$L$16"}</definedName>
    <definedName name="____cep1" localSheetId="5" hidden="1">{"'Sheet1'!$L$16"}</definedName>
    <definedName name="____cep1" localSheetId="7" hidden="1">{"'Sheet1'!$L$16"}</definedName>
    <definedName name="____cep1" localSheetId="11" hidden="1">{"'Sheet1'!$L$16"}</definedName>
    <definedName name="____cep1" localSheetId="13" hidden="1">{"'Sheet1'!$L$16"}</definedName>
    <definedName name="____cep1" localSheetId="14" hidden="1">{"'Sheet1'!$L$16"}</definedName>
    <definedName name="____cep1" localSheetId="15" hidden="1">{"'Sheet1'!$L$16"}</definedName>
    <definedName name="____cep1" localSheetId="16" hidden="1">{"'Sheet1'!$L$16"}</definedName>
    <definedName name="____cep1" localSheetId="17" hidden="1">{"'Sheet1'!$L$16"}</definedName>
    <definedName name="____cep1" localSheetId="3" hidden="1">{"'Sheet1'!$L$16"}</definedName>
    <definedName name="____cep1" localSheetId="6" hidden="1">{"'Sheet1'!$L$16"}</definedName>
    <definedName name="____cep1" localSheetId="8" hidden="1">{"'Sheet1'!$L$16"}</definedName>
    <definedName name="____cep1" localSheetId="18" hidden="1">{"'Sheet1'!$L$16"}</definedName>
    <definedName name="____cep1" localSheetId="19" hidden="1">{"'Sheet1'!$L$16"}</definedName>
    <definedName name="____cep1" localSheetId="0" hidden="1">{"'Sheet1'!$L$16"}</definedName>
    <definedName name="____cep1" hidden="1">{"'Sheet1'!$L$16"}</definedName>
    <definedName name="____Coc39" localSheetId="1" hidden="1">{"'Sheet1'!$L$16"}</definedName>
    <definedName name="____Coc39" localSheetId="2" hidden="1">{"'Sheet1'!$L$16"}</definedName>
    <definedName name="____Coc39" localSheetId="4" hidden="1">{"'Sheet1'!$L$16"}</definedName>
    <definedName name="____Coc39" localSheetId="5" hidden="1">{"'Sheet1'!$L$16"}</definedName>
    <definedName name="____Coc39" localSheetId="7" hidden="1">{"'Sheet1'!$L$16"}</definedName>
    <definedName name="____Coc39" localSheetId="11" hidden="1">{"'Sheet1'!$L$16"}</definedName>
    <definedName name="____Coc39" localSheetId="13" hidden="1">{"'Sheet1'!$L$16"}</definedName>
    <definedName name="____Coc39" localSheetId="14" hidden="1">{"'Sheet1'!$L$16"}</definedName>
    <definedName name="____Coc39" localSheetId="15" hidden="1">{"'Sheet1'!$L$16"}</definedName>
    <definedName name="____Coc39" localSheetId="16" hidden="1">{"'Sheet1'!$L$16"}</definedName>
    <definedName name="____Coc39" localSheetId="17" hidden="1">{"'Sheet1'!$L$16"}</definedName>
    <definedName name="____Coc39" localSheetId="3" hidden="1">{"'Sheet1'!$L$16"}</definedName>
    <definedName name="____Coc39" localSheetId="6" hidden="1">{"'Sheet1'!$L$16"}</definedName>
    <definedName name="____Coc39" localSheetId="8" hidden="1">{"'Sheet1'!$L$16"}</definedName>
    <definedName name="____Coc39" localSheetId="18" hidden="1">{"'Sheet1'!$L$16"}</definedName>
    <definedName name="____Coc39" localSheetId="19" hidden="1">{"'Sheet1'!$L$16"}</definedName>
    <definedName name="____Coc39" localSheetId="0" hidden="1">{"'Sheet1'!$L$16"}</definedName>
    <definedName name="____Coc39" hidden="1">{"'Sheet1'!$L$16"}</definedName>
    <definedName name="____Goi8" localSheetId="1" hidden="1">{"'Sheet1'!$L$16"}</definedName>
    <definedName name="____Goi8" localSheetId="2" hidden="1">{"'Sheet1'!$L$16"}</definedName>
    <definedName name="____Goi8" localSheetId="4" hidden="1">{"'Sheet1'!$L$16"}</definedName>
    <definedName name="____Goi8" localSheetId="5" hidden="1">{"'Sheet1'!$L$16"}</definedName>
    <definedName name="____Goi8" localSheetId="7" hidden="1">{"'Sheet1'!$L$16"}</definedName>
    <definedName name="____Goi8" localSheetId="11" hidden="1">{"'Sheet1'!$L$16"}</definedName>
    <definedName name="____Goi8" localSheetId="13" hidden="1">{"'Sheet1'!$L$16"}</definedName>
    <definedName name="____Goi8" localSheetId="14" hidden="1">{"'Sheet1'!$L$16"}</definedName>
    <definedName name="____Goi8" localSheetId="15" hidden="1">{"'Sheet1'!$L$16"}</definedName>
    <definedName name="____Goi8" localSheetId="16" hidden="1">{"'Sheet1'!$L$16"}</definedName>
    <definedName name="____Goi8" localSheetId="17" hidden="1">{"'Sheet1'!$L$16"}</definedName>
    <definedName name="____Goi8" localSheetId="3" hidden="1">{"'Sheet1'!$L$16"}</definedName>
    <definedName name="____Goi8" localSheetId="6" hidden="1">{"'Sheet1'!$L$16"}</definedName>
    <definedName name="____Goi8" localSheetId="8" hidden="1">{"'Sheet1'!$L$16"}</definedName>
    <definedName name="____Goi8" localSheetId="18" hidden="1">{"'Sheet1'!$L$16"}</definedName>
    <definedName name="____Goi8" localSheetId="19" hidden="1">{"'Sheet1'!$L$16"}</definedName>
    <definedName name="____Goi8" localSheetId="0" hidden="1">{"'Sheet1'!$L$16"}</definedName>
    <definedName name="____Goi8" hidden="1">{"'Sheet1'!$L$16"}</definedName>
    <definedName name="____h1" localSheetId="1" hidden="1">{"'Sheet1'!$L$16"}</definedName>
    <definedName name="____h1" localSheetId="4" hidden="1">{"'Sheet1'!$L$16"}</definedName>
    <definedName name="____h1" localSheetId="5" hidden="1">{"'Sheet1'!$L$16"}</definedName>
    <definedName name="____h1" localSheetId="13" hidden="1">{"'Sheet1'!$L$16"}</definedName>
    <definedName name="____h1" localSheetId="14" hidden="1">{"'Sheet1'!$L$16"}</definedName>
    <definedName name="____h1" localSheetId="15" hidden="1">{"'Sheet1'!$L$16"}</definedName>
    <definedName name="____h1" localSheetId="16" hidden="1">{"'Sheet1'!$L$16"}</definedName>
    <definedName name="____h1" localSheetId="17" hidden="1">{"'Sheet1'!$L$16"}</definedName>
    <definedName name="____h1" localSheetId="3" hidden="1">{"'Sheet1'!$L$16"}</definedName>
    <definedName name="____h1" localSheetId="6" hidden="1">{"'Sheet1'!$L$16"}</definedName>
    <definedName name="____h1" localSheetId="8" hidden="1">{"'Sheet1'!$L$16"}</definedName>
    <definedName name="____h1" localSheetId="19" hidden="1">{"'Sheet1'!$L$16"}</definedName>
    <definedName name="____h1" hidden="1">{"'Sheet1'!$L$16"}</definedName>
    <definedName name="____h10" localSheetId="1" hidden="1">{#N/A,#N/A,FALSE,"Chi tiÆt"}</definedName>
    <definedName name="____h10" localSheetId="4" hidden="1">{#N/A,#N/A,FALSE,"Chi tiÆt"}</definedName>
    <definedName name="____h10" localSheetId="5" hidden="1">{#N/A,#N/A,FALSE,"Chi tiÆt"}</definedName>
    <definedName name="____h10" localSheetId="13" hidden="1">{#N/A,#N/A,FALSE,"Chi tiÆt"}</definedName>
    <definedName name="____h10" localSheetId="14" hidden="1">{#N/A,#N/A,FALSE,"Chi tiÆt"}</definedName>
    <definedName name="____h10" localSheetId="15" hidden="1">{#N/A,#N/A,FALSE,"Chi tiÆt"}</definedName>
    <definedName name="____h10" localSheetId="16" hidden="1">{#N/A,#N/A,FALSE,"Chi tiÆt"}</definedName>
    <definedName name="____h10" localSheetId="17" hidden="1">{#N/A,#N/A,FALSE,"Chi tiÆt"}</definedName>
    <definedName name="____h10" localSheetId="3" hidden="1">{#N/A,#N/A,FALSE,"Chi tiÆt"}</definedName>
    <definedName name="____h10" localSheetId="6" hidden="1">{#N/A,#N/A,FALSE,"Chi tiÆt"}</definedName>
    <definedName name="____h10" localSheetId="8" hidden="1">{#N/A,#N/A,FALSE,"Chi tiÆt"}</definedName>
    <definedName name="____h10" localSheetId="19" hidden="1">{#N/A,#N/A,FALSE,"Chi tiÆt"}</definedName>
    <definedName name="____h10" hidden="1">{#N/A,#N/A,FALSE,"Chi tiÆt"}</definedName>
    <definedName name="____h2" localSheetId="1" hidden="1">{"'Sheet1'!$L$16"}</definedName>
    <definedName name="____h2" localSheetId="4" hidden="1">{"'Sheet1'!$L$16"}</definedName>
    <definedName name="____h2" localSheetId="5" hidden="1">{"'Sheet1'!$L$16"}</definedName>
    <definedName name="____h2" localSheetId="13" hidden="1">{"'Sheet1'!$L$16"}</definedName>
    <definedName name="____h2" localSheetId="14" hidden="1">{"'Sheet1'!$L$16"}</definedName>
    <definedName name="____h2" localSheetId="15" hidden="1">{"'Sheet1'!$L$16"}</definedName>
    <definedName name="____h2" localSheetId="16" hidden="1">{"'Sheet1'!$L$16"}</definedName>
    <definedName name="____h2" localSheetId="17" hidden="1">{"'Sheet1'!$L$16"}</definedName>
    <definedName name="____h2" localSheetId="3" hidden="1">{"'Sheet1'!$L$16"}</definedName>
    <definedName name="____h2" localSheetId="6" hidden="1">{"'Sheet1'!$L$16"}</definedName>
    <definedName name="____h2" localSheetId="8" hidden="1">{"'Sheet1'!$L$16"}</definedName>
    <definedName name="____h2" localSheetId="19" hidden="1">{"'Sheet1'!$L$16"}</definedName>
    <definedName name="____h2" hidden="1">{"'Sheet1'!$L$16"}</definedName>
    <definedName name="____h3" localSheetId="1" hidden="1">{"'Sheet1'!$L$16"}</definedName>
    <definedName name="____h3" localSheetId="4" hidden="1">{"'Sheet1'!$L$16"}</definedName>
    <definedName name="____h3" localSheetId="5" hidden="1">{"'Sheet1'!$L$16"}</definedName>
    <definedName name="____h3" localSheetId="13" hidden="1">{"'Sheet1'!$L$16"}</definedName>
    <definedName name="____h3" localSheetId="14" hidden="1">{"'Sheet1'!$L$16"}</definedName>
    <definedName name="____h3" localSheetId="15" hidden="1">{"'Sheet1'!$L$16"}</definedName>
    <definedName name="____h3" localSheetId="16" hidden="1">{"'Sheet1'!$L$16"}</definedName>
    <definedName name="____h3" localSheetId="17" hidden="1">{"'Sheet1'!$L$16"}</definedName>
    <definedName name="____h3" localSheetId="3" hidden="1">{"'Sheet1'!$L$16"}</definedName>
    <definedName name="____h3" localSheetId="6" hidden="1">{"'Sheet1'!$L$16"}</definedName>
    <definedName name="____h3" localSheetId="8" hidden="1">{"'Sheet1'!$L$16"}</definedName>
    <definedName name="____h3" localSheetId="19" hidden="1">{"'Sheet1'!$L$16"}</definedName>
    <definedName name="____h3" hidden="1">{"'Sheet1'!$L$16"}</definedName>
    <definedName name="____h5" localSheetId="1" hidden="1">{"'Sheet1'!$L$16"}</definedName>
    <definedName name="____h5" localSheetId="4" hidden="1">{"'Sheet1'!$L$16"}</definedName>
    <definedName name="____h5" localSheetId="5" hidden="1">{"'Sheet1'!$L$16"}</definedName>
    <definedName name="____h5" localSheetId="13" hidden="1">{"'Sheet1'!$L$16"}</definedName>
    <definedName name="____h5" localSheetId="14" hidden="1">{"'Sheet1'!$L$16"}</definedName>
    <definedName name="____h5" localSheetId="15" hidden="1">{"'Sheet1'!$L$16"}</definedName>
    <definedName name="____h5" localSheetId="16" hidden="1">{"'Sheet1'!$L$16"}</definedName>
    <definedName name="____h5" localSheetId="17" hidden="1">{"'Sheet1'!$L$16"}</definedName>
    <definedName name="____h5" localSheetId="3" hidden="1">{"'Sheet1'!$L$16"}</definedName>
    <definedName name="____h5" localSheetId="6" hidden="1">{"'Sheet1'!$L$16"}</definedName>
    <definedName name="____h5" localSheetId="8" hidden="1">{"'Sheet1'!$L$16"}</definedName>
    <definedName name="____h5" localSheetId="19" hidden="1">{"'Sheet1'!$L$16"}</definedName>
    <definedName name="____h5" hidden="1">{"'Sheet1'!$L$16"}</definedName>
    <definedName name="____h6" localSheetId="1" hidden="1">{"'Sheet1'!$L$16"}</definedName>
    <definedName name="____h6" localSheetId="4" hidden="1">{"'Sheet1'!$L$16"}</definedName>
    <definedName name="____h6" localSheetId="5" hidden="1">{"'Sheet1'!$L$16"}</definedName>
    <definedName name="____h6" localSheetId="13" hidden="1">{"'Sheet1'!$L$16"}</definedName>
    <definedName name="____h6" localSheetId="14" hidden="1">{"'Sheet1'!$L$16"}</definedName>
    <definedName name="____h6" localSheetId="15" hidden="1">{"'Sheet1'!$L$16"}</definedName>
    <definedName name="____h6" localSheetId="16" hidden="1">{"'Sheet1'!$L$16"}</definedName>
    <definedName name="____h6" localSheetId="17" hidden="1">{"'Sheet1'!$L$16"}</definedName>
    <definedName name="____h6" localSheetId="3" hidden="1">{"'Sheet1'!$L$16"}</definedName>
    <definedName name="____h6" localSheetId="6" hidden="1">{"'Sheet1'!$L$16"}</definedName>
    <definedName name="____h6" localSheetId="8" hidden="1">{"'Sheet1'!$L$16"}</definedName>
    <definedName name="____h6" localSheetId="19" hidden="1">{"'Sheet1'!$L$16"}</definedName>
    <definedName name="____h6" hidden="1">{"'Sheet1'!$L$16"}</definedName>
    <definedName name="____h7" localSheetId="1" hidden="1">{"'Sheet1'!$L$16"}</definedName>
    <definedName name="____h7" localSheetId="4" hidden="1">{"'Sheet1'!$L$16"}</definedName>
    <definedName name="____h7" localSheetId="5" hidden="1">{"'Sheet1'!$L$16"}</definedName>
    <definedName name="____h7" localSheetId="13" hidden="1">{"'Sheet1'!$L$16"}</definedName>
    <definedName name="____h7" localSheetId="14" hidden="1">{"'Sheet1'!$L$16"}</definedName>
    <definedName name="____h7" localSheetId="15" hidden="1">{"'Sheet1'!$L$16"}</definedName>
    <definedName name="____h7" localSheetId="16" hidden="1">{"'Sheet1'!$L$16"}</definedName>
    <definedName name="____h7" localSheetId="17" hidden="1">{"'Sheet1'!$L$16"}</definedName>
    <definedName name="____h7" localSheetId="3" hidden="1">{"'Sheet1'!$L$16"}</definedName>
    <definedName name="____h7" localSheetId="6" hidden="1">{"'Sheet1'!$L$16"}</definedName>
    <definedName name="____h7" localSheetId="8" hidden="1">{"'Sheet1'!$L$16"}</definedName>
    <definedName name="____h7" localSheetId="19" hidden="1">{"'Sheet1'!$L$16"}</definedName>
    <definedName name="____h7" hidden="1">{"'Sheet1'!$L$16"}</definedName>
    <definedName name="____h8" localSheetId="1" hidden="1">{"'Sheet1'!$L$16"}</definedName>
    <definedName name="____h8" localSheetId="4" hidden="1">{"'Sheet1'!$L$16"}</definedName>
    <definedName name="____h8" localSheetId="5" hidden="1">{"'Sheet1'!$L$16"}</definedName>
    <definedName name="____h8" localSheetId="13" hidden="1">{"'Sheet1'!$L$16"}</definedName>
    <definedName name="____h8" localSheetId="14" hidden="1">{"'Sheet1'!$L$16"}</definedName>
    <definedName name="____h8" localSheetId="15" hidden="1">{"'Sheet1'!$L$16"}</definedName>
    <definedName name="____h8" localSheetId="16" hidden="1">{"'Sheet1'!$L$16"}</definedName>
    <definedName name="____h8" localSheetId="17" hidden="1">{"'Sheet1'!$L$16"}</definedName>
    <definedName name="____h8" localSheetId="3" hidden="1">{"'Sheet1'!$L$16"}</definedName>
    <definedName name="____h8" localSheetId="6" hidden="1">{"'Sheet1'!$L$16"}</definedName>
    <definedName name="____h8" localSheetId="8" hidden="1">{"'Sheet1'!$L$16"}</definedName>
    <definedName name="____h8" localSheetId="19" hidden="1">{"'Sheet1'!$L$16"}</definedName>
    <definedName name="____h8" hidden="1">{"'Sheet1'!$L$16"}</definedName>
    <definedName name="____h9" localSheetId="1" hidden="1">{"'Sheet1'!$L$16"}</definedName>
    <definedName name="____h9" localSheetId="4" hidden="1">{"'Sheet1'!$L$16"}</definedName>
    <definedName name="____h9" localSheetId="5" hidden="1">{"'Sheet1'!$L$16"}</definedName>
    <definedName name="____h9" localSheetId="13" hidden="1">{"'Sheet1'!$L$16"}</definedName>
    <definedName name="____h9" localSheetId="14" hidden="1">{"'Sheet1'!$L$16"}</definedName>
    <definedName name="____h9" localSheetId="15" hidden="1">{"'Sheet1'!$L$16"}</definedName>
    <definedName name="____h9" localSheetId="16" hidden="1">{"'Sheet1'!$L$16"}</definedName>
    <definedName name="____h9" localSheetId="17" hidden="1">{"'Sheet1'!$L$16"}</definedName>
    <definedName name="____h9" localSheetId="3" hidden="1">{"'Sheet1'!$L$16"}</definedName>
    <definedName name="____h9" localSheetId="6" hidden="1">{"'Sheet1'!$L$16"}</definedName>
    <definedName name="____h9" localSheetId="8" hidden="1">{"'Sheet1'!$L$16"}</definedName>
    <definedName name="____h9" localSheetId="19" hidden="1">{"'Sheet1'!$L$16"}</definedName>
    <definedName name="____h9" hidden="1">{"'Sheet1'!$L$16"}</definedName>
    <definedName name="____HUY1" localSheetId="1" hidden="1">{"'Sheet1'!$L$16"}</definedName>
    <definedName name="____HUY1" localSheetId="2" hidden="1">{"'Sheet1'!$L$16"}</definedName>
    <definedName name="____HUY1" localSheetId="4" hidden="1">{"'Sheet1'!$L$16"}</definedName>
    <definedName name="____HUY1" localSheetId="5" hidden="1">{"'Sheet1'!$L$16"}</definedName>
    <definedName name="____HUY1" localSheetId="7" hidden="1">{"'Sheet1'!$L$16"}</definedName>
    <definedName name="____HUY1" localSheetId="11" hidden="1">{"'Sheet1'!$L$16"}</definedName>
    <definedName name="____HUY1" localSheetId="13" hidden="1">{"'Sheet1'!$L$16"}</definedName>
    <definedName name="____HUY1" localSheetId="14" hidden="1">{"'Sheet1'!$L$16"}</definedName>
    <definedName name="____HUY1" localSheetId="15" hidden="1">{"'Sheet1'!$L$16"}</definedName>
    <definedName name="____HUY1" localSheetId="16" hidden="1">{"'Sheet1'!$L$16"}</definedName>
    <definedName name="____HUY1" localSheetId="17" hidden="1">{"'Sheet1'!$L$16"}</definedName>
    <definedName name="____HUY1" localSheetId="3" hidden="1">{"'Sheet1'!$L$16"}</definedName>
    <definedName name="____HUY1" localSheetId="6" hidden="1">{"'Sheet1'!$L$16"}</definedName>
    <definedName name="____HUY1" localSheetId="8" hidden="1">{"'Sheet1'!$L$16"}</definedName>
    <definedName name="____HUY1" localSheetId="18" hidden="1">{"'Sheet1'!$L$16"}</definedName>
    <definedName name="____HUY1" localSheetId="19" hidden="1">{"'Sheet1'!$L$16"}</definedName>
    <definedName name="____HUY1" localSheetId="0" hidden="1">{"'Sheet1'!$L$16"}</definedName>
    <definedName name="____HUY1" hidden="1">{"'Sheet1'!$L$16"}</definedName>
    <definedName name="____HUY2" localSheetId="1" hidden="1">{"'Sheet1'!$L$16"}</definedName>
    <definedName name="____HUY2" localSheetId="2" hidden="1">{"'Sheet1'!$L$16"}</definedName>
    <definedName name="____HUY2" localSheetId="4" hidden="1">{"'Sheet1'!$L$16"}</definedName>
    <definedName name="____HUY2" localSheetId="5" hidden="1">{"'Sheet1'!$L$16"}</definedName>
    <definedName name="____HUY2" localSheetId="7" hidden="1">{"'Sheet1'!$L$16"}</definedName>
    <definedName name="____HUY2" localSheetId="11" hidden="1">{"'Sheet1'!$L$16"}</definedName>
    <definedName name="____HUY2" localSheetId="13" hidden="1">{"'Sheet1'!$L$16"}</definedName>
    <definedName name="____HUY2" localSheetId="14" hidden="1">{"'Sheet1'!$L$16"}</definedName>
    <definedName name="____HUY2" localSheetId="15" hidden="1">{"'Sheet1'!$L$16"}</definedName>
    <definedName name="____HUY2" localSheetId="16" hidden="1">{"'Sheet1'!$L$16"}</definedName>
    <definedName name="____HUY2" localSheetId="17" hidden="1">{"'Sheet1'!$L$16"}</definedName>
    <definedName name="____HUY2" localSheetId="3" hidden="1">{"'Sheet1'!$L$16"}</definedName>
    <definedName name="____HUY2" localSheetId="6" hidden="1">{"'Sheet1'!$L$16"}</definedName>
    <definedName name="____HUY2" localSheetId="8" hidden="1">{"'Sheet1'!$L$16"}</definedName>
    <definedName name="____HUY2" localSheetId="18" hidden="1">{"'Sheet1'!$L$16"}</definedName>
    <definedName name="____HUY2" localSheetId="19" hidden="1">{"'Sheet1'!$L$16"}</definedName>
    <definedName name="____HUY2" localSheetId="0" hidden="1">{"'Sheet1'!$L$16"}</definedName>
    <definedName name="____HUY2" hidden="1">{"'Sheet1'!$L$16"}</definedName>
    <definedName name="____Lan1" localSheetId="1" hidden="1">{"'Sheet1'!$L$16"}</definedName>
    <definedName name="____Lan1" localSheetId="2" hidden="1">{"'Sheet1'!$L$16"}</definedName>
    <definedName name="____Lan1" localSheetId="4" hidden="1">{"'Sheet1'!$L$16"}</definedName>
    <definedName name="____Lan1" localSheetId="5" hidden="1">{"'Sheet1'!$L$16"}</definedName>
    <definedName name="____Lan1" localSheetId="7" hidden="1">{"'Sheet1'!$L$16"}</definedName>
    <definedName name="____Lan1" localSheetId="11" hidden="1">{"'Sheet1'!$L$16"}</definedName>
    <definedName name="____Lan1" localSheetId="13" hidden="1">{"'Sheet1'!$L$16"}</definedName>
    <definedName name="____Lan1" localSheetId="14" hidden="1">{"'Sheet1'!$L$16"}</definedName>
    <definedName name="____Lan1" localSheetId="15" hidden="1">{"'Sheet1'!$L$16"}</definedName>
    <definedName name="____Lan1" localSheetId="16" hidden="1">{"'Sheet1'!$L$16"}</definedName>
    <definedName name="____Lan1" localSheetId="17" hidden="1">{"'Sheet1'!$L$16"}</definedName>
    <definedName name="____Lan1" localSheetId="3" hidden="1">{"'Sheet1'!$L$16"}</definedName>
    <definedName name="____Lan1" localSheetId="6" hidden="1">{"'Sheet1'!$L$16"}</definedName>
    <definedName name="____Lan1" localSheetId="8" hidden="1">{"'Sheet1'!$L$16"}</definedName>
    <definedName name="____Lan1" localSheetId="18" hidden="1">{"'Sheet1'!$L$16"}</definedName>
    <definedName name="____Lan1" localSheetId="19" hidden="1">{"'Sheet1'!$L$16"}</definedName>
    <definedName name="____Lan1" localSheetId="0" hidden="1">{"'Sheet1'!$L$16"}</definedName>
    <definedName name="____Lan1" hidden="1">{"'Sheet1'!$L$16"}</definedName>
    <definedName name="____LAN3" localSheetId="1" hidden="1">{"'Sheet1'!$L$16"}</definedName>
    <definedName name="____LAN3" localSheetId="2" hidden="1">{"'Sheet1'!$L$16"}</definedName>
    <definedName name="____LAN3" localSheetId="4" hidden="1">{"'Sheet1'!$L$16"}</definedName>
    <definedName name="____LAN3" localSheetId="5" hidden="1">{"'Sheet1'!$L$16"}</definedName>
    <definedName name="____LAN3" localSheetId="7" hidden="1">{"'Sheet1'!$L$16"}</definedName>
    <definedName name="____LAN3" localSheetId="11" hidden="1">{"'Sheet1'!$L$16"}</definedName>
    <definedName name="____LAN3" localSheetId="13" hidden="1">{"'Sheet1'!$L$16"}</definedName>
    <definedName name="____LAN3" localSheetId="14" hidden="1">{"'Sheet1'!$L$16"}</definedName>
    <definedName name="____LAN3" localSheetId="15" hidden="1">{"'Sheet1'!$L$16"}</definedName>
    <definedName name="____LAN3" localSheetId="16" hidden="1">{"'Sheet1'!$L$16"}</definedName>
    <definedName name="____LAN3" localSheetId="17" hidden="1">{"'Sheet1'!$L$16"}</definedName>
    <definedName name="____LAN3" localSheetId="3" hidden="1">{"'Sheet1'!$L$16"}</definedName>
    <definedName name="____LAN3" localSheetId="6" hidden="1">{"'Sheet1'!$L$16"}</definedName>
    <definedName name="____LAN3" localSheetId="8" hidden="1">{"'Sheet1'!$L$16"}</definedName>
    <definedName name="____LAN3" localSheetId="18" hidden="1">{"'Sheet1'!$L$16"}</definedName>
    <definedName name="____LAN3" localSheetId="19" hidden="1">{"'Sheet1'!$L$16"}</definedName>
    <definedName name="____LAN3" localSheetId="0" hidden="1">{"'Sheet1'!$L$16"}</definedName>
    <definedName name="____LAN3" hidden="1">{"'Sheet1'!$L$16"}</definedName>
    <definedName name="____lk2" localSheetId="1" hidden="1">{"'Sheet1'!$L$16"}</definedName>
    <definedName name="____lk2" localSheetId="2" hidden="1">{"'Sheet1'!$L$16"}</definedName>
    <definedName name="____lk2" localSheetId="4" hidden="1">{"'Sheet1'!$L$16"}</definedName>
    <definedName name="____lk2" localSheetId="5" hidden="1">{"'Sheet1'!$L$16"}</definedName>
    <definedName name="____lk2" localSheetId="7" hidden="1">{"'Sheet1'!$L$16"}</definedName>
    <definedName name="____lk2" localSheetId="11" hidden="1">{"'Sheet1'!$L$16"}</definedName>
    <definedName name="____lk2" localSheetId="13" hidden="1">{"'Sheet1'!$L$16"}</definedName>
    <definedName name="____lk2" localSheetId="14" hidden="1">{"'Sheet1'!$L$16"}</definedName>
    <definedName name="____lk2" localSheetId="15" hidden="1">{"'Sheet1'!$L$16"}</definedName>
    <definedName name="____lk2" localSheetId="16" hidden="1">{"'Sheet1'!$L$16"}</definedName>
    <definedName name="____lk2" localSheetId="17" hidden="1">{"'Sheet1'!$L$16"}</definedName>
    <definedName name="____lk2" localSheetId="3" hidden="1">{"'Sheet1'!$L$16"}</definedName>
    <definedName name="____lk2" localSheetId="6" hidden="1">{"'Sheet1'!$L$16"}</definedName>
    <definedName name="____lk2" localSheetId="8" hidden="1">{"'Sheet1'!$L$16"}</definedName>
    <definedName name="____lk2" localSheetId="18" hidden="1">{"'Sheet1'!$L$16"}</definedName>
    <definedName name="____lk2" localSheetId="19" hidden="1">{"'Sheet1'!$L$16"}</definedName>
    <definedName name="____lk2" localSheetId="0" hidden="1">{"'Sheet1'!$L$16"}</definedName>
    <definedName name="____lk2" hidden="1">{"'Sheet1'!$L$16"}</definedName>
    <definedName name="____NSO2" localSheetId="1" hidden="1">{"'Sheet1'!$L$16"}</definedName>
    <definedName name="____NSO2" localSheetId="2" hidden="1">{"'Sheet1'!$L$16"}</definedName>
    <definedName name="____NSO2" localSheetId="4" hidden="1">{"'Sheet1'!$L$16"}</definedName>
    <definedName name="____NSO2" localSheetId="5" hidden="1">{"'Sheet1'!$L$16"}</definedName>
    <definedName name="____NSO2" localSheetId="7" hidden="1">{"'Sheet1'!$L$16"}</definedName>
    <definedName name="____NSO2" localSheetId="11" hidden="1">{"'Sheet1'!$L$16"}</definedName>
    <definedName name="____NSO2" localSheetId="13" hidden="1">{"'Sheet1'!$L$16"}</definedName>
    <definedName name="____NSO2" localSheetId="14" hidden="1">{"'Sheet1'!$L$16"}</definedName>
    <definedName name="____NSO2" localSheetId="15" hidden="1">{"'Sheet1'!$L$16"}</definedName>
    <definedName name="____NSO2" localSheetId="16" hidden="1">{"'Sheet1'!$L$16"}</definedName>
    <definedName name="____NSO2" localSheetId="17" hidden="1">{"'Sheet1'!$L$16"}</definedName>
    <definedName name="____NSO2" localSheetId="3" hidden="1">{"'Sheet1'!$L$16"}</definedName>
    <definedName name="____NSO2" localSheetId="6" hidden="1">{"'Sheet1'!$L$16"}</definedName>
    <definedName name="____NSO2" localSheetId="8" hidden="1">{"'Sheet1'!$L$16"}</definedName>
    <definedName name="____NSO2" localSheetId="18" hidden="1">{"'Sheet1'!$L$16"}</definedName>
    <definedName name="____NSO2" localSheetId="19" hidden="1">{"'Sheet1'!$L$16"}</definedName>
    <definedName name="____NSO2" localSheetId="0" hidden="1">{"'Sheet1'!$L$16"}</definedName>
    <definedName name="____NSO2" hidden="1">{"'Sheet1'!$L$16"}</definedName>
    <definedName name="____PA3" localSheetId="1" hidden="1">{"'Sheet1'!$L$16"}</definedName>
    <definedName name="____PA3" localSheetId="2" hidden="1">{"'Sheet1'!$L$16"}</definedName>
    <definedName name="____PA3" localSheetId="4" hidden="1">{"'Sheet1'!$L$16"}</definedName>
    <definedName name="____PA3" localSheetId="5" hidden="1">{"'Sheet1'!$L$16"}</definedName>
    <definedName name="____PA3" localSheetId="7" hidden="1">{"'Sheet1'!$L$16"}</definedName>
    <definedName name="____PA3" localSheetId="11" hidden="1">{"'Sheet1'!$L$16"}</definedName>
    <definedName name="____PA3" localSheetId="13" hidden="1">{"'Sheet1'!$L$16"}</definedName>
    <definedName name="____PA3" localSheetId="14" hidden="1">{"'Sheet1'!$L$16"}</definedName>
    <definedName name="____PA3" localSheetId="15" hidden="1">{"'Sheet1'!$L$16"}</definedName>
    <definedName name="____PA3" localSheetId="16" hidden="1">{"'Sheet1'!$L$16"}</definedName>
    <definedName name="____PA3" localSheetId="17" hidden="1">{"'Sheet1'!$L$16"}</definedName>
    <definedName name="____PA3" localSheetId="3" hidden="1">{"'Sheet1'!$L$16"}</definedName>
    <definedName name="____PA3" localSheetId="6" hidden="1">{"'Sheet1'!$L$16"}</definedName>
    <definedName name="____PA3" localSheetId="8" hidden="1">{"'Sheet1'!$L$16"}</definedName>
    <definedName name="____PA3" localSheetId="18" hidden="1">{"'Sheet1'!$L$16"}</definedName>
    <definedName name="____PA3" localSheetId="19" hidden="1">{"'Sheet1'!$L$16"}</definedName>
    <definedName name="____PA3" localSheetId="0" hidden="1">{"'Sheet1'!$L$16"}</definedName>
    <definedName name="____PA3" hidden="1">{"'Sheet1'!$L$16"}</definedName>
    <definedName name="____Pl2" localSheetId="1" hidden="1">{"'Sheet1'!$L$16"}</definedName>
    <definedName name="____Pl2" localSheetId="2" hidden="1">{"'Sheet1'!$L$16"}</definedName>
    <definedName name="____Pl2" localSheetId="4" hidden="1">{"'Sheet1'!$L$16"}</definedName>
    <definedName name="____Pl2" localSheetId="5" hidden="1">{"'Sheet1'!$L$16"}</definedName>
    <definedName name="____Pl2" localSheetId="7" hidden="1">{"'Sheet1'!$L$16"}</definedName>
    <definedName name="____Pl2" localSheetId="11" hidden="1">{"'Sheet1'!$L$16"}</definedName>
    <definedName name="____Pl2" localSheetId="13" hidden="1">{"'Sheet1'!$L$16"}</definedName>
    <definedName name="____Pl2" localSheetId="14" hidden="1">{"'Sheet1'!$L$16"}</definedName>
    <definedName name="____Pl2" localSheetId="15" hidden="1">{"'Sheet1'!$L$16"}</definedName>
    <definedName name="____Pl2" localSheetId="16" hidden="1">{"'Sheet1'!$L$16"}</definedName>
    <definedName name="____Pl2" localSheetId="17" hidden="1">{"'Sheet1'!$L$16"}</definedName>
    <definedName name="____Pl2" localSheetId="3" hidden="1">{"'Sheet1'!$L$16"}</definedName>
    <definedName name="____Pl2" localSheetId="6" hidden="1">{"'Sheet1'!$L$16"}</definedName>
    <definedName name="____Pl2" localSheetId="8" hidden="1">{"'Sheet1'!$L$16"}</definedName>
    <definedName name="____Pl2" localSheetId="18" hidden="1">{"'Sheet1'!$L$16"}</definedName>
    <definedName name="____Pl2" localSheetId="19" hidden="1">{"'Sheet1'!$L$16"}</definedName>
    <definedName name="____Pl2" localSheetId="0" hidden="1">{"'Sheet1'!$L$16"}</definedName>
    <definedName name="____Pl2" hidden="1">{"'Sheet1'!$L$16"}</definedName>
    <definedName name="____Tru21" localSheetId="1" hidden="1">{"'Sheet1'!$L$16"}</definedName>
    <definedName name="____Tru21" localSheetId="2" hidden="1">{"'Sheet1'!$L$16"}</definedName>
    <definedName name="____Tru21" localSheetId="4" hidden="1">{"'Sheet1'!$L$16"}</definedName>
    <definedName name="____Tru21" localSheetId="5" hidden="1">{"'Sheet1'!$L$16"}</definedName>
    <definedName name="____Tru21" localSheetId="7" hidden="1">{"'Sheet1'!$L$16"}</definedName>
    <definedName name="____Tru21" localSheetId="11" hidden="1">{"'Sheet1'!$L$16"}</definedName>
    <definedName name="____Tru21" localSheetId="13" hidden="1">{"'Sheet1'!$L$16"}</definedName>
    <definedName name="____Tru21" localSheetId="14" hidden="1">{"'Sheet1'!$L$16"}</definedName>
    <definedName name="____Tru21" localSheetId="15" hidden="1">{"'Sheet1'!$L$16"}</definedName>
    <definedName name="____Tru21" localSheetId="16" hidden="1">{"'Sheet1'!$L$16"}</definedName>
    <definedName name="____Tru21" localSheetId="17" hidden="1">{"'Sheet1'!$L$16"}</definedName>
    <definedName name="____Tru21" localSheetId="3" hidden="1">{"'Sheet1'!$L$16"}</definedName>
    <definedName name="____Tru21" localSheetId="6" hidden="1">{"'Sheet1'!$L$16"}</definedName>
    <definedName name="____Tru21" localSheetId="8" hidden="1">{"'Sheet1'!$L$16"}</definedName>
    <definedName name="____Tru21" localSheetId="18" hidden="1">{"'Sheet1'!$L$16"}</definedName>
    <definedName name="____Tru21" localSheetId="19" hidden="1">{"'Sheet1'!$L$16"}</definedName>
    <definedName name="____Tru21" localSheetId="0" hidden="1">{"'Sheet1'!$L$16"}</definedName>
    <definedName name="____Tru21" hidden="1">{"'Sheet1'!$L$16"}</definedName>
    <definedName name="____tt3" localSheetId="1" hidden="1">{"'Sheet1'!$L$16"}</definedName>
    <definedName name="____tt3" localSheetId="2" hidden="1">{"'Sheet1'!$L$16"}</definedName>
    <definedName name="____tt3" localSheetId="4" hidden="1">{"'Sheet1'!$L$16"}</definedName>
    <definedName name="____tt3" localSheetId="5" hidden="1">{"'Sheet1'!$L$16"}</definedName>
    <definedName name="____tt3" localSheetId="7" hidden="1">{"'Sheet1'!$L$16"}</definedName>
    <definedName name="____tt3" localSheetId="11" hidden="1">{"'Sheet1'!$L$16"}</definedName>
    <definedName name="____tt3" localSheetId="13" hidden="1">{"'Sheet1'!$L$16"}</definedName>
    <definedName name="____tt3" localSheetId="14" hidden="1">{"'Sheet1'!$L$16"}</definedName>
    <definedName name="____tt3" localSheetId="15" hidden="1">{"'Sheet1'!$L$16"}</definedName>
    <definedName name="____tt3" localSheetId="16" hidden="1">{"'Sheet1'!$L$16"}</definedName>
    <definedName name="____tt3" localSheetId="17" hidden="1">{"'Sheet1'!$L$16"}</definedName>
    <definedName name="____tt3" localSheetId="3" hidden="1">{"'Sheet1'!$L$16"}</definedName>
    <definedName name="____tt3" localSheetId="6" hidden="1">{"'Sheet1'!$L$16"}</definedName>
    <definedName name="____tt3" localSheetId="8" hidden="1">{"'Sheet1'!$L$16"}</definedName>
    <definedName name="____tt3" localSheetId="18" hidden="1">{"'Sheet1'!$L$16"}</definedName>
    <definedName name="____tt3" localSheetId="19" hidden="1">{"'Sheet1'!$L$16"}</definedName>
    <definedName name="____tt3" localSheetId="0" hidden="1">{"'Sheet1'!$L$16"}</definedName>
    <definedName name="____tt3" hidden="1">{"'Sheet1'!$L$16"}</definedName>
    <definedName name="____TT31" localSheetId="1" hidden="1">{"'Sheet1'!$L$16"}</definedName>
    <definedName name="____TT31" localSheetId="2" hidden="1">{"'Sheet1'!$L$16"}</definedName>
    <definedName name="____TT31" localSheetId="4" hidden="1">{"'Sheet1'!$L$16"}</definedName>
    <definedName name="____TT31" localSheetId="5" hidden="1">{"'Sheet1'!$L$16"}</definedName>
    <definedName name="____TT31" localSheetId="7" hidden="1">{"'Sheet1'!$L$16"}</definedName>
    <definedName name="____TT31" localSheetId="11" hidden="1">{"'Sheet1'!$L$16"}</definedName>
    <definedName name="____TT31" localSheetId="13" hidden="1">{"'Sheet1'!$L$16"}</definedName>
    <definedName name="____TT31" localSheetId="14" hidden="1">{"'Sheet1'!$L$16"}</definedName>
    <definedName name="____TT31" localSheetId="15" hidden="1">{"'Sheet1'!$L$16"}</definedName>
    <definedName name="____TT31" localSheetId="16" hidden="1">{"'Sheet1'!$L$16"}</definedName>
    <definedName name="____TT31" localSheetId="17" hidden="1">{"'Sheet1'!$L$16"}</definedName>
    <definedName name="____TT31" localSheetId="3" hidden="1">{"'Sheet1'!$L$16"}</definedName>
    <definedName name="____TT31" localSheetId="6" hidden="1">{"'Sheet1'!$L$16"}</definedName>
    <definedName name="____TT31" localSheetId="8" hidden="1">{"'Sheet1'!$L$16"}</definedName>
    <definedName name="____TT31" localSheetId="18" hidden="1">{"'Sheet1'!$L$16"}</definedName>
    <definedName name="____TT31" localSheetId="19" hidden="1">{"'Sheet1'!$L$16"}</definedName>
    <definedName name="____TT31" localSheetId="0" hidden="1">{"'Sheet1'!$L$16"}</definedName>
    <definedName name="____TT31" hidden="1">{"'Sheet1'!$L$16"}</definedName>
    <definedName name="____vl2" localSheetId="1" hidden="1">{"'Sheet1'!$L$16"}</definedName>
    <definedName name="____vl2" localSheetId="4" hidden="1">{"'Sheet1'!$L$16"}</definedName>
    <definedName name="____vl2" localSheetId="5" hidden="1">{"'Sheet1'!$L$16"}</definedName>
    <definedName name="____vl2" localSheetId="13" hidden="1">{"'Sheet1'!$L$16"}</definedName>
    <definedName name="____vl2" localSheetId="14" hidden="1">{"'Sheet1'!$L$16"}</definedName>
    <definedName name="____vl2" localSheetId="15" hidden="1">{"'Sheet1'!$L$16"}</definedName>
    <definedName name="____vl2" localSheetId="16" hidden="1">{"'Sheet1'!$L$16"}</definedName>
    <definedName name="____vl2" localSheetId="17" hidden="1">{"'Sheet1'!$L$16"}</definedName>
    <definedName name="____vl2" localSheetId="3" hidden="1">{"'Sheet1'!$L$16"}</definedName>
    <definedName name="____vl2" localSheetId="6" hidden="1">{"'Sheet1'!$L$16"}</definedName>
    <definedName name="____vl2" localSheetId="8" hidden="1">{"'Sheet1'!$L$16"}</definedName>
    <definedName name="____vl2" localSheetId="19" hidden="1">{"'Sheet1'!$L$16"}</definedName>
    <definedName name="____vl2" hidden="1">{"'Sheet1'!$L$16"}</definedName>
    <definedName name="____VM2" localSheetId="1" hidden="1">{"'Sheet1'!$L$16"}</definedName>
    <definedName name="____VM2" localSheetId="2" hidden="1">{"'Sheet1'!$L$16"}</definedName>
    <definedName name="____VM2" localSheetId="4" hidden="1">{"'Sheet1'!$L$16"}</definedName>
    <definedName name="____VM2" localSheetId="5" hidden="1">{"'Sheet1'!$L$16"}</definedName>
    <definedName name="____VM2" localSheetId="7" hidden="1">{"'Sheet1'!$L$16"}</definedName>
    <definedName name="____VM2" localSheetId="11" hidden="1">{"'Sheet1'!$L$16"}</definedName>
    <definedName name="____VM2" localSheetId="13" hidden="1">{"'Sheet1'!$L$16"}</definedName>
    <definedName name="____VM2" localSheetId="14" hidden="1">{"'Sheet1'!$L$16"}</definedName>
    <definedName name="____VM2" localSheetId="15" hidden="1">{"'Sheet1'!$L$16"}</definedName>
    <definedName name="____VM2" localSheetId="16" hidden="1">{"'Sheet1'!$L$16"}</definedName>
    <definedName name="____VM2" localSheetId="17" hidden="1">{"'Sheet1'!$L$16"}</definedName>
    <definedName name="____VM2" localSheetId="3" hidden="1">{"'Sheet1'!$L$16"}</definedName>
    <definedName name="____VM2" localSheetId="6" hidden="1">{"'Sheet1'!$L$16"}</definedName>
    <definedName name="____VM2" localSheetId="8" hidden="1">{"'Sheet1'!$L$16"}</definedName>
    <definedName name="____VM2" localSheetId="18" hidden="1">{"'Sheet1'!$L$16"}</definedName>
    <definedName name="____VM2" localSheetId="19" hidden="1">{"'Sheet1'!$L$16"}</definedName>
    <definedName name="____VM2" localSheetId="0" hidden="1">{"'Sheet1'!$L$16"}</definedName>
    <definedName name="____VM2" hidden="1">{"'Sheet1'!$L$16"}</definedName>
    <definedName name="___a1" localSheetId="1" hidden="1">{"'Sheet1'!$L$16"}</definedName>
    <definedName name="___a1" localSheetId="4" hidden="1">{"'Sheet1'!$L$16"}</definedName>
    <definedName name="___a1" localSheetId="5" hidden="1">{"'Sheet1'!$L$16"}</definedName>
    <definedName name="___a1" localSheetId="13" hidden="1">{"'Sheet1'!$L$16"}</definedName>
    <definedName name="___a1" localSheetId="14" hidden="1">{"'Sheet1'!$L$16"}</definedName>
    <definedName name="___a1" localSheetId="15" hidden="1">{"'Sheet1'!$L$16"}</definedName>
    <definedName name="___a1" localSheetId="16" hidden="1">{"'Sheet1'!$L$16"}</definedName>
    <definedName name="___a1" localSheetId="17" hidden="1">{"'Sheet1'!$L$16"}</definedName>
    <definedName name="___a1" localSheetId="3" hidden="1">{"'Sheet1'!$L$16"}</definedName>
    <definedName name="___a1" localSheetId="6" hidden="1">{"'Sheet1'!$L$16"}</definedName>
    <definedName name="___a1" localSheetId="8" hidden="1">{"'Sheet1'!$L$16"}</definedName>
    <definedName name="___a1" localSheetId="19" hidden="1">{"'Sheet1'!$L$16"}</definedName>
    <definedName name="___a1" hidden="1">{"'Sheet1'!$L$16"}</definedName>
    <definedName name="___ban2" localSheetId="1" hidden="1">{"'Sheet1'!$L$16"}</definedName>
    <definedName name="___ban2" localSheetId="2" hidden="1">{"'Sheet1'!$L$16"}</definedName>
    <definedName name="___ban2" localSheetId="4" hidden="1">{"'Sheet1'!$L$16"}</definedName>
    <definedName name="___ban2" localSheetId="5" hidden="1">{"'Sheet1'!$L$16"}</definedName>
    <definedName name="___ban2" localSheetId="7" hidden="1">{"'Sheet1'!$L$16"}</definedName>
    <definedName name="___ban2" localSheetId="11" hidden="1">{"'Sheet1'!$L$16"}</definedName>
    <definedName name="___ban2" localSheetId="13" hidden="1">{"'Sheet1'!$L$16"}</definedName>
    <definedName name="___ban2" localSheetId="14" hidden="1">{"'Sheet1'!$L$16"}</definedName>
    <definedName name="___ban2" localSheetId="15" hidden="1">{"'Sheet1'!$L$16"}</definedName>
    <definedName name="___ban2" localSheetId="16" hidden="1">{"'Sheet1'!$L$16"}</definedName>
    <definedName name="___ban2" localSheetId="17" hidden="1">{"'Sheet1'!$L$16"}</definedName>
    <definedName name="___ban2" localSheetId="3" hidden="1">{"'Sheet1'!$L$16"}</definedName>
    <definedName name="___ban2" localSheetId="6" hidden="1">{"'Sheet1'!$L$16"}</definedName>
    <definedName name="___ban2" localSheetId="8" hidden="1">{"'Sheet1'!$L$16"}</definedName>
    <definedName name="___ban2" localSheetId="18" hidden="1">{"'Sheet1'!$L$16"}</definedName>
    <definedName name="___ban2" localSheetId="19" hidden="1">{"'Sheet1'!$L$16"}</definedName>
    <definedName name="___ban2" localSheetId="0" hidden="1">{"'Sheet1'!$L$16"}</definedName>
    <definedName name="___ban2" hidden="1">{"'Sheet1'!$L$16"}</definedName>
    <definedName name="___cep1" localSheetId="1" hidden="1">{"'Sheet1'!$L$16"}</definedName>
    <definedName name="___cep1" localSheetId="2" hidden="1">{"'Sheet1'!$L$16"}</definedName>
    <definedName name="___cep1" localSheetId="4" hidden="1">{"'Sheet1'!$L$16"}</definedName>
    <definedName name="___cep1" localSheetId="5" hidden="1">{"'Sheet1'!$L$16"}</definedName>
    <definedName name="___cep1" localSheetId="7" hidden="1">{"'Sheet1'!$L$16"}</definedName>
    <definedName name="___cep1" localSheetId="11" hidden="1">{"'Sheet1'!$L$16"}</definedName>
    <definedName name="___cep1" localSheetId="13" hidden="1">{"'Sheet1'!$L$16"}</definedName>
    <definedName name="___cep1" localSheetId="14" hidden="1">{"'Sheet1'!$L$16"}</definedName>
    <definedName name="___cep1" localSheetId="15" hidden="1">{"'Sheet1'!$L$16"}</definedName>
    <definedName name="___cep1" localSheetId="16" hidden="1">{"'Sheet1'!$L$16"}</definedName>
    <definedName name="___cep1" localSheetId="17" hidden="1">{"'Sheet1'!$L$16"}</definedName>
    <definedName name="___cep1" localSheetId="3" hidden="1">{"'Sheet1'!$L$16"}</definedName>
    <definedName name="___cep1" localSheetId="6" hidden="1">{"'Sheet1'!$L$16"}</definedName>
    <definedName name="___cep1" localSheetId="8" hidden="1">{"'Sheet1'!$L$16"}</definedName>
    <definedName name="___cep1" localSheetId="18" hidden="1">{"'Sheet1'!$L$16"}</definedName>
    <definedName name="___cep1" localSheetId="19" hidden="1">{"'Sheet1'!$L$16"}</definedName>
    <definedName name="___cep1" localSheetId="0" hidden="1">{"'Sheet1'!$L$16"}</definedName>
    <definedName name="___cep1" hidden="1">{"'Sheet1'!$L$16"}</definedName>
    <definedName name="___Coc39" localSheetId="1" hidden="1">{"'Sheet1'!$L$16"}</definedName>
    <definedName name="___Coc39" localSheetId="2" hidden="1">{"'Sheet1'!$L$16"}</definedName>
    <definedName name="___Coc39" localSheetId="4" hidden="1">{"'Sheet1'!$L$16"}</definedName>
    <definedName name="___Coc39" localSheetId="5" hidden="1">{"'Sheet1'!$L$16"}</definedName>
    <definedName name="___Coc39" localSheetId="7" hidden="1">{"'Sheet1'!$L$16"}</definedName>
    <definedName name="___Coc39" localSheetId="11" hidden="1">{"'Sheet1'!$L$16"}</definedName>
    <definedName name="___Coc39" localSheetId="13" hidden="1">{"'Sheet1'!$L$16"}</definedName>
    <definedName name="___Coc39" localSheetId="14" hidden="1">{"'Sheet1'!$L$16"}</definedName>
    <definedName name="___Coc39" localSheetId="15" hidden="1">{"'Sheet1'!$L$16"}</definedName>
    <definedName name="___Coc39" localSheetId="16" hidden="1">{"'Sheet1'!$L$16"}</definedName>
    <definedName name="___Coc39" localSheetId="17" hidden="1">{"'Sheet1'!$L$16"}</definedName>
    <definedName name="___Coc39" localSheetId="3" hidden="1">{"'Sheet1'!$L$16"}</definedName>
    <definedName name="___Coc39" localSheetId="6" hidden="1">{"'Sheet1'!$L$16"}</definedName>
    <definedName name="___Coc39" localSheetId="8" hidden="1">{"'Sheet1'!$L$16"}</definedName>
    <definedName name="___Coc39" localSheetId="18" hidden="1">{"'Sheet1'!$L$16"}</definedName>
    <definedName name="___Coc39" localSheetId="19" hidden="1">{"'Sheet1'!$L$16"}</definedName>
    <definedName name="___Coc39" localSheetId="0" hidden="1">{"'Sheet1'!$L$16"}</definedName>
    <definedName name="___Coc39" hidden="1">{"'Sheet1'!$L$16"}</definedName>
    <definedName name="___Goi8" localSheetId="1" hidden="1">{"'Sheet1'!$L$16"}</definedName>
    <definedName name="___Goi8" localSheetId="2" hidden="1">{"'Sheet1'!$L$16"}</definedName>
    <definedName name="___Goi8" localSheetId="4" hidden="1">{"'Sheet1'!$L$16"}</definedName>
    <definedName name="___Goi8" localSheetId="5" hidden="1">{"'Sheet1'!$L$16"}</definedName>
    <definedName name="___Goi8" localSheetId="7" hidden="1">{"'Sheet1'!$L$16"}</definedName>
    <definedName name="___Goi8" localSheetId="11" hidden="1">{"'Sheet1'!$L$16"}</definedName>
    <definedName name="___Goi8" localSheetId="13" hidden="1">{"'Sheet1'!$L$16"}</definedName>
    <definedName name="___Goi8" localSheetId="14" hidden="1">{"'Sheet1'!$L$16"}</definedName>
    <definedName name="___Goi8" localSheetId="15" hidden="1">{"'Sheet1'!$L$16"}</definedName>
    <definedName name="___Goi8" localSheetId="16" hidden="1">{"'Sheet1'!$L$16"}</definedName>
    <definedName name="___Goi8" localSheetId="17" hidden="1">{"'Sheet1'!$L$16"}</definedName>
    <definedName name="___Goi8" localSheetId="3" hidden="1">{"'Sheet1'!$L$16"}</definedName>
    <definedName name="___Goi8" localSheetId="6" hidden="1">{"'Sheet1'!$L$16"}</definedName>
    <definedName name="___Goi8" localSheetId="8" hidden="1">{"'Sheet1'!$L$16"}</definedName>
    <definedName name="___Goi8" localSheetId="18" hidden="1">{"'Sheet1'!$L$16"}</definedName>
    <definedName name="___Goi8" localSheetId="19" hidden="1">{"'Sheet1'!$L$16"}</definedName>
    <definedName name="___Goi8" localSheetId="0" hidden="1">{"'Sheet1'!$L$16"}</definedName>
    <definedName name="___Goi8" hidden="1">{"'Sheet1'!$L$16"}</definedName>
    <definedName name="___h1" localSheetId="1" hidden="1">{"'Sheet1'!$L$16"}</definedName>
    <definedName name="___h1" localSheetId="4" hidden="1">{"'Sheet1'!$L$16"}</definedName>
    <definedName name="___h1" localSheetId="5" hidden="1">{"'Sheet1'!$L$16"}</definedName>
    <definedName name="___h1" localSheetId="13" hidden="1">{"'Sheet1'!$L$16"}</definedName>
    <definedName name="___h1" localSheetId="14" hidden="1">{"'Sheet1'!$L$16"}</definedName>
    <definedName name="___h1" localSheetId="15" hidden="1">{"'Sheet1'!$L$16"}</definedName>
    <definedName name="___h1" localSheetId="16" hidden="1">{"'Sheet1'!$L$16"}</definedName>
    <definedName name="___h1" localSheetId="17" hidden="1">{"'Sheet1'!$L$16"}</definedName>
    <definedName name="___h1" localSheetId="3" hidden="1">{"'Sheet1'!$L$16"}</definedName>
    <definedName name="___h1" localSheetId="6" hidden="1">{"'Sheet1'!$L$16"}</definedName>
    <definedName name="___h1" localSheetId="8" hidden="1">{"'Sheet1'!$L$16"}</definedName>
    <definedName name="___h1" localSheetId="19" hidden="1">{"'Sheet1'!$L$16"}</definedName>
    <definedName name="___h1" hidden="1">{"'Sheet1'!$L$16"}</definedName>
    <definedName name="___h10" localSheetId="1" hidden="1">{#N/A,#N/A,FALSE,"Chi tiÆt"}</definedName>
    <definedName name="___h10" localSheetId="4" hidden="1">{#N/A,#N/A,FALSE,"Chi tiÆt"}</definedName>
    <definedName name="___h10" localSheetId="5" hidden="1">{#N/A,#N/A,FALSE,"Chi tiÆt"}</definedName>
    <definedName name="___h10" localSheetId="13" hidden="1">{#N/A,#N/A,FALSE,"Chi tiÆt"}</definedName>
    <definedName name="___h10" localSheetId="14" hidden="1">{#N/A,#N/A,FALSE,"Chi tiÆt"}</definedName>
    <definedName name="___h10" localSheetId="15" hidden="1">{#N/A,#N/A,FALSE,"Chi tiÆt"}</definedName>
    <definedName name="___h10" localSheetId="16" hidden="1">{#N/A,#N/A,FALSE,"Chi tiÆt"}</definedName>
    <definedName name="___h10" localSheetId="17" hidden="1">{#N/A,#N/A,FALSE,"Chi tiÆt"}</definedName>
    <definedName name="___h10" localSheetId="3" hidden="1">{#N/A,#N/A,FALSE,"Chi tiÆt"}</definedName>
    <definedName name="___h10" localSheetId="6" hidden="1">{#N/A,#N/A,FALSE,"Chi tiÆt"}</definedName>
    <definedName name="___h10" localSheetId="8" hidden="1">{#N/A,#N/A,FALSE,"Chi tiÆt"}</definedName>
    <definedName name="___h10" localSheetId="19" hidden="1">{#N/A,#N/A,FALSE,"Chi tiÆt"}</definedName>
    <definedName name="___h10" hidden="1">{#N/A,#N/A,FALSE,"Chi tiÆt"}</definedName>
    <definedName name="___h2" localSheetId="1" hidden="1">{"'Sheet1'!$L$16"}</definedName>
    <definedName name="___h2" localSheetId="4" hidden="1">{"'Sheet1'!$L$16"}</definedName>
    <definedName name="___h2" localSheetId="5" hidden="1">{"'Sheet1'!$L$16"}</definedName>
    <definedName name="___h2" localSheetId="13" hidden="1">{"'Sheet1'!$L$16"}</definedName>
    <definedName name="___h2" localSheetId="14" hidden="1">{"'Sheet1'!$L$16"}</definedName>
    <definedName name="___h2" localSheetId="15" hidden="1">{"'Sheet1'!$L$16"}</definedName>
    <definedName name="___h2" localSheetId="16" hidden="1">{"'Sheet1'!$L$16"}</definedName>
    <definedName name="___h2" localSheetId="17" hidden="1">{"'Sheet1'!$L$16"}</definedName>
    <definedName name="___h2" localSheetId="3" hidden="1">{"'Sheet1'!$L$16"}</definedName>
    <definedName name="___h2" localSheetId="6" hidden="1">{"'Sheet1'!$L$16"}</definedName>
    <definedName name="___h2" localSheetId="8" hidden="1">{"'Sheet1'!$L$16"}</definedName>
    <definedName name="___h2" localSheetId="19" hidden="1">{"'Sheet1'!$L$16"}</definedName>
    <definedName name="___h2" hidden="1">{"'Sheet1'!$L$16"}</definedName>
    <definedName name="___h3" localSheetId="1" hidden="1">{"'Sheet1'!$L$16"}</definedName>
    <definedName name="___h3" localSheetId="4" hidden="1">{"'Sheet1'!$L$16"}</definedName>
    <definedName name="___h3" localSheetId="5" hidden="1">{"'Sheet1'!$L$16"}</definedName>
    <definedName name="___h3" localSheetId="13" hidden="1">{"'Sheet1'!$L$16"}</definedName>
    <definedName name="___h3" localSheetId="14" hidden="1">{"'Sheet1'!$L$16"}</definedName>
    <definedName name="___h3" localSheetId="15" hidden="1">{"'Sheet1'!$L$16"}</definedName>
    <definedName name="___h3" localSheetId="16" hidden="1">{"'Sheet1'!$L$16"}</definedName>
    <definedName name="___h3" localSheetId="17" hidden="1">{"'Sheet1'!$L$16"}</definedName>
    <definedName name="___h3" localSheetId="3" hidden="1">{"'Sheet1'!$L$16"}</definedName>
    <definedName name="___h3" localSheetId="6" hidden="1">{"'Sheet1'!$L$16"}</definedName>
    <definedName name="___h3" localSheetId="8" hidden="1">{"'Sheet1'!$L$16"}</definedName>
    <definedName name="___h3" localSheetId="19" hidden="1">{"'Sheet1'!$L$16"}</definedName>
    <definedName name="___h3" hidden="1">{"'Sheet1'!$L$16"}</definedName>
    <definedName name="___h5" localSheetId="1" hidden="1">{"'Sheet1'!$L$16"}</definedName>
    <definedName name="___h5" localSheetId="4" hidden="1">{"'Sheet1'!$L$16"}</definedName>
    <definedName name="___h5" localSheetId="5" hidden="1">{"'Sheet1'!$L$16"}</definedName>
    <definedName name="___h5" localSheetId="13" hidden="1">{"'Sheet1'!$L$16"}</definedName>
    <definedName name="___h5" localSheetId="14" hidden="1">{"'Sheet1'!$L$16"}</definedName>
    <definedName name="___h5" localSheetId="15" hidden="1">{"'Sheet1'!$L$16"}</definedName>
    <definedName name="___h5" localSheetId="16" hidden="1">{"'Sheet1'!$L$16"}</definedName>
    <definedName name="___h5" localSheetId="17" hidden="1">{"'Sheet1'!$L$16"}</definedName>
    <definedName name="___h5" localSheetId="3" hidden="1">{"'Sheet1'!$L$16"}</definedName>
    <definedName name="___h5" localSheetId="6" hidden="1">{"'Sheet1'!$L$16"}</definedName>
    <definedName name="___h5" localSheetId="8" hidden="1">{"'Sheet1'!$L$16"}</definedName>
    <definedName name="___h5" localSheetId="19" hidden="1">{"'Sheet1'!$L$16"}</definedName>
    <definedName name="___h5" hidden="1">{"'Sheet1'!$L$16"}</definedName>
    <definedName name="___h6" localSheetId="1" hidden="1">{"'Sheet1'!$L$16"}</definedName>
    <definedName name="___h6" localSheetId="4" hidden="1">{"'Sheet1'!$L$16"}</definedName>
    <definedName name="___h6" localSheetId="5" hidden="1">{"'Sheet1'!$L$16"}</definedName>
    <definedName name="___h6" localSheetId="13" hidden="1">{"'Sheet1'!$L$16"}</definedName>
    <definedName name="___h6" localSheetId="14" hidden="1">{"'Sheet1'!$L$16"}</definedName>
    <definedName name="___h6" localSheetId="15" hidden="1">{"'Sheet1'!$L$16"}</definedName>
    <definedName name="___h6" localSheetId="16" hidden="1">{"'Sheet1'!$L$16"}</definedName>
    <definedName name="___h6" localSheetId="17" hidden="1">{"'Sheet1'!$L$16"}</definedName>
    <definedName name="___h6" localSheetId="3" hidden="1">{"'Sheet1'!$L$16"}</definedName>
    <definedName name="___h6" localSheetId="6" hidden="1">{"'Sheet1'!$L$16"}</definedName>
    <definedName name="___h6" localSheetId="8" hidden="1">{"'Sheet1'!$L$16"}</definedName>
    <definedName name="___h6" localSheetId="19" hidden="1">{"'Sheet1'!$L$16"}</definedName>
    <definedName name="___h6" hidden="1">{"'Sheet1'!$L$16"}</definedName>
    <definedName name="___h7" localSheetId="1" hidden="1">{"'Sheet1'!$L$16"}</definedName>
    <definedName name="___h7" localSheetId="4" hidden="1">{"'Sheet1'!$L$16"}</definedName>
    <definedName name="___h7" localSheetId="5" hidden="1">{"'Sheet1'!$L$16"}</definedName>
    <definedName name="___h7" localSheetId="13" hidden="1">{"'Sheet1'!$L$16"}</definedName>
    <definedName name="___h7" localSheetId="14" hidden="1">{"'Sheet1'!$L$16"}</definedName>
    <definedName name="___h7" localSheetId="15" hidden="1">{"'Sheet1'!$L$16"}</definedName>
    <definedName name="___h7" localSheetId="16" hidden="1">{"'Sheet1'!$L$16"}</definedName>
    <definedName name="___h7" localSheetId="17" hidden="1">{"'Sheet1'!$L$16"}</definedName>
    <definedName name="___h7" localSheetId="3" hidden="1">{"'Sheet1'!$L$16"}</definedName>
    <definedName name="___h7" localSheetId="6" hidden="1">{"'Sheet1'!$L$16"}</definedName>
    <definedName name="___h7" localSheetId="8" hidden="1">{"'Sheet1'!$L$16"}</definedName>
    <definedName name="___h7" localSheetId="19" hidden="1">{"'Sheet1'!$L$16"}</definedName>
    <definedName name="___h7" hidden="1">{"'Sheet1'!$L$16"}</definedName>
    <definedName name="___h8" localSheetId="1" hidden="1">{"'Sheet1'!$L$16"}</definedName>
    <definedName name="___h8" localSheetId="4" hidden="1">{"'Sheet1'!$L$16"}</definedName>
    <definedName name="___h8" localSheetId="5" hidden="1">{"'Sheet1'!$L$16"}</definedName>
    <definedName name="___h8" localSheetId="13" hidden="1">{"'Sheet1'!$L$16"}</definedName>
    <definedName name="___h8" localSheetId="14" hidden="1">{"'Sheet1'!$L$16"}</definedName>
    <definedName name="___h8" localSheetId="15" hidden="1">{"'Sheet1'!$L$16"}</definedName>
    <definedName name="___h8" localSheetId="16" hidden="1">{"'Sheet1'!$L$16"}</definedName>
    <definedName name="___h8" localSheetId="17" hidden="1">{"'Sheet1'!$L$16"}</definedName>
    <definedName name="___h8" localSheetId="3" hidden="1">{"'Sheet1'!$L$16"}</definedName>
    <definedName name="___h8" localSheetId="6" hidden="1">{"'Sheet1'!$L$16"}</definedName>
    <definedName name="___h8" localSheetId="8" hidden="1">{"'Sheet1'!$L$16"}</definedName>
    <definedName name="___h8" localSheetId="19" hidden="1">{"'Sheet1'!$L$16"}</definedName>
    <definedName name="___h8" hidden="1">{"'Sheet1'!$L$16"}</definedName>
    <definedName name="___h9" localSheetId="1" hidden="1">{"'Sheet1'!$L$16"}</definedName>
    <definedName name="___h9" localSheetId="4" hidden="1">{"'Sheet1'!$L$16"}</definedName>
    <definedName name="___h9" localSheetId="5" hidden="1">{"'Sheet1'!$L$16"}</definedName>
    <definedName name="___h9" localSheetId="13" hidden="1">{"'Sheet1'!$L$16"}</definedName>
    <definedName name="___h9" localSheetId="14" hidden="1">{"'Sheet1'!$L$16"}</definedName>
    <definedName name="___h9" localSheetId="15" hidden="1">{"'Sheet1'!$L$16"}</definedName>
    <definedName name="___h9" localSheetId="16" hidden="1">{"'Sheet1'!$L$16"}</definedName>
    <definedName name="___h9" localSheetId="17" hidden="1">{"'Sheet1'!$L$16"}</definedName>
    <definedName name="___h9" localSheetId="3" hidden="1">{"'Sheet1'!$L$16"}</definedName>
    <definedName name="___h9" localSheetId="6" hidden="1">{"'Sheet1'!$L$16"}</definedName>
    <definedName name="___h9" localSheetId="8" hidden="1">{"'Sheet1'!$L$16"}</definedName>
    <definedName name="___h9" localSheetId="19" hidden="1">{"'Sheet1'!$L$16"}</definedName>
    <definedName name="___h9" hidden="1">{"'Sheet1'!$L$16"}</definedName>
    <definedName name="___HUY1" localSheetId="1" hidden="1">{"'Sheet1'!$L$16"}</definedName>
    <definedName name="___HUY1" localSheetId="2" hidden="1">{"'Sheet1'!$L$16"}</definedName>
    <definedName name="___HUY1" localSheetId="4" hidden="1">{"'Sheet1'!$L$16"}</definedName>
    <definedName name="___HUY1" localSheetId="5" hidden="1">{"'Sheet1'!$L$16"}</definedName>
    <definedName name="___HUY1" localSheetId="7" hidden="1">{"'Sheet1'!$L$16"}</definedName>
    <definedName name="___HUY1" localSheetId="11" hidden="1">{"'Sheet1'!$L$16"}</definedName>
    <definedName name="___HUY1" localSheetId="13" hidden="1">{"'Sheet1'!$L$16"}</definedName>
    <definedName name="___HUY1" localSheetId="14" hidden="1">{"'Sheet1'!$L$16"}</definedName>
    <definedName name="___HUY1" localSheetId="15" hidden="1">{"'Sheet1'!$L$16"}</definedName>
    <definedName name="___HUY1" localSheetId="16" hidden="1">{"'Sheet1'!$L$16"}</definedName>
    <definedName name="___HUY1" localSheetId="17" hidden="1">{"'Sheet1'!$L$16"}</definedName>
    <definedName name="___HUY1" localSheetId="3" hidden="1">{"'Sheet1'!$L$16"}</definedName>
    <definedName name="___HUY1" localSheetId="6" hidden="1">{"'Sheet1'!$L$16"}</definedName>
    <definedName name="___HUY1" localSheetId="8" hidden="1">{"'Sheet1'!$L$16"}</definedName>
    <definedName name="___HUY1" localSheetId="18" hidden="1">{"'Sheet1'!$L$16"}</definedName>
    <definedName name="___HUY1" localSheetId="19" hidden="1">{"'Sheet1'!$L$16"}</definedName>
    <definedName name="___HUY1" localSheetId="0" hidden="1">{"'Sheet1'!$L$16"}</definedName>
    <definedName name="___HUY1" hidden="1">{"'Sheet1'!$L$16"}</definedName>
    <definedName name="___HUY2" localSheetId="1" hidden="1">{"'Sheet1'!$L$16"}</definedName>
    <definedName name="___HUY2" localSheetId="2" hidden="1">{"'Sheet1'!$L$16"}</definedName>
    <definedName name="___HUY2" localSheetId="4" hidden="1">{"'Sheet1'!$L$16"}</definedName>
    <definedName name="___HUY2" localSheetId="5" hidden="1">{"'Sheet1'!$L$16"}</definedName>
    <definedName name="___HUY2" localSheetId="7" hidden="1">{"'Sheet1'!$L$16"}</definedName>
    <definedName name="___HUY2" localSheetId="11" hidden="1">{"'Sheet1'!$L$16"}</definedName>
    <definedName name="___HUY2" localSheetId="13" hidden="1">{"'Sheet1'!$L$16"}</definedName>
    <definedName name="___HUY2" localSheetId="14" hidden="1">{"'Sheet1'!$L$16"}</definedName>
    <definedName name="___HUY2" localSheetId="15" hidden="1">{"'Sheet1'!$L$16"}</definedName>
    <definedName name="___HUY2" localSheetId="16" hidden="1">{"'Sheet1'!$L$16"}</definedName>
    <definedName name="___HUY2" localSheetId="17" hidden="1">{"'Sheet1'!$L$16"}</definedName>
    <definedName name="___HUY2" localSheetId="3" hidden="1">{"'Sheet1'!$L$16"}</definedName>
    <definedName name="___HUY2" localSheetId="6" hidden="1">{"'Sheet1'!$L$16"}</definedName>
    <definedName name="___HUY2" localSheetId="8" hidden="1">{"'Sheet1'!$L$16"}</definedName>
    <definedName name="___HUY2" localSheetId="18" hidden="1">{"'Sheet1'!$L$16"}</definedName>
    <definedName name="___HUY2" localSheetId="19" hidden="1">{"'Sheet1'!$L$16"}</definedName>
    <definedName name="___HUY2" localSheetId="0" hidden="1">{"'Sheet1'!$L$16"}</definedName>
    <definedName name="___HUY2" hidden="1">{"'Sheet1'!$L$16"}</definedName>
    <definedName name="___Lan1" localSheetId="1" hidden="1">{"'Sheet1'!$L$16"}</definedName>
    <definedName name="___Lan1" localSheetId="2" hidden="1">{"'Sheet1'!$L$16"}</definedName>
    <definedName name="___Lan1" localSheetId="4" hidden="1">{"'Sheet1'!$L$16"}</definedName>
    <definedName name="___Lan1" localSheetId="5" hidden="1">{"'Sheet1'!$L$16"}</definedName>
    <definedName name="___Lan1" localSheetId="7" hidden="1">{"'Sheet1'!$L$16"}</definedName>
    <definedName name="___Lan1" localSheetId="11" hidden="1">{"'Sheet1'!$L$16"}</definedName>
    <definedName name="___Lan1" localSheetId="13" hidden="1">{"'Sheet1'!$L$16"}</definedName>
    <definedName name="___Lan1" localSheetId="14" hidden="1">{"'Sheet1'!$L$16"}</definedName>
    <definedName name="___Lan1" localSheetId="15" hidden="1">{"'Sheet1'!$L$16"}</definedName>
    <definedName name="___Lan1" localSheetId="16" hidden="1">{"'Sheet1'!$L$16"}</definedName>
    <definedName name="___Lan1" localSheetId="17" hidden="1">{"'Sheet1'!$L$16"}</definedName>
    <definedName name="___Lan1" localSheetId="3" hidden="1">{"'Sheet1'!$L$16"}</definedName>
    <definedName name="___Lan1" localSheetId="6" hidden="1">{"'Sheet1'!$L$16"}</definedName>
    <definedName name="___Lan1" localSheetId="8" hidden="1">{"'Sheet1'!$L$16"}</definedName>
    <definedName name="___Lan1" localSheetId="18" hidden="1">{"'Sheet1'!$L$16"}</definedName>
    <definedName name="___Lan1" localSheetId="19" hidden="1">{"'Sheet1'!$L$16"}</definedName>
    <definedName name="___Lan1" localSheetId="0" hidden="1">{"'Sheet1'!$L$16"}</definedName>
    <definedName name="___Lan1" hidden="1">{"'Sheet1'!$L$16"}</definedName>
    <definedName name="___LAN3" localSheetId="1" hidden="1">{"'Sheet1'!$L$16"}</definedName>
    <definedName name="___LAN3" localSheetId="2" hidden="1">{"'Sheet1'!$L$16"}</definedName>
    <definedName name="___LAN3" localSheetId="4" hidden="1">{"'Sheet1'!$L$16"}</definedName>
    <definedName name="___LAN3" localSheetId="5" hidden="1">{"'Sheet1'!$L$16"}</definedName>
    <definedName name="___LAN3" localSheetId="7" hidden="1">{"'Sheet1'!$L$16"}</definedName>
    <definedName name="___LAN3" localSheetId="11" hidden="1">{"'Sheet1'!$L$16"}</definedName>
    <definedName name="___LAN3" localSheetId="13" hidden="1">{"'Sheet1'!$L$16"}</definedName>
    <definedName name="___LAN3" localSheetId="14" hidden="1">{"'Sheet1'!$L$16"}</definedName>
    <definedName name="___LAN3" localSheetId="15" hidden="1">{"'Sheet1'!$L$16"}</definedName>
    <definedName name="___LAN3" localSheetId="16" hidden="1">{"'Sheet1'!$L$16"}</definedName>
    <definedName name="___LAN3" localSheetId="17" hidden="1">{"'Sheet1'!$L$16"}</definedName>
    <definedName name="___LAN3" localSheetId="3" hidden="1">{"'Sheet1'!$L$16"}</definedName>
    <definedName name="___LAN3" localSheetId="6" hidden="1">{"'Sheet1'!$L$16"}</definedName>
    <definedName name="___LAN3" localSheetId="8" hidden="1">{"'Sheet1'!$L$16"}</definedName>
    <definedName name="___LAN3" localSheetId="18" hidden="1">{"'Sheet1'!$L$16"}</definedName>
    <definedName name="___LAN3" localSheetId="19" hidden="1">{"'Sheet1'!$L$16"}</definedName>
    <definedName name="___LAN3" localSheetId="0" hidden="1">{"'Sheet1'!$L$16"}</definedName>
    <definedName name="___LAN3" hidden="1">{"'Sheet1'!$L$16"}</definedName>
    <definedName name="___lk2" localSheetId="1" hidden="1">{"'Sheet1'!$L$16"}</definedName>
    <definedName name="___lk2" localSheetId="2" hidden="1">{"'Sheet1'!$L$16"}</definedName>
    <definedName name="___lk2" localSheetId="4" hidden="1">{"'Sheet1'!$L$16"}</definedName>
    <definedName name="___lk2" localSheetId="5" hidden="1">{"'Sheet1'!$L$16"}</definedName>
    <definedName name="___lk2" localSheetId="7" hidden="1">{"'Sheet1'!$L$16"}</definedName>
    <definedName name="___lk2" localSheetId="11" hidden="1">{"'Sheet1'!$L$16"}</definedName>
    <definedName name="___lk2" localSheetId="13" hidden="1">{"'Sheet1'!$L$16"}</definedName>
    <definedName name="___lk2" localSheetId="14" hidden="1">{"'Sheet1'!$L$16"}</definedName>
    <definedName name="___lk2" localSheetId="15" hidden="1">{"'Sheet1'!$L$16"}</definedName>
    <definedName name="___lk2" localSheetId="16" hidden="1">{"'Sheet1'!$L$16"}</definedName>
    <definedName name="___lk2" localSheetId="17" hidden="1">{"'Sheet1'!$L$16"}</definedName>
    <definedName name="___lk2" localSheetId="3" hidden="1">{"'Sheet1'!$L$16"}</definedName>
    <definedName name="___lk2" localSheetId="6" hidden="1">{"'Sheet1'!$L$16"}</definedName>
    <definedName name="___lk2" localSheetId="8" hidden="1">{"'Sheet1'!$L$16"}</definedName>
    <definedName name="___lk2" localSheetId="18" hidden="1">{"'Sheet1'!$L$16"}</definedName>
    <definedName name="___lk2" localSheetId="19" hidden="1">{"'Sheet1'!$L$16"}</definedName>
    <definedName name="___lk2" localSheetId="0" hidden="1">{"'Sheet1'!$L$16"}</definedName>
    <definedName name="___lk2" hidden="1">{"'Sheet1'!$L$16"}</definedName>
    <definedName name="___NSO2" localSheetId="1" hidden="1">{"'Sheet1'!$L$16"}</definedName>
    <definedName name="___NSO2" localSheetId="2" hidden="1">{"'Sheet1'!$L$16"}</definedName>
    <definedName name="___NSO2" localSheetId="4" hidden="1">{"'Sheet1'!$L$16"}</definedName>
    <definedName name="___NSO2" localSheetId="5" hidden="1">{"'Sheet1'!$L$16"}</definedName>
    <definedName name="___NSO2" localSheetId="7" hidden="1">{"'Sheet1'!$L$16"}</definedName>
    <definedName name="___NSO2" localSheetId="11" hidden="1">{"'Sheet1'!$L$16"}</definedName>
    <definedName name="___NSO2" localSheetId="13" hidden="1">{"'Sheet1'!$L$16"}</definedName>
    <definedName name="___NSO2" localSheetId="14" hidden="1">{"'Sheet1'!$L$16"}</definedName>
    <definedName name="___NSO2" localSheetId="15" hidden="1">{"'Sheet1'!$L$16"}</definedName>
    <definedName name="___NSO2" localSheetId="16" hidden="1">{"'Sheet1'!$L$16"}</definedName>
    <definedName name="___NSO2" localSheetId="17" hidden="1">{"'Sheet1'!$L$16"}</definedName>
    <definedName name="___NSO2" localSheetId="3" hidden="1">{"'Sheet1'!$L$16"}</definedName>
    <definedName name="___NSO2" localSheetId="6" hidden="1">{"'Sheet1'!$L$16"}</definedName>
    <definedName name="___NSO2" localSheetId="8" hidden="1">{"'Sheet1'!$L$16"}</definedName>
    <definedName name="___NSO2" localSheetId="18" hidden="1">{"'Sheet1'!$L$16"}</definedName>
    <definedName name="___NSO2" localSheetId="19" hidden="1">{"'Sheet1'!$L$16"}</definedName>
    <definedName name="___NSO2" localSheetId="0" hidden="1">{"'Sheet1'!$L$16"}</definedName>
    <definedName name="___NSO2" hidden="1">{"'Sheet1'!$L$16"}</definedName>
    <definedName name="___PA3" localSheetId="1" hidden="1">{"'Sheet1'!$L$16"}</definedName>
    <definedName name="___PA3" localSheetId="2" hidden="1">{"'Sheet1'!$L$16"}</definedName>
    <definedName name="___PA3" localSheetId="4" hidden="1">{"'Sheet1'!$L$16"}</definedName>
    <definedName name="___PA3" localSheetId="5" hidden="1">{"'Sheet1'!$L$16"}</definedName>
    <definedName name="___PA3" localSheetId="7" hidden="1">{"'Sheet1'!$L$16"}</definedName>
    <definedName name="___PA3" localSheetId="11" hidden="1">{"'Sheet1'!$L$16"}</definedName>
    <definedName name="___PA3" localSheetId="13" hidden="1">{"'Sheet1'!$L$16"}</definedName>
    <definedName name="___PA3" localSheetId="14" hidden="1">{"'Sheet1'!$L$16"}</definedName>
    <definedName name="___PA3" localSheetId="15" hidden="1">{"'Sheet1'!$L$16"}</definedName>
    <definedName name="___PA3" localSheetId="16" hidden="1">{"'Sheet1'!$L$16"}</definedName>
    <definedName name="___PA3" localSheetId="17" hidden="1">{"'Sheet1'!$L$16"}</definedName>
    <definedName name="___PA3" localSheetId="3" hidden="1">{"'Sheet1'!$L$16"}</definedName>
    <definedName name="___PA3" localSheetId="6" hidden="1">{"'Sheet1'!$L$16"}</definedName>
    <definedName name="___PA3" localSheetId="8" hidden="1">{"'Sheet1'!$L$16"}</definedName>
    <definedName name="___PA3" localSheetId="18" hidden="1">{"'Sheet1'!$L$16"}</definedName>
    <definedName name="___PA3" localSheetId="19" hidden="1">{"'Sheet1'!$L$16"}</definedName>
    <definedName name="___PA3" localSheetId="0" hidden="1">{"'Sheet1'!$L$16"}</definedName>
    <definedName name="___PA3" hidden="1">{"'Sheet1'!$L$16"}</definedName>
    <definedName name="___Pl2" localSheetId="1" hidden="1">{"'Sheet1'!$L$16"}</definedName>
    <definedName name="___Pl2" localSheetId="2" hidden="1">{"'Sheet1'!$L$16"}</definedName>
    <definedName name="___Pl2" localSheetId="4" hidden="1">{"'Sheet1'!$L$16"}</definedName>
    <definedName name="___Pl2" localSheetId="5" hidden="1">{"'Sheet1'!$L$16"}</definedName>
    <definedName name="___Pl2" localSheetId="7" hidden="1">{"'Sheet1'!$L$16"}</definedName>
    <definedName name="___Pl2" localSheetId="11" hidden="1">{"'Sheet1'!$L$16"}</definedName>
    <definedName name="___Pl2" localSheetId="13" hidden="1">{"'Sheet1'!$L$16"}</definedName>
    <definedName name="___Pl2" localSheetId="14" hidden="1">{"'Sheet1'!$L$16"}</definedName>
    <definedName name="___Pl2" localSheetId="15" hidden="1">{"'Sheet1'!$L$16"}</definedName>
    <definedName name="___Pl2" localSheetId="16" hidden="1">{"'Sheet1'!$L$16"}</definedName>
    <definedName name="___Pl2" localSheetId="17" hidden="1">{"'Sheet1'!$L$16"}</definedName>
    <definedName name="___Pl2" localSheetId="3" hidden="1">{"'Sheet1'!$L$16"}</definedName>
    <definedName name="___Pl2" localSheetId="6" hidden="1">{"'Sheet1'!$L$16"}</definedName>
    <definedName name="___Pl2" localSheetId="8" hidden="1">{"'Sheet1'!$L$16"}</definedName>
    <definedName name="___Pl2" localSheetId="18" hidden="1">{"'Sheet1'!$L$16"}</definedName>
    <definedName name="___Pl2" localSheetId="19" hidden="1">{"'Sheet1'!$L$16"}</definedName>
    <definedName name="___Pl2" localSheetId="0" hidden="1">{"'Sheet1'!$L$16"}</definedName>
    <definedName name="___Pl2" hidden="1">{"'Sheet1'!$L$16"}</definedName>
    <definedName name="___Tru21" localSheetId="1" hidden="1">{"'Sheet1'!$L$16"}</definedName>
    <definedName name="___Tru21" localSheetId="2" hidden="1">{"'Sheet1'!$L$16"}</definedName>
    <definedName name="___Tru21" localSheetId="4" hidden="1">{"'Sheet1'!$L$16"}</definedName>
    <definedName name="___Tru21" localSheetId="5" hidden="1">{"'Sheet1'!$L$16"}</definedName>
    <definedName name="___Tru21" localSheetId="7" hidden="1">{"'Sheet1'!$L$16"}</definedName>
    <definedName name="___Tru21" localSheetId="11" hidden="1">{"'Sheet1'!$L$16"}</definedName>
    <definedName name="___Tru21" localSheetId="13" hidden="1">{"'Sheet1'!$L$16"}</definedName>
    <definedName name="___Tru21" localSheetId="14" hidden="1">{"'Sheet1'!$L$16"}</definedName>
    <definedName name="___Tru21" localSheetId="15" hidden="1">{"'Sheet1'!$L$16"}</definedName>
    <definedName name="___Tru21" localSheetId="16" hidden="1">{"'Sheet1'!$L$16"}</definedName>
    <definedName name="___Tru21" localSheetId="17" hidden="1">{"'Sheet1'!$L$16"}</definedName>
    <definedName name="___Tru21" localSheetId="3" hidden="1">{"'Sheet1'!$L$16"}</definedName>
    <definedName name="___Tru21" localSheetId="6" hidden="1">{"'Sheet1'!$L$16"}</definedName>
    <definedName name="___Tru21" localSheetId="8" hidden="1">{"'Sheet1'!$L$16"}</definedName>
    <definedName name="___Tru21" localSheetId="18" hidden="1">{"'Sheet1'!$L$16"}</definedName>
    <definedName name="___Tru21" localSheetId="19" hidden="1">{"'Sheet1'!$L$16"}</definedName>
    <definedName name="___Tru21" localSheetId="0" hidden="1">{"'Sheet1'!$L$16"}</definedName>
    <definedName name="___Tru21" hidden="1">{"'Sheet1'!$L$16"}</definedName>
    <definedName name="___tt3" localSheetId="1" hidden="1">{"'Sheet1'!$L$16"}</definedName>
    <definedName name="___tt3" localSheetId="2" hidden="1">{"'Sheet1'!$L$16"}</definedName>
    <definedName name="___tt3" localSheetId="4" hidden="1">{"'Sheet1'!$L$16"}</definedName>
    <definedName name="___tt3" localSheetId="5" hidden="1">{"'Sheet1'!$L$16"}</definedName>
    <definedName name="___tt3" localSheetId="7" hidden="1">{"'Sheet1'!$L$16"}</definedName>
    <definedName name="___tt3" localSheetId="11" hidden="1">{"'Sheet1'!$L$16"}</definedName>
    <definedName name="___tt3" localSheetId="13" hidden="1">{"'Sheet1'!$L$16"}</definedName>
    <definedName name="___tt3" localSheetId="14" hidden="1">{"'Sheet1'!$L$16"}</definedName>
    <definedName name="___tt3" localSheetId="15" hidden="1">{"'Sheet1'!$L$16"}</definedName>
    <definedName name="___tt3" localSheetId="16" hidden="1">{"'Sheet1'!$L$16"}</definedName>
    <definedName name="___tt3" localSheetId="17" hidden="1">{"'Sheet1'!$L$16"}</definedName>
    <definedName name="___tt3" localSheetId="3" hidden="1">{"'Sheet1'!$L$16"}</definedName>
    <definedName name="___tt3" localSheetId="6" hidden="1">{"'Sheet1'!$L$16"}</definedName>
    <definedName name="___tt3" localSheetId="8" hidden="1">{"'Sheet1'!$L$16"}</definedName>
    <definedName name="___tt3" localSheetId="18" hidden="1">{"'Sheet1'!$L$16"}</definedName>
    <definedName name="___tt3" localSheetId="19" hidden="1">{"'Sheet1'!$L$16"}</definedName>
    <definedName name="___tt3" localSheetId="0" hidden="1">{"'Sheet1'!$L$16"}</definedName>
    <definedName name="___tt3" hidden="1">{"'Sheet1'!$L$16"}</definedName>
    <definedName name="___TT31" localSheetId="1" hidden="1">{"'Sheet1'!$L$16"}</definedName>
    <definedName name="___TT31" localSheetId="2" hidden="1">{"'Sheet1'!$L$16"}</definedName>
    <definedName name="___TT31" localSheetId="4" hidden="1">{"'Sheet1'!$L$16"}</definedName>
    <definedName name="___TT31" localSheetId="5" hidden="1">{"'Sheet1'!$L$16"}</definedName>
    <definedName name="___TT31" localSheetId="7" hidden="1">{"'Sheet1'!$L$16"}</definedName>
    <definedName name="___TT31" localSheetId="11" hidden="1">{"'Sheet1'!$L$16"}</definedName>
    <definedName name="___TT31" localSheetId="13" hidden="1">{"'Sheet1'!$L$16"}</definedName>
    <definedName name="___TT31" localSheetId="14" hidden="1">{"'Sheet1'!$L$16"}</definedName>
    <definedName name="___TT31" localSheetId="15" hidden="1">{"'Sheet1'!$L$16"}</definedName>
    <definedName name="___TT31" localSheetId="16" hidden="1">{"'Sheet1'!$L$16"}</definedName>
    <definedName name="___TT31" localSheetId="17" hidden="1">{"'Sheet1'!$L$16"}</definedName>
    <definedName name="___TT31" localSheetId="3" hidden="1">{"'Sheet1'!$L$16"}</definedName>
    <definedName name="___TT31" localSheetId="6" hidden="1">{"'Sheet1'!$L$16"}</definedName>
    <definedName name="___TT31" localSheetId="8" hidden="1">{"'Sheet1'!$L$16"}</definedName>
    <definedName name="___TT31" localSheetId="18" hidden="1">{"'Sheet1'!$L$16"}</definedName>
    <definedName name="___TT31" localSheetId="19" hidden="1">{"'Sheet1'!$L$16"}</definedName>
    <definedName name="___TT31" localSheetId="0" hidden="1">{"'Sheet1'!$L$16"}</definedName>
    <definedName name="___TT31" hidden="1">{"'Sheet1'!$L$16"}</definedName>
    <definedName name="___vl2" localSheetId="1" hidden="1">{"'Sheet1'!$L$16"}</definedName>
    <definedName name="___vl2" localSheetId="4" hidden="1">{"'Sheet1'!$L$16"}</definedName>
    <definedName name="___vl2" localSheetId="5" hidden="1">{"'Sheet1'!$L$16"}</definedName>
    <definedName name="___vl2" localSheetId="13" hidden="1">{"'Sheet1'!$L$16"}</definedName>
    <definedName name="___vl2" localSheetId="14" hidden="1">{"'Sheet1'!$L$16"}</definedName>
    <definedName name="___vl2" localSheetId="15" hidden="1">{"'Sheet1'!$L$16"}</definedName>
    <definedName name="___vl2" localSheetId="16" hidden="1">{"'Sheet1'!$L$16"}</definedName>
    <definedName name="___vl2" localSheetId="17" hidden="1">{"'Sheet1'!$L$16"}</definedName>
    <definedName name="___vl2" localSheetId="3" hidden="1">{"'Sheet1'!$L$16"}</definedName>
    <definedName name="___vl2" localSheetId="6" hidden="1">{"'Sheet1'!$L$16"}</definedName>
    <definedName name="___vl2" localSheetId="8" hidden="1">{"'Sheet1'!$L$16"}</definedName>
    <definedName name="___vl2" localSheetId="19" hidden="1">{"'Sheet1'!$L$16"}</definedName>
    <definedName name="___vl2" hidden="1">{"'Sheet1'!$L$16"}</definedName>
    <definedName name="___VM2" localSheetId="1" hidden="1">{"'Sheet1'!$L$16"}</definedName>
    <definedName name="___VM2" localSheetId="2" hidden="1">{"'Sheet1'!$L$16"}</definedName>
    <definedName name="___VM2" localSheetId="4" hidden="1">{"'Sheet1'!$L$16"}</definedName>
    <definedName name="___VM2" localSheetId="5" hidden="1">{"'Sheet1'!$L$16"}</definedName>
    <definedName name="___VM2" localSheetId="7" hidden="1">{"'Sheet1'!$L$16"}</definedName>
    <definedName name="___VM2" localSheetId="11" hidden="1">{"'Sheet1'!$L$16"}</definedName>
    <definedName name="___VM2" localSheetId="13" hidden="1">{"'Sheet1'!$L$16"}</definedName>
    <definedName name="___VM2" localSheetId="14" hidden="1">{"'Sheet1'!$L$16"}</definedName>
    <definedName name="___VM2" localSheetId="15" hidden="1">{"'Sheet1'!$L$16"}</definedName>
    <definedName name="___VM2" localSheetId="16" hidden="1">{"'Sheet1'!$L$16"}</definedName>
    <definedName name="___VM2" localSheetId="17" hidden="1">{"'Sheet1'!$L$16"}</definedName>
    <definedName name="___VM2" localSheetId="3" hidden="1">{"'Sheet1'!$L$16"}</definedName>
    <definedName name="___VM2" localSheetId="6" hidden="1">{"'Sheet1'!$L$16"}</definedName>
    <definedName name="___VM2" localSheetId="8" hidden="1">{"'Sheet1'!$L$16"}</definedName>
    <definedName name="___VM2" localSheetId="18" hidden="1">{"'Sheet1'!$L$16"}</definedName>
    <definedName name="___VM2" localSheetId="19" hidden="1">{"'Sheet1'!$L$16"}</definedName>
    <definedName name="___VM2" localSheetId="0" hidden="1">{"'Sheet1'!$L$16"}</definedName>
    <definedName name="___VM2" hidden="1">{"'Sheet1'!$L$16"}</definedName>
    <definedName name="__a1" localSheetId="1" hidden="1">{"'Sheet1'!$L$16"}</definedName>
    <definedName name="__a1" localSheetId="4" hidden="1">{"'Sheet1'!$L$16"}</definedName>
    <definedName name="__a1" localSheetId="5" hidden="1">{"'Sheet1'!$L$16"}</definedName>
    <definedName name="__a1" localSheetId="13" hidden="1">{"'Sheet1'!$L$16"}</definedName>
    <definedName name="__a1" localSheetId="14" hidden="1">{"'Sheet1'!$L$16"}</definedName>
    <definedName name="__a1" localSheetId="15" hidden="1">{"'Sheet1'!$L$16"}</definedName>
    <definedName name="__a1" localSheetId="16" hidden="1">{"'Sheet1'!$L$16"}</definedName>
    <definedName name="__a1" localSheetId="17" hidden="1">{"'Sheet1'!$L$16"}</definedName>
    <definedName name="__a1" localSheetId="3" hidden="1">{"'Sheet1'!$L$16"}</definedName>
    <definedName name="__a1" localSheetId="6" hidden="1">{"'Sheet1'!$L$16"}</definedName>
    <definedName name="__a1" localSheetId="8" hidden="1">{"'Sheet1'!$L$16"}</definedName>
    <definedName name="__a1" localSheetId="19" hidden="1">{"'Sheet1'!$L$16"}</definedName>
    <definedName name="__a1" hidden="1">{"'Sheet1'!$L$16"}</definedName>
    <definedName name="__ban2" localSheetId="1" hidden="1">{"'Sheet1'!$L$16"}</definedName>
    <definedName name="__ban2" localSheetId="2" hidden="1">{"'Sheet1'!$L$16"}</definedName>
    <definedName name="__ban2" localSheetId="4" hidden="1">{"'Sheet1'!$L$16"}</definedName>
    <definedName name="__ban2" localSheetId="5" hidden="1">{"'Sheet1'!$L$16"}</definedName>
    <definedName name="__ban2" localSheetId="7" hidden="1">{"'Sheet1'!$L$16"}</definedName>
    <definedName name="__ban2" localSheetId="11" hidden="1">{"'Sheet1'!$L$16"}</definedName>
    <definedName name="__ban2" localSheetId="13" hidden="1">{"'Sheet1'!$L$16"}</definedName>
    <definedName name="__ban2" localSheetId="14" hidden="1">{"'Sheet1'!$L$16"}</definedName>
    <definedName name="__ban2" localSheetId="15" hidden="1">{"'Sheet1'!$L$16"}</definedName>
    <definedName name="__ban2" localSheetId="16" hidden="1">{"'Sheet1'!$L$16"}</definedName>
    <definedName name="__ban2" localSheetId="17" hidden="1">{"'Sheet1'!$L$16"}</definedName>
    <definedName name="__ban2" localSheetId="3" hidden="1">{"'Sheet1'!$L$16"}</definedName>
    <definedName name="__ban2" localSheetId="6" hidden="1">{"'Sheet1'!$L$16"}</definedName>
    <definedName name="__ban2" localSheetId="8" hidden="1">{"'Sheet1'!$L$16"}</definedName>
    <definedName name="__ban2" localSheetId="18" hidden="1">{"'Sheet1'!$L$16"}</definedName>
    <definedName name="__ban2" localSheetId="19" hidden="1">{"'Sheet1'!$L$16"}</definedName>
    <definedName name="__ban2" localSheetId="0" hidden="1">{"'Sheet1'!$L$16"}</definedName>
    <definedName name="__ban2" hidden="1">{"'Sheet1'!$L$16"}</definedName>
    <definedName name="__cep1" localSheetId="1" hidden="1">{"'Sheet1'!$L$16"}</definedName>
    <definedName name="__cep1" localSheetId="2" hidden="1">{"'Sheet1'!$L$16"}</definedName>
    <definedName name="__cep1" localSheetId="4" hidden="1">{"'Sheet1'!$L$16"}</definedName>
    <definedName name="__cep1" localSheetId="5" hidden="1">{"'Sheet1'!$L$16"}</definedName>
    <definedName name="__cep1" localSheetId="7" hidden="1">{"'Sheet1'!$L$16"}</definedName>
    <definedName name="__cep1" localSheetId="11" hidden="1">{"'Sheet1'!$L$16"}</definedName>
    <definedName name="__cep1" localSheetId="13" hidden="1">{"'Sheet1'!$L$16"}</definedName>
    <definedName name="__cep1" localSheetId="14" hidden="1">{"'Sheet1'!$L$16"}</definedName>
    <definedName name="__cep1" localSheetId="15" hidden="1">{"'Sheet1'!$L$16"}</definedName>
    <definedName name="__cep1" localSheetId="16" hidden="1">{"'Sheet1'!$L$16"}</definedName>
    <definedName name="__cep1" localSheetId="17" hidden="1">{"'Sheet1'!$L$16"}</definedName>
    <definedName name="__cep1" localSheetId="3" hidden="1">{"'Sheet1'!$L$16"}</definedName>
    <definedName name="__cep1" localSheetId="6" hidden="1">{"'Sheet1'!$L$16"}</definedName>
    <definedName name="__cep1" localSheetId="8" hidden="1">{"'Sheet1'!$L$16"}</definedName>
    <definedName name="__cep1" localSheetId="18" hidden="1">{"'Sheet1'!$L$16"}</definedName>
    <definedName name="__cep1" localSheetId="19" hidden="1">{"'Sheet1'!$L$16"}</definedName>
    <definedName name="__cep1" localSheetId="0" hidden="1">{"'Sheet1'!$L$16"}</definedName>
    <definedName name="__cep1" hidden="1">{"'Sheet1'!$L$16"}</definedName>
    <definedName name="__Coc39" localSheetId="1" hidden="1">{"'Sheet1'!$L$16"}</definedName>
    <definedName name="__Coc39" localSheetId="2" hidden="1">{"'Sheet1'!$L$16"}</definedName>
    <definedName name="__Coc39" localSheetId="4" hidden="1">{"'Sheet1'!$L$16"}</definedName>
    <definedName name="__Coc39" localSheetId="5" hidden="1">{"'Sheet1'!$L$16"}</definedName>
    <definedName name="__Coc39" localSheetId="7" hidden="1">{"'Sheet1'!$L$16"}</definedName>
    <definedName name="__Coc39" localSheetId="11" hidden="1">{"'Sheet1'!$L$16"}</definedName>
    <definedName name="__Coc39" localSheetId="13" hidden="1">{"'Sheet1'!$L$16"}</definedName>
    <definedName name="__Coc39" localSheetId="14" hidden="1">{"'Sheet1'!$L$16"}</definedName>
    <definedName name="__Coc39" localSheetId="15" hidden="1">{"'Sheet1'!$L$16"}</definedName>
    <definedName name="__Coc39" localSheetId="16" hidden="1">{"'Sheet1'!$L$16"}</definedName>
    <definedName name="__Coc39" localSheetId="17" hidden="1">{"'Sheet1'!$L$16"}</definedName>
    <definedName name="__Coc39" localSheetId="3" hidden="1">{"'Sheet1'!$L$16"}</definedName>
    <definedName name="__Coc39" localSheetId="6" hidden="1">{"'Sheet1'!$L$16"}</definedName>
    <definedName name="__Coc39" localSheetId="8" hidden="1">{"'Sheet1'!$L$16"}</definedName>
    <definedName name="__Coc39" localSheetId="18" hidden="1">{"'Sheet1'!$L$16"}</definedName>
    <definedName name="__Coc39" localSheetId="19" hidden="1">{"'Sheet1'!$L$16"}</definedName>
    <definedName name="__Coc39" localSheetId="0" hidden="1">{"'Sheet1'!$L$16"}</definedName>
    <definedName name="__Coc39" hidden="1">{"'Sheet1'!$L$16"}</definedName>
    <definedName name="__Goi8" localSheetId="1" hidden="1">{"'Sheet1'!$L$16"}</definedName>
    <definedName name="__Goi8" localSheetId="2" hidden="1">{"'Sheet1'!$L$16"}</definedName>
    <definedName name="__Goi8" localSheetId="4" hidden="1">{"'Sheet1'!$L$16"}</definedName>
    <definedName name="__Goi8" localSheetId="5" hidden="1">{"'Sheet1'!$L$16"}</definedName>
    <definedName name="__Goi8" localSheetId="7" hidden="1">{"'Sheet1'!$L$16"}</definedName>
    <definedName name="__Goi8" localSheetId="11" hidden="1">{"'Sheet1'!$L$16"}</definedName>
    <definedName name="__Goi8" localSheetId="13" hidden="1">{"'Sheet1'!$L$16"}</definedName>
    <definedName name="__Goi8" localSheetId="14" hidden="1">{"'Sheet1'!$L$16"}</definedName>
    <definedName name="__Goi8" localSheetId="15" hidden="1">{"'Sheet1'!$L$16"}</definedName>
    <definedName name="__Goi8" localSheetId="16" hidden="1">{"'Sheet1'!$L$16"}</definedName>
    <definedName name="__Goi8" localSheetId="17" hidden="1">{"'Sheet1'!$L$16"}</definedName>
    <definedName name="__Goi8" localSheetId="3" hidden="1">{"'Sheet1'!$L$16"}</definedName>
    <definedName name="__Goi8" localSheetId="6" hidden="1">{"'Sheet1'!$L$16"}</definedName>
    <definedName name="__Goi8" localSheetId="8" hidden="1">{"'Sheet1'!$L$16"}</definedName>
    <definedName name="__Goi8" localSheetId="18" hidden="1">{"'Sheet1'!$L$16"}</definedName>
    <definedName name="__Goi8" localSheetId="19" hidden="1">{"'Sheet1'!$L$16"}</definedName>
    <definedName name="__Goi8" localSheetId="0" hidden="1">{"'Sheet1'!$L$16"}</definedName>
    <definedName name="__Goi8" hidden="1">{"'Sheet1'!$L$16"}</definedName>
    <definedName name="__h1" localSheetId="1" hidden="1">{"'Sheet1'!$L$16"}</definedName>
    <definedName name="__h1" localSheetId="4" hidden="1">{"'Sheet1'!$L$16"}</definedName>
    <definedName name="__h1" localSheetId="5" hidden="1">{"'Sheet1'!$L$16"}</definedName>
    <definedName name="__h1" localSheetId="13" hidden="1">{"'Sheet1'!$L$16"}</definedName>
    <definedName name="__h1" localSheetId="14" hidden="1">{"'Sheet1'!$L$16"}</definedName>
    <definedName name="__h1" localSheetId="15" hidden="1">{"'Sheet1'!$L$16"}</definedName>
    <definedName name="__h1" localSheetId="16" hidden="1">{"'Sheet1'!$L$16"}</definedName>
    <definedName name="__h1" localSheetId="17" hidden="1">{"'Sheet1'!$L$16"}</definedName>
    <definedName name="__h1" localSheetId="3" hidden="1">{"'Sheet1'!$L$16"}</definedName>
    <definedName name="__h1" localSheetId="6" hidden="1">{"'Sheet1'!$L$16"}</definedName>
    <definedName name="__h1" localSheetId="8" hidden="1">{"'Sheet1'!$L$16"}</definedName>
    <definedName name="__h1" localSheetId="19" hidden="1">{"'Sheet1'!$L$16"}</definedName>
    <definedName name="__h1" hidden="1">{"'Sheet1'!$L$16"}</definedName>
    <definedName name="__h10" localSheetId="1" hidden="1">{#N/A,#N/A,FALSE,"Chi tiÆt"}</definedName>
    <definedName name="__h10" localSheetId="4" hidden="1">{#N/A,#N/A,FALSE,"Chi tiÆt"}</definedName>
    <definedName name="__h10" localSheetId="5" hidden="1">{#N/A,#N/A,FALSE,"Chi tiÆt"}</definedName>
    <definedName name="__h10" localSheetId="13" hidden="1">{#N/A,#N/A,FALSE,"Chi tiÆt"}</definedName>
    <definedName name="__h10" localSheetId="14" hidden="1">{#N/A,#N/A,FALSE,"Chi tiÆt"}</definedName>
    <definedName name="__h10" localSheetId="15" hidden="1">{#N/A,#N/A,FALSE,"Chi tiÆt"}</definedName>
    <definedName name="__h10" localSheetId="16" hidden="1">{#N/A,#N/A,FALSE,"Chi tiÆt"}</definedName>
    <definedName name="__h10" localSheetId="17" hidden="1">{#N/A,#N/A,FALSE,"Chi tiÆt"}</definedName>
    <definedName name="__h10" localSheetId="3" hidden="1">{#N/A,#N/A,FALSE,"Chi tiÆt"}</definedName>
    <definedName name="__h10" localSheetId="6" hidden="1">{#N/A,#N/A,FALSE,"Chi tiÆt"}</definedName>
    <definedName name="__h10" localSheetId="8" hidden="1">{#N/A,#N/A,FALSE,"Chi tiÆt"}</definedName>
    <definedName name="__h10" localSheetId="19" hidden="1">{#N/A,#N/A,FALSE,"Chi tiÆt"}</definedName>
    <definedName name="__h10" hidden="1">{#N/A,#N/A,FALSE,"Chi tiÆt"}</definedName>
    <definedName name="__h2" localSheetId="1" hidden="1">{"'Sheet1'!$L$16"}</definedName>
    <definedName name="__h2" localSheetId="4" hidden="1">{"'Sheet1'!$L$16"}</definedName>
    <definedName name="__h2" localSheetId="5" hidden="1">{"'Sheet1'!$L$16"}</definedName>
    <definedName name="__h2" localSheetId="13" hidden="1">{"'Sheet1'!$L$16"}</definedName>
    <definedName name="__h2" localSheetId="14" hidden="1">{"'Sheet1'!$L$16"}</definedName>
    <definedName name="__h2" localSheetId="15" hidden="1">{"'Sheet1'!$L$16"}</definedName>
    <definedName name="__h2" localSheetId="16" hidden="1">{"'Sheet1'!$L$16"}</definedName>
    <definedName name="__h2" localSheetId="17" hidden="1">{"'Sheet1'!$L$16"}</definedName>
    <definedName name="__h2" localSheetId="3" hidden="1">{"'Sheet1'!$L$16"}</definedName>
    <definedName name="__h2" localSheetId="6" hidden="1">{"'Sheet1'!$L$16"}</definedName>
    <definedName name="__h2" localSheetId="8" hidden="1">{"'Sheet1'!$L$16"}</definedName>
    <definedName name="__h2" localSheetId="19" hidden="1">{"'Sheet1'!$L$16"}</definedName>
    <definedName name="__h2" hidden="1">{"'Sheet1'!$L$16"}</definedName>
    <definedName name="__h3" localSheetId="1" hidden="1">{"'Sheet1'!$L$16"}</definedName>
    <definedName name="__h3" localSheetId="4" hidden="1">{"'Sheet1'!$L$16"}</definedName>
    <definedName name="__h3" localSheetId="5" hidden="1">{"'Sheet1'!$L$16"}</definedName>
    <definedName name="__h3" localSheetId="13" hidden="1">{"'Sheet1'!$L$16"}</definedName>
    <definedName name="__h3" localSheetId="14" hidden="1">{"'Sheet1'!$L$16"}</definedName>
    <definedName name="__h3" localSheetId="15" hidden="1">{"'Sheet1'!$L$16"}</definedName>
    <definedName name="__h3" localSheetId="16" hidden="1">{"'Sheet1'!$L$16"}</definedName>
    <definedName name="__h3" localSheetId="17" hidden="1">{"'Sheet1'!$L$16"}</definedName>
    <definedName name="__h3" localSheetId="3" hidden="1">{"'Sheet1'!$L$16"}</definedName>
    <definedName name="__h3" localSheetId="6" hidden="1">{"'Sheet1'!$L$16"}</definedName>
    <definedName name="__h3" localSheetId="8" hidden="1">{"'Sheet1'!$L$16"}</definedName>
    <definedName name="__h3" localSheetId="19" hidden="1">{"'Sheet1'!$L$16"}</definedName>
    <definedName name="__h3" hidden="1">{"'Sheet1'!$L$16"}</definedName>
    <definedName name="__h5" localSheetId="1" hidden="1">{"'Sheet1'!$L$16"}</definedName>
    <definedName name="__h5" localSheetId="4" hidden="1">{"'Sheet1'!$L$16"}</definedName>
    <definedName name="__h5" localSheetId="5" hidden="1">{"'Sheet1'!$L$16"}</definedName>
    <definedName name="__h5" localSheetId="13" hidden="1">{"'Sheet1'!$L$16"}</definedName>
    <definedName name="__h5" localSheetId="14" hidden="1">{"'Sheet1'!$L$16"}</definedName>
    <definedName name="__h5" localSheetId="15" hidden="1">{"'Sheet1'!$L$16"}</definedName>
    <definedName name="__h5" localSheetId="16" hidden="1">{"'Sheet1'!$L$16"}</definedName>
    <definedName name="__h5" localSheetId="17" hidden="1">{"'Sheet1'!$L$16"}</definedName>
    <definedName name="__h5" localSheetId="3" hidden="1">{"'Sheet1'!$L$16"}</definedName>
    <definedName name="__h5" localSheetId="6" hidden="1">{"'Sheet1'!$L$16"}</definedName>
    <definedName name="__h5" localSheetId="8" hidden="1">{"'Sheet1'!$L$16"}</definedName>
    <definedName name="__h5" localSheetId="19" hidden="1">{"'Sheet1'!$L$16"}</definedName>
    <definedName name="__h5" hidden="1">{"'Sheet1'!$L$16"}</definedName>
    <definedName name="__h6" localSheetId="1" hidden="1">{"'Sheet1'!$L$16"}</definedName>
    <definedName name="__h6" localSheetId="4" hidden="1">{"'Sheet1'!$L$16"}</definedName>
    <definedName name="__h6" localSheetId="5" hidden="1">{"'Sheet1'!$L$16"}</definedName>
    <definedName name="__h6" localSheetId="13" hidden="1">{"'Sheet1'!$L$16"}</definedName>
    <definedName name="__h6" localSheetId="14" hidden="1">{"'Sheet1'!$L$16"}</definedName>
    <definedName name="__h6" localSheetId="15" hidden="1">{"'Sheet1'!$L$16"}</definedName>
    <definedName name="__h6" localSheetId="16" hidden="1">{"'Sheet1'!$L$16"}</definedName>
    <definedName name="__h6" localSheetId="17" hidden="1">{"'Sheet1'!$L$16"}</definedName>
    <definedName name="__h6" localSheetId="3" hidden="1">{"'Sheet1'!$L$16"}</definedName>
    <definedName name="__h6" localSheetId="6" hidden="1">{"'Sheet1'!$L$16"}</definedName>
    <definedName name="__h6" localSheetId="8" hidden="1">{"'Sheet1'!$L$16"}</definedName>
    <definedName name="__h6" localSheetId="19" hidden="1">{"'Sheet1'!$L$16"}</definedName>
    <definedName name="__h6" hidden="1">{"'Sheet1'!$L$16"}</definedName>
    <definedName name="__h7" localSheetId="1" hidden="1">{"'Sheet1'!$L$16"}</definedName>
    <definedName name="__h7" localSheetId="4" hidden="1">{"'Sheet1'!$L$16"}</definedName>
    <definedName name="__h7" localSheetId="5" hidden="1">{"'Sheet1'!$L$16"}</definedName>
    <definedName name="__h7" localSheetId="13" hidden="1">{"'Sheet1'!$L$16"}</definedName>
    <definedName name="__h7" localSheetId="14" hidden="1">{"'Sheet1'!$L$16"}</definedName>
    <definedName name="__h7" localSheetId="15" hidden="1">{"'Sheet1'!$L$16"}</definedName>
    <definedName name="__h7" localSheetId="16" hidden="1">{"'Sheet1'!$L$16"}</definedName>
    <definedName name="__h7" localSheetId="17" hidden="1">{"'Sheet1'!$L$16"}</definedName>
    <definedName name="__h7" localSheetId="3" hidden="1">{"'Sheet1'!$L$16"}</definedName>
    <definedName name="__h7" localSheetId="6" hidden="1">{"'Sheet1'!$L$16"}</definedName>
    <definedName name="__h7" localSheetId="8" hidden="1">{"'Sheet1'!$L$16"}</definedName>
    <definedName name="__h7" localSheetId="19" hidden="1">{"'Sheet1'!$L$16"}</definedName>
    <definedName name="__h7" hidden="1">{"'Sheet1'!$L$16"}</definedName>
    <definedName name="__h8" localSheetId="1" hidden="1">{"'Sheet1'!$L$16"}</definedName>
    <definedName name="__h8" localSheetId="4" hidden="1">{"'Sheet1'!$L$16"}</definedName>
    <definedName name="__h8" localSheetId="5" hidden="1">{"'Sheet1'!$L$16"}</definedName>
    <definedName name="__h8" localSheetId="13" hidden="1">{"'Sheet1'!$L$16"}</definedName>
    <definedName name="__h8" localSheetId="14" hidden="1">{"'Sheet1'!$L$16"}</definedName>
    <definedName name="__h8" localSheetId="15" hidden="1">{"'Sheet1'!$L$16"}</definedName>
    <definedName name="__h8" localSheetId="16" hidden="1">{"'Sheet1'!$L$16"}</definedName>
    <definedName name="__h8" localSheetId="17" hidden="1">{"'Sheet1'!$L$16"}</definedName>
    <definedName name="__h8" localSheetId="3" hidden="1">{"'Sheet1'!$L$16"}</definedName>
    <definedName name="__h8" localSheetId="6" hidden="1">{"'Sheet1'!$L$16"}</definedName>
    <definedName name="__h8" localSheetId="8" hidden="1">{"'Sheet1'!$L$16"}</definedName>
    <definedName name="__h8" localSheetId="19" hidden="1">{"'Sheet1'!$L$16"}</definedName>
    <definedName name="__h8" hidden="1">{"'Sheet1'!$L$16"}</definedName>
    <definedName name="__h9" localSheetId="1" hidden="1">{"'Sheet1'!$L$16"}</definedName>
    <definedName name="__h9" localSheetId="4" hidden="1">{"'Sheet1'!$L$16"}</definedName>
    <definedName name="__h9" localSheetId="5" hidden="1">{"'Sheet1'!$L$16"}</definedName>
    <definedName name="__h9" localSheetId="13" hidden="1">{"'Sheet1'!$L$16"}</definedName>
    <definedName name="__h9" localSheetId="14" hidden="1">{"'Sheet1'!$L$16"}</definedName>
    <definedName name="__h9" localSheetId="15" hidden="1">{"'Sheet1'!$L$16"}</definedName>
    <definedName name="__h9" localSheetId="16" hidden="1">{"'Sheet1'!$L$16"}</definedName>
    <definedName name="__h9" localSheetId="17" hidden="1">{"'Sheet1'!$L$16"}</definedName>
    <definedName name="__h9" localSheetId="3" hidden="1">{"'Sheet1'!$L$16"}</definedName>
    <definedName name="__h9" localSheetId="6" hidden="1">{"'Sheet1'!$L$16"}</definedName>
    <definedName name="__h9" localSheetId="8" hidden="1">{"'Sheet1'!$L$16"}</definedName>
    <definedName name="__h9" localSheetId="19" hidden="1">{"'Sheet1'!$L$16"}</definedName>
    <definedName name="__h9" hidden="1">{"'Sheet1'!$L$16"}</definedName>
    <definedName name="__HUY1" localSheetId="1" hidden="1">{"'Sheet1'!$L$16"}</definedName>
    <definedName name="__HUY1" localSheetId="2" hidden="1">{"'Sheet1'!$L$16"}</definedName>
    <definedName name="__HUY1" localSheetId="4" hidden="1">{"'Sheet1'!$L$16"}</definedName>
    <definedName name="__HUY1" localSheetId="5" hidden="1">{"'Sheet1'!$L$16"}</definedName>
    <definedName name="__HUY1" localSheetId="7" hidden="1">{"'Sheet1'!$L$16"}</definedName>
    <definedName name="__HUY1" localSheetId="11" hidden="1">{"'Sheet1'!$L$16"}</definedName>
    <definedName name="__HUY1" localSheetId="13" hidden="1">{"'Sheet1'!$L$16"}</definedName>
    <definedName name="__HUY1" localSheetId="14" hidden="1">{"'Sheet1'!$L$16"}</definedName>
    <definedName name="__HUY1" localSheetId="15" hidden="1">{"'Sheet1'!$L$16"}</definedName>
    <definedName name="__HUY1" localSheetId="16" hidden="1">{"'Sheet1'!$L$16"}</definedName>
    <definedName name="__HUY1" localSheetId="17" hidden="1">{"'Sheet1'!$L$16"}</definedName>
    <definedName name="__HUY1" localSheetId="3" hidden="1">{"'Sheet1'!$L$16"}</definedName>
    <definedName name="__HUY1" localSheetId="6" hidden="1">{"'Sheet1'!$L$16"}</definedName>
    <definedName name="__HUY1" localSheetId="8" hidden="1">{"'Sheet1'!$L$16"}</definedName>
    <definedName name="__HUY1" localSheetId="18" hidden="1">{"'Sheet1'!$L$16"}</definedName>
    <definedName name="__HUY1" localSheetId="19" hidden="1">{"'Sheet1'!$L$16"}</definedName>
    <definedName name="__HUY1" localSheetId="0" hidden="1">{"'Sheet1'!$L$16"}</definedName>
    <definedName name="__HUY1" hidden="1">{"'Sheet1'!$L$16"}</definedName>
    <definedName name="__HUY2" localSheetId="1" hidden="1">{"'Sheet1'!$L$16"}</definedName>
    <definedName name="__HUY2" localSheetId="2" hidden="1">{"'Sheet1'!$L$16"}</definedName>
    <definedName name="__HUY2" localSheetId="4" hidden="1">{"'Sheet1'!$L$16"}</definedName>
    <definedName name="__HUY2" localSheetId="5" hidden="1">{"'Sheet1'!$L$16"}</definedName>
    <definedName name="__HUY2" localSheetId="7" hidden="1">{"'Sheet1'!$L$16"}</definedName>
    <definedName name="__HUY2" localSheetId="11" hidden="1">{"'Sheet1'!$L$16"}</definedName>
    <definedName name="__HUY2" localSheetId="13" hidden="1">{"'Sheet1'!$L$16"}</definedName>
    <definedName name="__HUY2" localSheetId="14" hidden="1">{"'Sheet1'!$L$16"}</definedName>
    <definedName name="__HUY2" localSheetId="15" hidden="1">{"'Sheet1'!$L$16"}</definedName>
    <definedName name="__HUY2" localSheetId="16" hidden="1">{"'Sheet1'!$L$16"}</definedName>
    <definedName name="__HUY2" localSheetId="17" hidden="1">{"'Sheet1'!$L$16"}</definedName>
    <definedName name="__HUY2" localSheetId="3" hidden="1">{"'Sheet1'!$L$16"}</definedName>
    <definedName name="__HUY2" localSheetId="6" hidden="1">{"'Sheet1'!$L$16"}</definedName>
    <definedName name="__HUY2" localSheetId="8" hidden="1">{"'Sheet1'!$L$16"}</definedName>
    <definedName name="__HUY2" localSheetId="18" hidden="1">{"'Sheet1'!$L$16"}</definedName>
    <definedName name="__HUY2" localSheetId="19" hidden="1">{"'Sheet1'!$L$16"}</definedName>
    <definedName name="__HUY2" localSheetId="0" hidden="1">{"'Sheet1'!$L$16"}</definedName>
    <definedName name="__HUY2" hidden="1">{"'Sheet1'!$L$16"}</definedName>
    <definedName name="__Lan1" localSheetId="1" hidden="1">{"'Sheet1'!$L$16"}</definedName>
    <definedName name="__Lan1" localSheetId="2" hidden="1">{"'Sheet1'!$L$16"}</definedName>
    <definedName name="__Lan1" localSheetId="4" hidden="1">{"'Sheet1'!$L$16"}</definedName>
    <definedName name="__Lan1" localSheetId="5" hidden="1">{"'Sheet1'!$L$16"}</definedName>
    <definedName name="__Lan1" localSheetId="7" hidden="1">{"'Sheet1'!$L$16"}</definedName>
    <definedName name="__Lan1" localSheetId="11" hidden="1">{"'Sheet1'!$L$16"}</definedName>
    <definedName name="__Lan1" localSheetId="13" hidden="1">{"'Sheet1'!$L$16"}</definedName>
    <definedName name="__Lan1" localSheetId="14" hidden="1">{"'Sheet1'!$L$16"}</definedName>
    <definedName name="__Lan1" localSheetId="15" hidden="1">{"'Sheet1'!$L$16"}</definedName>
    <definedName name="__Lan1" localSheetId="16" hidden="1">{"'Sheet1'!$L$16"}</definedName>
    <definedName name="__Lan1" localSheetId="17" hidden="1">{"'Sheet1'!$L$16"}</definedName>
    <definedName name="__Lan1" localSheetId="3" hidden="1">{"'Sheet1'!$L$16"}</definedName>
    <definedName name="__Lan1" localSheetId="6" hidden="1">{"'Sheet1'!$L$16"}</definedName>
    <definedName name="__Lan1" localSheetId="8" hidden="1">{"'Sheet1'!$L$16"}</definedName>
    <definedName name="__Lan1" localSheetId="18" hidden="1">{"'Sheet1'!$L$16"}</definedName>
    <definedName name="__Lan1" localSheetId="19" hidden="1">{"'Sheet1'!$L$16"}</definedName>
    <definedName name="__Lan1" localSheetId="0" hidden="1">{"'Sheet1'!$L$16"}</definedName>
    <definedName name="__Lan1" hidden="1">{"'Sheet1'!$L$16"}</definedName>
    <definedName name="__LAN3" localSheetId="1" hidden="1">{"'Sheet1'!$L$16"}</definedName>
    <definedName name="__LAN3" localSheetId="2" hidden="1">{"'Sheet1'!$L$16"}</definedName>
    <definedName name="__LAN3" localSheetId="4" hidden="1">{"'Sheet1'!$L$16"}</definedName>
    <definedName name="__LAN3" localSheetId="5" hidden="1">{"'Sheet1'!$L$16"}</definedName>
    <definedName name="__LAN3" localSheetId="7" hidden="1">{"'Sheet1'!$L$16"}</definedName>
    <definedName name="__LAN3" localSheetId="11" hidden="1">{"'Sheet1'!$L$16"}</definedName>
    <definedName name="__LAN3" localSheetId="13" hidden="1">{"'Sheet1'!$L$16"}</definedName>
    <definedName name="__LAN3" localSheetId="14" hidden="1">{"'Sheet1'!$L$16"}</definedName>
    <definedName name="__LAN3" localSheetId="15" hidden="1">{"'Sheet1'!$L$16"}</definedName>
    <definedName name="__LAN3" localSheetId="16" hidden="1">{"'Sheet1'!$L$16"}</definedName>
    <definedName name="__LAN3" localSheetId="17" hidden="1">{"'Sheet1'!$L$16"}</definedName>
    <definedName name="__LAN3" localSheetId="3" hidden="1">{"'Sheet1'!$L$16"}</definedName>
    <definedName name="__LAN3" localSheetId="6" hidden="1">{"'Sheet1'!$L$16"}</definedName>
    <definedName name="__LAN3" localSheetId="8" hidden="1">{"'Sheet1'!$L$16"}</definedName>
    <definedName name="__LAN3" localSheetId="18" hidden="1">{"'Sheet1'!$L$16"}</definedName>
    <definedName name="__LAN3" localSheetId="19" hidden="1">{"'Sheet1'!$L$16"}</definedName>
    <definedName name="__LAN3" localSheetId="0" hidden="1">{"'Sheet1'!$L$16"}</definedName>
    <definedName name="__LAN3" hidden="1">{"'Sheet1'!$L$16"}</definedName>
    <definedName name="__lk2" localSheetId="1" hidden="1">{"'Sheet1'!$L$16"}</definedName>
    <definedName name="__lk2" localSheetId="2" hidden="1">{"'Sheet1'!$L$16"}</definedName>
    <definedName name="__lk2" localSheetId="4" hidden="1">{"'Sheet1'!$L$16"}</definedName>
    <definedName name="__lk2" localSheetId="5" hidden="1">{"'Sheet1'!$L$16"}</definedName>
    <definedName name="__lk2" localSheetId="7" hidden="1">{"'Sheet1'!$L$16"}</definedName>
    <definedName name="__lk2" localSheetId="11" hidden="1">{"'Sheet1'!$L$16"}</definedName>
    <definedName name="__lk2" localSheetId="13" hidden="1">{"'Sheet1'!$L$16"}</definedName>
    <definedName name="__lk2" localSheetId="14" hidden="1">{"'Sheet1'!$L$16"}</definedName>
    <definedName name="__lk2" localSheetId="15" hidden="1">{"'Sheet1'!$L$16"}</definedName>
    <definedName name="__lk2" localSheetId="16" hidden="1">{"'Sheet1'!$L$16"}</definedName>
    <definedName name="__lk2" localSheetId="17" hidden="1">{"'Sheet1'!$L$16"}</definedName>
    <definedName name="__lk2" localSheetId="3" hidden="1">{"'Sheet1'!$L$16"}</definedName>
    <definedName name="__lk2" localSheetId="6" hidden="1">{"'Sheet1'!$L$16"}</definedName>
    <definedName name="__lk2" localSheetId="8" hidden="1">{"'Sheet1'!$L$16"}</definedName>
    <definedName name="__lk2" localSheetId="18" hidden="1">{"'Sheet1'!$L$16"}</definedName>
    <definedName name="__lk2" localSheetId="19" hidden="1">{"'Sheet1'!$L$16"}</definedName>
    <definedName name="__lk2" localSheetId="0" hidden="1">{"'Sheet1'!$L$16"}</definedName>
    <definedName name="__lk2" hidden="1">{"'Sheet1'!$L$16"}</definedName>
    <definedName name="__NSO2" localSheetId="1" hidden="1">{"'Sheet1'!$L$16"}</definedName>
    <definedName name="__NSO2" localSheetId="2" hidden="1">{"'Sheet1'!$L$16"}</definedName>
    <definedName name="__NSO2" localSheetId="4" hidden="1">{"'Sheet1'!$L$16"}</definedName>
    <definedName name="__NSO2" localSheetId="5" hidden="1">{"'Sheet1'!$L$16"}</definedName>
    <definedName name="__NSO2" localSheetId="7" hidden="1">{"'Sheet1'!$L$16"}</definedName>
    <definedName name="__NSO2" localSheetId="11" hidden="1">{"'Sheet1'!$L$16"}</definedName>
    <definedName name="__NSO2" localSheetId="13" hidden="1">{"'Sheet1'!$L$16"}</definedName>
    <definedName name="__NSO2" localSheetId="14" hidden="1">{"'Sheet1'!$L$16"}</definedName>
    <definedName name="__NSO2" localSheetId="15" hidden="1">{"'Sheet1'!$L$16"}</definedName>
    <definedName name="__NSO2" localSheetId="16" hidden="1">{"'Sheet1'!$L$16"}</definedName>
    <definedName name="__NSO2" localSheetId="17" hidden="1">{"'Sheet1'!$L$16"}</definedName>
    <definedName name="__NSO2" localSheetId="3" hidden="1">{"'Sheet1'!$L$16"}</definedName>
    <definedName name="__NSO2" localSheetId="6" hidden="1">{"'Sheet1'!$L$16"}</definedName>
    <definedName name="__NSO2" localSheetId="8" hidden="1">{"'Sheet1'!$L$16"}</definedName>
    <definedName name="__NSO2" localSheetId="18" hidden="1">{"'Sheet1'!$L$16"}</definedName>
    <definedName name="__NSO2" localSheetId="19" hidden="1">{"'Sheet1'!$L$16"}</definedName>
    <definedName name="__NSO2" localSheetId="0" hidden="1">{"'Sheet1'!$L$16"}</definedName>
    <definedName name="__NSO2" hidden="1">{"'Sheet1'!$L$16"}</definedName>
    <definedName name="__PA3" localSheetId="1" hidden="1">{"'Sheet1'!$L$16"}</definedName>
    <definedName name="__PA3" localSheetId="2" hidden="1">{"'Sheet1'!$L$16"}</definedName>
    <definedName name="__PA3" localSheetId="4" hidden="1">{"'Sheet1'!$L$16"}</definedName>
    <definedName name="__PA3" localSheetId="5" hidden="1">{"'Sheet1'!$L$16"}</definedName>
    <definedName name="__PA3" localSheetId="7" hidden="1">{"'Sheet1'!$L$16"}</definedName>
    <definedName name="__PA3" localSheetId="11" hidden="1">{"'Sheet1'!$L$16"}</definedName>
    <definedName name="__PA3" localSheetId="13" hidden="1">{"'Sheet1'!$L$16"}</definedName>
    <definedName name="__PA3" localSheetId="14" hidden="1">{"'Sheet1'!$L$16"}</definedName>
    <definedName name="__PA3" localSheetId="15" hidden="1">{"'Sheet1'!$L$16"}</definedName>
    <definedName name="__PA3" localSheetId="16" hidden="1">{"'Sheet1'!$L$16"}</definedName>
    <definedName name="__PA3" localSheetId="17" hidden="1">{"'Sheet1'!$L$16"}</definedName>
    <definedName name="__PA3" localSheetId="3" hidden="1">{"'Sheet1'!$L$16"}</definedName>
    <definedName name="__PA3" localSheetId="6" hidden="1">{"'Sheet1'!$L$16"}</definedName>
    <definedName name="__PA3" localSheetId="8" hidden="1">{"'Sheet1'!$L$16"}</definedName>
    <definedName name="__PA3" localSheetId="18" hidden="1">{"'Sheet1'!$L$16"}</definedName>
    <definedName name="__PA3" localSheetId="19" hidden="1">{"'Sheet1'!$L$16"}</definedName>
    <definedName name="__PA3" localSheetId="0" hidden="1">{"'Sheet1'!$L$16"}</definedName>
    <definedName name="__PA3" hidden="1">{"'Sheet1'!$L$16"}</definedName>
    <definedName name="__Pl2" localSheetId="1" hidden="1">{"'Sheet1'!$L$16"}</definedName>
    <definedName name="__Pl2" localSheetId="2" hidden="1">{"'Sheet1'!$L$16"}</definedName>
    <definedName name="__Pl2" localSheetId="4" hidden="1">{"'Sheet1'!$L$16"}</definedName>
    <definedName name="__Pl2" localSheetId="5" hidden="1">{"'Sheet1'!$L$16"}</definedName>
    <definedName name="__Pl2" localSheetId="7" hidden="1">{"'Sheet1'!$L$16"}</definedName>
    <definedName name="__Pl2" localSheetId="11" hidden="1">{"'Sheet1'!$L$16"}</definedName>
    <definedName name="__Pl2" localSheetId="13" hidden="1">{"'Sheet1'!$L$16"}</definedName>
    <definedName name="__Pl2" localSheetId="14" hidden="1">{"'Sheet1'!$L$16"}</definedName>
    <definedName name="__Pl2" localSheetId="15" hidden="1">{"'Sheet1'!$L$16"}</definedName>
    <definedName name="__Pl2" localSheetId="16" hidden="1">{"'Sheet1'!$L$16"}</definedName>
    <definedName name="__Pl2" localSheetId="17" hidden="1">{"'Sheet1'!$L$16"}</definedName>
    <definedName name="__Pl2" localSheetId="3" hidden="1">{"'Sheet1'!$L$16"}</definedName>
    <definedName name="__Pl2" localSheetId="6" hidden="1">{"'Sheet1'!$L$16"}</definedName>
    <definedName name="__Pl2" localSheetId="8" hidden="1">{"'Sheet1'!$L$16"}</definedName>
    <definedName name="__Pl2" localSheetId="18" hidden="1">{"'Sheet1'!$L$16"}</definedName>
    <definedName name="__Pl2" localSheetId="19" hidden="1">{"'Sheet1'!$L$16"}</definedName>
    <definedName name="__Pl2" localSheetId="0" hidden="1">{"'Sheet1'!$L$16"}</definedName>
    <definedName name="__Pl2" hidden="1">{"'Sheet1'!$L$16"}</definedName>
    <definedName name="__Tru21" localSheetId="1" hidden="1">{"'Sheet1'!$L$16"}</definedName>
    <definedName name="__Tru21" localSheetId="2" hidden="1">{"'Sheet1'!$L$16"}</definedName>
    <definedName name="__Tru21" localSheetId="4" hidden="1">{"'Sheet1'!$L$16"}</definedName>
    <definedName name="__Tru21" localSheetId="5" hidden="1">{"'Sheet1'!$L$16"}</definedName>
    <definedName name="__Tru21" localSheetId="7" hidden="1">{"'Sheet1'!$L$16"}</definedName>
    <definedName name="__Tru21" localSheetId="11" hidden="1">{"'Sheet1'!$L$16"}</definedName>
    <definedName name="__Tru21" localSheetId="13" hidden="1">{"'Sheet1'!$L$16"}</definedName>
    <definedName name="__Tru21" localSheetId="14" hidden="1">{"'Sheet1'!$L$16"}</definedName>
    <definedName name="__Tru21" localSheetId="15" hidden="1">{"'Sheet1'!$L$16"}</definedName>
    <definedName name="__Tru21" localSheetId="16" hidden="1">{"'Sheet1'!$L$16"}</definedName>
    <definedName name="__Tru21" localSheetId="17" hidden="1">{"'Sheet1'!$L$16"}</definedName>
    <definedName name="__Tru21" localSheetId="3" hidden="1">{"'Sheet1'!$L$16"}</definedName>
    <definedName name="__Tru21" localSheetId="6" hidden="1">{"'Sheet1'!$L$16"}</definedName>
    <definedName name="__Tru21" localSheetId="8" hidden="1">{"'Sheet1'!$L$16"}</definedName>
    <definedName name="__Tru21" localSheetId="18" hidden="1">{"'Sheet1'!$L$16"}</definedName>
    <definedName name="__Tru21" localSheetId="19" hidden="1">{"'Sheet1'!$L$16"}</definedName>
    <definedName name="__Tru21" localSheetId="0" hidden="1">{"'Sheet1'!$L$16"}</definedName>
    <definedName name="__Tru21" hidden="1">{"'Sheet1'!$L$16"}</definedName>
    <definedName name="__tt3" localSheetId="1" hidden="1">{"'Sheet1'!$L$16"}</definedName>
    <definedName name="__tt3" localSheetId="2" hidden="1">{"'Sheet1'!$L$16"}</definedName>
    <definedName name="__tt3" localSheetId="4" hidden="1">{"'Sheet1'!$L$16"}</definedName>
    <definedName name="__tt3" localSheetId="5" hidden="1">{"'Sheet1'!$L$16"}</definedName>
    <definedName name="__tt3" localSheetId="7" hidden="1">{"'Sheet1'!$L$16"}</definedName>
    <definedName name="__tt3" localSheetId="11" hidden="1">{"'Sheet1'!$L$16"}</definedName>
    <definedName name="__tt3" localSheetId="13" hidden="1">{"'Sheet1'!$L$16"}</definedName>
    <definedName name="__tt3" localSheetId="14" hidden="1">{"'Sheet1'!$L$16"}</definedName>
    <definedName name="__tt3" localSheetId="15" hidden="1">{"'Sheet1'!$L$16"}</definedName>
    <definedName name="__tt3" localSheetId="16" hidden="1">{"'Sheet1'!$L$16"}</definedName>
    <definedName name="__tt3" localSheetId="17" hidden="1">{"'Sheet1'!$L$16"}</definedName>
    <definedName name="__tt3" localSheetId="3" hidden="1">{"'Sheet1'!$L$16"}</definedName>
    <definedName name="__tt3" localSheetId="6" hidden="1">{"'Sheet1'!$L$16"}</definedName>
    <definedName name="__tt3" localSheetId="8" hidden="1">{"'Sheet1'!$L$16"}</definedName>
    <definedName name="__tt3" localSheetId="18" hidden="1">{"'Sheet1'!$L$16"}</definedName>
    <definedName name="__tt3" localSheetId="19" hidden="1">{"'Sheet1'!$L$16"}</definedName>
    <definedName name="__tt3" localSheetId="0" hidden="1">{"'Sheet1'!$L$16"}</definedName>
    <definedName name="__tt3" hidden="1">{"'Sheet1'!$L$16"}</definedName>
    <definedName name="__TT31" localSheetId="1" hidden="1">{"'Sheet1'!$L$16"}</definedName>
    <definedName name="__TT31" localSheetId="2" hidden="1">{"'Sheet1'!$L$16"}</definedName>
    <definedName name="__TT31" localSheetId="4" hidden="1">{"'Sheet1'!$L$16"}</definedName>
    <definedName name="__TT31" localSheetId="5" hidden="1">{"'Sheet1'!$L$16"}</definedName>
    <definedName name="__TT31" localSheetId="7" hidden="1">{"'Sheet1'!$L$16"}</definedName>
    <definedName name="__TT31" localSheetId="11" hidden="1">{"'Sheet1'!$L$16"}</definedName>
    <definedName name="__TT31" localSheetId="13" hidden="1">{"'Sheet1'!$L$16"}</definedName>
    <definedName name="__TT31" localSheetId="14" hidden="1">{"'Sheet1'!$L$16"}</definedName>
    <definedName name="__TT31" localSheetId="15" hidden="1">{"'Sheet1'!$L$16"}</definedName>
    <definedName name="__TT31" localSheetId="16" hidden="1">{"'Sheet1'!$L$16"}</definedName>
    <definedName name="__TT31" localSheetId="17" hidden="1">{"'Sheet1'!$L$16"}</definedName>
    <definedName name="__TT31" localSheetId="3" hidden="1">{"'Sheet1'!$L$16"}</definedName>
    <definedName name="__TT31" localSheetId="6" hidden="1">{"'Sheet1'!$L$16"}</definedName>
    <definedName name="__TT31" localSheetId="8" hidden="1">{"'Sheet1'!$L$16"}</definedName>
    <definedName name="__TT31" localSheetId="18" hidden="1">{"'Sheet1'!$L$16"}</definedName>
    <definedName name="__TT31" localSheetId="19" hidden="1">{"'Sheet1'!$L$16"}</definedName>
    <definedName name="__TT31" localSheetId="0" hidden="1">{"'Sheet1'!$L$16"}</definedName>
    <definedName name="__TT31" hidden="1">{"'Sheet1'!$L$16"}</definedName>
    <definedName name="__vl2" localSheetId="1" hidden="1">{"'Sheet1'!$L$16"}</definedName>
    <definedName name="__vl2" localSheetId="4" hidden="1">{"'Sheet1'!$L$16"}</definedName>
    <definedName name="__vl2" localSheetId="5" hidden="1">{"'Sheet1'!$L$16"}</definedName>
    <definedName name="__vl2" localSheetId="13" hidden="1">{"'Sheet1'!$L$16"}</definedName>
    <definedName name="__vl2" localSheetId="14" hidden="1">{"'Sheet1'!$L$16"}</definedName>
    <definedName name="__vl2" localSheetId="15" hidden="1">{"'Sheet1'!$L$16"}</definedName>
    <definedName name="__vl2" localSheetId="16" hidden="1">{"'Sheet1'!$L$16"}</definedName>
    <definedName name="__vl2" localSheetId="17" hidden="1">{"'Sheet1'!$L$16"}</definedName>
    <definedName name="__vl2" localSheetId="3" hidden="1">{"'Sheet1'!$L$16"}</definedName>
    <definedName name="__vl2" localSheetId="6" hidden="1">{"'Sheet1'!$L$16"}</definedName>
    <definedName name="__vl2" localSheetId="8" hidden="1">{"'Sheet1'!$L$16"}</definedName>
    <definedName name="__vl2" localSheetId="19" hidden="1">{"'Sheet1'!$L$16"}</definedName>
    <definedName name="__vl2" hidden="1">{"'Sheet1'!$L$16"}</definedName>
    <definedName name="__VM2" localSheetId="1" hidden="1">{"'Sheet1'!$L$16"}</definedName>
    <definedName name="__VM2" localSheetId="2" hidden="1">{"'Sheet1'!$L$16"}</definedName>
    <definedName name="__VM2" localSheetId="4" hidden="1">{"'Sheet1'!$L$16"}</definedName>
    <definedName name="__VM2" localSheetId="5" hidden="1">{"'Sheet1'!$L$16"}</definedName>
    <definedName name="__VM2" localSheetId="7" hidden="1">{"'Sheet1'!$L$16"}</definedName>
    <definedName name="__VM2" localSheetId="11" hidden="1">{"'Sheet1'!$L$16"}</definedName>
    <definedName name="__VM2" localSheetId="13" hidden="1">{"'Sheet1'!$L$16"}</definedName>
    <definedName name="__VM2" localSheetId="14" hidden="1">{"'Sheet1'!$L$16"}</definedName>
    <definedName name="__VM2" localSheetId="15" hidden="1">{"'Sheet1'!$L$16"}</definedName>
    <definedName name="__VM2" localSheetId="16" hidden="1">{"'Sheet1'!$L$16"}</definedName>
    <definedName name="__VM2" localSheetId="17" hidden="1">{"'Sheet1'!$L$16"}</definedName>
    <definedName name="__VM2" localSheetId="3" hidden="1">{"'Sheet1'!$L$16"}</definedName>
    <definedName name="__VM2" localSheetId="6" hidden="1">{"'Sheet1'!$L$16"}</definedName>
    <definedName name="__VM2" localSheetId="8" hidden="1">{"'Sheet1'!$L$16"}</definedName>
    <definedName name="__VM2" localSheetId="18" hidden="1">{"'Sheet1'!$L$16"}</definedName>
    <definedName name="__VM2" localSheetId="19" hidden="1">{"'Sheet1'!$L$16"}</definedName>
    <definedName name="__VM2" localSheetId="0" hidden="1">{"'Sheet1'!$L$16"}</definedName>
    <definedName name="__VM2" hidden="1">{"'Sheet1'!$L$16"}</definedName>
    <definedName name="_1" localSheetId="14">#REF!</definedName>
    <definedName name="_1" localSheetId="17">#REF!</definedName>
    <definedName name="_1">#REF!</definedName>
    <definedName name="_1BA2500" localSheetId="14">#REF!</definedName>
    <definedName name="_1BA2500" localSheetId="17">#REF!</definedName>
    <definedName name="_1BA2500">#REF!</definedName>
    <definedName name="_1BA3250" localSheetId="14">#REF!</definedName>
    <definedName name="_1BA3250" localSheetId="17">#REF!</definedName>
    <definedName name="_1BA3250">#REF!</definedName>
    <definedName name="_1BA400P" localSheetId="14">#REF!</definedName>
    <definedName name="_1BA400P" localSheetId="17">#REF!</definedName>
    <definedName name="_1BA400P">#REF!</definedName>
    <definedName name="_1CAP001" localSheetId="14">#REF!</definedName>
    <definedName name="_1CAP001" localSheetId="17">#REF!</definedName>
    <definedName name="_1CAP001">#REF!</definedName>
    <definedName name="_1DAU002" localSheetId="14">#REF!</definedName>
    <definedName name="_1DAU002" localSheetId="17">#REF!</definedName>
    <definedName name="_1DAU002">#REF!</definedName>
    <definedName name="_1DDAY03" localSheetId="14">#REF!</definedName>
    <definedName name="_1DDAY03" localSheetId="17">#REF!</definedName>
    <definedName name="_1DDAY03">#REF!</definedName>
    <definedName name="_1DDTT01" localSheetId="14">#REF!</definedName>
    <definedName name="_1DDTT01" localSheetId="17">#REF!</definedName>
    <definedName name="_1DDTT01">#REF!</definedName>
    <definedName name="_1FCO101" localSheetId="14">#REF!</definedName>
    <definedName name="_1FCO101" localSheetId="17">#REF!</definedName>
    <definedName name="_1FCO101">#REF!</definedName>
    <definedName name="_1GIA101" localSheetId="14">#REF!</definedName>
    <definedName name="_1GIA101" localSheetId="17">#REF!</definedName>
    <definedName name="_1GIA101">#REF!</definedName>
    <definedName name="_1LA1001" localSheetId="14">#REF!</definedName>
    <definedName name="_1LA1001" localSheetId="17">#REF!</definedName>
    <definedName name="_1LA1001">#REF!</definedName>
    <definedName name="_1MCCBO2" localSheetId="14">#REF!</definedName>
    <definedName name="_1MCCBO2" localSheetId="17">#REF!</definedName>
    <definedName name="_1MCCBO2">#REF!</definedName>
    <definedName name="_1PKCAP1" localSheetId="14">#REF!</definedName>
    <definedName name="_1PKCAP1" localSheetId="17">#REF!</definedName>
    <definedName name="_1PKCAP1">#REF!</definedName>
    <definedName name="_1PKTT01" localSheetId="14">#REF!</definedName>
    <definedName name="_1PKTT01" localSheetId="17">#REF!</definedName>
    <definedName name="_1PKTT01">#REF!</definedName>
    <definedName name="_1TCD101" localSheetId="14">#REF!</definedName>
    <definedName name="_1TCD101" localSheetId="17">#REF!</definedName>
    <definedName name="_1TCD101">#REF!</definedName>
    <definedName name="_1TCD201" localSheetId="14">#REF!</definedName>
    <definedName name="_1TCD201" localSheetId="17">#REF!</definedName>
    <definedName name="_1TCD201">#REF!</definedName>
    <definedName name="_1TD2001" localSheetId="14">#REF!</definedName>
    <definedName name="_1TD2001" localSheetId="17">#REF!</definedName>
    <definedName name="_1TD2001">#REF!</definedName>
    <definedName name="_1TIHT01" localSheetId="14">#REF!</definedName>
    <definedName name="_1TIHT01" localSheetId="17">#REF!</definedName>
    <definedName name="_1TIHT01">#REF!</definedName>
    <definedName name="_1TRU121" localSheetId="14">#REF!</definedName>
    <definedName name="_1TRU121" localSheetId="17">#REF!</definedName>
    <definedName name="_1TRU121">#REF!</definedName>
    <definedName name="_2" localSheetId="14">#REF!</definedName>
    <definedName name="_2" localSheetId="17">#REF!</definedName>
    <definedName name="_2">#REF!</definedName>
    <definedName name="_2BLA100" localSheetId="14">#REF!</definedName>
    <definedName name="_2BLA100" localSheetId="17">#REF!</definedName>
    <definedName name="_2BLA100">#REF!</definedName>
    <definedName name="_2DAL201" localSheetId="14">#REF!</definedName>
    <definedName name="_2DAL201" localSheetId="17">#REF!</definedName>
    <definedName name="_2DAL201">#REF!</definedName>
    <definedName name="_3BLXMD" localSheetId="14">#REF!</definedName>
    <definedName name="_3BLXMD" localSheetId="17">#REF!</definedName>
    <definedName name="_3BLXMD">#REF!</definedName>
    <definedName name="_3TU0609" localSheetId="14">#REF!</definedName>
    <definedName name="_3TU0609" localSheetId="17">#REF!</definedName>
    <definedName name="_3TU0609">#REF!</definedName>
    <definedName name="_4CNT240" localSheetId="14">#REF!</definedName>
    <definedName name="_4CNT240" localSheetId="17">#REF!</definedName>
    <definedName name="_4CNT240">#REF!</definedName>
    <definedName name="_4CTL240" localSheetId="14">#REF!</definedName>
    <definedName name="_4CTL240" localSheetId="17">#REF!</definedName>
    <definedName name="_4CTL240">#REF!</definedName>
    <definedName name="_4FCO100" localSheetId="14">#REF!</definedName>
    <definedName name="_4FCO100" localSheetId="17">#REF!</definedName>
    <definedName name="_4FCO100">#REF!</definedName>
    <definedName name="_4HDCTT4" localSheetId="14">#REF!</definedName>
    <definedName name="_4HDCTT4" localSheetId="17">#REF!</definedName>
    <definedName name="_4HDCTT4">#REF!</definedName>
    <definedName name="_4HNCTT4" localSheetId="14">#REF!</definedName>
    <definedName name="_4HNCTT4" localSheetId="17">#REF!</definedName>
    <definedName name="_4HNCTT4">#REF!</definedName>
    <definedName name="_4LBCO01" localSheetId="14">#REF!</definedName>
    <definedName name="_4LBCO01" localSheetId="17">#REF!</definedName>
    <definedName name="_4LBCO01">#REF!</definedName>
    <definedName name="_a1" localSheetId="4" hidden="1">{"'Sheet1'!$L$16"}</definedName>
    <definedName name="_a1" localSheetId="13" hidden="1">{"'Sheet1'!$L$16"}</definedName>
    <definedName name="_a1" localSheetId="14" hidden="1">{"'Sheet1'!$L$16"}</definedName>
    <definedName name="_a1" localSheetId="17" hidden="1">{"'Sheet1'!$L$16"}</definedName>
    <definedName name="_a1" localSheetId="3" hidden="1">{"'Sheet1'!$L$16"}</definedName>
    <definedName name="_a1" hidden="1">{"'Sheet1'!$L$16"}</definedName>
    <definedName name="_ban2" localSheetId="1" hidden="1">{"'Sheet1'!$L$16"}</definedName>
    <definedName name="_ban2" localSheetId="2" hidden="1">{"'Sheet1'!$L$16"}</definedName>
    <definedName name="_ban2" localSheetId="4" hidden="1">{"'Sheet1'!$L$16"}</definedName>
    <definedName name="_ban2" localSheetId="5" hidden="1">{"'Sheet1'!$L$16"}</definedName>
    <definedName name="_ban2" localSheetId="7" hidden="1">{"'Sheet1'!$L$16"}</definedName>
    <definedName name="_ban2" localSheetId="11" hidden="1">{"'Sheet1'!$L$16"}</definedName>
    <definedName name="_ban2" localSheetId="13" hidden="1">{"'Sheet1'!$L$16"}</definedName>
    <definedName name="_ban2" localSheetId="14" hidden="1">{"'Sheet1'!$L$16"}</definedName>
    <definedName name="_ban2" localSheetId="15" hidden="1">{"'Sheet1'!$L$16"}</definedName>
    <definedName name="_ban2" localSheetId="16" hidden="1">{"'Sheet1'!$L$16"}</definedName>
    <definedName name="_ban2" localSheetId="17" hidden="1">{"'Sheet1'!$L$16"}</definedName>
    <definedName name="_ban2" localSheetId="3" hidden="1">{"'Sheet1'!$L$16"}</definedName>
    <definedName name="_ban2" localSheetId="6" hidden="1">{"'Sheet1'!$L$16"}</definedName>
    <definedName name="_ban2" localSheetId="8" hidden="1">{"'Sheet1'!$L$16"}</definedName>
    <definedName name="_ban2" localSheetId="18" hidden="1">{"'Sheet1'!$L$16"}</definedName>
    <definedName name="_ban2" localSheetId="19" hidden="1">{"'Sheet1'!$L$16"}</definedName>
    <definedName name="_ban2" localSheetId="0" hidden="1">{"'Sheet1'!$L$16"}</definedName>
    <definedName name="_ban2" hidden="1">{"'Sheet1'!$L$16"}</definedName>
    <definedName name="_cep1" localSheetId="1" hidden="1">{"'Sheet1'!$L$16"}</definedName>
    <definedName name="_cep1" localSheetId="2" hidden="1">{"'Sheet1'!$L$16"}</definedName>
    <definedName name="_cep1" localSheetId="4" hidden="1">{"'Sheet1'!$L$16"}</definedName>
    <definedName name="_cep1" localSheetId="5" hidden="1">{"'Sheet1'!$L$16"}</definedName>
    <definedName name="_cep1" localSheetId="7" hidden="1">{"'Sheet1'!$L$16"}</definedName>
    <definedName name="_cep1" localSheetId="11" hidden="1">{"'Sheet1'!$L$16"}</definedName>
    <definedName name="_cep1" localSheetId="13" hidden="1">{"'Sheet1'!$L$16"}</definedName>
    <definedName name="_cep1" localSheetId="14" hidden="1">{"'Sheet1'!$L$16"}</definedName>
    <definedName name="_cep1" localSheetId="15" hidden="1">{"'Sheet1'!$L$16"}</definedName>
    <definedName name="_cep1" localSheetId="16" hidden="1">{"'Sheet1'!$L$16"}</definedName>
    <definedName name="_cep1" localSheetId="17" hidden="1">{"'Sheet1'!$L$16"}</definedName>
    <definedName name="_cep1" localSheetId="3" hidden="1">{"'Sheet1'!$L$16"}</definedName>
    <definedName name="_cep1" localSheetId="6" hidden="1">{"'Sheet1'!$L$16"}</definedName>
    <definedName name="_cep1" localSheetId="8" hidden="1">{"'Sheet1'!$L$16"}</definedName>
    <definedName name="_cep1" localSheetId="18" hidden="1">{"'Sheet1'!$L$16"}</definedName>
    <definedName name="_cep1" localSheetId="19" hidden="1">{"'Sheet1'!$L$16"}</definedName>
    <definedName name="_cep1" localSheetId="0" hidden="1">{"'Sheet1'!$L$16"}</definedName>
    <definedName name="_cep1" hidden="1">{"'Sheet1'!$L$16"}</definedName>
    <definedName name="_Coc39" localSheetId="1" hidden="1">{"'Sheet1'!$L$16"}</definedName>
    <definedName name="_Coc39" localSheetId="2" hidden="1">{"'Sheet1'!$L$16"}</definedName>
    <definedName name="_Coc39" localSheetId="4" hidden="1">{"'Sheet1'!$L$16"}</definedName>
    <definedName name="_Coc39" localSheetId="5" hidden="1">{"'Sheet1'!$L$16"}</definedName>
    <definedName name="_Coc39" localSheetId="7" hidden="1">{"'Sheet1'!$L$16"}</definedName>
    <definedName name="_Coc39" localSheetId="11" hidden="1">{"'Sheet1'!$L$16"}</definedName>
    <definedName name="_Coc39" localSheetId="13" hidden="1">{"'Sheet1'!$L$16"}</definedName>
    <definedName name="_Coc39" localSheetId="14" hidden="1">{"'Sheet1'!$L$16"}</definedName>
    <definedName name="_Coc39" localSheetId="15" hidden="1">{"'Sheet1'!$L$16"}</definedName>
    <definedName name="_Coc39" localSheetId="16" hidden="1">{"'Sheet1'!$L$16"}</definedName>
    <definedName name="_Coc39" localSheetId="17" hidden="1">{"'Sheet1'!$L$16"}</definedName>
    <definedName name="_Coc39" localSheetId="3" hidden="1">{"'Sheet1'!$L$16"}</definedName>
    <definedName name="_Coc39" localSheetId="6" hidden="1">{"'Sheet1'!$L$16"}</definedName>
    <definedName name="_Coc39" localSheetId="8" hidden="1">{"'Sheet1'!$L$16"}</definedName>
    <definedName name="_Coc39" localSheetId="18" hidden="1">{"'Sheet1'!$L$16"}</definedName>
    <definedName name="_Coc39" localSheetId="19" hidden="1">{"'Sheet1'!$L$16"}</definedName>
    <definedName name="_Coc39" localSheetId="0" hidden="1">{"'Sheet1'!$L$16"}</definedName>
    <definedName name="_Coc39" hidden="1">{"'Sheet1'!$L$16"}</definedName>
    <definedName name="_CON1" localSheetId="14">#REF!</definedName>
    <definedName name="_CON1" localSheetId="17">#REF!</definedName>
    <definedName name="_CON1">#REF!</definedName>
    <definedName name="_CON2" localSheetId="14">#REF!</definedName>
    <definedName name="_CON2" localSheetId="17">#REF!</definedName>
    <definedName name="_CON2">#REF!</definedName>
    <definedName name="_Fill" localSheetId="7">#REF!</definedName>
    <definedName name="_Fill" localSheetId="12" hidden="1">#REF!</definedName>
    <definedName name="_Fill" localSheetId="14">#REF!</definedName>
    <definedName name="_Fill" localSheetId="17" hidden="1">#REF!</definedName>
    <definedName name="_Fill" localSheetId="19" hidden="1">#REF!</definedName>
    <definedName name="_Fill">#REF!</definedName>
    <definedName name="_xlnm._FilterDatabase" localSheetId="1" hidden="1">'Bieu 01 TT'!$A$100:$H$134</definedName>
    <definedName name="_xlnm._FilterDatabase" localSheetId="2" hidden="1">'Bieu 02 TT'!$A$27:$CS$119</definedName>
    <definedName name="_xlnm._FilterDatabase" localSheetId="12" hidden="1">'Bieu 07 TT'!$A$1:$AG$1130</definedName>
    <definedName name="_Goi8" localSheetId="1" hidden="1">{"'Sheet1'!$L$16"}</definedName>
    <definedName name="_Goi8" localSheetId="2" hidden="1">{"'Sheet1'!$L$16"}</definedName>
    <definedName name="_Goi8" localSheetId="4" hidden="1">{"'Sheet1'!$L$16"}</definedName>
    <definedName name="_Goi8" localSheetId="5" hidden="1">{"'Sheet1'!$L$16"}</definedName>
    <definedName name="_Goi8" localSheetId="7" hidden="1">{"'Sheet1'!$L$16"}</definedName>
    <definedName name="_Goi8" localSheetId="11" hidden="1">{"'Sheet1'!$L$16"}</definedName>
    <definedName name="_Goi8" localSheetId="13" hidden="1">{"'Sheet1'!$L$16"}</definedName>
    <definedName name="_Goi8" localSheetId="14" hidden="1">{"'Sheet1'!$L$16"}</definedName>
    <definedName name="_Goi8" localSheetId="15" hidden="1">{"'Sheet1'!$L$16"}</definedName>
    <definedName name="_Goi8" localSheetId="16" hidden="1">{"'Sheet1'!$L$16"}</definedName>
    <definedName name="_Goi8" localSheetId="17" hidden="1">{"'Sheet1'!$L$16"}</definedName>
    <definedName name="_Goi8" localSheetId="3" hidden="1">{"'Sheet1'!$L$16"}</definedName>
    <definedName name="_Goi8" localSheetId="6" hidden="1">{"'Sheet1'!$L$16"}</definedName>
    <definedName name="_Goi8" localSheetId="8" hidden="1">{"'Sheet1'!$L$16"}</definedName>
    <definedName name="_Goi8" localSheetId="18" hidden="1">{"'Sheet1'!$L$16"}</definedName>
    <definedName name="_Goi8" localSheetId="19" hidden="1">{"'Sheet1'!$L$16"}</definedName>
    <definedName name="_Goi8" localSheetId="0" hidden="1">{"'Sheet1'!$L$16"}</definedName>
    <definedName name="_Goi8" hidden="1">{"'Sheet1'!$L$16"}</definedName>
    <definedName name="_h1" localSheetId="1" hidden="1">{"'Sheet1'!$L$16"}</definedName>
    <definedName name="_h1" localSheetId="4" hidden="1">{"'Sheet1'!$L$16"}</definedName>
    <definedName name="_h1" localSheetId="5" hidden="1">{"'Sheet1'!$L$16"}</definedName>
    <definedName name="_h1" localSheetId="13" hidden="1">{"'Sheet1'!$L$16"}</definedName>
    <definedName name="_h1" localSheetId="14" hidden="1">{"'Sheet1'!$L$16"}</definedName>
    <definedName name="_h1" localSheetId="15" hidden="1">{"'Sheet1'!$L$16"}</definedName>
    <definedName name="_h1" localSheetId="16" hidden="1">{"'Sheet1'!$L$16"}</definedName>
    <definedName name="_h1" localSheetId="17" hidden="1">{"'Sheet1'!$L$16"}</definedName>
    <definedName name="_h1" localSheetId="3" hidden="1">{"'Sheet1'!$L$16"}</definedName>
    <definedName name="_h1" localSheetId="6" hidden="1">{"'Sheet1'!$L$16"}</definedName>
    <definedName name="_h1" localSheetId="8" hidden="1">{"'Sheet1'!$L$16"}</definedName>
    <definedName name="_h1" localSheetId="19" hidden="1">{"'Sheet1'!$L$16"}</definedName>
    <definedName name="_h1" hidden="1">{"'Sheet1'!$L$16"}</definedName>
    <definedName name="_h10" localSheetId="1" hidden="1">{#N/A,#N/A,FALSE,"Chi tiÆt"}</definedName>
    <definedName name="_h10" localSheetId="4" hidden="1">{#N/A,#N/A,FALSE,"Chi tiÆt"}</definedName>
    <definedName name="_h10" localSheetId="5" hidden="1">{#N/A,#N/A,FALSE,"Chi tiÆt"}</definedName>
    <definedName name="_h10" localSheetId="13" hidden="1">{#N/A,#N/A,FALSE,"Chi tiÆt"}</definedName>
    <definedName name="_h10" localSheetId="14" hidden="1">{#N/A,#N/A,FALSE,"Chi tiÆt"}</definedName>
    <definedName name="_h10" localSheetId="15" hidden="1">{#N/A,#N/A,FALSE,"Chi tiÆt"}</definedName>
    <definedName name="_h10" localSheetId="16" hidden="1">{#N/A,#N/A,FALSE,"Chi tiÆt"}</definedName>
    <definedName name="_h10" localSheetId="17" hidden="1">{#N/A,#N/A,FALSE,"Chi tiÆt"}</definedName>
    <definedName name="_h10" localSheetId="3" hidden="1">{#N/A,#N/A,FALSE,"Chi tiÆt"}</definedName>
    <definedName name="_h10" localSheetId="6" hidden="1">{#N/A,#N/A,FALSE,"Chi tiÆt"}</definedName>
    <definedName name="_h10" localSheetId="8" hidden="1">{#N/A,#N/A,FALSE,"Chi tiÆt"}</definedName>
    <definedName name="_h10" localSheetId="19" hidden="1">{#N/A,#N/A,FALSE,"Chi tiÆt"}</definedName>
    <definedName name="_h10" hidden="1">{#N/A,#N/A,FALSE,"Chi tiÆt"}</definedName>
    <definedName name="_h2" localSheetId="1" hidden="1">{"'Sheet1'!$L$16"}</definedName>
    <definedName name="_h2" localSheetId="4" hidden="1">{"'Sheet1'!$L$16"}</definedName>
    <definedName name="_h2" localSheetId="5" hidden="1">{"'Sheet1'!$L$16"}</definedName>
    <definedName name="_h2" localSheetId="13" hidden="1">{"'Sheet1'!$L$16"}</definedName>
    <definedName name="_h2" localSheetId="14" hidden="1">{"'Sheet1'!$L$16"}</definedName>
    <definedName name="_h2" localSheetId="15" hidden="1">{"'Sheet1'!$L$16"}</definedName>
    <definedName name="_h2" localSheetId="16" hidden="1">{"'Sheet1'!$L$16"}</definedName>
    <definedName name="_h2" localSheetId="17" hidden="1">{"'Sheet1'!$L$16"}</definedName>
    <definedName name="_h2" localSheetId="3" hidden="1">{"'Sheet1'!$L$16"}</definedName>
    <definedName name="_h2" localSheetId="6" hidden="1">{"'Sheet1'!$L$16"}</definedName>
    <definedName name="_h2" localSheetId="8" hidden="1">{"'Sheet1'!$L$16"}</definedName>
    <definedName name="_h2" localSheetId="19" hidden="1">{"'Sheet1'!$L$16"}</definedName>
    <definedName name="_h2" hidden="1">{"'Sheet1'!$L$16"}</definedName>
    <definedName name="_h3" localSheetId="1" hidden="1">{"'Sheet1'!$L$16"}</definedName>
    <definedName name="_h3" localSheetId="4" hidden="1">{"'Sheet1'!$L$16"}</definedName>
    <definedName name="_h3" localSheetId="5" hidden="1">{"'Sheet1'!$L$16"}</definedName>
    <definedName name="_h3" localSheetId="13" hidden="1">{"'Sheet1'!$L$16"}</definedName>
    <definedName name="_h3" localSheetId="14" hidden="1">{"'Sheet1'!$L$16"}</definedName>
    <definedName name="_h3" localSheetId="15" hidden="1">{"'Sheet1'!$L$16"}</definedName>
    <definedName name="_h3" localSheetId="16" hidden="1">{"'Sheet1'!$L$16"}</definedName>
    <definedName name="_h3" localSheetId="17" hidden="1">{"'Sheet1'!$L$16"}</definedName>
    <definedName name="_h3" localSheetId="3" hidden="1">{"'Sheet1'!$L$16"}</definedName>
    <definedName name="_h3" localSheetId="6" hidden="1">{"'Sheet1'!$L$16"}</definedName>
    <definedName name="_h3" localSheetId="8" hidden="1">{"'Sheet1'!$L$16"}</definedName>
    <definedName name="_h3" localSheetId="19" hidden="1">{"'Sheet1'!$L$16"}</definedName>
    <definedName name="_h3" hidden="1">{"'Sheet1'!$L$16"}</definedName>
    <definedName name="_h5" localSheetId="1" hidden="1">{"'Sheet1'!$L$16"}</definedName>
    <definedName name="_h5" localSheetId="4" hidden="1">{"'Sheet1'!$L$16"}</definedName>
    <definedName name="_h5" localSheetId="5" hidden="1">{"'Sheet1'!$L$16"}</definedName>
    <definedName name="_h5" localSheetId="13" hidden="1">{"'Sheet1'!$L$16"}</definedName>
    <definedName name="_h5" localSheetId="14" hidden="1">{"'Sheet1'!$L$16"}</definedName>
    <definedName name="_h5" localSheetId="15" hidden="1">{"'Sheet1'!$L$16"}</definedName>
    <definedName name="_h5" localSheetId="16" hidden="1">{"'Sheet1'!$L$16"}</definedName>
    <definedName name="_h5" localSheetId="17" hidden="1">{"'Sheet1'!$L$16"}</definedName>
    <definedName name="_h5" localSheetId="3" hidden="1">{"'Sheet1'!$L$16"}</definedName>
    <definedName name="_h5" localSheetId="6" hidden="1">{"'Sheet1'!$L$16"}</definedName>
    <definedName name="_h5" localSheetId="8" hidden="1">{"'Sheet1'!$L$16"}</definedName>
    <definedName name="_h5" localSheetId="19" hidden="1">{"'Sheet1'!$L$16"}</definedName>
    <definedName name="_h5" hidden="1">{"'Sheet1'!$L$16"}</definedName>
    <definedName name="_h6" localSheetId="1" hidden="1">{"'Sheet1'!$L$16"}</definedName>
    <definedName name="_h6" localSheetId="4" hidden="1">{"'Sheet1'!$L$16"}</definedName>
    <definedName name="_h6" localSheetId="5" hidden="1">{"'Sheet1'!$L$16"}</definedName>
    <definedName name="_h6" localSheetId="13" hidden="1">{"'Sheet1'!$L$16"}</definedName>
    <definedName name="_h6" localSheetId="14" hidden="1">{"'Sheet1'!$L$16"}</definedName>
    <definedName name="_h6" localSheetId="15" hidden="1">{"'Sheet1'!$L$16"}</definedName>
    <definedName name="_h6" localSheetId="16" hidden="1">{"'Sheet1'!$L$16"}</definedName>
    <definedName name="_h6" localSheetId="17" hidden="1">{"'Sheet1'!$L$16"}</definedName>
    <definedName name="_h6" localSheetId="3" hidden="1">{"'Sheet1'!$L$16"}</definedName>
    <definedName name="_h6" localSheetId="6" hidden="1">{"'Sheet1'!$L$16"}</definedName>
    <definedName name="_h6" localSheetId="8" hidden="1">{"'Sheet1'!$L$16"}</definedName>
    <definedName name="_h6" localSheetId="19" hidden="1">{"'Sheet1'!$L$16"}</definedName>
    <definedName name="_h6" hidden="1">{"'Sheet1'!$L$16"}</definedName>
    <definedName name="_h7" localSheetId="1" hidden="1">{"'Sheet1'!$L$16"}</definedName>
    <definedName name="_h7" localSheetId="4" hidden="1">{"'Sheet1'!$L$16"}</definedName>
    <definedName name="_h7" localSheetId="5" hidden="1">{"'Sheet1'!$L$16"}</definedName>
    <definedName name="_h7" localSheetId="13" hidden="1">{"'Sheet1'!$L$16"}</definedName>
    <definedName name="_h7" localSheetId="14" hidden="1">{"'Sheet1'!$L$16"}</definedName>
    <definedName name="_h7" localSheetId="15" hidden="1">{"'Sheet1'!$L$16"}</definedName>
    <definedName name="_h7" localSheetId="16" hidden="1">{"'Sheet1'!$L$16"}</definedName>
    <definedName name="_h7" localSheetId="17" hidden="1">{"'Sheet1'!$L$16"}</definedName>
    <definedName name="_h7" localSheetId="3" hidden="1">{"'Sheet1'!$L$16"}</definedName>
    <definedName name="_h7" localSheetId="6" hidden="1">{"'Sheet1'!$L$16"}</definedName>
    <definedName name="_h7" localSheetId="8" hidden="1">{"'Sheet1'!$L$16"}</definedName>
    <definedName name="_h7" localSheetId="19" hidden="1">{"'Sheet1'!$L$16"}</definedName>
    <definedName name="_h7" hidden="1">{"'Sheet1'!$L$16"}</definedName>
    <definedName name="_h8" localSheetId="1" hidden="1">{"'Sheet1'!$L$16"}</definedName>
    <definedName name="_h8" localSheetId="4" hidden="1">{"'Sheet1'!$L$16"}</definedName>
    <definedName name="_h8" localSheetId="5" hidden="1">{"'Sheet1'!$L$16"}</definedName>
    <definedName name="_h8" localSheetId="13" hidden="1">{"'Sheet1'!$L$16"}</definedName>
    <definedName name="_h8" localSheetId="14" hidden="1">{"'Sheet1'!$L$16"}</definedName>
    <definedName name="_h8" localSheetId="15" hidden="1">{"'Sheet1'!$L$16"}</definedName>
    <definedName name="_h8" localSheetId="16" hidden="1">{"'Sheet1'!$L$16"}</definedName>
    <definedName name="_h8" localSheetId="17" hidden="1">{"'Sheet1'!$L$16"}</definedName>
    <definedName name="_h8" localSheetId="3" hidden="1">{"'Sheet1'!$L$16"}</definedName>
    <definedName name="_h8" localSheetId="6" hidden="1">{"'Sheet1'!$L$16"}</definedName>
    <definedName name="_h8" localSheetId="8" hidden="1">{"'Sheet1'!$L$16"}</definedName>
    <definedName name="_h8" localSheetId="19" hidden="1">{"'Sheet1'!$L$16"}</definedName>
    <definedName name="_h8" hidden="1">{"'Sheet1'!$L$16"}</definedName>
    <definedName name="_h9" localSheetId="1" hidden="1">{"'Sheet1'!$L$16"}</definedName>
    <definedName name="_h9" localSheetId="4" hidden="1">{"'Sheet1'!$L$16"}</definedName>
    <definedName name="_h9" localSheetId="5" hidden="1">{"'Sheet1'!$L$16"}</definedName>
    <definedName name="_h9" localSheetId="13" hidden="1">{"'Sheet1'!$L$16"}</definedName>
    <definedName name="_h9" localSheetId="14" hidden="1">{"'Sheet1'!$L$16"}</definedName>
    <definedName name="_h9" localSheetId="15" hidden="1">{"'Sheet1'!$L$16"}</definedName>
    <definedName name="_h9" localSheetId="16" hidden="1">{"'Sheet1'!$L$16"}</definedName>
    <definedName name="_h9" localSheetId="17" hidden="1">{"'Sheet1'!$L$16"}</definedName>
    <definedName name="_h9" localSheetId="3" hidden="1">{"'Sheet1'!$L$16"}</definedName>
    <definedName name="_h9" localSheetId="6" hidden="1">{"'Sheet1'!$L$16"}</definedName>
    <definedName name="_h9" localSheetId="8" hidden="1">{"'Sheet1'!$L$16"}</definedName>
    <definedName name="_h9" localSheetId="19" hidden="1">{"'Sheet1'!$L$16"}</definedName>
    <definedName name="_h9" hidden="1">{"'Sheet1'!$L$16"}</definedName>
    <definedName name="_HUY1" localSheetId="1" hidden="1">{"'Sheet1'!$L$16"}</definedName>
    <definedName name="_HUY1" localSheetId="2" hidden="1">{"'Sheet1'!$L$16"}</definedName>
    <definedName name="_HUY1" localSheetId="4" hidden="1">{"'Sheet1'!$L$16"}</definedName>
    <definedName name="_HUY1" localSheetId="5" hidden="1">{"'Sheet1'!$L$16"}</definedName>
    <definedName name="_HUY1" localSheetId="7" hidden="1">{"'Sheet1'!$L$16"}</definedName>
    <definedName name="_HUY1" localSheetId="11" hidden="1">{"'Sheet1'!$L$16"}</definedName>
    <definedName name="_HUY1" localSheetId="13" hidden="1">{"'Sheet1'!$L$16"}</definedName>
    <definedName name="_HUY1" localSheetId="14" hidden="1">{"'Sheet1'!$L$16"}</definedName>
    <definedName name="_HUY1" localSheetId="15" hidden="1">{"'Sheet1'!$L$16"}</definedName>
    <definedName name="_HUY1" localSheetId="16" hidden="1">{"'Sheet1'!$L$16"}</definedName>
    <definedName name="_HUY1" localSheetId="17" hidden="1">{"'Sheet1'!$L$16"}</definedName>
    <definedName name="_HUY1" localSheetId="3" hidden="1">{"'Sheet1'!$L$16"}</definedName>
    <definedName name="_HUY1" localSheetId="6" hidden="1">{"'Sheet1'!$L$16"}</definedName>
    <definedName name="_HUY1" localSheetId="8" hidden="1">{"'Sheet1'!$L$16"}</definedName>
    <definedName name="_HUY1" localSheetId="18" hidden="1">{"'Sheet1'!$L$16"}</definedName>
    <definedName name="_HUY1" localSheetId="19" hidden="1">{"'Sheet1'!$L$16"}</definedName>
    <definedName name="_HUY1" localSheetId="0" hidden="1">{"'Sheet1'!$L$16"}</definedName>
    <definedName name="_HUY1" hidden="1">{"'Sheet1'!$L$16"}</definedName>
    <definedName name="_HUY2" localSheetId="1" hidden="1">{"'Sheet1'!$L$16"}</definedName>
    <definedName name="_HUY2" localSheetId="2" hidden="1">{"'Sheet1'!$L$16"}</definedName>
    <definedName name="_HUY2" localSheetId="4" hidden="1">{"'Sheet1'!$L$16"}</definedName>
    <definedName name="_HUY2" localSheetId="5" hidden="1">{"'Sheet1'!$L$16"}</definedName>
    <definedName name="_HUY2" localSheetId="7" hidden="1">{"'Sheet1'!$L$16"}</definedName>
    <definedName name="_HUY2" localSheetId="11" hidden="1">{"'Sheet1'!$L$16"}</definedName>
    <definedName name="_HUY2" localSheetId="13" hidden="1">{"'Sheet1'!$L$16"}</definedName>
    <definedName name="_HUY2" localSheetId="14" hidden="1">{"'Sheet1'!$L$16"}</definedName>
    <definedName name="_HUY2" localSheetId="15" hidden="1">{"'Sheet1'!$L$16"}</definedName>
    <definedName name="_HUY2" localSheetId="16" hidden="1">{"'Sheet1'!$L$16"}</definedName>
    <definedName name="_HUY2" localSheetId="17" hidden="1">{"'Sheet1'!$L$16"}</definedName>
    <definedName name="_HUY2" localSheetId="3" hidden="1">{"'Sheet1'!$L$16"}</definedName>
    <definedName name="_HUY2" localSheetId="6" hidden="1">{"'Sheet1'!$L$16"}</definedName>
    <definedName name="_HUY2" localSheetId="8" hidden="1">{"'Sheet1'!$L$16"}</definedName>
    <definedName name="_HUY2" localSheetId="18" hidden="1">{"'Sheet1'!$L$16"}</definedName>
    <definedName name="_HUY2" localSheetId="19" hidden="1">{"'Sheet1'!$L$16"}</definedName>
    <definedName name="_HUY2" localSheetId="0" hidden="1">{"'Sheet1'!$L$16"}</definedName>
    <definedName name="_HUY2" hidden="1">{"'Sheet1'!$L$16"}</definedName>
    <definedName name="_Key1" localSheetId="1" hidden="1">#REF!</definedName>
    <definedName name="_Key1" localSheetId="5" hidden="1">#REF!</definedName>
    <definedName name="_Key1" localSheetId="7"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hidden="1">#REF!</definedName>
    <definedName name="_Key2" localSheetId="1" hidden="1">#REF!</definedName>
    <definedName name="_Key2" localSheetId="5" hidden="1">#REF!</definedName>
    <definedName name="_Key2" localSheetId="7"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9" hidden="1">#REF!</definedName>
    <definedName name="_Key2" hidden="1">#REF!</definedName>
    <definedName name="_Lan1" localSheetId="1" hidden="1">{"'Sheet1'!$L$16"}</definedName>
    <definedName name="_Lan1" localSheetId="2" hidden="1">{"'Sheet1'!$L$16"}</definedName>
    <definedName name="_Lan1" localSheetId="4" hidden="1">{"'Sheet1'!$L$16"}</definedName>
    <definedName name="_Lan1" localSheetId="5" hidden="1">{"'Sheet1'!$L$16"}</definedName>
    <definedName name="_Lan1" localSheetId="7" hidden="1">{"'Sheet1'!$L$16"}</definedName>
    <definedName name="_Lan1" localSheetId="11" hidden="1">{"'Sheet1'!$L$16"}</definedName>
    <definedName name="_Lan1" localSheetId="13" hidden="1">{"'Sheet1'!$L$16"}</definedName>
    <definedName name="_Lan1" localSheetId="14" hidden="1">{"'Sheet1'!$L$16"}</definedName>
    <definedName name="_Lan1" localSheetId="15" hidden="1">{"'Sheet1'!$L$16"}</definedName>
    <definedName name="_Lan1" localSheetId="16" hidden="1">{"'Sheet1'!$L$16"}</definedName>
    <definedName name="_Lan1" localSheetId="17" hidden="1">{"'Sheet1'!$L$16"}</definedName>
    <definedName name="_Lan1" localSheetId="3" hidden="1">{"'Sheet1'!$L$16"}</definedName>
    <definedName name="_Lan1" localSheetId="6" hidden="1">{"'Sheet1'!$L$16"}</definedName>
    <definedName name="_Lan1" localSheetId="8" hidden="1">{"'Sheet1'!$L$16"}</definedName>
    <definedName name="_Lan1" localSheetId="18" hidden="1">{"'Sheet1'!$L$16"}</definedName>
    <definedName name="_Lan1" localSheetId="19" hidden="1">{"'Sheet1'!$L$16"}</definedName>
    <definedName name="_Lan1" localSheetId="0" hidden="1">{"'Sheet1'!$L$16"}</definedName>
    <definedName name="_Lan1" hidden="1">{"'Sheet1'!$L$16"}</definedName>
    <definedName name="_LAN3" localSheetId="1" hidden="1">{"'Sheet1'!$L$16"}</definedName>
    <definedName name="_LAN3" localSheetId="2" hidden="1">{"'Sheet1'!$L$16"}</definedName>
    <definedName name="_LAN3" localSheetId="4" hidden="1">{"'Sheet1'!$L$16"}</definedName>
    <definedName name="_LAN3" localSheetId="5" hidden="1">{"'Sheet1'!$L$16"}</definedName>
    <definedName name="_LAN3" localSheetId="7" hidden="1">{"'Sheet1'!$L$16"}</definedName>
    <definedName name="_LAN3" localSheetId="11" hidden="1">{"'Sheet1'!$L$16"}</definedName>
    <definedName name="_LAN3" localSheetId="13" hidden="1">{"'Sheet1'!$L$16"}</definedName>
    <definedName name="_LAN3" localSheetId="14" hidden="1">{"'Sheet1'!$L$16"}</definedName>
    <definedName name="_LAN3" localSheetId="15" hidden="1">{"'Sheet1'!$L$16"}</definedName>
    <definedName name="_LAN3" localSheetId="16" hidden="1">{"'Sheet1'!$L$16"}</definedName>
    <definedName name="_LAN3" localSheetId="17" hidden="1">{"'Sheet1'!$L$16"}</definedName>
    <definedName name="_LAN3" localSheetId="3" hidden="1">{"'Sheet1'!$L$16"}</definedName>
    <definedName name="_LAN3" localSheetId="6" hidden="1">{"'Sheet1'!$L$16"}</definedName>
    <definedName name="_LAN3" localSheetId="8" hidden="1">{"'Sheet1'!$L$16"}</definedName>
    <definedName name="_LAN3" localSheetId="18" hidden="1">{"'Sheet1'!$L$16"}</definedName>
    <definedName name="_LAN3" localSheetId="19" hidden="1">{"'Sheet1'!$L$16"}</definedName>
    <definedName name="_LAN3" localSheetId="0" hidden="1">{"'Sheet1'!$L$16"}</definedName>
    <definedName name="_LAN3" hidden="1">{"'Sheet1'!$L$16"}</definedName>
    <definedName name="_lap1" localSheetId="14">#REF!</definedName>
    <definedName name="_lap1" localSheetId="17">#REF!</definedName>
    <definedName name="_lap1">#REF!</definedName>
    <definedName name="_lap2" localSheetId="14">#REF!</definedName>
    <definedName name="_lap2" localSheetId="17">#REF!</definedName>
    <definedName name="_lap2">#REF!</definedName>
    <definedName name="_lk2" localSheetId="1" hidden="1">{"'Sheet1'!$L$16"}</definedName>
    <definedName name="_lk2" localSheetId="2" hidden="1">{"'Sheet1'!$L$16"}</definedName>
    <definedName name="_lk2" localSheetId="4" hidden="1">{"'Sheet1'!$L$16"}</definedName>
    <definedName name="_lk2" localSheetId="5" hidden="1">{"'Sheet1'!$L$16"}</definedName>
    <definedName name="_lk2" localSheetId="7" hidden="1">{"'Sheet1'!$L$16"}</definedName>
    <definedName name="_lk2" localSheetId="11" hidden="1">{"'Sheet1'!$L$16"}</definedName>
    <definedName name="_lk2" localSheetId="13" hidden="1">{"'Sheet1'!$L$16"}</definedName>
    <definedName name="_lk2" localSheetId="14" hidden="1">{"'Sheet1'!$L$16"}</definedName>
    <definedName name="_lk2" localSheetId="15" hidden="1">{"'Sheet1'!$L$16"}</definedName>
    <definedName name="_lk2" localSheetId="16" hidden="1">{"'Sheet1'!$L$16"}</definedName>
    <definedName name="_lk2" localSheetId="17" hidden="1">{"'Sheet1'!$L$16"}</definedName>
    <definedName name="_lk2" localSheetId="3" hidden="1">{"'Sheet1'!$L$16"}</definedName>
    <definedName name="_lk2" localSheetId="6" hidden="1">{"'Sheet1'!$L$16"}</definedName>
    <definedName name="_lk2" localSheetId="8" hidden="1">{"'Sheet1'!$L$16"}</definedName>
    <definedName name="_lk2" localSheetId="18" hidden="1">{"'Sheet1'!$L$16"}</definedName>
    <definedName name="_lk2" localSheetId="19" hidden="1">{"'Sheet1'!$L$16"}</definedName>
    <definedName name="_lk2" localSheetId="0" hidden="1">{"'Sheet1'!$L$16"}</definedName>
    <definedName name="_lk2" hidden="1">{"'Sheet1'!$L$16"}</definedName>
    <definedName name="_NET2" localSheetId="14">#REF!</definedName>
    <definedName name="_NET2" localSheetId="17">#REF!</definedName>
    <definedName name="_NET2">#REF!</definedName>
    <definedName name="_NSO2" localSheetId="1" hidden="1">{"'Sheet1'!$L$16"}</definedName>
    <definedName name="_NSO2" localSheetId="2" hidden="1">{"'Sheet1'!$L$16"}</definedName>
    <definedName name="_NSO2" localSheetId="4" hidden="1">{"'Sheet1'!$L$16"}</definedName>
    <definedName name="_NSO2" localSheetId="5" hidden="1">{"'Sheet1'!$L$16"}</definedName>
    <definedName name="_NSO2" localSheetId="7" hidden="1">{"'Sheet1'!$L$16"}</definedName>
    <definedName name="_NSO2" localSheetId="11" hidden="1">{"'Sheet1'!$L$16"}</definedName>
    <definedName name="_NSO2" localSheetId="13" hidden="1">{"'Sheet1'!$L$16"}</definedName>
    <definedName name="_NSO2" localSheetId="14" hidden="1">{"'Sheet1'!$L$16"}</definedName>
    <definedName name="_NSO2" localSheetId="15" hidden="1">{"'Sheet1'!$L$16"}</definedName>
    <definedName name="_NSO2" localSheetId="16" hidden="1">{"'Sheet1'!$L$16"}</definedName>
    <definedName name="_NSO2" localSheetId="17" hidden="1">{"'Sheet1'!$L$16"}</definedName>
    <definedName name="_NSO2" localSheetId="3" hidden="1">{"'Sheet1'!$L$16"}</definedName>
    <definedName name="_NSO2" localSheetId="6" hidden="1">{"'Sheet1'!$L$16"}</definedName>
    <definedName name="_NSO2" localSheetId="8" hidden="1">{"'Sheet1'!$L$16"}</definedName>
    <definedName name="_NSO2" localSheetId="18" hidden="1">{"'Sheet1'!$L$16"}</definedName>
    <definedName name="_NSO2" localSheetId="19" hidden="1">{"'Sheet1'!$L$16"}</definedName>
    <definedName name="_NSO2" localSheetId="0" hidden="1">{"'Sheet1'!$L$16"}</definedName>
    <definedName name="_NSO2" hidden="1">{"'Sheet1'!$L$16"}</definedName>
    <definedName name="_Order1" hidden="1">255</definedName>
    <definedName name="_Order2" hidden="1">255</definedName>
    <definedName name="_PA3" localSheetId="1" hidden="1">{"'Sheet1'!$L$16"}</definedName>
    <definedName name="_PA3" localSheetId="2" hidden="1">{"'Sheet1'!$L$16"}</definedName>
    <definedName name="_PA3" localSheetId="4" hidden="1">{"'Sheet1'!$L$16"}</definedName>
    <definedName name="_PA3" localSheetId="5" hidden="1">{"'Sheet1'!$L$16"}</definedName>
    <definedName name="_PA3" localSheetId="7" hidden="1">{"'Sheet1'!$L$16"}</definedName>
    <definedName name="_PA3" localSheetId="11" hidden="1">{"'Sheet1'!$L$16"}</definedName>
    <definedName name="_PA3" localSheetId="13" hidden="1">{"'Sheet1'!$L$16"}</definedName>
    <definedName name="_PA3" localSheetId="14" hidden="1">{"'Sheet1'!$L$16"}</definedName>
    <definedName name="_PA3" localSheetId="15" hidden="1">{"'Sheet1'!$L$16"}</definedName>
    <definedName name="_PA3" localSheetId="16" hidden="1">{"'Sheet1'!$L$16"}</definedName>
    <definedName name="_PA3" localSheetId="17" hidden="1">{"'Sheet1'!$L$16"}</definedName>
    <definedName name="_PA3" localSheetId="3" hidden="1">{"'Sheet1'!$L$16"}</definedName>
    <definedName name="_PA3" localSheetId="6" hidden="1">{"'Sheet1'!$L$16"}</definedName>
    <definedName name="_PA3" localSheetId="8" hidden="1">{"'Sheet1'!$L$16"}</definedName>
    <definedName name="_PA3" localSheetId="18" hidden="1">{"'Sheet1'!$L$16"}</definedName>
    <definedName name="_PA3" localSheetId="19" hidden="1">{"'Sheet1'!$L$16"}</definedName>
    <definedName name="_PA3" localSheetId="0" hidden="1">{"'Sheet1'!$L$16"}</definedName>
    <definedName name="_PA3" hidden="1">{"'Sheet1'!$L$16"}</definedName>
    <definedName name="_Pl2" localSheetId="1" hidden="1">{"'Sheet1'!$L$16"}</definedName>
    <definedName name="_Pl2" localSheetId="2" hidden="1">{"'Sheet1'!$L$16"}</definedName>
    <definedName name="_Pl2" localSheetId="4" hidden="1">{"'Sheet1'!$L$16"}</definedName>
    <definedName name="_Pl2" localSheetId="5" hidden="1">{"'Sheet1'!$L$16"}</definedName>
    <definedName name="_Pl2" localSheetId="7" hidden="1">{"'Sheet1'!$L$16"}</definedName>
    <definedName name="_Pl2" localSheetId="11" hidden="1">{"'Sheet1'!$L$16"}</definedName>
    <definedName name="_Pl2" localSheetId="13" hidden="1">{"'Sheet1'!$L$16"}</definedName>
    <definedName name="_Pl2" localSheetId="14" hidden="1">{"'Sheet1'!$L$16"}</definedName>
    <definedName name="_Pl2" localSheetId="15" hidden="1">{"'Sheet1'!$L$16"}</definedName>
    <definedName name="_Pl2" localSheetId="16" hidden="1">{"'Sheet1'!$L$16"}</definedName>
    <definedName name="_Pl2" localSheetId="17" hidden="1">{"'Sheet1'!$L$16"}</definedName>
    <definedName name="_Pl2" localSheetId="3" hidden="1">{"'Sheet1'!$L$16"}</definedName>
    <definedName name="_Pl2" localSheetId="6" hidden="1">{"'Sheet1'!$L$16"}</definedName>
    <definedName name="_Pl2" localSheetId="8" hidden="1">{"'Sheet1'!$L$16"}</definedName>
    <definedName name="_Pl2" localSheetId="18" hidden="1">{"'Sheet1'!$L$16"}</definedName>
    <definedName name="_Pl2" localSheetId="19" hidden="1">{"'Sheet1'!$L$16"}</definedName>
    <definedName name="_Pl2" localSheetId="0" hidden="1">{"'Sheet1'!$L$16"}</definedName>
    <definedName name="_Pl2" hidden="1">{"'Sheet1'!$L$16"}</definedName>
    <definedName name="_Sort" localSheetId="1" hidden="1">#REF!</definedName>
    <definedName name="_Sort" localSheetId="5" hidden="1">#REF!</definedName>
    <definedName name="_Sort" localSheetId="7"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hidden="1">#REF!</definedName>
    <definedName name="_TK155" localSheetId="14">#REF!</definedName>
    <definedName name="_TK155" localSheetId="17">#REF!</definedName>
    <definedName name="_TK155">#REF!</definedName>
    <definedName name="_TK422" localSheetId="14">#REF!</definedName>
    <definedName name="_TK422" localSheetId="17">#REF!</definedName>
    <definedName name="_TK422">#REF!</definedName>
    <definedName name="_Tru21" localSheetId="1" hidden="1">{"'Sheet1'!$L$16"}</definedName>
    <definedName name="_Tru21" localSheetId="2" hidden="1">{"'Sheet1'!$L$16"}</definedName>
    <definedName name="_Tru21" localSheetId="4" hidden="1">{"'Sheet1'!$L$16"}</definedName>
    <definedName name="_Tru21" localSheetId="5" hidden="1">{"'Sheet1'!$L$16"}</definedName>
    <definedName name="_Tru21" localSheetId="7" hidden="1">{"'Sheet1'!$L$16"}</definedName>
    <definedName name="_Tru21" localSheetId="11" hidden="1">{"'Sheet1'!$L$16"}</definedName>
    <definedName name="_Tru21" localSheetId="13" hidden="1">{"'Sheet1'!$L$16"}</definedName>
    <definedName name="_Tru21" localSheetId="14" hidden="1">{"'Sheet1'!$L$16"}</definedName>
    <definedName name="_Tru21" localSheetId="15" hidden="1">{"'Sheet1'!$L$16"}</definedName>
    <definedName name="_Tru21" localSheetId="16" hidden="1">{"'Sheet1'!$L$16"}</definedName>
    <definedName name="_Tru21" localSheetId="17" hidden="1">{"'Sheet1'!$L$16"}</definedName>
    <definedName name="_Tru21" localSheetId="3" hidden="1">{"'Sheet1'!$L$16"}</definedName>
    <definedName name="_Tru21" localSheetId="6" hidden="1">{"'Sheet1'!$L$16"}</definedName>
    <definedName name="_Tru21" localSheetId="8" hidden="1">{"'Sheet1'!$L$16"}</definedName>
    <definedName name="_Tru21" localSheetId="18" hidden="1">{"'Sheet1'!$L$16"}</definedName>
    <definedName name="_Tru21" localSheetId="19" hidden="1">{"'Sheet1'!$L$16"}</definedName>
    <definedName name="_Tru21" localSheetId="0" hidden="1">{"'Sheet1'!$L$16"}</definedName>
    <definedName name="_Tru21" hidden="1">{"'Sheet1'!$L$16"}</definedName>
    <definedName name="_tt3" localSheetId="1" hidden="1">{"'Sheet1'!$L$16"}</definedName>
    <definedName name="_tt3" localSheetId="2" hidden="1">{"'Sheet1'!$L$16"}</definedName>
    <definedName name="_tt3" localSheetId="4" hidden="1">{"'Sheet1'!$L$16"}</definedName>
    <definedName name="_tt3" localSheetId="5" hidden="1">{"'Sheet1'!$L$16"}</definedName>
    <definedName name="_tt3" localSheetId="7" hidden="1">{"'Sheet1'!$L$16"}</definedName>
    <definedName name="_tt3" localSheetId="11" hidden="1">{"'Sheet1'!$L$16"}</definedName>
    <definedName name="_tt3" localSheetId="13" hidden="1">{"'Sheet1'!$L$16"}</definedName>
    <definedName name="_tt3" localSheetId="14" hidden="1">{"'Sheet1'!$L$16"}</definedName>
    <definedName name="_tt3" localSheetId="15" hidden="1">{"'Sheet1'!$L$16"}</definedName>
    <definedName name="_tt3" localSheetId="16" hidden="1">{"'Sheet1'!$L$16"}</definedName>
    <definedName name="_tt3" localSheetId="17" hidden="1">{"'Sheet1'!$L$16"}</definedName>
    <definedName name="_tt3" localSheetId="3" hidden="1">{"'Sheet1'!$L$16"}</definedName>
    <definedName name="_tt3" localSheetId="6" hidden="1">{"'Sheet1'!$L$16"}</definedName>
    <definedName name="_tt3" localSheetId="8" hidden="1">{"'Sheet1'!$L$16"}</definedName>
    <definedName name="_tt3" localSheetId="18" hidden="1">{"'Sheet1'!$L$16"}</definedName>
    <definedName name="_tt3" localSheetId="19" hidden="1">{"'Sheet1'!$L$16"}</definedName>
    <definedName name="_tt3" localSheetId="0" hidden="1">{"'Sheet1'!$L$16"}</definedName>
    <definedName name="_tt3" hidden="1">{"'Sheet1'!$L$16"}</definedName>
    <definedName name="_TT31" localSheetId="1" hidden="1">{"'Sheet1'!$L$16"}</definedName>
    <definedName name="_TT31" localSheetId="2" hidden="1">{"'Sheet1'!$L$16"}</definedName>
    <definedName name="_TT31" localSheetId="4" hidden="1">{"'Sheet1'!$L$16"}</definedName>
    <definedName name="_TT31" localSheetId="5" hidden="1">{"'Sheet1'!$L$16"}</definedName>
    <definedName name="_TT31" localSheetId="7" hidden="1">{"'Sheet1'!$L$16"}</definedName>
    <definedName name="_TT31" localSheetId="11" hidden="1">{"'Sheet1'!$L$16"}</definedName>
    <definedName name="_TT31" localSheetId="13" hidden="1">{"'Sheet1'!$L$16"}</definedName>
    <definedName name="_TT31" localSheetId="14" hidden="1">{"'Sheet1'!$L$16"}</definedName>
    <definedName name="_TT31" localSheetId="15" hidden="1">{"'Sheet1'!$L$16"}</definedName>
    <definedName name="_TT31" localSheetId="16" hidden="1">{"'Sheet1'!$L$16"}</definedName>
    <definedName name="_TT31" localSheetId="17" hidden="1">{"'Sheet1'!$L$16"}</definedName>
    <definedName name="_TT31" localSheetId="3" hidden="1">{"'Sheet1'!$L$16"}</definedName>
    <definedName name="_TT31" localSheetId="6" hidden="1">{"'Sheet1'!$L$16"}</definedName>
    <definedName name="_TT31" localSheetId="8" hidden="1">{"'Sheet1'!$L$16"}</definedName>
    <definedName name="_TT31" localSheetId="18" hidden="1">{"'Sheet1'!$L$16"}</definedName>
    <definedName name="_TT31" localSheetId="19" hidden="1">{"'Sheet1'!$L$16"}</definedName>
    <definedName name="_TT31" localSheetId="0" hidden="1">{"'Sheet1'!$L$16"}</definedName>
    <definedName name="_TT31" hidden="1">{"'Sheet1'!$L$16"}</definedName>
    <definedName name="_vl2" localSheetId="1" hidden="1">{"'Sheet1'!$L$16"}</definedName>
    <definedName name="_vl2" localSheetId="4" hidden="1">{"'Sheet1'!$L$16"}</definedName>
    <definedName name="_vl2" localSheetId="5" hidden="1">{"'Sheet1'!$L$16"}</definedName>
    <definedName name="_vl2" localSheetId="13" hidden="1">{"'Sheet1'!$L$16"}</definedName>
    <definedName name="_vl2" localSheetId="14" hidden="1">{"'Sheet1'!$L$16"}</definedName>
    <definedName name="_vl2" localSheetId="15" hidden="1">{"'Sheet1'!$L$16"}</definedName>
    <definedName name="_vl2" localSheetId="16" hidden="1">{"'Sheet1'!$L$16"}</definedName>
    <definedName name="_vl2" localSheetId="17" hidden="1">{"'Sheet1'!$L$16"}</definedName>
    <definedName name="_vl2" localSheetId="3" hidden="1">{"'Sheet1'!$L$16"}</definedName>
    <definedName name="_vl2" localSheetId="6" hidden="1">{"'Sheet1'!$L$16"}</definedName>
    <definedName name="_vl2" localSheetId="8" hidden="1">{"'Sheet1'!$L$16"}</definedName>
    <definedName name="_vl2" localSheetId="19" hidden="1">{"'Sheet1'!$L$16"}</definedName>
    <definedName name="_vl2" hidden="1">{"'Sheet1'!$L$16"}</definedName>
    <definedName name="_VM2" localSheetId="1" hidden="1">{"'Sheet1'!$L$16"}</definedName>
    <definedName name="_VM2" localSheetId="2" hidden="1">{"'Sheet1'!$L$16"}</definedName>
    <definedName name="_VM2" localSheetId="4" hidden="1">{"'Sheet1'!$L$16"}</definedName>
    <definedName name="_VM2" localSheetId="5" hidden="1">{"'Sheet1'!$L$16"}</definedName>
    <definedName name="_VM2" localSheetId="7" hidden="1">{"'Sheet1'!$L$16"}</definedName>
    <definedName name="_VM2" localSheetId="11" hidden="1">{"'Sheet1'!$L$16"}</definedName>
    <definedName name="_VM2" localSheetId="13" hidden="1">{"'Sheet1'!$L$16"}</definedName>
    <definedName name="_VM2" localSheetId="14" hidden="1">{"'Sheet1'!$L$16"}</definedName>
    <definedName name="_VM2" localSheetId="15" hidden="1">{"'Sheet1'!$L$16"}</definedName>
    <definedName name="_VM2" localSheetId="16" hidden="1">{"'Sheet1'!$L$16"}</definedName>
    <definedName name="_VM2" localSheetId="17" hidden="1">{"'Sheet1'!$L$16"}</definedName>
    <definedName name="_VM2" localSheetId="3" hidden="1">{"'Sheet1'!$L$16"}</definedName>
    <definedName name="_VM2" localSheetId="6" hidden="1">{"'Sheet1'!$L$16"}</definedName>
    <definedName name="_VM2" localSheetId="8" hidden="1">{"'Sheet1'!$L$16"}</definedName>
    <definedName name="_VM2" localSheetId="18" hidden="1">{"'Sheet1'!$L$16"}</definedName>
    <definedName name="_VM2" localSheetId="19" hidden="1">{"'Sheet1'!$L$16"}</definedName>
    <definedName name="_VM2" localSheetId="0" hidden="1">{"'Sheet1'!$L$16"}</definedName>
    <definedName name="_VM2" hidden="1">{"'Sheet1'!$L$16"}</definedName>
    <definedName name="a" localSheetId="2">'[1]§¬n gi¸ chÝnh'!$F$4:$F$1428</definedName>
    <definedName name="a" localSheetId="4">'[2]§¬n gi¸ chÝnh'!$F$4:$F$1428</definedName>
    <definedName name="a" localSheetId="5">'[2]§¬n gi¸ chÝnh'!$F$4:$F$1428</definedName>
    <definedName name="a" localSheetId="14">'[2]§¬n gi¸ chÝnh'!$F$4:$F$1428</definedName>
    <definedName name="a" localSheetId="15">'[2]§¬n gi¸ chÝnh'!$F$4:$F$1428</definedName>
    <definedName name="a" localSheetId="16">'[2]§¬n gi¸ chÝnh'!$F$4:$F$1428</definedName>
    <definedName name="a" localSheetId="3">'[2]§¬n gi¸ chÝnh'!$F$4:$F$1428</definedName>
    <definedName name="a" localSheetId="6">'[2]§¬n gi¸ chÝnh'!$F$4:$F$1428</definedName>
    <definedName name="a" localSheetId="8">'[2]§¬n gi¸ chÝnh'!$F$4:$F$1428</definedName>
    <definedName name="a" localSheetId="18">'[2]§¬n gi¸ chÝnh'!$F$4:$F$1428</definedName>
    <definedName name="a" localSheetId="19">'[2]§¬n gi¸ chÝnh'!$F$4:$F$1428</definedName>
    <definedName name="a">'[3]§¬n gi¸ chÝnh'!$F$4:$F$1428</definedName>
    <definedName name="â" localSheetId="1" hidden="1">{"'Sheet1'!$L$16"}</definedName>
    <definedName name="â" localSheetId="2" hidden="1">{"'Sheet1'!$L$16"}</definedName>
    <definedName name="â" localSheetId="4" hidden="1">{"'Sheet1'!$L$16"}</definedName>
    <definedName name="â" localSheetId="5" hidden="1">{"'Sheet1'!$L$16"}</definedName>
    <definedName name="â" localSheetId="7" hidden="1">{"'Sheet1'!$L$16"}</definedName>
    <definedName name="â" localSheetId="11" hidden="1">{"'Sheet1'!$L$16"}</definedName>
    <definedName name="â" localSheetId="13" hidden="1">{"'Sheet1'!$L$16"}</definedName>
    <definedName name="â" localSheetId="14" hidden="1">{"'Sheet1'!$L$16"}</definedName>
    <definedName name="â" localSheetId="15" hidden="1">{"'Sheet1'!$L$16"}</definedName>
    <definedName name="â" localSheetId="16" hidden="1">{"'Sheet1'!$L$16"}</definedName>
    <definedName name="â" localSheetId="17" hidden="1">{"'Sheet1'!$L$16"}</definedName>
    <definedName name="â" localSheetId="3" hidden="1">{"'Sheet1'!$L$16"}</definedName>
    <definedName name="â" localSheetId="6" hidden="1">{"'Sheet1'!$L$16"}</definedName>
    <definedName name="â" localSheetId="8" hidden="1">{"'Sheet1'!$L$16"}</definedName>
    <definedName name="â" localSheetId="18" hidden="1">{"'Sheet1'!$L$16"}</definedName>
    <definedName name="â" localSheetId="19" hidden="1">{"'Sheet1'!$L$16"}</definedName>
    <definedName name="â" localSheetId="0" hidden="1">{"'Sheet1'!$L$16"}</definedName>
    <definedName name="â" hidden="1">{"'Sheet1'!$L$16"}</definedName>
    <definedName name="aa" localSheetId="4">#REF!</definedName>
    <definedName name="aa" localSheetId="14">#REF!</definedName>
    <definedName name="aa" localSheetId="17">#REF!</definedName>
    <definedName name="aa" localSheetId="3">#REF!</definedName>
    <definedName name="aa">#REF!</definedName>
    <definedName name="AccessDatabase" hidden="1">"C:\My Documents\LeBinh\Xls\VP Cong ty\FORM.mdb"</definedName>
    <definedName name="ADADADD" localSheetId="1" hidden="1">{"'Sheet1'!$L$16"}</definedName>
    <definedName name="ADADADD" localSheetId="2" hidden="1">{"'Sheet1'!$L$16"}</definedName>
    <definedName name="ADADADD" localSheetId="4" hidden="1">{"'Sheet1'!$L$16"}</definedName>
    <definedName name="ADADADD" localSheetId="5" hidden="1">{"'Sheet1'!$L$16"}</definedName>
    <definedName name="ADADADD" localSheetId="7" hidden="1">{"'Sheet1'!$L$16"}</definedName>
    <definedName name="ADADADD" localSheetId="11" hidden="1">{"'Sheet1'!$L$16"}</definedName>
    <definedName name="ADADADD" localSheetId="13" hidden="1">{"'Sheet1'!$L$16"}</definedName>
    <definedName name="ADADADD" localSheetId="14" hidden="1">{"'Sheet1'!$L$16"}</definedName>
    <definedName name="ADADADD" localSheetId="15" hidden="1">{"'Sheet1'!$L$16"}</definedName>
    <definedName name="ADADADD" localSheetId="16" hidden="1">{"'Sheet1'!$L$16"}</definedName>
    <definedName name="ADADADD" localSheetId="17" hidden="1">{"'Sheet1'!$L$16"}</definedName>
    <definedName name="ADADADD" localSheetId="3" hidden="1">{"'Sheet1'!$L$16"}</definedName>
    <definedName name="ADADADD" localSheetId="6" hidden="1">{"'Sheet1'!$L$16"}</definedName>
    <definedName name="ADADADD" localSheetId="8" hidden="1">{"'Sheet1'!$L$16"}</definedName>
    <definedName name="ADADADD" localSheetId="18" hidden="1">{"'Sheet1'!$L$16"}</definedName>
    <definedName name="ADADADD" localSheetId="19" hidden="1">{"'Sheet1'!$L$16"}</definedName>
    <definedName name="ADADADD" localSheetId="0" hidden="1">{"'Sheet1'!$L$16"}</definedName>
    <definedName name="ADADADD" hidden="1">{"'Sheet1'!$L$16"}</definedName>
    <definedName name="ADAY" localSheetId="14">#REF!</definedName>
    <definedName name="ADAY" localSheetId="17">#REF!</definedName>
    <definedName name="ADAY">#REF!</definedName>
    <definedName name="ADP" localSheetId="14">#REF!</definedName>
    <definedName name="ADP" localSheetId="17">#REF!</definedName>
    <definedName name="ADP">#REF!</definedName>
    <definedName name="AKHAC" localSheetId="14">#REF!</definedName>
    <definedName name="AKHAC" localSheetId="17">#REF!</definedName>
    <definedName name="AKHAC">#REF!</definedName>
    <definedName name="ALTINH" localSheetId="14">#REF!</definedName>
    <definedName name="ALTINH" localSheetId="17">#REF!</definedName>
    <definedName name="ALTINH">#REF!</definedName>
    <definedName name="Anguon" localSheetId="14">#REF!</definedName>
    <definedName name="Anguon" localSheetId="17">#REF!</definedName>
    <definedName name="Anguon">#REF!</definedName>
    <definedName name="ANN" localSheetId="14">#REF!</definedName>
    <definedName name="ANN" localSheetId="17">#REF!</definedName>
    <definedName name="ANN">#REF!</definedName>
    <definedName name="ANQD" localSheetId="14">#REF!</definedName>
    <definedName name="ANQD" localSheetId="17">#REF!</definedName>
    <definedName name="ANQD">#REF!</definedName>
    <definedName name="ANQQH" localSheetId="14">#REF!</definedName>
    <definedName name="ANQQH" localSheetId="17">#REF!</definedName>
    <definedName name="ANQQH">#REF!</definedName>
    <definedName name="anscount" localSheetId="17" hidden="1">3</definedName>
    <definedName name="anscount" hidden="1">6</definedName>
    <definedName name="ANSNN" localSheetId="14">#REF!</definedName>
    <definedName name="ANSNN" localSheetId="17">#REF!</definedName>
    <definedName name="ANSNN">#REF!</definedName>
    <definedName name="ANSNNxnk" localSheetId="14">#REF!</definedName>
    <definedName name="ANSNNxnk" localSheetId="17">#REF!</definedName>
    <definedName name="ANSNNxnk">#REF!</definedName>
    <definedName name="APC" localSheetId="14">#REF!</definedName>
    <definedName name="APC" localSheetId="17">#REF!</definedName>
    <definedName name="APC">#REF!</definedName>
    <definedName name="ATGT" localSheetId="1" hidden="1">{"'Sheet1'!$L$16"}</definedName>
    <definedName name="ATGT" localSheetId="2" hidden="1">{"'Sheet1'!$L$16"}</definedName>
    <definedName name="ATGT" localSheetId="4" hidden="1">{"'Sheet1'!$L$16"}</definedName>
    <definedName name="ATGT" localSheetId="5" hidden="1">{"'Sheet1'!$L$16"}</definedName>
    <definedName name="ATGT" localSheetId="7" hidden="1">{"'Sheet1'!$L$16"}</definedName>
    <definedName name="ATGT" localSheetId="11" hidden="1">{"'Sheet1'!$L$16"}</definedName>
    <definedName name="ATGT" localSheetId="13" hidden="1">{"'Sheet1'!$L$16"}</definedName>
    <definedName name="ATGT" localSheetId="14" hidden="1">{"'Sheet1'!$L$16"}</definedName>
    <definedName name="ATGT" localSheetId="15" hidden="1">{"'Sheet1'!$L$16"}</definedName>
    <definedName name="ATGT" localSheetId="16" hidden="1">{"'Sheet1'!$L$16"}</definedName>
    <definedName name="ATGT" localSheetId="17" hidden="1">{"'Sheet1'!$L$16"}</definedName>
    <definedName name="ATGT" localSheetId="3" hidden="1">{"'Sheet1'!$L$16"}</definedName>
    <definedName name="ATGT" localSheetId="6" hidden="1">{"'Sheet1'!$L$16"}</definedName>
    <definedName name="ATGT" localSheetId="8" hidden="1">{"'Sheet1'!$L$16"}</definedName>
    <definedName name="ATGT" localSheetId="18" hidden="1">{"'Sheet1'!$L$16"}</definedName>
    <definedName name="ATGT" localSheetId="19" hidden="1">{"'Sheet1'!$L$16"}</definedName>
    <definedName name="ATGT" localSheetId="0" hidden="1">{"'Sheet1'!$L$16"}</definedName>
    <definedName name="ATGT" hidden="1">{"'Sheet1'!$L$16"}</definedName>
    <definedName name="ATRAM" localSheetId="14">#REF!</definedName>
    <definedName name="ATRAM" localSheetId="17">#REF!</definedName>
    <definedName name="ATRAM">#REF!</definedName>
    <definedName name="ATW" localSheetId="14">#REF!</definedName>
    <definedName name="ATW" localSheetId="17">#REF!</definedName>
    <definedName name="ATW">#REF!</definedName>
    <definedName name="b" localSheetId="1" hidden="1">{"'Sheet1'!$L$16"}</definedName>
    <definedName name="b" localSheetId="2" hidden="1">{"'Sheet1'!$L$16"}</definedName>
    <definedName name="b" localSheetId="4" hidden="1">{"'Sheet1'!$L$16"}</definedName>
    <definedName name="b" localSheetId="5" hidden="1">{"'Sheet1'!$L$16"}</definedName>
    <definedName name="b" localSheetId="7" hidden="1">{"'Sheet1'!$L$16"}</definedName>
    <definedName name="b" localSheetId="11" hidden="1">{"'Sheet1'!$L$16"}</definedName>
    <definedName name="b" localSheetId="13" hidden="1">{"'Sheet1'!$L$16"}</definedName>
    <definedName name="b" localSheetId="14" hidden="1">{"'Sheet1'!$L$16"}</definedName>
    <definedName name="b" localSheetId="15" hidden="1">{"'Sheet1'!$L$16"}</definedName>
    <definedName name="b" localSheetId="16" hidden="1">{"'Sheet1'!$L$16"}</definedName>
    <definedName name="b" localSheetId="17" hidden="1">{"'Sheet1'!$L$16"}</definedName>
    <definedName name="b" localSheetId="3" hidden="1">{"'Sheet1'!$L$16"}</definedName>
    <definedName name="b" localSheetId="6" hidden="1">{"'Sheet1'!$L$16"}</definedName>
    <definedName name="b" localSheetId="8" hidden="1">{"'Sheet1'!$L$16"}</definedName>
    <definedName name="b" localSheetId="18" hidden="1">{"'Sheet1'!$L$16"}</definedName>
    <definedName name="b" localSheetId="19" hidden="1">{"'Sheet1'!$L$16"}</definedName>
    <definedName name="b" localSheetId="0" hidden="1">{"'Sheet1'!$L$16"}</definedName>
    <definedName name="b" hidden="1">{"'Sheet1'!$L$16"}</definedName>
    <definedName name="bb" localSheetId="4">{"Thuxm2.xls","Sheet1"}</definedName>
    <definedName name="bb" localSheetId="14">{"Thuxm2.xls","Sheet1"}</definedName>
    <definedName name="bb" localSheetId="17">{"Thuxm2.xls","Sheet1"}</definedName>
    <definedName name="bb" localSheetId="3">{"Thuxm2.xls","Sheet1"}</definedName>
    <definedName name="bb">{"Thuxm2.xls","Sheet1"}</definedName>
    <definedName name="BCBo" localSheetId="1" hidden="1">{"'Sheet1'!$L$16"}</definedName>
    <definedName name="BCBo" localSheetId="4" hidden="1">{"'Sheet1'!$L$16"}</definedName>
    <definedName name="BCBo" localSheetId="5" hidden="1">{"'Sheet1'!$L$16"}</definedName>
    <definedName name="BCBo" localSheetId="13" hidden="1">{"'Sheet1'!$L$16"}</definedName>
    <definedName name="BCBo" localSheetId="14" hidden="1">{"'Sheet1'!$L$16"}</definedName>
    <definedName name="BCBo" localSheetId="15" hidden="1">{"'Sheet1'!$L$16"}</definedName>
    <definedName name="BCBo" localSheetId="16" hidden="1">{"'Sheet1'!$L$16"}</definedName>
    <definedName name="BCBo" localSheetId="17" hidden="1">{"'Sheet1'!$L$16"}</definedName>
    <definedName name="BCBo" localSheetId="3" hidden="1">{"'Sheet1'!$L$16"}</definedName>
    <definedName name="BCBo" localSheetId="6" hidden="1">{"'Sheet1'!$L$16"}</definedName>
    <definedName name="BCBo" localSheetId="8" hidden="1">{"'Sheet1'!$L$16"}</definedName>
    <definedName name="BCBo" localSheetId="19" hidden="1">{"'Sheet1'!$L$16"}</definedName>
    <definedName name="BCBo" hidden="1">{"'Sheet1'!$L$16"}</definedName>
    <definedName name="BDAY" localSheetId="14">#REF!</definedName>
    <definedName name="BDAY" localSheetId="17">#REF!</definedName>
    <definedName name="BDAY">#REF!</definedName>
    <definedName name="BOQ" localSheetId="14">#REF!</definedName>
    <definedName name="BOQ" localSheetId="17">#REF!</definedName>
    <definedName name="BOQ">#REF!</definedName>
    <definedName name="btnm3" localSheetId="1" hidden="1">{"'Sheet1'!$L$16"}</definedName>
    <definedName name="btnm3" localSheetId="2" hidden="1">{"'Sheet1'!$L$16"}</definedName>
    <definedName name="btnm3" localSheetId="4" hidden="1">{"'Sheet1'!$L$16"}</definedName>
    <definedName name="btnm3" localSheetId="5" hidden="1">{"'Sheet1'!$L$16"}</definedName>
    <definedName name="btnm3" localSheetId="7" hidden="1">{"'Sheet1'!$L$16"}</definedName>
    <definedName name="btnm3" localSheetId="11" hidden="1">{"'Sheet1'!$L$16"}</definedName>
    <definedName name="btnm3" localSheetId="13" hidden="1">{"'Sheet1'!$L$16"}</definedName>
    <definedName name="btnm3" localSheetId="14" hidden="1">{"'Sheet1'!$L$16"}</definedName>
    <definedName name="btnm3" localSheetId="15" hidden="1">{"'Sheet1'!$L$16"}</definedName>
    <definedName name="btnm3" localSheetId="16" hidden="1">{"'Sheet1'!$L$16"}</definedName>
    <definedName name="btnm3" localSheetId="17" hidden="1">{"'Sheet1'!$L$16"}</definedName>
    <definedName name="btnm3" localSheetId="3" hidden="1">{"'Sheet1'!$L$16"}</definedName>
    <definedName name="btnm3" localSheetId="6" hidden="1">{"'Sheet1'!$L$16"}</definedName>
    <definedName name="btnm3" localSheetId="8" hidden="1">{"'Sheet1'!$L$16"}</definedName>
    <definedName name="btnm3" localSheetId="18" hidden="1">{"'Sheet1'!$L$16"}</definedName>
    <definedName name="btnm3" localSheetId="19" hidden="1">{"'Sheet1'!$L$16"}</definedName>
    <definedName name="btnm3" localSheetId="0" hidden="1">{"'Sheet1'!$L$16"}</definedName>
    <definedName name="btnm3" hidden="1">{"'Sheet1'!$L$16"}</definedName>
    <definedName name="BTRAM" localSheetId="14">#REF!</definedName>
    <definedName name="BTRAM" localSheetId="17">#REF!</definedName>
    <definedName name="BTRAM">#REF!</definedName>
    <definedName name="BVCISUMMARY" localSheetId="14">#REF!</definedName>
    <definedName name="BVCISUMMARY" localSheetId="17">#REF!</definedName>
    <definedName name="BVCISUMMARY">#REF!</definedName>
    <definedName name="Can_doi" localSheetId="14">#REF!</definedName>
    <definedName name="Can_doi" localSheetId="17">#REF!</definedName>
    <definedName name="Can_doi">#REF!</definedName>
    <definedName name="cap" localSheetId="14">#REF!</definedName>
    <definedName name="cap" localSheetId="17">#REF!</definedName>
    <definedName name="cap">#REF!</definedName>
    <definedName name="cap0.7" localSheetId="14">#REF!</definedName>
    <definedName name="cap0.7" localSheetId="17">#REF!</definedName>
    <definedName name="cap0.7">#REF!</definedName>
    <definedName name="CDAY" localSheetId="14">#REF!</definedName>
    <definedName name="CDAY" localSheetId="17">#REF!</definedName>
    <definedName name="CDAY">#REF!</definedName>
    <definedName name="chitietbgiang2" localSheetId="1" hidden="1">{"'Sheet1'!$L$16"}</definedName>
    <definedName name="chitietbgiang2" localSheetId="2" hidden="1">{"'Sheet1'!$L$16"}</definedName>
    <definedName name="chitietbgiang2" localSheetId="4" hidden="1">{"'Sheet1'!$L$16"}</definedName>
    <definedName name="chitietbgiang2" localSheetId="5" hidden="1">{"'Sheet1'!$L$16"}</definedName>
    <definedName name="chitietbgiang2" localSheetId="7" hidden="1">{"'Sheet1'!$L$16"}</definedName>
    <definedName name="chitietbgiang2" localSheetId="11" hidden="1">{"'Sheet1'!$L$16"}</definedName>
    <definedName name="chitietbgiang2" localSheetId="13" hidden="1">{"'Sheet1'!$L$16"}</definedName>
    <definedName name="chitietbgiang2" localSheetId="14" hidden="1">{"'Sheet1'!$L$16"}</definedName>
    <definedName name="chitietbgiang2" localSheetId="15" hidden="1">{"'Sheet1'!$L$16"}</definedName>
    <definedName name="chitietbgiang2" localSheetId="16" hidden="1">{"'Sheet1'!$L$16"}</definedName>
    <definedName name="chitietbgiang2" localSheetId="17" hidden="1">{"'Sheet1'!$L$16"}</definedName>
    <definedName name="chitietbgiang2" localSheetId="3" hidden="1">{"'Sheet1'!$L$16"}</definedName>
    <definedName name="chitietbgiang2" localSheetId="6" hidden="1">{"'Sheet1'!$L$16"}</definedName>
    <definedName name="chitietbgiang2" localSheetId="8" hidden="1">{"'Sheet1'!$L$16"}</definedName>
    <definedName name="chitietbgiang2" localSheetId="18" hidden="1">{"'Sheet1'!$L$16"}</definedName>
    <definedName name="chitietbgiang2" localSheetId="19" hidden="1">{"'Sheet1'!$L$16"}</definedName>
    <definedName name="chitietbgiang2" localSheetId="0" hidden="1">{"'Sheet1'!$L$16"}</definedName>
    <definedName name="chitietbgiang2" hidden="1">{"'Sheet1'!$L$16"}</definedName>
    <definedName name="CL" localSheetId="14">#REF!</definedName>
    <definedName name="CL" localSheetId="17">#REF!</definedName>
    <definedName name="CL">#REF!</definedName>
    <definedName name="Coc_60" localSheetId="1" hidden="1">{"'Sheet1'!$L$16"}</definedName>
    <definedName name="Coc_60" localSheetId="2" hidden="1">{"'Sheet1'!$L$16"}</definedName>
    <definedName name="Coc_60" localSheetId="4" hidden="1">{"'Sheet1'!$L$16"}</definedName>
    <definedName name="Coc_60" localSheetId="5" hidden="1">{"'Sheet1'!$L$16"}</definedName>
    <definedName name="Coc_60" localSheetId="7" hidden="1">{"'Sheet1'!$L$16"}</definedName>
    <definedName name="Coc_60" localSheetId="11" hidden="1">{"'Sheet1'!$L$16"}</definedName>
    <definedName name="Coc_60" localSheetId="13" hidden="1">{"'Sheet1'!$L$16"}</definedName>
    <definedName name="Coc_60" localSheetId="14" hidden="1">{"'Sheet1'!$L$16"}</definedName>
    <definedName name="Coc_60" localSheetId="15" hidden="1">{"'Sheet1'!$L$16"}</definedName>
    <definedName name="Coc_60" localSheetId="16" hidden="1">{"'Sheet1'!$L$16"}</definedName>
    <definedName name="Coc_60" localSheetId="17" hidden="1">{"'Sheet1'!$L$16"}</definedName>
    <definedName name="Coc_60" localSheetId="3" hidden="1">{"'Sheet1'!$L$16"}</definedName>
    <definedName name="Coc_60" localSheetId="6" hidden="1">{"'Sheet1'!$L$16"}</definedName>
    <definedName name="Coc_60" localSheetId="8" hidden="1">{"'Sheet1'!$L$16"}</definedName>
    <definedName name="Coc_60" localSheetId="18" hidden="1">{"'Sheet1'!$L$16"}</definedName>
    <definedName name="Coc_60" localSheetId="19" hidden="1">{"'Sheet1'!$L$16"}</definedName>
    <definedName name="Coc_60" localSheetId="0" hidden="1">{"'Sheet1'!$L$16"}</definedName>
    <definedName name="Coc_60" hidden="1">{"'Sheet1'!$L$16"}</definedName>
    <definedName name="Code" localSheetId="1" hidden="1">#REF!</definedName>
    <definedName name="Code" localSheetId="5" hidden="1">#REF!</definedName>
    <definedName name="Code" localSheetId="7" hidden="1">#REF!</definedName>
    <definedName name="Code" localSheetId="14" hidden="1">#REF!</definedName>
    <definedName name="Code" localSheetId="15" hidden="1">#REF!</definedName>
    <definedName name="Code" localSheetId="16" hidden="1">#REF!</definedName>
    <definedName name="Code" localSheetId="17" hidden="1">#REF!</definedName>
    <definedName name="Code" localSheetId="19" hidden="1">#REF!</definedName>
    <definedName name="Code" hidden="1">#REF!</definedName>
    <definedName name="COMMON" localSheetId="14">#REF!</definedName>
    <definedName name="COMMON" localSheetId="17">#REF!</definedName>
    <definedName name="COMMON">#REF!</definedName>
    <definedName name="CON_EQP_COS" localSheetId="14">#REF!</definedName>
    <definedName name="CON_EQP_COS" localSheetId="17">#REF!</definedName>
    <definedName name="CON_EQP_COS">#REF!</definedName>
    <definedName name="CongVattu" localSheetId="14">#REF!</definedName>
    <definedName name="CongVattu" localSheetId="17">#REF!</definedName>
    <definedName name="CongVattu">#REF!</definedName>
    <definedName name="COVER" localSheetId="14">#REF!</definedName>
    <definedName name="COVER" localSheetId="17">#REF!</definedName>
    <definedName name="COVER">#REF!</definedName>
    <definedName name="CRITINST" localSheetId="14">#REF!</definedName>
    <definedName name="CRITINST" localSheetId="17">#REF!</definedName>
    <definedName name="CRITINST">#REF!</definedName>
    <definedName name="CRITPURC" localSheetId="14">#REF!</definedName>
    <definedName name="CRITPURC" localSheetId="17">#REF!</definedName>
    <definedName name="CRITPURC">#REF!</definedName>
    <definedName name="CS_10" localSheetId="14">#REF!</definedName>
    <definedName name="CS_10" localSheetId="17">#REF!</definedName>
    <definedName name="CS_10">#REF!</definedName>
    <definedName name="CS_100" localSheetId="14">#REF!</definedName>
    <definedName name="CS_100" localSheetId="17">#REF!</definedName>
    <definedName name="CS_100">#REF!</definedName>
    <definedName name="CS_10S" localSheetId="14">#REF!</definedName>
    <definedName name="CS_10S" localSheetId="17">#REF!</definedName>
    <definedName name="CS_10S">#REF!</definedName>
    <definedName name="CS_120" localSheetId="14">#REF!</definedName>
    <definedName name="CS_120" localSheetId="17">#REF!</definedName>
    <definedName name="CS_120">#REF!</definedName>
    <definedName name="CS_140" localSheetId="14">#REF!</definedName>
    <definedName name="CS_140" localSheetId="17">#REF!</definedName>
    <definedName name="CS_140">#REF!</definedName>
    <definedName name="CS_160" localSheetId="14">#REF!</definedName>
    <definedName name="CS_160" localSheetId="17">#REF!</definedName>
    <definedName name="CS_160">#REF!</definedName>
    <definedName name="CS_20" localSheetId="14">#REF!</definedName>
    <definedName name="CS_20" localSheetId="17">#REF!</definedName>
    <definedName name="CS_20">#REF!</definedName>
    <definedName name="CS_30" localSheetId="14">#REF!</definedName>
    <definedName name="CS_30" localSheetId="17">#REF!</definedName>
    <definedName name="CS_30">#REF!</definedName>
    <definedName name="CS_40" localSheetId="14">#REF!</definedName>
    <definedName name="CS_40" localSheetId="17">#REF!</definedName>
    <definedName name="CS_40">#REF!</definedName>
    <definedName name="CS_40S" localSheetId="14">#REF!</definedName>
    <definedName name="CS_40S" localSheetId="17">#REF!</definedName>
    <definedName name="CS_40S">#REF!</definedName>
    <definedName name="CS_5S" localSheetId="14">#REF!</definedName>
    <definedName name="CS_5S" localSheetId="17">#REF!</definedName>
    <definedName name="CS_5S">#REF!</definedName>
    <definedName name="CS_60" localSheetId="14">#REF!</definedName>
    <definedName name="CS_60" localSheetId="17">#REF!</definedName>
    <definedName name="CS_60">#REF!</definedName>
    <definedName name="CS_80" localSheetId="14">#REF!</definedName>
    <definedName name="CS_80" localSheetId="17">#REF!</definedName>
    <definedName name="CS_80">#REF!</definedName>
    <definedName name="CS_80S" localSheetId="14">#REF!</definedName>
    <definedName name="CS_80S" localSheetId="17">#REF!</definedName>
    <definedName name="CS_80S">#REF!</definedName>
    <definedName name="CS_STD" localSheetId="14">#REF!</definedName>
    <definedName name="CS_STD" localSheetId="17">#REF!</definedName>
    <definedName name="CS_STD">#REF!</definedName>
    <definedName name="CS_XS" localSheetId="14">#REF!</definedName>
    <definedName name="CS_XS" localSheetId="17">#REF!</definedName>
    <definedName name="CS_XS">#REF!</definedName>
    <definedName name="CS_XXS" localSheetId="14">#REF!</definedName>
    <definedName name="CS_XXS" localSheetId="17">#REF!</definedName>
    <definedName name="CS_XXS">#REF!</definedName>
    <definedName name="CTCT1" localSheetId="1" hidden="1">{"'Sheet1'!$L$16"}</definedName>
    <definedName name="CTCT1" localSheetId="2" hidden="1">{"'Sheet1'!$L$16"}</definedName>
    <definedName name="CTCT1" localSheetId="4" hidden="1">{"'Sheet1'!$L$16"}</definedName>
    <definedName name="CTCT1" localSheetId="5" hidden="1">{"'Sheet1'!$L$16"}</definedName>
    <definedName name="CTCT1" localSheetId="7" hidden="1">{"'Sheet1'!$L$16"}</definedName>
    <definedName name="CTCT1" localSheetId="11" hidden="1">{"'Sheet1'!$L$16"}</definedName>
    <definedName name="CTCT1" localSheetId="13" hidden="1">{"'Sheet1'!$L$16"}</definedName>
    <definedName name="CTCT1" localSheetId="14" hidden="1">{"'Sheet1'!$L$16"}</definedName>
    <definedName name="CTCT1" localSheetId="15" hidden="1">{"'Sheet1'!$L$16"}</definedName>
    <definedName name="CTCT1" localSheetId="16" hidden="1">{"'Sheet1'!$L$16"}</definedName>
    <definedName name="CTCT1" localSheetId="17" hidden="1">{"'Sheet1'!$L$16"}</definedName>
    <definedName name="CTCT1" localSheetId="3" hidden="1">{"'Sheet1'!$L$16"}</definedName>
    <definedName name="CTCT1" localSheetId="6" hidden="1">{"'Sheet1'!$L$16"}</definedName>
    <definedName name="CTCT1" localSheetId="8" hidden="1">{"'Sheet1'!$L$16"}</definedName>
    <definedName name="CTCT1" localSheetId="18" hidden="1">{"'Sheet1'!$L$16"}</definedName>
    <definedName name="CTCT1" localSheetId="19" hidden="1">{"'Sheet1'!$L$16"}</definedName>
    <definedName name="CTCT1" localSheetId="0" hidden="1">{"'Sheet1'!$L$16"}</definedName>
    <definedName name="CTCT1" hidden="1">{"'Sheet1'!$L$16"}</definedName>
    <definedName name="ctdn9697" localSheetId="14">#REF!</definedName>
    <definedName name="ctdn9697" localSheetId="17">#REF!</definedName>
    <definedName name="ctdn9697">#REF!</definedName>
    <definedName name="CTRAM" localSheetId="14">#REF!</definedName>
    <definedName name="CTRAM" localSheetId="17">#REF!</definedName>
    <definedName name="CTRAM">#REF!</definedName>
    <definedName name="d" localSheetId="1" hidden="1">{"'Sheet1'!$L$16"}</definedName>
    <definedName name="d" localSheetId="2" hidden="1">{"'Sheet1'!$L$16"}</definedName>
    <definedName name="d" localSheetId="4" hidden="1">{"'Sheet1'!$L$16"}</definedName>
    <definedName name="d" localSheetId="5" hidden="1">{"'Sheet1'!$L$16"}</definedName>
    <definedName name="d" localSheetId="7" hidden="1">{"'Sheet1'!$L$16"}</definedName>
    <definedName name="d" localSheetId="11" hidden="1">{"'Sheet1'!$L$16"}</definedName>
    <definedName name="d" localSheetId="13" hidden="1">{"'Sheet1'!$L$16"}</definedName>
    <definedName name="d" localSheetId="14" hidden="1">{"'Sheet1'!$L$16"}</definedName>
    <definedName name="d" localSheetId="15" hidden="1">{"'Sheet1'!$L$16"}</definedName>
    <definedName name="d" localSheetId="16" hidden="1">{"'Sheet1'!$L$16"}</definedName>
    <definedName name="d" localSheetId="17" hidden="1">{"'Sheet1'!$L$16"}</definedName>
    <definedName name="d" localSheetId="3" hidden="1">{"'Sheet1'!$L$16"}</definedName>
    <definedName name="d" localSheetId="6" hidden="1">{"'Sheet1'!$L$16"}</definedName>
    <definedName name="d" localSheetId="8" hidden="1">{"'Sheet1'!$L$16"}</definedName>
    <definedName name="d" localSheetId="18" hidden="1">{"'Sheet1'!$L$16"}</definedName>
    <definedName name="d" localSheetId="19" hidden="1">{"'Sheet1'!$L$16"}</definedName>
    <definedName name="d" localSheetId="0" hidden="1">{"'Sheet1'!$L$16"}</definedName>
    <definedName name="d" hidden="1">{"'Sheet1'!$L$16"}</definedName>
    <definedName name="DATA_DATA2_List" localSheetId="14">#REF!</definedName>
    <definedName name="DATA_DATA2_List" localSheetId="17">#REF!</definedName>
    <definedName name="DATA_DATA2_List">#REF!</definedName>
    <definedName name="data1" localSheetId="1" hidden="1">#REF!</definedName>
    <definedName name="data1" localSheetId="5" hidden="1">#REF!</definedName>
    <definedName name="data1" localSheetId="7" hidden="1">#REF!</definedName>
    <definedName name="data1" localSheetId="14" hidden="1">#REF!</definedName>
    <definedName name="data1" localSheetId="15" hidden="1">#REF!</definedName>
    <definedName name="data1" localSheetId="16" hidden="1">#REF!</definedName>
    <definedName name="data1" localSheetId="17" hidden="1">#REF!</definedName>
    <definedName name="data1" localSheetId="19" hidden="1">#REF!</definedName>
    <definedName name="data1" hidden="1">#REF!</definedName>
    <definedName name="data2" localSheetId="1" hidden="1">#REF!</definedName>
    <definedName name="data2" localSheetId="5" hidden="1">#REF!</definedName>
    <definedName name="data2" localSheetId="7" hidden="1">#REF!</definedName>
    <definedName name="data2" localSheetId="14" hidden="1">#REF!</definedName>
    <definedName name="data2" localSheetId="15" hidden="1">#REF!</definedName>
    <definedName name="data2" localSheetId="16" hidden="1">#REF!</definedName>
    <definedName name="data2" localSheetId="17" hidden="1">#REF!</definedName>
    <definedName name="data2" localSheetId="19" hidden="1">#REF!</definedName>
    <definedName name="data2" hidden="1">#REF!</definedName>
    <definedName name="data3" localSheetId="1" hidden="1">#REF!</definedName>
    <definedName name="data3" localSheetId="5" hidden="1">#REF!</definedName>
    <definedName name="data3" localSheetId="7" hidden="1">#REF!</definedName>
    <definedName name="data3" localSheetId="14" hidden="1">#REF!</definedName>
    <definedName name="data3" localSheetId="15" hidden="1">#REF!</definedName>
    <definedName name="data3" localSheetId="16" hidden="1">#REF!</definedName>
    <definedName name="data3" localSheetId="17" hidden="1">#REF!</definedName>
    <definedName name="data3" localSheetId="19" hidden="1">#REF!</definedName>
    <definedName name="data3" hidden="1">#REF!</definedName>
    <definedName name="_xlnm.Database" localSheetId="14">#REF!</definedName>
    <definedName name="_xlnm.Database" localSheetId="17">#REF!</definedName>
    <definedName name="_xlnm.Database">#REF!</definedName>
    <definedName name="DATDAO" localSheetId="14">#REF!</definedName>
    <definedName name="DATDAO" localSheetId="17">#REF!</definedName>
    <definedName name="DATDAO">#REF!</definedName>
    <definedName name="DDAY" localSheetId="14">#REF!</definedName>
    <definedName name="DDAY" localSheetId="17">#REF!</definedName>
    <definedName name="DDAY">#REF!</definedName>
    <definedName name="DenDK" localSheetId="1" hidden="1">{"'Sheet1'!$L$16"}</definedName>
    <definedName name="DenDK" localSheetId="2" hidden="1">{"'Sheet1'!$L$16"}</definedName>
    <definedName name="DenDK" localSheetId="4" hidden="1">{"'Sheet1'!$L$16"}</definedName>
    <definedName name="DenDK" localSheetId="5" hidden="1">{"'Sheet1'!$L$16"}</definedName>
    <definedName name="DenDK" localSheetId="7" hidden="1">{"'Sheet1'!$L$16"}</definedName>
    <definedName name="DenDK" localSheetId="11" hidden="1">{"'Sheet1'!$L$16"}</definedName>
    <definedName name="DenDK" localSheetId="13" hidden="1">{"'Sheet1'!$L$16"}</definedName>
    <definedName name="DenDK" localSheetId="14" hidden="1">{"'Sheet1'!$L$16"}</definedName>
    <definedName name="DenDK" localSheetId="15" hidden="1">{"'Sheet1'!$L$16"}</definedName>
    <definedName name="DenDK" localSheetId="16" hidden="1">{"'Sheet1'!$L$16"}</definedName>
    <definedName name="DenDK" localSheetId="17" hidden="1">{"'Sheet1'!$L$16"}</definedName>
    <definedName name="DenDK" localSheetId="3" hidden="1">{"'Sheet1'!$L$16"}</definedName>
    <definedName name="DenDK" localSheetId="6" hidden="1">{"'Sheet1'!$L$16"}</definedName>
    <definedName name="DenDK" localSheetId="8" hidden="1">{"'Sheet1'!$L$16"}</definedName>
    <definedName name="DenDK" localSheetId="18" hidden="1">{"'Sheet1'!$L$16"}</definedName>
    <definedName name="DenDK" localSheetId="19" hidden="1">{"'Sheet1'!$L$16"}</definedName>
    <definedName name="DenDK" localSheetId="0" hidden="1">{"'Sheet1'!$L$16"}</definedName>
    <definedName name="DenDK" hidden="1">{"'Sheet1'!$L$16"}</definedName>
    <definedName name="dfg" localSheetId="1" hidden="1">{"'Sheet1'!$L$16"}</definedName>
    <definedName name="dfg" localSheetId="2" hidden="1">{"'Sheet1'!$L$16"}</definedName>
    <definedName name="dfg" localSheetId="4" hidden="1">{"'Sheet1'!$L$16"}</definedName>
    <definedName name="dfg" localSheetId="5" hidden="1">{"'Sheet1'!$L$16"}</definedName>
    <definedName name="dfg" localSheetId="7" hidden="1">{"'Sheet1'!$L$16"}</definedName>
    <definedName name="dfg" localSheetId="11" hidden="1">{"'Sheet1'!$L$16"}</definedName>
    <definedName name="dfg" localSheetId="13" hidden="1">{"'Sheet1'!$L$16"}</definedName>
    <definedName name="dfg" localSheetId="14" hidden="1">{"'Sheet1'!$L$16"}</definedName>
    <definedName name="dfg" localSheetId="15" hidden="1">{"'Sheet1'!$L$16"}</definedName>
    <definedName name="dfg" localSheetId="16" hidden="1">{"'Sheet1'!$L$16"}</definedName>
    <definedName name="dfg" localSheetId="17" hidden="1">{"'Sheet1'!$L$16"}</definedName>
    <definedName name="dfg" localSheetId="3" hidden="1">{"'Sheet1'!$L$16"}</definedName>
    <definedName name="dfg" localSheetId="6" hidden="1">{"'Sheet1'!$L$16"}</definedName>
    <definedName name="dfg" localSheetId="8" hidden="1">{"'Sheet1'!$L$16"}</definedName>
    <definedName name="dfg" localSheetId="18" hidden="1">{"'Sheet1'!$L$16"}</definedName>
    <definedName name="dfg" localSheetId="19" hidden="1">{"'Sheet1'!$L$16"}</definedName>
    <definedName name="dfg" localSheetId="0" hidden="1">{"'Sheet1'!$L$16"}</definedName>
    <definedName name="dfg" hidden="1">{"'Sheet1'!$L$16"}</definedName>
    <definedName name="dgctp2" localSheetId="1" hidden="1">{"'Sheet1'!$L$16"}</definedName>
    <definedName name="dgctp2" localSheetId="2" hidden="1">{"'Sheet1'!$L$16"}</definedName>
    <definedName name="dgctp2" localSheetId="4" hidden="1">{"'Sheet1'!$L$16"}</definedName>
    <definedName name="dgctp2" localSheetId="5" hidden="1">{"'Sheet1'!$L$16"}</definedName>
    <definedName name="dgctp2" localSheetId="7" hidden="1">{"'Sheet1'!$L$16"}</definedName>
    <definedName name="dgctp2" localSheetId="11" hidden="1">{"'Sheet1'!$L$16"}</definedName>
    <definedName name="dgctp2" localSheetId="13" hidden="1">{"'Sheet1'!$L$16"}</definedName>
    <definedName name="dgctp2" localSheetId="14" hidden="1">{"'Sheet1'!$L$16"}</definedName>
    <definedName name="dgctp2" localSheetId="15" hidden="1">{"'Sheet1'!$L$16"}</definedName>
    <definedName name="dgctp2" localSheetId="16" hidden="1">{"'Sheet1'!$L$16"}</definedName>
    <definedName name="dgctp2" localSheetId="17" hidden="1">{"'Sheet1'!$L$16"}</definedName>
    <definedName name="dgctp2" localSheetId="3" hidden="1">{"'Sheet1'!$L$16"}</definedName>
    <definedName name="dgctp2" localSheetId="6" hidden="1">{"'Sheet1'!$L$16"}</definedName>
    <definedName name="dgctp2" localSheetId="8" hidden="1">{"'Sheet1'!$L$16"}</definedName>
    <definedName name="dgctp2" localSheetId="18" hidden="1">{"'Sheet1'!$L$16"}</definedName>
    <definedName name="dgctp2" localSheetId="19" hidden="1">{"'Sheet1'!$L$16"}</definedName>
    <definedName name="dgctp2" localSheetId="0" hidden="1">{"'Sheet1'!$L$16"}</definedName>
    <definedName name="dgctp2" hidden="1">{"'Sheet1'!$L$16"}</definedName>
    <definedName name="Discount" localSheetId="1" hidden="1">#REF!</definedName>
    <definedName name="Discount" localSheetId="5" hidden="1">#REF!</definedName>
    <definedName name="Discount" localSheetId="7" hidden="1">#REF!</definedName>
    <definedName name="Discount" localSheetId="14" hidden="1">#REF!</definedName>
    <definedName name="Discount" localSheetId="15" hidden="1">#REF!</definedName>
    <definedName name="Discount" localSheetId="16" hidden="1">#REF!</definedName>
    <definedName name="Discount" localSheetId="17" hidden="1">#REF!</definedName>
    <definedName name="Discount" localSheetId="19" hidden="1">#REF!</definedName>
    <definedName name="Discount" hidden="1">#REF!</definedName>
    <definedName name="display_area_2" localSheetId="1" hidden="1">#REF!</definedName>
    <definedName name="display_area_2" localSheetId="5" hidden="1">#REF!</definedName>
    <definedName name="display_area_2" localSheetId="7" hidden="1">#REF!</definedName>
    <definedName name="display_area_2" localSheetId="14" hidden="1">#REF!</definedName>
    <definedName name="display_area_2" localSheetId="15" hidden="1">#REF!</definedName>
    <definedName name="display_area_2" localSheetId="16" hidden="1">#REF!</definedName>
    <definedName name="display_area_2" localSheetId="17" hidden="1">#REF!</definedName>
    <definedName name="display_area_2" localSheetId="19" hidden="1">#REF!</definedName>
    <definedName name="display_area_2" hidden="1">#REF!</definedName>
    <definedName name="DM" localSheetId="14">#REF!</definedName>
    <definedName name="DM" localSheetId="17">#REF!</definedName>
    <definedName name="DM">#REF!</definedName>
    <definedName name="DNNN" localSheetId="14">#REF!</definedName>
    <definedName name="DNNN" localSheetId="17">#REF!</definedName>
    <definedName name="DNNN">#REF!</definedName>
    <definedName name="dobt" localSheetId="14">#REF!</definedName>
    <definedName name="dobt" localSheetId="17">#REF!</definedName>
    <definedName name="dobt">#REF!</definedName>
    <definedName name="dongia" localSheetId="14">#REF!</definedName>
    <definedName name="dongia" localSheetId="17">#REF!</definedName>
    <definedName name="dongia">#REF!</definedName>
    <definedName name="dsh" localSheetId="1" hidden="1">#REF!</definedName>
    <definedName name="dsh" localSheetId="5" hidden="1">#REF!</definedName>
    <definedName name="dsh" localSheetId="7" hidden="1">#REF!</definedName>
    <definedName name="dsh" localSheetId="14" hidden="1">#REF!</definedName>
    <definedName name="dsh" localSheetId="15" hidden="1">#REF!</definedName>
    <definedName name="dsh" localSheetId="16" hidden="1">#REF!</definedName>
    <definedName name="dsh" localSheetId="17" hidden="1">#REF!</definedName>
    <definedName name="dsh" localSheetId="19" hidden="1">#REF!</definedName>
    <definedName name="dsh" hidden="1">#REF!</definedName>
    <definedName name="DSTD_Clear" localSheetId="4">#N/A</definedName>
    <definedName name="DSTD_Clear" localSheetId="14">#N/A</definedName>
    <definedName name="DSTD_Clear" localSheetId="17">'Bieu 10_TT '!DSTD_Clear</definedName>
    <definedName name="DSTD_Clear" localSheetId="3">#N/A</definedName>
    <definedName name="DSTD_Clear">'Bieu 10_TT '!DSTD_Clear</definedName>
    <definedName name="DSUMDATA" localSheetId="14">#REF!</definedName>
    <definedName name="DSUMDATA" localSheetId="17">#REF!</definedName>
    <definedName name="DSUMDATA">#REF!</definedName>
    <definedName name="duaån" localSheetId="14">#REF!</definedName>
    <definedName name="duaån" localSheetId="17">#REF!</definedName>
    <definedName name="duaån">#REF!</definedName>
    <definedName name="duan" localSheetId="14">#REF!</definedName>
    <definedName name="duan" localSheetId="17">#REF!</definedName>
    <definedName name="duan">#REF!</definedName>
    <definedName name="DUCANH" localSheetId="1" hidden="1">{"'Sheet1'!$L$16"}</definedName>
    <definedName name="DUCANH" localSheetId="4" hidden="1">{"'Sheet1'!$L$16"}</definedName>
    <definedName name="DUCANH" localSheetId="5" hidden="1">{"'Sheet1'!$L$16"}</definedName>
    <definedName name="DUCANH" localSheetId="13" hidden="1">{"'Sheet1'!$L$16"}</definedName>
    <definedName name="DUCANH" localSheetId="14" hidden="1">{"'Sheet1'!$L$16"}</definedName>
    <definedName name="DUCANH" localSheetId="15" hidden="1">{"'Sheet1'!$L$16"}</definedName>
    <definedName name="DUCANH" localSheetId="16" hidden="1">{"'Sheet1'!$L$16"}</definedName>
    <definedName name="DUCANH" localSheetId="17" hidden="1">{"'Sheet1'!$L$16"}</definedName>
    <definedName name="DUCANH" localSheetId="3" hidden="1">{"'Sheet1'!$L$16"}</definedName>
    <definedName name="DUCANH" localSheetId="6" hidden="1">{"'Sheet1'!$L$16"}</definedName>
    <definedName name="DUCANH" localSheetId="8" hidden="1">{"'Sheet1'!$L$16"}</definedName>
    <definedName name="DUCANH" localSheetId="19" hidden="1">{"'Sheet1'!$L$16"}</definedName>
    <definedName name="DUCANH" hidden="1">{"'Sheet1'!$L$16"}</definedName>
    <definedName name="E" localSheetId="1" hidden="1">{#N/A,#N/A,FALSE,"BN (2)"}</definedName>
    <definedName name="E" localSheetId="2" hidden="1">{#N/A,#N/A,FALSE,"BN (2)"}</definedName>
    <definedName name="E" localSheetId="4" hidden="1">{#N/A,#N/A,FALSE,"BN (2)"}</definedName>
    <definedName name="E" localSheetId="5" hidden="1">{#N/A,#N/A,FALSE,"BN (2)"}</definedName>
    <definedName name="E" localSheetId="7" hidden="1">{#N/A,#N/A,FALSE,"BN (2)"}</definedName>
    <definedName name="E" localSheetId="13" hidden="1">{#N/A,#N/A,FALSE,"BN (2)"}</definedName>
    <definedName name="E" localSheetId="14" hidden="1">{#N/A,#N/A,FALSE,"BN (2)"}</definedName>
    <definedName name="E" localSheetId="15" hidden="1">{#N/A,#N/A,FALSE,"BN (2)"}</definedName>
    <definedName name="E" localSheetId="16" hidden="1">{#N/A,#N/A,FALSE,"BN (2)"}</definedName>
    <definedName name="E" localSheetId="17" hidden="1">{#N/A,#N/A,FALSE,"BN (2)"}</definedName>
    <definedName name="E" localSheetId="3" hidden="1">{#N/A,#N/A,FALSE,"BN (2)"}</definedName>
    <definedName name="E" localSheetId="6" hidden="1">{#N/A,#N/A,FALSE,"BN (2)"}</definedName>
    <definedName name="E" localSheetId="8" hidden="1">{#N/A,#N/A,FALSE,"BN (2)"}</definedName>
    <definedName name="E" localSheetId="18" hidden="1">{#N/A,#N/A,FALSE,"BN (2)"}</definedName>
    <definedName name="E" localSheetId="19" hidden="1">{#N/A,#N/A,FALSE,"BN (2)"}</definedName>
    <definedName name="E" localSheetId="0" hidden="1">{#N/A,#N/A,FALSE,"BN (2)"}</definedName>
    <definedName name="E" hidden="1">{#N/A,#N/A,FALSE,"BN (2)"}</definedName>
    <definedName name="End_1" localSheetId="14">#REF!</definedName>
    <definedName name="End_1" localSheetId="17">#REF!</definedName>
    <definedName name="End_1">#REF!</definedName>
    <definedName name="End_10" localSheetId="14">#REF!</definedName>
    <definedName name="End_10" localSheetId="17">#REF!</definedName>
    <definedName name="End_10">#REF!</definedName>
    <definedName name="End_11" localSheetId="14">#REF!</definedName>
    <definedName name="End_11" localSheetId="17">#REF!</definedName>
    <definedName name="End_11">#REF!</definedName>
    <definedName name="End_12" localSheetId="14">#REF!</definedName>
    <definedName name="End_12" localSheetId="17">#REF!</definedName>
    <definedName name="End_12">#REF!</definedName>
    <definedName name="End_13" localSheetId="14">#REF!</definedName>
    <definedName name="End_13" localSheetId="17">#REF!</definedName>
    <definedName name="End_13">#REF!</definedName>
    <definedName name="End_2" localSheetId="14">#REF!</definedName>
    <definedName name="End_2" localSheetId="17">#REF!</definedName>
    <definedName name="End_2">#REF!</definedName>
    <definedName name="End_3" localSheetId="14">#REF!</definedName>
    <definedName name="End_3" localSheetId="17">#REF!</definedName>
    <definedName name="End_3">#REF!</definedName>
    <definedName name="End_4" localSheetId="14">#REF!</definedName>
    <definedName name="End_4" localSheetId="17">#REF!</definedName>
    <definedName name="End_4">#REF!</definedName>
    <definedName name="End_5" localSheetId="14">#REF!</definedName>
    <definedName name="End_5" localSheetId="17">#REF!</definedName>
    <definedName name="End_5">#REF!</definedName>
    <definedName name="End_6" localSheetId="14">#REF!</definedName>
    <definedName name="End_6" localSheetId="17">#REF!</definedName>
    <definedName name="End_6">#REF!</definedName>
    <definedName name="End_7" localSheetId="14">#REF!</definedName>
    <definedName name="End_7" localSheetId="17">#REF!</definedName>
    <definedName name="End_7">#REF!</definedName>
    <definedName name="End_8" localSheetId="14">#REF!</definedName>
    <definedName name="End_8" localSheetId="17">#REF!</definedName>
    <definedName name="End_8">#REF!</definedName>
    <definedName name="End_9" localSheetId="14">#REF!</definedName>
    <definedName name="End_9" localSheetId="17">#REF!</definedName>
    <definedName name="End_9">#REF!</definedName>
    <definedName name="_xlnm.Extract" localSheetId="14">#REF!</definedName>
    <definedName name="_xlnm.Extract" localSheetId="17">#REF!</definedName>
    <definedName name="_xlnm.Extract">#REF!</definedName>
    <definedName name="f" localSheetId="1" hidden="1">{"'Sheet1'!$L$16"}</definedName>
    <definedName name="f" localSheetId="2" hidden="1">{"'Sheet1'!$L$16"}</definedName>
    <definedName name="f" localSheetId="4" hidden="1">{"'Sheet1'!$L$16"}</definedName>
    <definedName name="f" localSheetId="5" hidden="1">{"'Sheet1'!$L$16"}</definedName>
    <definedName name="f" localSheetId="7" hidden="1">{"'Sheet1'!$L$16"}</definedName>
    <definedName name="f" localSheetId="11" hidden="1">{"'Sheet1'!$L$16"}</definedName>
    <definedName name="f" localSheetId="13" hidden="1">{"'Sheet1'!$L$16"}</definedName>
    <definedName name="f" localSheetId="14" hidden="1">{"'Sheet1'!$L$16"}</definedName>
    <definedName name="f" localSheetId="15" hidden="1">{"'Sheet1'!$L$16"}</definedName>
    <definedName name="f" localSheetId="16" hidden="1">{"'Sheet1'!$L$16"}</definedName>
    <definedName name="f" localSheetId="17" hidden="1">{"'Sheet1'!$L$16"}</definedName>
    <definedName name="f" localSheetId="3" hidden="1">{"'Sheet1'!$L$16"}</definedName>
    <definedName name="f" localSheetId="6" hidden="1">{"'Sheet1'!$L$16"}</definedName>
    <definedName name="f" localSheetId="8" hidden="1">{"'Sheet1'!$L$16"}</definedName>
    <definedName name="f" localSheetId="18" hidden="1">{"'Sheet1'!$L$16"}</definedName>
    <definedName name="f" localSheetId="19" hidden="1">{"'Sheet1'!$L$16"}</definedName>
    <definedName name="f" localSheetId="0" hidden="1">{"'Sheet1'!$L$16"}</definedName>
    <definedName name="f" hidden="1">{"'Sheet1'!$L$16"}</definedName>
    <definedName name="FCode" localSheetId="1" hidden="1">#REF!</definedName>
    <definedName name="FCode" localSheetId="5" hidden="1">#REF!</definedName>
    <definedName name="FCode" localSheetId="7" hidden="1">#REF!</definedName>
    <definedName name="FCode" localSheetId="14" hidden="1">#REF!</definedName>
    <definedName name="FCode" localSheetId="15" hidden="1">#REF!</definedName>
    <definedName name="FCode" localSheetId="16" hidden="1">#REF!</definedName>
    <definedName name="FCode" localSheetId="17" hidden="1">#REF!</definedName>
    <definedName name="FCode" localSheetId="19" hidden="1">#REF!</definedName>
    <definedName name="FCode" hidden="1">#REF!</definedName>
    <definedName name="fsdfdsf" localSheetId="1" hidden="1">{"'Sheet1'!$L$16"}</definedName>
    <definedName name="fsdfdsf" localSheetId="2" hidden="1">{"'Sheet1'!$L$16"}</definedName>
    <definedName name="fsdfdsf" localSheetId="4" hidden="1">{"'Sheet1'!$L$16"}</definedName>
    <definedName name="fsdfdsf" localSheetId="5" hidden="1">{"'Sheet1'!$L$16"}</definedName>
    <definedName name="fsdfdsf" localSheetId="7" hidden="1">{"'Sheet1'!$L$16"}</definedName>
    <definedName name="fsdfdsf" localSheetId="11" hidden="1">{"'Sheet1'!$L$16"}</definedName>
    <definedName name="fsdfdsf" localSheetId="13" hidden="1">{"'Sheet1'!$L$16"}</definedName>
    <definedName name="fsdfdsf" localSheetId="14" hidden="1">{"'Sheet1'!$L$16"}</definedName>
    <definedName name="fsdfdsf" localSheetId="15" hidden="1">{"'Sheet1'!$L$16"}</definedName>
    <definedName name="fsdfdsf" localSheetId="16" hidden="1">{"'Sheet1'!$L$16"}</definedName>
    <definedName name="fsdfdsf" localSheetId="17" hidden="1">{"'Sheet1'!$L$16"}</definedName>
    <definedName name="fsdfdsf" localSheetId="3" hidden="1">{"'Sheet1'!$L$16"}</definedName>
    <definedName name="fsdfdsf" localSheetId="6" hidden="1">{"'Sheet1'!$L$16"}</definedName>
    <definedName name="fsdfdsf" localSheetId="8" hidden="1">{"'Sheet1'!$L$16"}</definedName>
    <definedName name="fsdfdsf" localSheetId="18" hidden="1">{"'Sheet1'!$L$16"}</definedName>
    <definedName name="fsdfdsf" localSheetId="19" hidden="1">{"'Sheet1'!$L$16"}</definedName>
    <definedName name="fsdfdsf" localSheetId="0" hidden="1">{"'Sheet1'!$L$16"}</definedName>
    <definedName name="fsdfdsf" hidden="1">{"'Sheet1'!$L$16"}</definedName>
    <definedName name="g" localSheetId="1" hidden="1">{"'Sheet1'!$L$16"}</definedName>
    <definedName name="g" localSheetId="2" hidden="1">{"'Sheet1'!$L$16"}</definedName>
    <definedName name="g" localSheetId="4" hidden="1">{"'Sheet1'!$L$16"}</definedName>
    <definedName name="g" localSheetId="5" hidden="1">{"'Sheet1'!$L$16"}</definedName>
    <definedName name="g" localSheetId="7" hidden="1">{"'Sheet1'!$L$16"}</definedName>
    <definedName name="g" localSheetId="11" hidden="1">{"'Sheet1'!$L$16"}</definedName>
    <definedName name="g" localSheetId="13" hidden="1">{"'Sheet1'!$L$16"}</definedName>
    <definedName name="g" localSheetId="14" hidden="1">{"'Sheet1'!$L$16"}</definedName>
    <definedName name="g" localSheetId="15" hidden="1">{"'Sheet1'!$L$16"}</definedName>
    <definedName name="g" localSheetId="16" hidden="1">{"'Sheet1'!$L$16"}</definedName>
    <definedName name="g" localSheetId="17" hidden="1">{"'Sheet1'!$L$16"}</definedName>
    <definedName name="g" localSheetId="3" hidden="1">{"'Sheet1'!$L$16"}</definedName>
    <definedName name="g" localSheetId="6" hidden="1">{"'Sheet1'!$L$16"}</definedName>
    <definedName name="g" localSheetId="8" hidden="1">{"'Sheet1'!$L$16"}</definedName>
    <definedName name="g" localSheetId="18" hidden="1">{"'Sheet1'!$L$16"}</definedName>
    <definedName name="g" localSheetId="19" hidden="1">{"'Sheet1'!$L$16"}</definedName>
    <definedName name="g" localSheetId="0" hidden="1">{"'Sheet1'!$L$16"}</definedName>
    <definedName name="g" hidden="1">{"'Sheet1'!$L$16"}</definedName>
    <definedName name="h" localSheetId="1" hidden="1">{"'Sheet1'!$L$16"}</definedName>
    <definedName name="h" localSheetId="2" hidden="1">{"'Sheet1'!$L$16"}</definedName>
    <definedName name="h" localSheetId="4" hidden="1">{"'Sheet1'!$L$16"}</definedName>
    <definedName name="h" localSheetId="5" hidden="1">{"'Sheet1'!$L$16"}</definedName>
    <definedName name="h" localSheetId="7" hidden="1">{"'Sheet1'!$L$16"}</definedName>
    <definedName name="h" localSheetId="11" hidden="1">{"'Sheet1'!$L$16"}</definedName>
    <definedName name="h" localSheetId="13" hidden="1">{"'Sheet1'!$L$16"}</definedName>
    <definedName name="h" localSheetId="14" hidden="1">{"'Sheet1'!$L$16"}</definedName>
    <definedName name="h" localSheetId="15" hidden="1">{"'Sheet1'!$L$16"}</definedName>
    <definedName name="h" localSheetId="16" hidden="1">{"'Sheet1'!$L$16"}</definedName>
    <definedName name="h" localSheetId="17" hidden="1">{"'Sheet1'!$L$16"}</definedName>
    <definedName name="h" localSheetId="3" hidden="1">{"'Sheet1'!$L$16"}</definedName>
    <definedName name="h" localSheetId="6" hidden="1">{"'Sheet1'!$L$16"}</definedName>
    <definedName name="h" localSheetId="8" hidden="1">{"'Sheet1'!$L$16"}</definedName>
    <definedName name="h" localSheetId="18" hidden="1">{"'Sheet1'!$L$16"}</definedName>
    <definedName name="h" localSheetId="19" hidden="1">{"'Sheet1'!$L$16"}</definedName>
    <definedName name="h" localSheetId="0" hidden="1">{"'Sheet1'!$L$16"}</definedName>
    <definedName name="h" hidden="1">{"'Sheet1'!$L$16"}</definedName>
    <definedName name="HANG" localSheetId="1" hidden="1">{#N/A,#N/A,FALSE,"Chi tiÆt"}</definedName>
    <definedName name="HANG" localSheetId="4" hidden="1">{#N/A,#N/A,FALSE,"Chi tiÆt"}</definedName>
    <definedName name="HANG" localSheetId="5" hidden="1">{#N/A,#N/A,FALSE,"Chi tiÆt"}</definedName>
    <definedName name="HANG" localSheetId="13" hidden="1">{#N/A,#N/A,FALSE,"Chi tiÆt"}</definedName>
    <definedName name="HANG" localSheetId="14" hidden="1">{#N/A,#N/A,FALSE,"Chi tiÆt"}</definedName>
    <definedName name="HANG" localSheetId="15" hidden="1">{#N/A,#N/A,FALSE,"Chi tiÆt"}</definedName>
    <definedName name="HANG" localSheetId="16" hidden="1">{#N/A,#N/A,FALSE,"Chi tiÆt"}</definedName>
    <definedName name="HANG" localSheetId="17" hidden="1">{#N/A,#N/A,FALSE,"Chi tiÆt"}</definedName>
    <definedName name="HANG" localSheetId="3" hidden="1">{#N/A,#N/A,FALSE,"Chi tiÆt"}</definedName>
    <definedName name="HANG" localSheetId="6" hidden="1">{#N/A,#N/A,FALSE,"Chi tiÆt"}</definedName>
    <definedName name="HANG" localSheetId="8" hidden="1">{#N/A,#N/A,FALSE,"Chi tiÆt"}</definedName>
    <definedName name="HANG" localSheetId="19" hidden="1">{#N/A,#N/A,FALSE,"Chi tiÆt"}</definedName>
    <definedName name="HANG" hidden="1">{#N/A,#N/A,FALSE,"Chi tiÆt"}</definedName>
    <definedName name="hhh" localSheetId="1" hidden="1">{"'Sheet1'!$L$16"}</definedName>
    <definedName name="hhh" localSheetId="2" hidden="1">{"'Sheet1'!$L$16"}</definedName>
    <definedName name="hhh" localSheetId="4" hidden="1">{"'Sheet1'!$L$16"}</definedName>
    <definedName name="hhh" localSheetId="5" hidden="1">{"'Sheet1'!$L$16"}</definedName>
    <definedName name="hhh" localSheetId="7" hidden="1">{"'Sheet1'!$L$16"}</definedName>
    <definedName name="hhh" localSheetId="11" hidden="1">{"'Sheet1'!$L$16"}</definedName>
    <definedName name="hhh" localSheetId="13" hidden="1">{"'Sheet1'!$L$16"}</definedName>
    <definedName name="hhh" localSheetId="14" hidden="1">{"'Sheet1'!$L$16"}</definedName>
    <definedName name="hhh" localSheetId="15" hidden="1">{"'Sheet1'!$L$16"}</definedName>
    <definedName name="hhh" localSheetId="16" hidden="1">{"'Sheet1'!$L$16"}</definedName>
    <definedName name="hhh" localSheetId="17" hidden="1">{"'Sheet1'!$L$16"}</definedName>
    <definedName name="hhh" localSheetId="3" hidden="1">{"'Sheet1'!$L$16"}</definedName>
    <definedName name="hhh" localSheetId="6" hidden="1">{"'Sheet1'!$L$16"}</definedName>
    <definedName name="hhh" localSheetId="8" hidden="1">{"'Sheet1'!$L$16"}</definedName>
    <definedName name="hhh" localSheetId="18" hidden="1">{"'Sheet1'!$L$16"}</definedName>
    <definedName name="hhh" localSheetId="19" hidden="1">{"'Sheet1'!$L$16"}</definedName>
    <definedName name="hhh" localSheetId="0" hidden="1">{"'Sheet1'!$L$16"}</definedName>
    <definedName name="hhh" hidden="1">{"'Sheet1'!$L$16"}</definedName>
    <definedName name="HHUHOI" localSheetId="4">#N/A</definedName>
    <definedName name="HHUHOI" localSheetId="14">#N/A</definedName>
    <definedName name="HHUHOI" localSheetId="17">'Bieu 10_TT '!HHUHOI</definedName>
    <definedName name="HHUHOI" localSheetId="3">#N/A</definedName>
    <definedName name="HHUHOI">'Bieu 10_TT '!HHUHOI</definedName>
    <definedName name="HiddenRows" localSheetId="1" hidden="1">#REF!</definedName>
    <definedName name="HiddenRows" localSheetId="5" hidden="1">#REF!</definedName>
    <definedName name="HiddenRows" localSheetId="7" hidden="1">#REF!</definedName>
    <definedName name="HiddenRows" localSheetId="14" hidden="1">#REF!</definedName>
    <definedName name="HiddenRows" localSheetId="15" hidden="1">#REF!</definedName>
    <definedName name="HiddenRows" localSheetId="16" hidden="1">#REF!</definedName>
    <definedName name="HiddenRows" localSheetId="17" hidden="1">#REF!</definedName>
    <definedName name="HiddenRows" localSheetId="19" hidden="1">#REF!</definedName>
    <definedName name="HiddenRows" hidden="1">#REF!</definedName>
    <definedName name="HIHIHIHOI" localSheetId="1" hidden="1">{"'Sheet1'!$L$16"}</definedName>
    <definedName name="HIHIHIHOI" localSheetId="4" hidden="1">{"'Sheet1'!$L$16"}</definedName>
    <definedName name="HIHIHIHOI" localSheetId="5" hidden="1">{"'Sheet1'!$L$16"}</definedName>
    <definedName name="HIHIHIHOI" localSheetId="13" hidden="1">{"'Sheet1'!$L$16"}</definedName>
    <definedName name="HIHIHIHOI" localSheetId="14" hidden="1">{"'Sheet1'!$L$16"}</definedName>
    <definedName name="HIHIHIHOI" localSheetId="15" hidden="1">{"'Sheet1'!$L$16"}</definedName>
    <definedName name="HIHIHIHOI" localSheetId="16" hidden="1">{"'Sheet1'!$L$16"}</definedName>
    <definedName name="HIHIHIHOI" localSheetId="17" hidden="1">{"'Sheet1'!$L$16"}</definedName>
    <definedName name="HIHIHIHOI" localSheetId="3" hidden="1">{"'Sheet1'!$L$16"}</definedName>
    <definedName name="HIHIHIHOI" localSheetId="6" hidden="1">{"'Sheet1'!$L$16"}</definedName>
    <definedName name="HIHIHIHOI" localSheetId="8" hidden="1">{"'Sheet1'!$L$16"}</definedName>
    <definedName name="HIHIHIHOI" localSheetId="19" hidden="1">{"'Sheet1'!$L$16"}</definedName>
    <definedName name="HIHIHIHOI" hidden="1">{"'Sheet1'!$L$16"}</definedName>
    <definedName name="hj" localSheetId="1" hidden="1">{"'Sheet1'!$L$16"}</definedName>
    <definedName name="hj" localSheetId="2" hidden="1">{"'Sheet1'!$L$16"}</definedName>
    <definedName name="hj" localSheetId="4" hidden="1">{"'Sheet1'!$L$16"}</definedName>
    <definedName name="hj" localSheetId="5" hidden="1">{"'Sheet1'!$L$16"}</definedName>
    <definedName name="hj" localSheetId="7" hidden="1">{"'Sheet1'!$L$16"}</definedName>
    <definedName name="hj" localSheetId="11" hidden="1">{"'Sheet1'!$L$16"}</definedName>
    <definedName name="hj" localSheetId="13" hidden="1">{"'Sheet1'!$L$16"}</definedName>
    <definedName name="hj" localSheetId="14" hidden="1">{"'Sheet1'!$L$16"}</definedName>
    <definedName name="hj" localSheetId="15" hidden="1">{"'Sheet1'!$L$16"}</definedName>
    <definedName name="hj" localSheetId="16" hidden="1">{"'Sheet1'!$L$16"}</definedName>
    <definedName name="hj" localSheetId="17" hidden="1">{"'Sheet1'!$L$16"}</definedName>
    <definedName name="hj" localSheetId="3" hidden="1">{"'Sheet1'!$L$16"}</definedName>
    <definedName name="hj" localSheetId="6" hidden="1">{"'Sheet1'!$L$16"}</definedName>
    <definedName name="hj" localSheetId="8" hidden="1">{"'Sheet1'!$L$16"}</definedName>
    <definedName name="hj" localSheetId="18" hidden="1">{"'Sheet1'!$L$16"}</definedName>
    <definedName name="hj" localSheetId="19" hidden="1">{"'Sheet1'!$L$16"}</definedName>
    <definedName name="hj" localSheetId="0" hidden="1">{"'Sheet1'!$L$16"}</definedName>
    <definedName name="hj" hidden="1">{"'Sheet1'!$L$16"}</definedName>
    <definedName name="HJKL" localSheetId="1" hidden="1">{"'Sheet1'!$L$16"}</definedName>
    <definedName name="HJKL" localSheetId="4" hidden="1">{"'Sheet1'!$L$16"}</definedName>
    <definedName name="HJKL" localSheetId="5" hidden="1">{"'Sheet1'!$L$16"}</definedName>
    <definedName name="HJKL" localSheetId="13" hidden="1">{"'Sheet1'!$L$16"}</definedName>
    <definedName name="HJKL" localSheetId="14" hidden="1">{"'Sheet1'!$L$16"}</definedName>
    <definedName name="HJKL" localSheetId="15" hidden="1">{"'Sheet1'!$L$16"}</definedName>
    <definedName name="HJKL" localSheetId="16" hidden="1">{"'Sheet1'!$L$16"}</definedName>
    <definedName name="HJKL" localSheetId="17" hidden="1">{"'Sheet1'!$L$16"}</definedName>
    <definedName name="HJKL" localSheetId="3" hidden="1">{"'Sheet1'!$L$16"}</definedName>
    <definedName name="HJKL" localSheetId="6" hidden="1">{"'Sheet1'!$L$16"}</definedName>
    <definedName name="HJKL" localSheetId="8" hidden="1">{"'Sheet1'!$L$16"}</definedName>
    <definedName name="HJKL" localSheetId="19" hidden="1">{"'Sheet1'!$L$16"}</definedName>
    <definedName name="HJKL" hidden="1">{"'Sheet1'!$L$16"}</definedName>
    <definedName name="HOME_MANP" localSheetId="14">#REF!</definedName>
    <definedName name="HOME_MANP" localSheetId="17">#REF!</definedName>
    <definedName name="HOME_MANP">#REF!</definedName>
    <definedName name="HOMEOFFICE_COST" localSheetId="14">#REF!</definedName>
    <definedName name="HOMEOFFICE_COST" localSheetId="17">#REF!</definedName>
    <definedName name="HOMEOFFICE_COST">#REF!</definedName>
    <definedName name="HT" localSheetId="14">#REF!</definedName>
    <definedName name="HT" localSheetId="17">#REF!</definedName>
    <definedName name="HT">#REF!</definedName>
    <definedName name="htlm" localSheetId="1" hidden="1">{"'Sheet1'!$L$16"}</definedName>
    <definedName name="htlm" localSheetId="2" hidden="1">{"'Sheet1'!$L$16"}</definedName>
    <definedName name="htlm" localSheetId="4" hidden="1">{"'Sheet1'!$L$16"}</definedName>
    <definedName name="htlm" localSheetId="5" hidden="1">{"'Sheet1'!$L$16"}</definedName>
    <definedName name="htlm" localSheetId="7" hidden="1">{"'Sheet1'!$L$16"}</definedName>
    <definedName name="htlm" localSheetId="11" hidden="1">{"'Sheet1'!$L$16"}</definedName>
    <definedName name="htlm" localSheetId="13" hidden="1">{"'Sheet1'!$L$16"}</definedName>
    <definedName name="htlm" localSheetId="14" hidden="1">{"'Sheet1'!$L$16"}</definedName>
    <definedName name="htlm" localSheetId="15" hidden="1">{"'Sheet1'!$L$16"}</definedName>
    <definedName name="htlm" localSheetId="16" hidden="1">{"'Sheet1'!$L$16"}</definedName>
    <definedName name="htlm" localSheetId="17" hidden="1">{"'Sheet1'!$L$16"}</definedName>
    <definedName name="htlm" localSheetId="3" hidden="1">{"'Sheet1'!$L$16"}</definedName>
    <definedName name="htlm" localSheetId="6" hidden="1">{"'Sheet1'!$L$16"}</definedName>
    <definedName name="htlm" localSheetId="8" hidden="1">{"'Sheet1'!$L$16"}</definedName>
    <definedName name="htlm" localSheetId="18" hidden="1">{"'Sheet1'!$L$16"}</definedName>
    <definedName name="htlm" localSheetId="19" hidden="1">{"'Sheet1'!$L$16"}</definedName>
    <definedName name="htlm" localSheetId="0" hidden="1">{"'Sheet1'!$L$16"}</definedName>
    <definedName name="htlm" hidden="1">{"'Sheet1'!$L$16"}</definedName>
    <definedName name="HTML_CodePage" hidden="1">950</definedName>
    <definedName name="HTML_Control" localSheetId="1" hidden="1">{"'Sheet1'!$L$16"}</definedName>
    <definedName name="HTML_Control" localSheetId="2" hidden="1">{"'Sheet1'!$L$16"}</definedName>
    <definedName name="HTML_Control" localSheetId="4" hidden="1">{"'Sheet1'!$L$16"}</definedName>
    <definedName name="HTML_Control" localSheetId="5" hidden="1">{"'Sheet1'!$L$16"}</definedName>
    <definedName name="HTML_Control" localSheetId="7" hidden="1">{"'Sheet1'!$L$16"}</definedName>
    <definedName name="HTML_Control" localSheetId="11" hidden="1">{"'Sheet1'!$L$16"}</definedName>
    <definedName name="HTML_Control" localSheetId="13" hidden="1">{"'Sheet1'!$L$16"}</definedName>
    <definedName name="HTML_Control" localSheetId="14" hidden="1">{"'Sheet1'!$L$16"}</definedName>
    <definedName name="HTML_Control" localSheetId="15" hidden="1">{"'Sheet1'!$L$16"}</definedName>
    <definedName name="HTML_Control" localSheetId="16" hidden="1">{"'Sheet1'!$L$16"}</definedName>
    <definedName name="HTML_Control" localSheetId="17" hidden="1">{"'Sheet1'!$L$16"}</definedName>
    <definedName name="HTML_Control" localSheetId="3" hidden="1">{"'Sheet1'!$L$16"}</definedName>
    <definedName name="HTML_Control" localSheetId="6" hidden="1">{"'Sheet1'!$L$16"}</definedName>
    <definedName name="HTML_Control" localSheetId="8" hidden="1">{"'Sheet1'!$L$16"}</definedName>
    <definedName name="HTML_Control" localSheetId="18" hidden="1">{"'Sheet1'!$L$16"}</definedName>
    <definedName name="HTML_Control" localSheetId="19" hidden="1">{"'Sheet1'!$L$16"}</definedName>
    <definedName name="HTML_Control" localSheetId="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rhrt" localSheetId="1" hidden="1">{"'Sheet1'!$L$16"}</definedName>
    <definedName name="htrhrt" localSheetId="2" hidden="1">{"'Sheet1'!$L$16"}</definedName>
    <definedName name="htrhrt" localSheetId="4" hidden="1">{"'Sheet1'!$L$16"}</definedName>
    <definedName name="htrhrt" localSheetId="5" hidden="1">{"'Sheet1'!$L$16"}</definedName>
    <definedName name="htrhrt" localSheetId="7" hidden="1">{"'Sheet1'!$L$16"}</definedName>
    <definedName name="htrhrt" localSheetId="11" hidden="1">{"'Sheet1'!$L$16"}</definedName>
    <definedName name="htrhrt" localSheetId="13" hidden="1">{"'Sheet1'!$L$16"}</definedName>
    <definedName name="htrhrt" localSheetId="14" hidden="1">{"'Sheet1'!$L$16"}</definedName>
    <definedName name="htrhrt" localSheetId="15" hidden="1">{"'Sheet1'!$L$16"}</definedName>
    <definedName name="htrhrt" localSheetId="16" hidden="1">{"'Sheet1'!$L$16"}</definedName>
    <definedName name="htrhrt" localSheetId="17" hidden="1">{"'Sheet1'!$L$16"}</definedName>
    <definedName name="htrhrt" localSheetId="3" hidden="1">{"'Sheet1'!$L$16"}</definedName>
    <definedName name="htrhrt" localSheetId="6" hidden="1">{"'Sheet1'!$L$16"}</definedName>
    <definedName name="htrhrt" localSheetId="8" hidden="1">{"'Sheet1'!$L$16"}</definedName>
    <definedName name="htrhrt" localSheetId="18" hidden="1">{"'Sheet1'!$L$16"}</definedName>
    <definedName name="htrhrt" localSheetId="19" hidden="1">{"'Sheet1'!$L$16"}</definedName>
    <definedName name="htrhrt" localSheetId="0" hidden="1">{"'Sheet1'!$L$16"}</definedName>
    <definedName name="htrhrt" hidden="1">{"'Sheet1'!$L$16"}</definedName>
    <definedName name="hu" localSheetId="1" hidden="1">{"'Sheet1'!$L$16"}</definedName>
    <definedName name="hu" localSheetId="2" hidden="1">{"'Sheet1'!$L$16"}</definedName>
    <definedName name="hu" localSheetId="4" hidden="1">{"'Sheet1'!$L$16"}</definedName>
    <definedName name="hu" localSheetId="5" hidden="1">{"'Sheet1'!$L$16"}</definedName>
    <definedName name="hu" localSheetId="7" hidden="1">{"'Sheet1'!$L$16"}</definedName>
    <definedName name="hu" localSheetId="11" hidden="1">{"'Sheet1'!$L$16"}</definedName>
    <definedName name="hu" localSheetId="13" hidden="1">{"'Sheet1'!$L$16"}</definedName>
    <definedName name="hu" localSheetId="14" hidden="1">{"'Sheet1'!$L$16"}</definedName>
    <definedName name="hu" localSheetId="15" hidden="1">{"'Sheet1'!$L$16"}</definedName>
    <definedName name="hu" localSheetId="16" hidden="1">{"'Sheet1'!$L$16"}</definedName>
    <definedName name="hu" localSheetId="17" hidden="1">{"'Sheet1'!$L$16"}</definedName>
    <definedName name="hu" localSheetId="3" hidden="1">{"'Sheet1'!$L$16"}</definedName>
    <definedName name="hu" localSheetId="6" hidden="1">{"'Sheet1'!$L$16"}</definedName>
    <definedName name="hu" localSheetId="8" hidden="1">{"'Sheet1'!$L$16"}</definedName>
    <definedName name="hu" localSheetId="18" hidden="1">{"'Sheet1'!$L$16"}</definedName>
    <definedName name="hu" localSheetId="19" hidden="1">{"'Sheet1'!$L$16"}</definedName>
    <definedName name="hu" localSheetId="0" hidden="1">{"'Sheet1'!$L$16"}</definedName>
    <definedName name="hu" hidden="1">{"'Sheet1'!$L$16"}</definedName>
    <definedName name="huy" localSheetId="1" hidden="1">{"'Sheet1'!$L$16"}</definedName>
    <definedName name="huy" localSheetId="2" hidden="1">{"'Sheet1'!$L$16"}</definedName>
    <definedName name="huy" localSheetId="4" hidden="1">{"'Sheet1'!$L$16"}</definedName>
    <definedName name="huy" localSheetId="5" hidden="1">{"'Sheet1'!$L$16"}</definedName>
    <definedName name="huy" localSheetId="7" hidden="1">{"'Sheet1'!$L$16"}</definedName>
    <definedName name="huy" localSheetId="11" hidden="1">{"'Sheet1'!$L$16"}</definedName>
    <definedName name="huy" localSheetId="13" hidden="1">{"'Sheet1'!$L$16"}</definedName>
    <definedName name="huy" localSheetId="14" hidden="1">{"'Sheet1'!$L$16"}</definedName>
    <definedName name="huy" localSheetId="15" hidden="1">{"'Sheet1'!$L$16"}</definedName>
    <definedName name="huy" localSheetId="16" hidden="1">{"'Sheet1'!$L$16"}</definedName>
    <definedName name="huy" localSheetId="17">#REF!</definedName>
    <definedName name="huy" localSheetId="3" hidden="1">{"'Sheet1'!$L$16"}</definedName>
    <definedName name="huy" localSheetId="6" hidden="1">{"'Sheet1'!$L$16"}</definedName>
    <definedName name="huy" localSheetId="8" hidden="1">{"'Sheet1'!$L$16"}</definedName>
    <definedName name="huy" localSheetId="18" hidden="1">{"'Sheet1'!$L$16"}</definedName>
    <definedName name="huy" localSheetId="19" hidden="1">{"'Sheet1'!$L$16"}</definedName>
    <definedName name="huy" localSheetId="0" hidden="1">{"'Sheet1'!$L$16"}</definedName>
    <definedName name="huy" hidden="1">{"'Sheet1'!$L$16"}</definedName>
    <definedName name="IDLAB_COST" localSheetId="14">#REF!</definedName>
    <definedName name="IDLAB_COST" localSheetId="17">#REF!</definedName>
    <definedName name="IDLAB_COST">#REF!</definedName>
    <definedName name="INDMANP" localSheetId="14">#REF!</definedName>
    <definedName name="INDMANP" localSheetId="17">#REF!</definedName>
    <definedName name="INDMANP">#REF!</definedName>
    <definedName name="K" localSheetId="14">#REF!</definedName>
    <definedName name="K" localSheetId="17">#REF!</definedName>
    <definedName name="K">#REF!</definedName>
    <definedName name="Khac" localSheetId="14">#REF!</definedName>
    <definedName name="Khac" localSheetId="17">#REF!</definedName>
    <definedName name="Khac">#REF!</definedName>
    <definedName name="KHANHKHUNG" localSheetId="1" hidden="1">{"'Sheet1'!$L$16"}</definedName>
    <definedName name="KHANHKHUNG" localSheetId="2" hidden="1">{"'Sheet1'!$L$16"}</definedName>
    <definedName name="KHANHKHUNG" localSheetId="4" hidden="1">{"'Sheet1'!$L$16"}</definedName>
    <definedName name="KHANHKHUNG" localSheetId="5" hidden="1">{"'Sheet1'!$L$16"}</definedName>
    <definedName name="KHANHKHUNG" localSheetId="7" hidden="1">{"'Sheet1'!$L$16"}</definedName>
    <definedName name="KHANHKHUNG" localSheetId="11" hidden="1">{"'Sheet1'!$L$16"}</definedName>
    <definedName name="KHANHKHUNG" localSheetId="13" hidden="1">{"'Sheet1'!$L$16"}</definedName>
    <definedName name="KHANHKHUNG" localSheetId="14" hidden="1">{"'Sheet1'!$L$16"}</definedName>
    <definedName name="KHANHKHUNG" localSheetId="15" hidden="1">{"'Sheet1'!$L$16"}</definedName>
    <definedName name="KHANHKHUNG" localSheetId="16" hidden="1">{"'Sheet1'!$L$16"}</definedName>
    <definedName name="KHANHKHUNG" localSheetId="17" hidden="1">{"'Sheet1'!$L$16"}</definedName>
    <definedName name="KHANHKHUNG" localSheetId="3" hidden="1">{"'Sheet1'!$L$16"}</definedName>
    <definedName name="KHANHKHUNG" localSheetId="6" hidden="1">{"'Sheet1'!$L$16"}</definedName>
    <definedName name="KHANHKHUNG" localSheetId="8" hidden="1">{"'Sheet1'!$L$16"}</definedName>
    <definedName name="KHANHKHUNG" localSheetId="18" hidden="1">{"'Sheet1'!$L$16"}</definedName>
    <definedName name="KHANHKHUNG" localSheetId="19" hidden="1">{"'Sheet1'!$L$16"}</definedName>
    <definedName name="KHANHKHUNG" localSheetId="0" hidden="1">{"'Sheet1'!$L$16"}</definedName>
    <definedName name="KHANHKHUNG" hidden="1">{"'Sheet1'!$L$16"}</definedName>
    <definedName name="khla09" localSheetId="1" hidden="1">{"'Sheet1'!$L$16"}</definedName>
    <definedName name="khla09" localSheetId="2" hidden="1">{"'Sheet1'!$L$16"}</definedName>
    <definedName name="khla09" localSheetId="4" hidden="1">{"'Sheet1'!$L$16"}</definedName>
    <definedName name="khla09" localSheetId="5" hidden="1">{"'Sheet1'!$L$16"}</definedName>
    <definedName name="khla09" localSheetId="7" hidden="1">{"'Sheet1'!$L$16"}</definedName>
    <definedName name="khla09" localSheetId="11" hidden="1">{"'Sheet1'!$L$16"}</definedName>
    <definedName name="khla09" localSheetId="13" hidden="1">{"'Sheet1'!$L$16"}</definedName>
    <definedName name="khla09" localSheetId="14" hidden="1">{"'Sheet1'!$L$16"}</definedName>
    <definedName name="khla09" localSheetId="15" hidden="1">{"'Sheet1'!$L$16"}</definedName>
    <definedName name="khla09" localSheetId="16" hidden="1">{"'Sheet1'!$L$16"}</definedName>
    <definedName name="khla09" localSheetId="17" hidden="1">{"'Sheet1'!$L$16"}</definedName>
    <definedName name="khla09" localSheetId="3" hidden="1">{"'Sheet1'!$L$16"}</definedName>
    <definedName name="khla09" localSheetId="6" hidden="1">{"'Sheet1'!$L$16"}</definedName>
    <definedName name="khla09" localSheetId="8" hidden="1">{"'Sheet1'!$L$16"}</definedName>
    <definedName name="khla09" localSheetId="18" hidden="1">{"'Sheet1'!$L$16"}</definedName>
    <definedName name="khla09" localSheetId="19" hidden="1">{"'Sheet1'!$L$16"}</definedName>
    <definedName name="khla09" localSheetId="0" hidden="1">{"'Sheet1'!$L$16"}</definedName>
    <definedName name="khla09" hidden="1">{"'Sheet1'!$L$16"}</definedName>
    <definedName name="Khong_can_doi" localSheetId="14">#REF!</definedName>
    <definedName name="Khong_can_doi" localSheetId="17">#REF!</definedName>
    <definedName name="Khong_can_doi">#REF!</definedName>
    <definedName name="khongtruotgia" localSheetId="1" hidden="1">{"'Sheet1'!$L$16"}</definedName>
    <definedName name="khongtruotgia" localSheetId="2" hidden="1">{"'Sheet1'!$L$16"}</definedName>
    <definedName name="khongtruotgia" localSheetId="4" hidden="1">{"'Sheet1'!$L$16"}</definedName>
    <definedName name="khongtruotgia" localSheetId="5" hidden="1">{"'Sheet1'!$L$16"}</definedName>
    <definedName name="khongtruotgia" localSheetId="7" hidden="1">{"'Sheet1'!$L$16"}</definedName>
    <definedName name="khongtruotgia" localSheetId="11" hidden="1">{"'Sheet1'!$L$16"}</definedName>
    <definedName name="khongtruotgia" localSheetId="13" hidden="1">{"'Sheet1'!$L$16"}</definedName>
    <definedName name="khongtruotgia" localSheetId="14" hidden="1">{"'Sheet1'!$L$16"}</definedName>
    <definedName name="khongtruotgia" localSheetId="15" hidden="1">{"'Sheet1'!$L$16"}</definedName>
    <definedName name="khongtruotgia" localSheetId="16" hidden="1">{"'Sheet1'!$L$16"}</definedName>
    <definedName name="khongtruotgia" localSheetId="17" hidden="1">{"'Sheet1'!$L$16"}</definedName>
    <definedName name="khongtruotgia" localSheetId="3" hidden="1">{"'Sheet1'!$L$16"}</definedName>
    <definedName name="khongtruotgia" localSheetId="6" hidden="1">{"'Sheet1'!$L$16"}</definedName>
    <definedName name="khongtruotgia" localSheetId="8" hidden="1">{"'Sheet1'!$L$16"}</definedName>
    <definedName name="khongtruotgia" localSheetId="18" hidden="1">{"'Sheet1'!$L$16"}</definedName>
    <definedName name="khongtruotgia" localSheetId="19" hidden="1">{"'Sheet1'!$L$16"}</definedName>
    <definedName name="khongtruotgia" localSheetId="0" hidden="1">{"'Sheet1'!$L$16"}</definedName>
    <definedName name="khongtruotgia" hidden="1">{"'Sheet1'!$L$16"}</definedName>
    <definedName name="khvh09" localSheetId="1" hidden="1">{"'Sheet1'!$L$16"}</definedName>
    <definedName name="khvh09" localSheetId="2" hidden="1">{"'Sheet1'!$L$16"}</definedName>
    <definedName name="khvh09" localSheetId="4" hidden="1">{"'Sheet1'!$L$16"}</definedName>
    <definedName name="khvh09" localSheetId="5" hidden="1">{"'Sheet1'!$L$16"}</definedName>
    <definedName name="khvh09" localSheetId="7" hidden="1">{"'Sheet1'!$L$16"}</definedName>
    <definedName name="khvh09" localSheetId="11" hidden="1">{"'Sheet1'!$L$16"}</definedName>
    <definedName name="khvh09" localSheetId="13" hidden="1">{"'Sheet1'!$L$16"}</definedName>
    <definedName name="khvh09" localSheetId="14" hidden="1">{"'Sheet1'!$L$16"}</definedName>
    <definedName name="khvh09" localSheetId="15" hidden="1">{"'Sheet1'!$L$16"}</definedName>
    <definedName name="khvh09" localSheetId="16" hidden="1">{"'Sheet1'!$L$16"}</definedName>
    <definedName name="khvh09" localSheetId="17" hidden="1">{"'Sheet1'!$L$16"}</definedName>
    <definedName name="khvh09" localSheetId="3" hidden="1">{"'Sheet1'!$L$16"}</definedName>
    <definedName name="khvh09" localSheetId="6" hidden="1">{"'Sheet1'!$L$16"}</definedName>
    <definedName name="khvh09" localSheetId="8" hidden="1">{"'Sheet1'!$L$16"}</definedName>
    <definedName name="khvh09" localSheetId="18" hidden="1">{"'Sheet1'!$L$16"}</definedName>
    <definedName name="khvh09" localSheetId="19" hidden="1">{"'Sheet1'!$L$16"}</definedName>
    <definedName name="khvh09" localSheetId="0" hidden="1">{"'Sheet1'!$L$16"}</definedName>
    <definedName name="khvh09" hidden="1">{"'Sheet1'!$L$16"}</definedName>
    <definedName name="KHYt09" localSheetId="1" hidden="1">{"'Sheet1'!$L$16"}</definedName>
    <definedName name="KHYt09" localSheetId="2" hidden="1">{"'Sheet1'!$L$16"}</definedName>
    <definedName name="KHYt09" localSheetId="4" hidden="1">{"'Sheet1'!$L$16"}</definedName>
    <definedName name="KHYt09" localSheetId="5" hidden="1">{"'Sheet1'!$L$16"}</definedName>
    <definedName name="KHYt09" localSheetId="7" hidden="1">{"'Sheet1'!$L$16"}</definedName>
    <definedName name="KHYt09" localSheetId="11" hidden="1">{"'Sheet1'!$L$16"}</definedName>
    <definedName name="KHYt09" localSheetId="13" hidden="1">{"'Sheet1'!$L$16"}</definedName>
    <definedName name="KHYt09" localSheetId="14" hidden="1">{"'Sheet1'!$L$16"}</definedName>
    <definedName name="KHYt09" localSheetId="15" hidden="1">{"'Sheet1'!$L$16"}</definedName>
    <definedName name="KHYt09" localSheetId="16" hidden="1">{"'Sheet1'!$L$16"}</definedName>
    <definedName name="KHYt09" localSheetId="17" hidden="1">{"'Sheet1'!$L$16"}</definedName>
    <definedName name="KHYt09" localSheetId="3" hidden="1">{"'Sheet1'!$L$16"}</definedName>
    <definedName name="KHYt09" localSheetId="6" hidden="1">{"'Sheet1'!$L$16"}</definedName>
    <definedName name="KHYt09" localSheetId="8" hidden="1">{"'Sheet1'!$L$16"}</definedName>
    <definedName name="KHYt09" localSheetId="18" hidden="1">{"'Sheet1'!$L$16"}</definedName>
    <definedName name="KHYt09" localSheetId="19" hidden="1">{"'Sheet1'!$L$16"}</definedName>
    <definedName name="KHYt09" localSheetId="0" hidden="1">{"'Sheet1'!$L$16"}</definedName>
    <definedName name="KHYt09" hidden="1">{"'Sheet1'!$L$16"}</definedName>
    <definedName name="KLduonggiaods" localSheetId="1" hidden="1">{"'Sheet1'!$L$16"}</definedName>
    <definedName name="KLduonggiaods" localSheetId="2" hidden="1">{"'Sheet1'!$L$16"}</definedName>
    <definedName name="KLduonggiaods" localSheetId="4" hidden="1">{"'Sheet1'!$L$16"}</definedName>
    <definedName name="KLduonggiaods" localSheetId="5" hidden="1">{"'Sheet1'!$L$16"}</definedName>
    <definedName name="KLduonggiaods" localSheetId="7" hidden="1">{"'Sheet1'!$L$16"}</definedName>
    <definedName name="KLduonggiaods" localSheetId="11" hidden="1">{"'Sheet1'!$L$16"}</definedName>
    <definedName name="KLduonggiaods" localSheetId="13" hidden="1">{"'Sheet1'!$L$16"}</definedName>
    <definedName name="KLduonggiaods" localSheetId="14" hidden="1">{"'Sheet1'!$L$16"}</definedName>
    <definedName name="KLduonggiaods" localSheetId="15" hidden="1">{"'Sheet1'!$L$16"}</definedName>
    <definedName name="KLduonggiaods" localSheetId="16" hidden="1">{"'Sheet1'!$L$16"}</definedName>
    <definedName name="KLduonggiaods" localSheetId="17" hidden="1">{"'Sheet1'!$L$16"}</definedName>
    <definedName name="KLduonggiaods" localSheetId="3" hidden="1">{"'Sheet1'!$L$16"}</definedName>
    <definedName name="KLduonggiaods" localSheetId="6" hidden="1">{"'Sheet1'!$L$16"}</definedName>
    <definedName name="KLduonggiaods" localSheetId="8" hidden="1">{"'Sheet1'!$L$16"}</definedName>
    <definedName name="KLduonggiaods" localSheetId="18" hidden="1">{"'Sheet1'!$L$16"}</definedName>
    <definedName name="KLduonggiaods" localSheetId="19" hidden="1">{"'Sheet1'!$L$16"}</definedName>
    <definedName name="KLduonggiaods" localSheetId="0" hidden="1">{"'Sheet1'!$L$16"}</definedName>
    <definedName name="KLduonggiaods" hidden="1">{"'Sheet1'!$L$16"}</definedName>
    <definedName name="komtun" localSheetId="1" hidden="1">{"'Sheet1'!$L$16"}</definedName>
    <definedName name="komtun" localSheetId="2" hidden="1">{"'Sheet1'!$L$16"}</definedName>
    <definedName name="komtun" localSheetId="4" hidden="1">{"'Sheet1'!$L$16"}</definedName>
    <definedName name="komtun" localSheetId="5" hidden="1">{"'Sheet1'!$L$16"}</definedName>
    <definedName name="komtun" localSheetId="7" hidden="1">{"'Sheet1'!$L$16"}</definedName>
    <definedName name="komtun" localSheetId="11" hidden="1">{"'Sheet1'!$L$16"}</definedName>
    <definedName name="komtun" localSheetId="13" hidden="1">{"'Sheet1'!$L$16"}</definedName>
    <definedName name="komtun" localSheetId="14" hidden="1">{"'Sheet1'!$L$16"}</definedName>
    <definedName name="komtun" localSheetId="15" hidden="1">{"'Sheet1'!$L$16"}</definedName>
    <definedName name="komtun" localSheetId="16" hidden="1">{"'Sheet1'!$L$16"}</definedName>
    <definedName name="komtun" localSheetId="17" hidden="1">{"'Sheet1'!$L$16"}</definedName>
    <definedName name="komtun" localSheetId="3" hidden="1">{"'Sheet1'!$L$16"}</definedName>
    <definedName name="komtun" localSheetId="6" hidden="1">{"'Sheet1'!$L$16"}</definedName>
    <definedName name="komtun" localSheetId="8" hidden="1">{"'Sheet1'!$L$16"}</definedName>
    <definedName name="komtun" localSheetId="18" hidden="1">{"'Sheet1'!$L$16"}</definedName>
    <definedName name="komtun" localSheetId="19" hidden="1">{"'Sheet1'!$L$16"}</definedName>
    <definedName name="komtun" localSheetId="0" hidden="1">{"'Sheet1'!$L$16"}</definedName>
    <definedName name="komtun" hidden="1">{"'Sheet1'!$L$16"}</definedName>
    <definedName name="kontum" localSheetId="1" hidden="1">{#N/A,#N/A,TRUE,"BT M200 da 10x20"}</definedName>
    <definedName name="kontum" localSheetId="2" hidden="1">{#N/A,#N/A,TRUE,"BT M200 da 10x20"}</definedName>
    <definedName name="kontum" localSheetId="4" hidden="1">{#N/A,#N/A,TRUE,"BT M200 da 10x20"}</definedName>
    <definedName name="kontum" localSheetId="5" hidden="1">{#N/A,#N/A,TRUE,"BT M200 da 10x20"}</definedName>
    <definedName name="kontum" localSheetId="7" hidden="1">{#N/A,#N/A,TRUE,"BT M200 da 10x20"}</definedName>
    <definedName name="kontum" localSheetId="13" hidden="1">{#N/A,#N/A,TRUE,"BT M200 da 10x20"}</definedName>
    <definedName name="kontum" localSheetId="14" hidden="1">{#N/A,#N/A,TRUE,"BT M200 da 10x20"}</definedName>
    <definedName name="kontum" localSheetId="15" hidden="1">{#N/A,#N/A,TRUE,"BT M200 da 10x20"}</definedName>
    <definedName name="kontum" localSheetId="16" hidden="1">{#N/A,#N/A,TRUE,"BT M200 da 10x20"}</definedName>
    <definedName name="kontum" localSheetId="17" hidden="1">{#N/A,#N/A,TRUE,"BT M200 da 10x20"}</definedName>
    <definedName name="kontum" localSheetId="3" hidden="1">{#N/A,#N/A,TRUE,"BT M200 da 10x20"}</definedName>
    <definedName name="kontum" localSheetId="6" hidden="1">{#N/A,#N/A,TRUE,"BT M200 da 10x20"}</definedName>
    <definedName name="kontum" localSheetId="8" hidden="1">{#N/A,#N/A,TRUE,"BT M200 da 10x20"}</definedName>
    <definedName name="kontum" localSheetId="18" hidden="1">{#N/A,#N/A,TRUE,"BT M200 da 10x20"}</definedName>
    <definedName name="kontum" localSheetId="19" hidden="1">{#N/A,#N/A,TRUE,"BT M200 da 10x20"}</definedName>
    <definedName name="kontum" localSheetId="0" hidden="1">{#N/A,#N/A,TRUE,"BT M200 da 10x20"}</definedName>
    <definedName name="kontum" hidden="1">{#N/A,#N/A,TRUE,"BT M200 da 10x20"}</definedName>
    <definedName name="KQ_Truong" localSheetId="14">#REF!</definedName>
    <definedName name="KQ_Truong" localSheetId="17">#REF!</definedName>
    <definedName name="KQ_Truong">#REF!</definedName>
    <definedName name="ksbn" localSheetId="1" hidden="1">{"'Sheet1'!$L$16"}</definedName>
    <definedName name="ksbn" localSheetId="2" hidden="1">{"'Sheet1'!$L$16"}</definedName>
    <definedName name="ksbn" localSheetId="4" hidden="1">{"'Sheet1'!$L$16"}</definedName>
    <definedName name="ksbn" localSheetId="5" hidden="1">{"'Sheet1'!$L$16"}</definedName>
    <definedName name="ksbn" localSheetId="7" hidden="1">{"'Sheet1'!$L$16"}</definedName>
    <definedName name="ksbn" localSheetId="11" hidden="1">{"'Sheet1'!$L$16"}</definedName>
    <definedName name="ksbn" localSheetId="13" hidden="1">{"'Sheet1'!$L$16"}</definedName>
    <definedName name="ksbn" localSheetId="14" hidden="1">{"'Sheet1'!$L$16"}</definedName>
    <definedName name="ksbn" localSheetId="15" hidden="1">{"'Sheet1'!$L$16"}</definedName>
    <definedName name="ksbn" localSheetId="16" hidden="1">{"'Sheet1'!$L$16"}</definedName>
    <definedName name="ksbn" localSheetId="17" hidden="1">{"'Sheet1'!$L$16"}</definedName>
    <definedName name="ksbn" localSheetId="3" hidden="1">{"'Sheet1'!$L$16"}</definedName>
    <definedName name="ksbn" localSheetId="6" hidden="1">{"'Sheet1'!$L$16"}</definedName>
    <definedName name="ksbn" localSheetId="8" hidden="1">{"'Sheet1'!$L$16"}</definedName>
    <definedName name="ksbn" localSheetId="18" hidden="1">{"'Sheet1'!$L$16"}</definedName>
    <definedName name="ksbn" localSheetId="19" hidden="1">{"'Sheet1'!$L$16"}</definedName>
    <definedName name="ksbn" localSheetId="0" hidden="1">{"'Sheet1'!$L$16"}</definedName>
    <definedName name="ksbn" hidden="1">{"'Sheet1'!$L$16"}</definedName>
    <definedName name="kshn" localSheetId="1" hidden="1">{"'Sheet1'!$L$16"}</definedName>
    <definedName name="kshn" localSheetId="2" hidden="1">{"'Sheet1'!$L$16"}</definedName>
    <definedName name="kshn" localSheetId="4" hidden="1">{"'Sheet1'!$L$16"}</definedName>
    <definedName name="kshn" localSheetId="5" hidden="1">{"'Sheet1'!$L$16"}</definedName>
    <definedName name="kshn" localSheetId="7" hidden="1">{"'Sheet1'!$L$16"}</definedName>
    <definedName name="kshn" localSheetId="11" hidden="1">{"'Sheet1'!$L$16"}</definedName>
    <definedName name="kshn" localSheetId="13" hidden="1">{"'Sheet1'!$L$16"}</definedName>
    <definedName name="kshn" localSheetId="14" hidden="1">{"'Sheet1'!$L$16"}</definedName>
    <definedName name="kshn" localSheetId="15" hidden="1">{"'Sheet1'!$L$16"}</definedName>
    <definedName name="kshn" localSheetId="16" hidden="1">{"'Sheet1'!$L$16"}</definedName>
    <definedName name="kshn" localSheetId="17" hidden="1">{"'Sheet1'!$L$16"}</definedName>
    <definedName name="kshn" localSheetId="3" hidden="1">{"'Sheet1'!$L$16"}</definedName>
    <definedName name="kshn" localSheetId="6" hidden="1">{"'Sheet1'!$L$16"}</definedName>
    <definedName name="kshn" localSheetId="8" hidden="1">{"'Sheet1'!$L$16"}</definedName>
    <definedName name="kshn" localSheetId="18" hidden="1">{"'Sheet1'!$L$16"}</definedName>
    <definedName name="kshn" localSheetId="19" hidden="1">{"'Sheet1'!$L$16"}</definedName>
    <definedName name="kshn" localSheetId="0" hidden="1">{"'Sheet1'!$L$16"}</definedName>
    <definedName name="kshn" hidden="1">{"'Sheet1'!$L$16"}</definedName>
    <definedName name="ksls" localSheetId="1" hidden="1">{"'Sheet1'!$L$16"}</definedName>
    <definedName name="ksls" localSheetId="2" hidden="1">{"'Sheet1'!$L$16"}</definedName>
    <definedName name="ksls" localSheetId="4" hidden="1">{"'Sheet1'!$L$16"}</definedName>
    <definedName name="ksls" localSheetId="5" hidden="1">{"'Sheet1'!$L$16"}</definedName>
    <definedName name="ksls" localSheetId="7" hidden="1">{"'Sheet1'!$L$16"}</definedName>
    <definedName name="ksls" localSheetId="11" hidden="1">{"'Sheet1'!$L$16"}</definedName>
    <definedName name="ksls" localSheetId="13" hidden="1">{"'Sheet1'!$L$16"}</definedName>
    <definedName name="ksls" localSheetId="14" hidden="1">{"'Sheet1'!$L$16"}</definedName>
    <definedName name="ksls" localSheetId="15" hidden="1">{"'Sheet1'!$L$16"}</definedName>
    <definedName name="ksls" localSheetId="16" hidden="1">{"'Sheet1'!$L$16"}</definedName>
    <definedName name="ksls" localSheetId="17" hidden="1">{"'Sheet1'!$L$16"}</definedName>
    <definedName name="ksls" localSheetId="3" hidden="1">{"'Sheet1'!$L$16"}</definedName>
    <definedName name="ksls" localSheetId="6" hidden="1">{"'Sheet1'!$L$16"}</definedName>
    <definedName name="ksls" localSheetId="8" hidden="1">{"'Sheet1'!$L$16"}</definedName>
    <definedName name="ksls" localSheetId="18" hidden="1">{"'Sheet1'!$L$16"}</definedName>
    <definedName name="ksls" localSheetId="19" hidden="1">{"'Sheet1'!$L$16"}</definedName>
    <definedName name="ksls" localSheetId="0" hidden="1">{"'Sheet1'!$L$16"}</definedName>
    <definedName name="ksls" hidden="1">{"'Sheet1'!$L$16"}</definedName>
    <definedName name="KVC" localSheetId="14">#REF!</definedName>
    <definedName name="KVC" localSheetId="17">#REF!</definedName>
    <definedName name="KVC">#REF!</definedName>
    <definedName name="L" localSheetId="14">#REF!</definedName>
    <definedName name="L" localSheetId="17">#REF!</definedName>
    <definedName name="L">#REF!</definedName>
    <definedName name="lan" localSheetId="1" hidden="1">{#N/A,#N/A,TRUE,"BT M200 da 10x20"}</definedName>
    <definedName name="lan" localSheetId="2" hidden="1">{#N/A,#N/A,TRUE,"BT M200 da 10x20"}</definedName>
    <definedName name="lan" localSheetId="4" hidden="1">{#N/A,#N/A,TRUE,"BT M200 da 10x20"}</definedName>
    <definedName name="lan" localSheetId="5" hidden="1">{#N/A,#N/A,TRUE,"BT M200 da 10x20"}</definedName>
    <definedName name="lan" localSheetId="7" hidden="1">{#N/A,#N/A,TRUE,"BT M200 da 10x20"}</definedName>
    <definedName name="lan" localSheetId="13" hidden="1">{#N/A,#N/A,TRUE,"BT M200 da 10x20"}</definedName>
    <definedName name="lan" localSheetId="14" hidden="1">{#N/A,#N/A,TRUE,"BT M200 da 10x20"}</definedName>
    <definedName name="lan" localSheetId="15" hidden="1">{#N/A,#N/A,TRUE,"BT M200 da 10x20"}</definedName>
    <definedName name="lan" localSheetId="16" hidden="1">{#N/A,#N/A,TRUE,"BT M200 da 10x20"}</definedName>
    <definedName name="lan" localSheetId="17" hidden="1">{#N/A,#N/A,TRUE,"BT M200 da 10x20"}</definedName>
    <definedName name="lan" localSheetId="3" hidden="1">{#N/A,#N/A,TRUE,"BT M200 da 10x20"}</definedName>
    <definedName name="lan" localSheetId="6" hidden="1">{#N/A,#N/A,TRUE,"BT M200 da 10x20"}</definedName>
    <definedName name="lan" localSheetId="8" hidden="1">{#N/A,#N/A,TRUE,"BT M200 da 10x20"}</definedName>
    <definedName name="lan" localSheetId="18" hidden="1">{#N/A,#N/A,TRUE,"BT M200 da 10x20"}</definedName>
    <definedName name="lan" localSheetId="19" hidden="1">{#N/A,#N/A,TRUE,"BT M200 da 10x20"}</definedName>
    <definedName name="lan" localSheetId="0" hidden="1">{#N/A,#N/A,TRUE,"BT M200 da 10x20"}</definedName>
    <definedName name="lan" hidden="1">{#N/A,#N/A,TRUE,"BT M200 da 10x20"}</definedName>
    <definedName name="langson" localSheetId="1" hidden="1">{"'Sheet1'!$L$16"}</definedName>
    <definedName name="langson" localSheetId="2" hidden="1">{"'Sheet1'!$L$16"}</definedName>
    <definedName name="langson" localSheetId="4" hidden="1">{"'Sheet1'!$L$16"}</definedName>
    <definedName name="langson" localSheetId="5" hidden="1">{"'Sheet1'!$L$16"}</definedName>
    <definedName name="langson" localSheetId="7" hidden="1">{"'Sheet1'!$L$16"}</definedName>
    <definedName name="langson" localSheetId="11" hidden="1">{"'Sheet1'!$L$16"}</definedName>
    <definedName name="langson" localSheetId="13" hidden="1">{"'Sheet1'!$L$16"}</definedName>
    <definedName name="langson" localSheetId="14" hidden="1">{"'Sheet1'!$L$16"}</definedName>
    <definedName name="langson" localSheetId="15" hidden="1">{"'Sheet1'!$L$16"}</definedName>
    <definedName name="langson" localSheetId="16" hidden="1">{"'Sheet1'!$L$16"}</definedName>
    <definedName name="langson" localSheetId="17" hidden="1">{"'Sheet1'!$L$16"}</definedName>
    <definedName name="langson" localSheetId="3" hidden="1">{"'Sheet1'!$L$16"}</definedName>
    <definedName name="langson" localSheetId="6" hidden="1">{"'Sheet1'!$L$16"}</definedName>
    <definedName name="langson" localSheetId="8" hidden="1">{"'Sheet1'!$L$16"}</definedName>
    <definedName name="langson" localSheetId="18" hidden="1">{"'Sheet1'!$L$16"}</definedName>
    <definedName name="langson" localSheetId="19" hidden="1">{"'Sheet1'!$L$16"}</definedName>
    <definedName name="langson" localSheetId="0" hidden="1">{"'Sheet1'!$L$16"}</definedName>
    <definedName name="langson" hidden="1">{"'Sheet1'!$L$16"}</definedName>
    <definedName name="lVC" localSheetId="14">#REF!</definedName>
    <definedName name="lVC" localSheetId="17">#REF!</definedName>
    <definedName name="lVC">#REF!</definedName>
    <definedName name="m" localSheetId="14">#REF!</definedName>
    <definedName name="m" localSheetId="17">#REF!</definedName>
    <definedName name="m">#REF!</definedName>
    <definedName name="MAJ_CON_EQP" localSheetId="14">#REF!</definedName>
    <definedName name="MAJ_CON_EQP" localSheetId="17">#REF!</definedName>
    <definedName name="MAJ_CON_EQP">#REF!</definedName>
    <definedName name="MG_A" localSheetId="14">#REF!</definedName>
    <definedName name="MG_A" localSheetId="17">#REF!</definedName>
    <definedName name="MG_A">#REF!</definedName>
    <definedName name="mo" localSheetId="1" hidden="1">{"'Sheet1'!$L$16"}</definedName>
    <definedName name="mo" localSheetId="2" hidden="1">{"'Sheet1'!$L$16"}</definedName>
    <definedName name="mo" localSheetId="4" hidden="1">{"'Sheet1'!$L$16"}</definedName>
    <definedName name="mo" localSheetId="5" hidden="1">{"'Sheet1'!$L$16"}</definedName>
    <definedName name="mo" localSheetId="7" hidden="1">{"'Sheet1'!$L$16"}</definedName>
    <definedName name="mo" localSheetId="11" hidden="1">{"'Sheet1'!$L$16"}</definedName>
    <definedName name="mo" localSheetId="13" hidden="1">{"'Sheet1'!$L$16"}</definedName>
    <definedName name="mo" localSheetId="14" hidden="1">{"'Sheet1'!$L$16"}</definedName>
    <definedName name="mo" localSheetId="15" hidden="1">{"'Sheet1'!$L$16"}</definedName>
    <definedName name="mo" localSheetId="16" hidden="1">{"'Sheet1'!$L$16"}</definedName>
    <definedName name="mo" localSheetId="17" hidden="1">{"'Sheet1'!$L$16"}</definedName>
    <definedName name="mo" localSheetId="3" hidden="1">{"'Sheet1'!$L$16"}</definedName>
    <definedName name="mo" localSheetId="6" hidden="1">{"'Sheet1'!$L$16"}</definedName>
    <definedName name="mo" localSheetId="8" hidden="1">{"'Sheet1'!$L$16"}</definedName>
    <definedName name="mo" localSheetId="18" hidden="1">{"'Sheet1'!$L$16"}</definedName>
    <definedName name="mo" localSheetId="19" hidden="1">{"'Sheet1'!$L$16"}</definedName>
    <definedName name="mo" localSheetId="0" hidden="1">{"'Sheet1'!$L$16"}</definedName>
    <definedName name="mo" hidden="1">{"'Sheet1'!$L$16"}</definedName>
    <definedName name="NCcap0.7" localSheetId="14">#REF!</definedName>
    <definedName name="NCcap0.7" localSheetId="17">#REF!</definedName>
    <definedName name="NCcap0.7">#REF!</definedName>
    <definedName name="NCcap1" localSheetId="14">#REF!</definedName>
    <definedName name="NCcap1" localSheetId="17">#REF!</definedName>
    <definedName name="NCcap1">#REF!</definedName>
    <definedName name="NET" localSheetId="14">#REF!</definedName>
    <definedName name="NET" localSheetId="17">#REF!</definedName>
    <definedName name="NET">#REF!</definedName>
    <definedName name="NET_1" localSheetId="14">#REF!</definedName>
    <definedName name="NET_1" localSheetId="17">#REF!</definedName>
    <definedName name="NET_1">#REF!</definedName>
    <definedName name="NET_ANA" localSheetId="14">#REF!</definedName>
    <definedName name="NET_ANA" localSheetId="17">#REF!</definedName>
    <definedName name="NET_ANA">#REF!</definedName>
    <definedName name="NET_ANA_1" localSheetId="14">#REF!</definedName>
    <definedName name="NET_ANA_1" localSheetId="17">#REF!</definedName>
    <definedName name="NET_ANA_1">#REF!</definedName>
    <definedName name="NET_ANA_2" localSheetId="14">#REF!</definedName>
    <definedName name="NET_ANA_2" localSheetId="17">#REF!</definedName>
    <definedName name="NET_ANA_2">#REF!</definedName>
    <definedName name="Ngay" localSheetId="14">#REF!</definedName>
    <definedName name="Ngay" localSheetId="17">#REF!</definedName>
    <definedName name="Ngay">#REF!</definedName>
    <definedName name="NHAÂN_COÂNG" localSheetId="4">BTRAM</definedName>
    <definedName name="NHAÂN_COÂNG" localSheetId="14">'Bieu 08_ TT'!BTRAM</definedName>
    <definedName name="NHAÂN_COÂNG" localSheetId="17">'Bieu 10_TT '!BTRAM</definedName>
    <definedName name="NHAÂN_COÂNG" localSheetId="3">BTRAM</definedName>
    <definedName name="NHAÂN_COÂNG">BTRAM</definedName>
    <definedName name="NHANH2_CG4" localSheetId="1" hidden="1">{"'Sheet1'!$L$16"}</definedName>
    <definedName name="NHANH2_CG4" localSheetId="2" hidden="1">{"'Sheet1'!$L$16"}</definedName>
    <definedName name="NHANH2_CG4" localSheetId="4" hidden="1">{"'Sheet1'!$L$16"}</definedName>
    <definedName name="NHANH2_CG4" localSheetId="5" hidden="1">{"'Sheet1'!$L$16"}</definedName>
    <definedName name="NHANH2_CG4" localSheetId="7" hidden="1">{"'Sheet1'!$L$16"}</definedName>
    <definedName name="NHANH2_CG4" localSheetId="11" hidden="1">{"'Sheet1'!$L$16"}</definedName>
    <definedName name="NHANH2_CG4" localSheetId="13" hidden="1">{"'Sheet1'!$L$16"}</definedName>
    <definedName name="NHANH2_CG4" localSheetId="14" hidden="1">{"'Sheet1'!$L$16"}</definedName>
    <definedName name="NHANH2_CG4" localSheetId="15" hidden="1">{"'Sheet1'!$L$16"}</definedName>
    <definedName name="NHANH2_CG4" localSheetId="16" hidden="1">{"'Sheet1'!$L$16"}</definedName>
    <definedName name="NHANH2_CG4" localSheetId="17" hidden="1">{"'Sheet1'!$L$16"}</definedName>
    <definedName name="NHANH2_CG4" localSheetId="3" hidden="1">{"'Sheet1'!$L$16"}</definedName>
    <definedName name="NHANH2_CG4" localSheetId="6" hidden="1">{"'Sheet1'!$L$16"}</definedName>
    <definedName name="NHANH2_CG4" localSheetId="8" hidden="1">{"'Sheet1'!$L$16"}</definedName>
    <definedName name="NHANH2_CG4" localSheetId="18" hidden="1">{"'Sheet1'!$L$16"}</definedName>
    <definedName name="NHANH2_CG4" localSheetId="19" hidden="1">{"'Sheet1'!$L$16"}</definedName>
    <definedName name="NHANH2_CG4" localSheetId="0" hidden="1">{"'Sheet1'!$L$16"}</definedName>
    <definedName name="NHANH2_CG4" hidden="1">{"'Sheet1'!$L$16"}</definedName>
    <definedName name="NQD" localSheetId="14">#REF!</definedName>
    <definedName name="NQD" localSheetId="17">#REF!</definedName>
    <definedName name="NQD">#REF!</definedName>
    <definedName name="NQQH" localSheetId="14">#REF!</definedName>
    <definedName name="NQQH" localSheetId="17">#REF!</definedName>
    <definedName name="NQQH">#REF!</definedName>
    <definedName name="NSNN" localSheetId="14">#REF!</definedName>
    <definedName name="NSNN" localSheetId="17">#REF!</definedName>
    <definedName name="NSNN">#REF!</definedName>
    <definedName name="OrderTable" localSheetId="1" hidden="1">#REF!</definedName>
    <definedName name="OrderTable" localSheetId="5" hidden="1">#REF!</definedName>
    <definedName name="OrderTable" localSheetId="7" hidden="1">#REF!</definedName>
    <definedName name="OrderTable" localSheetId="14" hidden="1">#REF!</definedName>
    <definedName name="OrderTable" localSheetId="15" hidden="1">#REF!</definedName>
    <definedName name="OrderTable" localSheetId="16" hidden="1">#REF!</definedName>
    <definedName name="OrderTable" localSheetId="17" hidden="1">#REF!</definedName>
    <definedName name="OrderTable" localSheetId="19" hidden="1">#REF!</definedName>
    <definedName name="OrderTable" hidden="1">#REF!</definedName>
    <definedName name="PAIII_" localSheetId="1" hidden="1">{"'Sheet1'!$L$16"}</definedName>
    <definedName name="PAIII_" localSheetId="2" hidden="1">{"'Sheet1'!$L$16"}</definedName>
    <definedName name="PAIII_" localSheetId="4" hidden="1">{"'Sheet1'!$L$16"}</definedName>
    <definedName name="PAIII_" localSheetId="5" hidden="1">{"'Sheet1'!$L$16"}</definedName>
    <definedName name="PAIII_" localSheetId="7" hidden="1">{"'Sheet1'!$L$16"}</definedName>
    <definedName name="PAIII_" localSheetId="11" hidden="1">{"'Sheet1'!$L$16"}</definedName>
    <definedName name="PAIII_" localSheetId="13" hidden="1">{"'Sheet1'!$L$16"}</definedName>
    <definedName name="PAIII_" localSheetId="14" hidden="1">{"'Sheet1'!$L$16"}</definedName>
    <definedName name="PAIII_" localSheetId="15" hidden="1">{"'Sheet1'!$L$16"}</definedName>
    <definedName name="PAIII_" localSheetId="16" hidden="1">{"'Sheet1'!$L$16"}</definedName>
    <definedName name="PAIII_" localSheetId="17" hidden="1">{"'Sheet1'!$L$16"}</definedName>
    <definedName name="PAIII_" localSheetId="3" hidden="1">{"'Sheet1'!$L$16"}</definedName>
    <definedName name="PAIII_" localSheetId="6" hidden="1">{"'Sheet1'!$L$16"}</definedName>
    <definedName name="PAIII_" localSheetId="8" hidden="1">{"'Sheet1'!$L$16"}</definedName>
    <definedName name="PAIII_" localSheetId="18" hidden="1">{"'Sheet1'!$L$16"}</definedName>
    <definedName name="PAIII_" localSheetId="19" hidden="1">{"'Sheet1'!$L$16"}</definedName>
    <definedName name="PAIII_" localSheetId="0" hidden="1">{"'Sheet1'!$L$16"}</definedName>
    <definedName name="PAIII_" hidden="1">{"'Sheet1'!$L$16"}</definedName>
    <definedName name="PC" localSheetId="14">#REF!</definedName>
    <definedName name="PC" localSheetId="17">#REF!</definedName>
    <definedName name="PC">#REF!</definedName>
    <definedName name="Phan_cap" localSheetId="14">#REF!</definedName>
    <definedName name="Phan_cap" localSheetId="17">#REF!</definedName>
    <definedName name="Phan_cap">#REF!</definedName>
    <definedName name="Phi_le_phi" localSheetId="14">#REF!</definedName>
    <definedName name="Phi_le_phi" localSheetId="17">#REF!</definedName>
    <definedName name="Phi_le_phi">#REF!</definedName>
    <definedName name="PMS" localSheetId="1" hidden="1">{"'Sheet1'!$L$16"}</definedName>
    <definedName name="PMS" localSheetId="2" hidden="1">{"'Sheet1'!$L$16"}</definedName>
    <definedName name="PMS" localSheetId="4" hidden="1">{"'Sheet1'!$L$16"}</definedName>
    <definedName name="PMS" localSheetId="5" hidden="1">{"'Sheet1'!$L$16"}</definedName>
    <definedName name="PMS" localSheetId="7" hidden="1">{"'Sheet1'!$L$16"}</definedName>
    <definedName name="PMS" localSheetId="11" hidden="1">{"'Sheet1'!$L$16"}</definedName>
    <definedName name="PMS" localSheetId="13" hidden="1">{"'Sheet1'!$L$16"}</definedName>
    <definedName name="PMS" localSheetId="14" hidden="1">{"'Sheet1'!$L$16"}</definedName>
    <definedName name="PMS" localSheetId="15" hidden="1">{"'Sheet1'!$L$16"}</definedName>
    <definedName name="PMS" localSheetId="16" hidden="1">{"'Sheet1'!$L$16"}</definedName>
    <definedName name="PMS" localSheetId="17" hidden="1">{"'Sheet1'!$L$16"}</definedName>
    <definedName name="PMS" localSheetId="3" hidden="1">{"'Sheet1'!$L$16"}</definedName>
    <definedName name="PMS" localSheetId="6" hidden="1">{"'Sheet1'!$L$16"}</definedName>
    <definedName name="PMS" localSheetId="8" hidden="1">{"'Sheet1'!$L$16"}</definedName>
    <definedName name="PMS" localSheetId="18" hidden="1">{"'Sheet1'!$L$16"}</definedName>
    <definedName name="PMS" localSheetId="19" hidden="1">{"'Sheet1'!$L$16"}</definedName>
    <definedName name="PMS" localSheetId="0" hidden="1">{"'Sheet1'!$L$16"}</definedName>
    <definedName name="PMS" hidden="1">{"'Sheet1'!$L$16"}</definedName>
    <definedName name="_xlnm.Print_Area" localSheetId="1">'Bieu 01 TT'!$A$1:$H$130</definedName>
    <definedName name="_xlnm.Print_Area" localSheetId="2">'Bieu 02 TT'!$A$1:$CO$120</definedName>
    <definedName name="_xlnm.Print_Area" localSheetId="4">'Bieu 02b_TT'!$A$1:$J$39</definedName>
    <definedName name="_xlnm.Print_Area" localSheetId="5">'Bieu 03 TT'!$A$3:$Z$72</definedName>
    <definedName name="_xlnm.Print_Area" localSheetId="7">'Bieu 04_TT'!$A$1:$BD$77</definedName>
    <definedName name="_xlnm.Print_Area" localSheetId="11">'Bieu 06 TT'!$A$1:$M$80</definedName>
    <definedName name="_xlnm.Print_Area" localSheetId="12">'Bieu 07 TT'!$A$3:$AF$1130</definedName>
    <definedName name="_xlnm.Print_Area" localSheetId="13">'Bieu 07a TT_MSSC'!$A$1:$E$52</definedName>
    <definedName name="_xlnm.Print_Area" localSheetId="14">'Bieu 08_ TT'!$A$1:$M$54</definedName>
    <definedName name="_xlnm.Print_Area" localSheetId="15">'Bieu 09_TT'!$A$3:$H$81</definedName>
    <definedName name="_xlnm.Print_Area" localSheetId="16">'Bieu 09a_TT_TUBSMT huyen'!$A$1:$M$24</definedName>
    <definedName name="_xlnm.Print_Area" localSheetId="17">'Bieu 10_TT '!$A$1:$V$42</definedName>
    <definedName name="_xlnm.Print_Area" localSheetId="3">'Bieu 2a_TT phí le phi'!$A$1:$W$105</definedName>
    <definedName name="_xlnm.Print_Area" localSheetId="6">'Bieu 3a_10% tien dat '!$A$1:$O$33</definedName>
    <definedName name="_xlnm.Print_Area" localSheetId="8">'Bieu 5 TT'!$A$3:$N$53</definedName>
    <definedName name="_xlnm.Print_Area">#REF!</definedName>
    <definedName name="PRINT_AREA_MI" localSheetId="14">#REF!</definedName>
    <definedName name="PRINT_AREA_MI" localSheetId="17">#REF!</definedName>
    <definedName name="PRINT_AREA_MI">#REF!</definedName>
    <definedName name="_xlnm.Print_Titles" localSheetId="1">'Bieu 01 TT'!$6:$8</definedName>
    <definedName name="_xlnm.Print_Titles" localSheetId="2">'Bieu 02 TT'!$A:$B,'Bieu 02 TT'!$12:$14</definedName>
    <definedName name="_xlnm.Print_Titles" localSheetId="4">'Bieu 02b_TT'!$5:$8</definedName>
    <definedName name="_xlnm.Print_Titles" localSheetId="5">'Bieu 03 TT'!$8:$11</definedName>
    <definedName name="_xlnm.Print_Titles" localSheetId="7">'Bieu 04_TT'!$A:$B,'Bieu 04_TT'!$6:$7</definedName>
    <definedName name="_xlnm.Print_Titles" localSheetId="11">'Bieu 06 TT'!$7:$12</definedName>
    <definedName name="_xlnm.Print_Titles" localSheetId="12">'Bieu 07 TT'!$7:$14</definedName>
    <definedName name="_xlnm.Print_Titles" localSheetId="13">'Bieu 07a TT_MSSC'!$6:$7</definedName>
    <definedName name="_xlnm.Print_Titles" localSheetId="9">'Bieu 07b TT_dao tao'!$6:$7</definedName>
    <definedName name="_xlnm.Print_Titles" localSheetId="14">'Bieu 08_ TT'!$5:$7</definedName>
    <definedName name="_xlnm.Print_Titles" localSheetId="15">'Bieu 09_TT'!$7:$10</definedName>
    <definedName name="_xlnm.Print_Titles" localSheetId="16">'Bieu 09a_TT_TUBSMT huyen'!$6:$7</definedName>
    <definedName name="_xlnm.Print_Titles" localSheetId="17">'Bieu 10_TT '!$5:$9</definedName>
    <definedName name="_xlnm.Print_Titles" localSheetId="3">'Bieu 2a_TT phí le phi'!$6:$9</definedName>
    <definedName name="_xlnm.Print_Titles" localSheetId="6">'Bieu 3a_10% tien dat '!$7:$8</definedName>
    <definedName name="_xlnm.Print_Titles" localSheetId="8">'Bieu 5 TT'!$7:$8</definedName>
    <definedName name="_xlnm.Print_Titles" localSheetId="18">'DT chi TX 2022 theo ĐM HĐND'!$A:$B,'DT chi TX 2022 theo ĐM HĐND'!$8:$10</definedName>
    <definedName name="_xlnm.Print_Titles" localSheetId="19">'TH chinh sach '!$5:$6</definedName>
    <definedName name="_xlnm.Print_Titles" localSheetId="0">'THu NS cac cap huong'!$A:$B,'THu NS cac cap huong'!$4:$5</definedName>
    <definedName name="_xlnm.Print_Titles">#N/A</definedName>
    <definedName name="PRINT_TITLES_MI" localSheetId="14">#REF!</definedName>
    <definedName name="PRINT_TITLES_MI" localSheetId="17">#REF!</definedName>
    <definedName name="PRINT_TITLES_MI">#REF!</definedName>
    <definedName name="PRINTA" localSheetId="14">#REF!</definedName>
    <definedName name="PRINTA" localSheetId="17">#REF!</definedName>
    <definedName name="PRINTA">#REF!</definedName>
    <definedName name="PRINTB" localSheetId="14">#REF!</definedName>
    <definedName name="PRINTB" localSheetId="17">#REF!</definedName>
    <definedName name="PRINTB">#REF!</definedName>
    <definedName name="PRINTC" localSheetId="14">#REF!</definedName>
    <definedName name="PRINTC" localSheetId="17">#REF!</definedName>
    <definedName name="PRINTC">#REF!</definedName>
    <definedName name="ProdForm" localSheetId="1" hidden="1">#REF!</definedName>
    <definedName name="ProdForm" localSheetId="2" hidden="1">#REF!</definedName>
    <definedName name="ProdForm" localSheetId="4" hidden="1">#REF!</definedName>
    <definedName name="ProdForm" localSheetId="5" hidden="1">#REF!</definedName>
    <definedName name="ProdForm" localSheetId="7" hidden="1">#REF!</definedName>
    <definedName name="ProdForm" localSheetId="11" hidden="1">#REF!</definedName>
    <definedName name="ProdForm" localSheetId="14" hidden="1">#REF!</definedName>
    <definedName name="ProdForm" localSheetId="15" hidden="1">#REF!</definedName>
    <definedName name="ProdForm" localSheetId="16" hidden="1">#REF!</definedName>
    <definedName name="ProdForm" localSheetId="17" hidden="1">#REF!</definedName>
    <definedName name="ProdForm" localSheetId="3" hidden="1">#REF!</definedName>
    <definedName name="ProdForm" localSheetId="6" hidden="1">#REF!</definedName>
    <definedName name="ProdForm" localSheetId="8" hidden="1">#REF!</definedName>
    <definedName name="ProdForm" localSheetId="18" hidden="1">#REF!</definedName>
    <definedName name="ProdForm" localSheetId="19" hidden="1">#REF!</definedName>
    <definedName name="ProdForm" localSheetId="0" hidden="1">#REF!</definedName>
    <definedName name="ProdForm" hidden="1">#REF!</definedName>
    <definedName name="Product" localSheetId="1" hidden="1">#REF!</definedName>
    <definedName name="Product" localSheetId="2" hidden="1">#REF!</definedName>
    <definedName name="Product" localSheetId="4" hidden="1">#REF!</definedName>
    <definedName name="Product" localSheetId="5" hidden="1">#REF!</definedName>
    <definedName name="Product" localSheetId="7" hidden="1">#REF!</definedName>
    <definedName name="Product" localSheetId="14" hidden="1">#REF!</definedName>
    <definedName name="Product" localSheetId="15" hidden="1">#REF!</definedName>
    <definedName name="Product" localSheetId="16" hidden="1">#REF!</definedName>
    <definedName name="Product" localSheetId="17" hidden="1">#REF!</definedName>
    <definedName name="Product" localSheetId="3" hidden="1">#REF!</definedName>
    <definedName name="Product" localSheetId="6" hidden="1">#REF!</definedName>
    <definedName name="Product" localSheetId="8" hidden="1">#REF!</definedName>
    <definedName name="Product" localSheetId="19" hidden="1">#REF!</definedName>
    <definedName name="Product" hidden="1">#REF!</definedName>
    <definedName name="PROPOSAL" localSheetId="14">#REF!</definedName>
    <definedName name="PROPOSAL" localSheetId="17">#REF!</definedName>
    <definedName name="PROPOSAL">#REF!</definedName>
    <definedName name="RCArea" localSheetId="1" hidden="1">#REF!</definedName>
    <definedName name="RCArea" localSheetId="4" hidden="1">#REF!</definedName>
    <definedName name="RCArea" localSheetId="5" hidden="1">#REF!</definedName>
    <definedName name="RCArea" localSheetId="7" hidden="1">#REF!</definedName>
    <definedName name="RCArea" localSheetId="14" hidden="1">#REF!</definedName>
    <definedName name="RCArea" localSheetId="15" hidden="1">#REF!</definedName>
    <definedName name="RCArea" localSheetId="16" hidden="1">#REF!</definedName>
    <definedName name="RCArea" localSheetId="17" hidden="1">#REF!</definedName>
    <definedName name="RCArea" localSheetId="3" hidden="1">#REF!</definedName>
    <definedName name="RCArea" localSheetId="6" hidden="1">#REF!</definedName>
    <definedName name="RCArea" localSheetId="8" hidden="1">#REF!</definedName>
    <definedName name="RCArea" localSheetId="19" hidden="1">#REF!</definedName>
    <definedName name="RCArea" hidden="1">#REF!</definedName>
    <definedName name="re" localSheetId="1" hidden="1">{"'Sheet1'!$L$16"}</definedName>
    <definedName name="re" localSheetId="2" hidden="1">{"'Sheet1'!$L$16"}</definedName>
    <definedName name="re" localSheetId="4" hidden="1">{"'Sheet1'!$L$16"}</definedName>
    <definedName name="re" localSheetId="5" hidden="1">{"'Sheet1'!$L$16"}</definedName>
    <definedName name="re" localSheetId="7" hidden="1">{"'Sheet1'!$L$16"}</definedName>
    <definedName name="re" localSheetId="11" hidden="1">{"'Sheet1'!$L$16"}</definedName>
    <definedName name="re" localSheetId="13" hidden="1">{"'Sheet1'!$L$16"}</definedName>
    <definedName name="re" localSheetId="14" hidden="1">{"'Sheet1'!$L$16"}</definedName>
    <definedName name="re" localSheetId="15" hidden="1">{"'Sheet1'!$L$16"}</definedName>
    <definedName name="re" localSheetId="16" hidden="1">{"'Sheet1'!$L$16"}</definedName>
    <definedName name="re" localSheetId="17" hidden="1">{"'Sheet1'!$L$16"}</definedName>
    <definedName name="re" localSheetId="3" hidden="1">{"'Sheet1'!$L$16"}</definedName>
    <definedName name="re" localSheetId="6" hidden="1">{"'Sheet1'!$L$16"}</definedName>
    <definedName name="re" localSheetId="8" hidden="1">{"'Sheet1'!$L$16"}</definedName>
    <definedName name="re" localSheetId="18" hidden="1">{"'Sheet1'!$L$16"}</definedName>
    <definedName name="re" localSheetId="19" hidden="1">{"'Sheet1'!$L$16"}</definedName>
    <definedName name="re" localSheetId="0" hidden="1">{"'Sheet1'!$L$16"}</definedName>
    <definedName name="re" hidden="1">{"'Sheet1'!$L$16"}</definedName>
    <definedName name="RGHGSD" localSheetId="1" hidden="1">{"'Sheet1'!$L$16"}</definedName>
    <definedName name="RGHGSD" localSheetId="4" hidden="1">{"'Sheet1'!$L$16"}</definedName>
    <definedName name="RGHGSD" localSheetId="5" hidden="1">{"'Sheet1'!$L$16"}</definedName>
    <definedName name="RGHGSD" localSheetId="13" hidden="1">{"'Sheet1'!$L$16"}</definedName>
    <definedName name="RGHGSD" localSheetId="14" hidden="1">{"'Sheet1'!$L$16"}</definedName>
    <definedName name="RGHGSD" localSheetId="15" hidden="1">{"'Sheet1'!$L$16"}</definedName>
    <definedName name="RGHGSD" localSheetId="16" hidden="1">{"'Sheet1'!$L$16"}</definedName>
    <definedName name="RGHGSD" localSheetId="17" hidden="1">{"'Sheet1'!$L$16"}</definedName>
    <definedName name="RGHGSD" localSheetId="3" hidden="1">{"'Sheet1'!$L$16"}</definedName>
    <definedName name="RGHGSD" localSheetId="6" hidden="1">{"'Sheet1'!$L$16"}</definedName>
    <definedName name="RGHGSD" localSheetId="8" hidden="1">{"'Sheet1'!$L$16"}</definedName>
    <definedName name="RGHGSD" localSheetId="19" hidden="1">{"'Sheet1'!$L$16"}</definedName>
    <definedName name="RGHGSD" hidden="1">{"'Sheet1'!$L$16"}</definedName>
    <definedName name="rr" localSheetId="1" hidden="1">{"'Sheet1'!$L$16"}</definedName>
    <definedName name="rr" localSheetId="2" hidden="1">{"'Sheet1'!$L$16"}</definedName>
    <definedName name="rr" localSheetId="4" hidden="1">{"'Sheet1'!$L$16"}</definedName>
    <definedName name="rr" localSheetId="5" hidden="1">{"'Sheet1'!$L$16"}</definedName>
    <definedName name="rr" localSheetId="7" hidden="1">{"'Sheet1'!$L$16"}</definedName>
    <definedName name="rr" localSheetId="11" hidden="1">{"'Sheet1'!$L$16"}</definedName>
    <definedName name="rr" localSheetId="13" hidden="1">{"'Sheet1'!$L$16"}</definedName>
    <definedName name="rr" localSheetId="14" hidden="1">{"'Sheet1'!$L$16"}</definedName>
    <definedName name="rr" localSheetId="15" hidden="1">{"'Sheet1'!$L$16"}</definedName>
    <definedName name="rr" localSheetId="16" hidden="1">{"'Sheet1'!$L$16"}</definedName>
    <definedName name="rr" localSheetId="17" hidden="1">{"'Sheet1'!$L$16"}</definedName>
    <definedName name="rr" localSheetId="3" hidden="1">{"'Sheet1'!$L$16"}</definedName>
    <definedName name="rr" localSheetId="6" hidden="1">{"'Sheet1'!$L$16"}</definedName>
    <definedName name="rr" localSheetId="8" hidden="1">{"'Sheet1'!$L$16"}</definedName>
    <definedName name="rr" localSheetId="18" hidden="1">{"'Sheet1'!$L$16"}</definedName>
    <definedName name="rr" localSheetId="19" hidden="1">{"'Sheet1'!$L$16"}</definedName>
    <definedName name="rr" localSheetId="0" hidden="1">{"'Sheet1'!$L$16"}</definedName>
    <definedName name="rr" hidden="1">{"'Sheet1'!$L$16"}</definedName>
    <definedName name="SCT" localSheetId="14">#REF!</definedName>
    <definedName name="SCT" localSheetId="17">#REF!</definedName>
    <definedName name="SCT">#REF!</definedName>
    <definedName name="sdbv" localSheetId="1" hidden="1">{"'Sheet1'!$L$16"}</definedName>
    <definedName name="sdbv" localSheetId="2" hidden="1">{"'Sheet1'!$L$16"}</definedName>
    <definedName name="sdbv" localSheetId="4" hidden="1">{"'Sheet1'!$L$16"}</definedName>
    <definedName name="sdbv" localSheetId="5" hidden="1">{"'Sheet1'!$L$16"}</definedName>
    <definedName name="sdbv" localSheetId="7" hidden="1">{"'Sheet1'!$L$16"}</definedName>
    <definedName name="sdbv" localSheetId="11" hidden="1">{"'Sheet1'!$L$16"}</definedName>
    <definedName name="sdbv" localSheetId="13" hidden="1">{"'Sheet1'!$L$16"}</definedName>
    <definedName name="sdbv" localSheetId="14" hidden="1">{"'Sheet1'!$L$16"}</definedName>
    <definedName name="sdbv" localSheetId="15" hidden="1">{"'Sheet1'!$L$16"}</definedName>
    <definedName name="sdbv" localSheetId="16" hidden="1">{"'Sheet1'!$L$16"}</definedName>
    <definedName name="sdbv" localSheetId="17" hidden="1">{"'Sheet1'!$L$16"}</definedName>
    <definedName name="sdbv" localSheetId="3" hidden="1">{"'Sheet1'!$L$16"}</definedName>
    <definedName name="sdbv" localSheetId="6" hidden="1">{"'Sheet1'!$L$16"}</definedName>
    <definedName name="sdbv" localSheetId="8" hidden="1">{"'Sheet1'!$L$16"}</definedName>
    <definedName name="sdbv" localSheetId="18" hidden="1">{"'Sheet1'!$L$16"}</definedName>
    <definedName name="sdbv" localSheetId="19" hidden="1">{"'Sheet1'!$L$16"}</definedName>
    <definedName name="sdbv" localSheetId="0" hidden="1">{"'Sheet1'!$L$16"}</definedName>
    <definedName name="sdbv" hidden="1">{"'Sheet1'!$L$16"}</definedName>
    <definedName name="Sosanh2" localSheetId="1" hidden="1">{"'Sheet1'!$L$16"}</definedName>
    <definedName name="Sosanh2" localSheetId="2" hidden="1">{"'Sheet1'!$L$16"}</definedName>
    <definedName name="Sosanh2" localSheetId="4" hidden="1">{"'Sheet1'!$L$16"}</definedName>
    <definedName name="Sosanh2" localSheetId="5" hidden="1">{"'Sheet1'!$L$16"}</definedName>
    <definedName name="Sosanh2" localSheetId="7" hidden="1">{"'Sheet1'!$L$16"}</definedName>
    <definedName name="Sosanh2" localSheetId="11" hidden="1">{"'Sheet1'!$L$16"}</definedName>
    <definedName name="Sosanh2" localSheetId="13" hidden="1">{"'Sheet1'!$L$16"}</definedName>
    <definedName name="Sosanh2" localSheetId="14" hidden="1">{"'Sheet1'!$L$16"}</definedName>
    <definedName name="Sosanh2" localSheetId="15" hidden="1">{"'Sheet1'!$L$16"}</definedName>
    <definedName name="Sosanh2" localSheetId="16" hidden="1">{"'Sheet1'!$L$16"}</definedName>
    <definedName name="Sosanh2" localSheetId="17" hidden="1">{"'Sheet1'!$L$16"}</definedName>
    <definedName name="Sosanh2" localSheetId="3" hidden="1">{"'Sheet1'!$L$16"}</definedName>
    <definedName name="Sosanh2" localSheetId="6" hidden="1">{"'Sheet1'!$L$16"}</definedName>
    <definedName name="Sosanh2" localSheetId="8" hidden="1">{"'Sheet1'!$L$16"}</definedName>
    <definedName name="Sosanh2" localSheetId="18" hidden="1">{"'Sheet1'!$L$16"}</definedName>
    <definedName name="Sosanh2" localSheetId="19" hidden="1">{"'Sheet1'!$L$16"}</definedName>
    <definedName name="Sosanh2" localSheetId="0" hidden="1">{"'Sheet1'!$L$16"}</definedName>
    <definedName name="Sosanh2" hidden="1">{"'Sheet1'!$L$16"}</definedName>
    <definedName name="SPEC" localSheetId="14">#REF!</definedName>
    <definedName name="SPEC" localSheetId="17">#REF!</definedName>
    <definedName name="SPEC">#REF!</definedName>
    <definedName name="SpecialPrice" localSheetId="1" hidden="1">#REF!</definedName>
    <definedName name="SpecialPrice" localSheetId="5" hidden="1">#REF!</definedName>
    <definedName name="SpecialPrice" localSheetId="7" hidden="1">#REF!</definedName>
    <definedName name="SpecialPrice" localSheetId="14" hidden="1">#REF!</definedName>
    <definedName name="SpecialPrice" localSheetId="15" hidden="1">#REF!</definedName>
    <definedName name="SpecialPrice" localSheetId="16" hidden="1">#REF!</definedName>
    <definedName name="SpecialPrice" localSheetId="17" hidden="1">#REF!</definedName>
    <definedName name="SpecialPrice" localSheetId="19" hidden="1">#REF!</definedName>
    <definedName name="SpecialPrice" hidden="1">#REF!</definedName>
    <definedName name="SPECSUMMARY" localSheetId="14">#REF!</definedName>
    <definedName name="SPECSUMMARY" localSheetId="17">#REF!</definedName>
    <definedName name="SPECSUMMARY">#REF!</definedName>
    <definedName name="Start_1" localSheetId="14">#REF!</definedName>
    <definedName name="Start_1" localSheetId="17">#REF!</definedName>
    <definedName name="Start_1">#REF!</definedName>
    <definedName name="Start_10" localSheetId="14">#REF!</definedName>
    <definedName name="Start_10" localSheetId="17">#REF!</definedName>
    <definedName name="Start_10">#REF!</definedName>
    <definedName name="Start_11" localSheetId="14">#REF!</definedName>
    <definedName name="Start_11" localSheetId="17">#REF!</definedName>
    <definedName name="Start_11">#REF!</definedName>
    <definedName name="Start_12" localSheetId="14">#REF!</definedName>
    <definedName name="Start_12" localSheetId="17">#REF!</definedName>
    <definedName name="Start_12">#REF!</definedName>
    <definedName name="Start_13" localSheetId="14">#REF!</definedName>
    <definedName name="Start_13" localSheetId="17">#REF!</definedName>
    <definedName name="Start_13">#REF!</definedName>
    <definedName name="Start_2" localSheetId="14">#REF!</definedName>
    <definedName name="Start_2" localSheetId="17">#REF!</definedName>
    <definedName name="Start_2">#REF!</definedName>
    <definedName name="Start_3" localSheetId="14">#REF!</definedName>
    <definedName name="Start_3" localSheetId="17">#REF!</definedName>
    <definedName name="Start_3">#REF!</definedName>
    <definedName name="Start_4" localSheetId="14">#REF!</definedName>
    <definedName name="Start_4" localSheetId="17">#REF!</definedName>
    <definedName name="Start_4">#REF!</definedName>
    <definedName name="Start_5" localSheetId="14">#REF!</definedName>
    <definedName name="Start_5" localSheetId="17">#REF!</definedName>
    <definedName name="Start_5">#REF!</definedName>
    <definedName name="Start_6" localSheetId="14">#REF!</definedName>
    <definedName name="Start_6" localSheetId="17">#REF!</definedName>
    <definedName name="Start_6">#REF!</definedName>
    <definedName name="Start_7" localSheetId="14">#REF!</definedName>
    <definedName name="Start_7" localSheetId="17">#REF!</definedName>
    <definedName name="Start_7">#REF!</definedName>
    <definedName name="Start_8" localSheetId="14">#REF!</definedName>
    <definedName name="Start_8" localSheetId="17">#REF!</definedName>
    <definedName name="Start_8">#REF!</definedName>
    <definedName name="Start_9" localSheetId="14">#REF!</definedName>
    <definedName name="Start_9" localSheetId="17">#REF!</definedName>
    <definedName name="Start_9">#REF!</definedName>
    <definedName name="SUMMARY" localSheetId="14">#REF!</definedName>
    <definedName name="SUMMARY" localSheetId="17">#REF!</definedName>
    <definedName name="SUMMARY">#REF!</definedName>
    <definedName name="T.3" localSheetId="1" hidden="1">{"'Sheet1'!$L$16"}</definedName>
    <definedName name="T.3" localSheetId="2" hidden="1">{"'Sheet1'!$L$16"}</definedName>
    <definedName name="T.3" localSheetId="4" hidden="1">{"'Sheet1'!$L$16"}</definedName>
    <definedName name="T.3" localSheetId="5" hidden="1">{"'Sheet1'!$L$16"}</definedName>
    <definedName name="T.3" localSheetId="7" hidden="1">{"'Sheet1'!$L$16"}</definedName>
    <definedName name="T.3" localSheetId="11" hidden="1">{"'Sheet1'!$L$16"}</definedName>
    <definedName name="T.3" localSheetId="13" hidden="1">{"'Sheet1'!$L$16"}</definedName>
    <definedName name="T.3" localSheetId="14" hidden="1">{"'Sheet1'!$L$16"}</definedName>
    <definedName name="T.3" localSheetId="15" hidden="1">{"'Sheet1'!$L$16"}</definedName>
    <definedName name="T.3" localSheetId="16" hidden="1">{"'Sheet1'!$L$16"}</definedName>
    <definedName name="T.3" localSheetId="17" hidden="1">{"'Sheet1'!$L$16"}</definedName>
    <definedName name="T.3" localSheetId="3" hidden="1">{"'Sheet1'!$L$16"}</definedName>
    <definedName name="T.3" localSheetId="6" hidden="1">{"'Sheet1'!$L$16"}</definedName>
    <definedName name="T.3" localSheetId="8" hidden="1">{"'Sheet1'!$L$16"}</definedName>
    <definedName name="T.3" localSheetId="18" hidden="1">{"'Sheet1'!$L$16"}</definedName>
    <definedName name="T.3" localSheetId="19" hidden="1">{"'Sheet1'!$L$16"}</definedName>
    <definedName name="T.3" localSheetId="0" hidden="1">{"'Sheet1'!$L$16"}</definedName>
    <definedName name="T.3" hidden="1">{"'Sheet1'!$L$16"}</definedName>
    <definedName name="TBA" localSheetId="14">#REF!</definedName>
    <definedName name="TBA" localSheetId="17">#REF!</definedName>
    <definedName name="TBA">#REF!</definedName>
    <definedName name="tbl_ProdInfo" localSheetId="1" hidden="1">#REF!</definedName>
    <definedName name="tbl_ProdInfo" localSheetId="5" hidden="1">#REF!</definedName>
    <definedName name="tbl_ProdInfo" localSheetId="7" hidden="1">#REF!</definedName>
    <definedName name="tbl_ProdInfo" localSheetId="14" hidden="1">#REF!</definedName>
    <definedName name="tbl_ProdInfo" localSheetId="15" hidden="1">#REF!</definedName>
    <definedName name="tbl_ProdInfo" localSheetId="16" hidden="1">#REF!</definedName>
    <definedName name="tbl_ProdInfo" localSheetId="17" hidden="1">#REF!</definedName>
    <definedName name="tbl_ProdInfo" localSheetId="19" hidden="1">#REF!</definedName>
    <definedName name="tbl_ProdInfo" hidden="1">#REF!</definedName>
    <definedName name="tha" localSheetId="1" hidden="1">{"'Sheet1'!$L$16"}</definedName>
    <definedName name="tha" localSheetId="2" hidden="1">{"'Sheet1'!$L$16"}</definedName>
    <definedName name="tha" localSheetId="4" hidden="1">{"'Sheet1'!$L$16"}</definedName>
    <definedName name="tha" localSheetId="5" hidden="1">{"'Sheet1'!$L$16"}</definedName>
    <definedName name="tha" localSheetId="7" hidden="1">{"'Sheet1'!$L$16"}</definedName>
    <definedName name="tha" localSheetId="11" hidden="1">{"'Sheet1'!$L$16"}</definedName>
    <definedName name="tha" localSheetId="13" hidden="1">{"'Sheet1'!$L$16"}</definedName>
    <definedName name="tha" localSheetId="14" hidden="1">{"'Sheet1'!$L$16"}</definedName>
    <definedName name="tha" localSheetId="15" hidden="1">{"'Sheet1'!$L$16"}</definedName>
    <definedName name="tha" localSheetId="16" hidden="1">{"'Sheet1'!$L$16"}</definedName>
    <definedName name="tha" localSheetId="17" hidden="1">{"'Sheet1'!$L$16"}</definedName>
    <definedName name="tha" localSheetId="3" hidden="1">{"'Sheet1'!$L$16"}</definedName>
    <definedName name="tha" localSheetId="6" hidden="1">{"'Sheet1'!$L$16"}</definedName>
    <definedName name="tha" localSheetId="8" hidden="1">{"'Sheet1'!$L$16"}</definedName>
    <definedName name="tha" localSheetId="18" hidden="1">{"'Sheet1'!$L$16"}</definedName>
    <definedName name="tha" localSheetId="19" hidden="1">{"'Sheet1'!$L$16"}</definedName>
    <definedName name="tha" localSheetId="0" hidden="1">{"'Sheet1'!$L$16"}</definedName>
    <definedName name="tha" hidden="1">{"'Sheet1'!$L$16"}</definedName>
    <definedName name="thanhtien" localSheetId="14">#REF!</definedName>
    <definedName name="thanhtien" localSheetId="17">#REF!</definedName>
    <definedName name="thanhtien">#REF!</definedName>
    <definedName name="Tong_co" localSheetId="14">#REF!</definedName>
    <definedName name="Tong_co" localSheetId="17">#REF!</definedName>
    <definedName name="Tong_co">#REF!</definedName>
    <definedName name="Tong_no" localSheetId="14">#REF!</definedName>
    <definedName name="Tong_no" localSheetId="17">#REF!</definedName>
    <definedName name="Tong_no">#REF!</definedName>
    <definedName name="trong" localSheetId="1" hidden="1">{"'Sheet1'!$L$16"}</definedName>
    <definedName name="trong" localSheetId="2" hidden="1">{"'Sheet1'!$L$16"}</definedName>
    <definedName name="trong" localSheetId="4" hidden="1">{"'Sheet1'!$L$16"}</definedName>
    <definedName name="trong" localSheetId="5" hidden="1">{"'Sheet1'!$L$16"}</definedName>
    <definedName name="trong" localSheetId="7" hidden="1">{"'Sheet1'!$L$16"}</definedName>
    <definedName name="trong" localSheetId="11" hidden="1">{"'Sheet1'!$L$16"}</definedName>
    <definedName name="trong" localSheetId="13" hidden="1">{"'Sheet1'!$L$16"}</definedName>
    <definedName name="trong" localSheetId="14" hidden="1">{"'Sheet1'!$L$16"}</definedName>
    <definedName name="trong" localSheetId="15" hidden="1">{"'Sheet1'!$L$16"}</definedName>
    <definedName name="trong" localSheetId="16" hidden="1">{"'Sheet1'!$L$16"}</definedName>
    <definedName name="trong" localSheetId="17" hidden="1">{"'Sheet1'!$L$16"}</definedName>
    <definedName name="trong" localSheetId="3" hidden="1">{"'Sheet1'!$L$16"}</definedName>
    <definedName name="trong" localSheetId="6" hidden="1">{"'Sheet1'!$L$16"}</definedName>
    <definedName name="trong" localSheetId="8" hidden="1">{"'Sheet1'!$L$16"}</definedName>
    <definedName name="trong" localSheetId="18" hidden="1">{"'Sheet1'!$L$16"}</definedName>
    <definedName name="trong" localSheetId="19" hidden="1">{"'Sheet1'!$L$16"}</definedName>
    <definedName name="trong" localSheetId="0" hidden="1">{"'Sheet1'!$L$16"}</definedName>
    <definedName name="trong" hidden="1">{"'Sheet1'!$L$16"}</definedName>
    <definedName name="ttbt" localSheetId="14">#REF!</definedName>
    <definedName name="ttbt" localSheetId="17">#REF!</definedName>
    <definedName name="ttbt">#REF!</definedName>
    <definedName name="ttttt" localSheetId="1" hidden="1">{"'Sheet1'!$L$16"}</definedName>
    <definedName name="ttttt" localSheetId="2" hidden="1">{"'Sheet1'!$L$16"}</definedName>
    <definedName name="ttttt" localSheetId="4" hidden="1">{"'Sheet1'!$L$16"}</definedName>
    <definedName name="ttttt" localSheetId="5" hidden="1">{"'Sheet1'!$L$16"}</definedName>
    <definedName name="ttttt" localSheetId="7" hidden="1">{"'Sheet1'!$L$16"}</definedName>
    <definedName name="ttttt" localSheetId="11" hidden="1">{"'Sheet1'!$L$16"}</definedName>
    <definedName name="ttttt" localSheetId="13" hidden="1">{"'Sheet1'!$L$16"}</definedName>
    <definedName name="ttttt" localSheetId="14" hidden="1">{"'Sheet1'!$L$16"}</definedName>
    <definedName name="ttttt" localSheetId="15" hidden="1">{"'Sheet1'!$L$16"}</definedName>
    <definedName name="ttttt" localSheetId="16" hidden="1">{"'Sheet1'!$L$16"}</definedName>
    <definedName name="ttttt" localSheetId="17" hidden="1">{"'Sheet1'!$L$16"}</definedName>
    <definedName name="ttttt" localSheetId="3" hidden="1">{"'Sheet1'!$L$16"}</definedName>
    <definedName name="ttttt" localSheetId="6" hidden="1">{"'Sheet1'!$L$16"}</definedName>
    <definedName name="ttttt" localSheetId="8" hidden="1">{"'Sheet1'!$L$16"}</definedName>
    <definedName name="ttttt" localSheetId="18" hidden="1">{"'Sheet1'!$L$16"}</definedName>
    <definedName name="ttttt" localSheetId="19" hidden="1">{"'Sheet1'!$L$16"}</definedName>
    <definedName name="ttttt" localSheetId="0" hidden="1">{"'Sheet1'!$L$16"}</definedName>
    <definedName name="ttttt" hidden="1">{"'Sheet1'!$L$16"}</definedName>
    <definedName name="ttttttttttt" localSheetId="1" hidden="1">{"'Sheet1'!$L$16"}</definedName>
    <definedName name="ttttttttttt" localSheetId="2" hidden="1">{"'Sheet1'!$L$16"}</definedName>
    <definedName name="ttttttttttt" localSheetId="4" hidden="1">{"'Sheet1'!$L$16"}</definedName>
    <definedName name="ttttttttttt" localSheetId="5" hidden="1">{"'Sheet1'!$L$16"}</definedName>
    <definedName name="ttttttttttt" localSheetId="7" hidden="1">{"'Sheet1'!$L$16"}</definedName>
    <definedName name="ttttttttttt" localSheetId="11" hidden="1">{"'Sheet1'!$L$16"}</definedName>
    <definedName name="ttttttttttt" localSheetId="13" hidden="1">{"'Sheet1'!$L$16"}</definedName>
    <definedName name="ttttttttttt" localSheetId="14" hidden="1">{"'Sheet1'!$L$16"}</definedName>
    <definedName name="ttttttttttt" localSheetId="15" hidden="1">{"'Sheet1'!$L$16"}</definedName>
    <definedName name="ttttttttttt" localSheetId="16" hidden="1">{"'Sheet1'!$L$16"}</definedName>
    <definedName name="ttttttttttt" localSheetId="17" hidden="1">{"'Sheet1'!$L$16"}</definedName>
    <definedName name="ttttttttttt" localSheetId="3" hidden="1">{"'Sheet1'!$L$16"}</definedName>
    <definedName name="ttttttttttt" localSheetId="6" hidden="1">{"'Sheet1'!$L$16"}</definedName>
    <definedName name="ttttttttttt" localSheetId="8" hidden="1">{"'Sheet1'!$L$16"}</definedName>
    <definedName name="ttttttttttt" localSheetId="18" hidden="1">{"'Sheet1'!$L$16"}</definedName>
    <definedName name="ttttttttttt" localSheetId="19" hidden="1">{"'Sheet1'!$L$16"}</definedName>
    <definedName name="ttttttttttt" localSheetId="0" hidden="1">{"'Sheet1'!$L$16"}</definedName>
    <definedName name="ttttttttttt" hidden="1">{"'Sheet1'!$L$16"}</definedName>
    <definedName name="tuyennhanh" localSheetId="1" hidden="1">{"'Sheet1'!$L$16"}</definedName>
    <definedName name="tuyennhanh" localSheetId="2" hidden="1">{"'Sheet1'!$L$16"}</definedName>
    <definedName name="tuyennhanh" localSheetId="4" hidden="1">{"'Sheet1'!$L$16"}</definedName>
    <definedName name="tuyennhanh" localSheetId="5" hidden="1">{"'Sheet1'!$L$16"}</definedName>
    <definedName name="tuyennhanh" localSheetId="7" hidden="1">{"'Sheet1'!$L$16"}</definedName>
    <definedName name="tuyennhanh" localSheetId="11" hidden="1">{"'Sheet1'!$L$16"}</definedName>
    <definedName name="tuyennhanh" localSheetId="13" hidden="1">{"'Sheet1'!$L$16"}</definedName>
    <definedName name="tuyennhanh" localSheetId="14" hidden="1">{"'Sheet1'!$L$16"}</definedName>
    <definedName name="tuyennhanh" localSheetId="15" hidden="1">{"'Sheet1'!$L$16"}</definedName>
    <definedName name="tuyennhanh" localSheetId="16" hidden="1">{"'Sheet1'!$L$16"}</definedName>
    <definedName name="tuyennhanh" localSheetId="17" hidden="1">{"'Sheet1'!$L$16"}</definedName>
    <definedName name="tuyennhanh" localSheetId="3" hidden="1">{"'Sheet1'!$L$16"}</definedName>
    <definedName name="tuyennhanh" localSheetId="6" hidden="1">{"'Sheet1'!$L$16"}</definedName>
    <definedName name="tuyennhanh" localSheetId="8" hidden="1">{"'Sheet1'!$L$16"}</definedName>
    <definedName name="tuyennhanh" localSheetId="18" hidden="1">{"'Sheet1'!$L$16"}</definedName>
    <definedName name="tuyennhanh" localSheetId="19" hidden="1">{"'Sheet1'!$L$16"}</definedName>
    <definedName name="tuyennhanh" localSheetId="0" hidden="1">{"'Sheet1'!$L$16"}</definedName>
    <definedName name="tuyennhanh" hidden="1">{"'Sheet1'!$L$16"}</definedName>
    <definedName name="TW" localSheetId="14">#REF!</definedName>
    <definedName name="TW" localSheetId="17">#REF!</definedName>
    <definedName name="TW">#REF!</definedName>
    <definedName name="uu" localSheetId="1" hidden="1">{"'Sheet1'!$L$16"}</definedName>
    <definedName name="uu" localSheetId="2" hidden="1">{"'Sheet1'!$L$16"}</definedName>
    <definedName name="uu" localSheetId="4" hidden="1">{"'Sheet1'!$L$16"}</definedName>
    <definedName name="uu" localSheetId="5" hidden="1">{"'Sheet1'!$L$16"}</definedName>
    <definedName name="uu" localSheetId="7" hidden="1">{"'Sheet1'!$L$16"}</definedName>
    <definedName name="uu" localSheetId="11" hidden="1">{"'Sheet1'!$L$16"}</definedName>
    <definedName name="uu" localSheetId="13" hidden="1">{"'Sheet1'!$L$16"}</definedName>
    <definedName name="uu" localSheetId="14" hidden="1">{"'Sheet1'!$L$16"}</definedName>
    <definedName name="uu" localSheetId="15" hidden="1">{"'Sheet1'!$L$16"}</definedName>
    <definedName name="uu" localSheetId="16" hidden="1">{"'Sheet1'!$L$16"}</definedName>
    <definedName name="uu" localSheetId="17" hidden="1">{"'Sheet1'!$L$16"}</definedName>
    <definedName name="uu" localSheetId="3" hidden="1">{"'Sheet1'!$L$16"}</definedName>
    <definedName name="uu" localSheetId="6" hidden="1">{"'Sheet1'!$L$16"}</definedName>
    <definedName name="uu" localSheetId="8" hidden="1">{"'Sheet1'!$L$16"}</definedName>
    <definedName name="uu" localSheetId="18" hidden="1">{"'Sheet1'!$L$16"}</definedName>
    <definedName name="uu" localSheetId="19" hidden="1">{"'Sheet1'!$L$16"}</definedName>
    <definedName name="uu" localSheetId="0" hidden="1">{"'Sheet1'!$L$16"}</definedName>
    <definedName name="uu" hidden="1">{"'Sheet1'!$L$16"}</definedName>
    <definedName name="uu.54" localSheetId="1">#REF!</definedName>
    <definedName name="uu.54" localSheetId="2">'Bieu 02 TT'!$BBM$61</definedName>
    <definedName name="uu.54" localSheetId="7">#REF!</definedName>
    <definedName name="uu.54" localSheetId="14">#REF!</definedName>
    <definedName name="uu.54" localSheetId="17">#REF!</definedName>
    <definedName name="uu.54">#REF!</definedName>
    <definedName name="VAÄT_LIEÄU">"ATRAM"</definedName>
    <definedName name="vanchuyen" localSheetId="14">#REF!</definedName>
    <definedName name="vanchuyen" localSheetId="17">#REF!</definedName>
    <definedName name="vanchuyen">#REF!</definedName>
    <definedName name="VARIINST" localSheetId="14">#REF!</definedName>
    <definedName name="VARIINST" localSheetId="17">#REF!</definedName>
    <definedName name="VARIINST">#REF!</definedName>
    <definedName name="VARIPURC" localSheetId="14">#REF!</definedName>
    <definedName name="VARIPURC" localSheetId="17">#REF!</definedName>
    <definedName name="VARIPURC">#REF!</definedName>
    <definedName name="vat_lieu_KVIII" localSheetId="14">#REF!</definedName>
    <definedName name="vat_lieu_KVIII" localSheetId="17">#REF!</definedName>
    <definedName name="vat_lieu_KVIII">#REF!</definedName>
    <definedName name="VATM" localSheetId="1" hidden="1">{"'Sheet1'!$L$16"}</definedName>
    <definedName name="VATM" localSheetId="2" hidden="1">{"'Sheet1'!$L$16"}</definedName>
    <definedName name="VATM" localSheetId="4" hidden="1">{"'Sheet1'!$L$16"}</definedName>
    <definedName name="VATM" localSheetId="5" hidden="1">{"'Sheet1'!$L$16"}</definedName>
    <definedName name="VATM" localSheetId="7" hidden="1">{"'Sheet1'!$L$16"}</definedName>
    <definedName name="VATM" localSheetId="11" hidden="1">{"'Sheet1'!$L$16"}</definedName>
    <definedName name="VATM" localSheetId="13" hidden="1">{"'Sheet1'!$L$16"}</definedName>
    <definedName name="VATM" localSheetId="14" hidden="1">{"'Sheet1'!$L$16"}</definedName>
    <definedName name="VATM" localSheetId="15" hidden="1">{"'Sheet1'!$L$16"}</definedName>
    <definedName name="VATM" localSheetId="16" hidden="1">{"'Sheet1'!$L$16"}</definedName>
    <definedName name="VATM" localSheetId="17" hidden="1">{"'Sheet1'!$L$16"}</definedName>
    <definedName name="VATM" localSheetId="3" hidden="1">{"'Sheet1'!$L$16"}</definedName>
    <definedName name="VATM" localSheetId="6" hidden="1">{"'Sheet1'!$L$16"}</definedName>
    <definedName name="VATM" localSheetId="8" hidden="1">{"'Sheet1'!$L$16"}</definedName>
    <definedName name="VATM" localSheetId="18" hidden="1">{"'Sheet1'!$L$16"}</definedName>
    <definedName name="VATM" localSheetId="19" hidden="1">{"'Sheet1'!$L$16"}</definedName>
    <definedName name="VATM" localSheetId="0" hidden="1">{"'Sheet1'!$L$16"}</definedName>
    <definedName name="VATM" hidden="1">{"'Sheet1'!$L$16"}</definedName>
    <definedName name="Vattu" localSheetId="14">#REF!</definedName>
    <definedName name="Vattu" localSheetId="17">#REF!</definedName>
    <definedName name="Vattu">#REF!</definedName>
    <definedName name="VC" localSheetId="14">#REF!</definedName>
    <definedName name="VC" localSheetId="17">#REF!</definedName>
    <definedName name="VC">#REF!</definedName>
    <definedName name="vccot" localSheetId="14">#REF!</definedName>
    <definedName name="vccot" localSheetId="17">#REF!</definedName>
    <definedName name="vccot">#REF!</definedName>
    <definedName name="vcoto" localSheetId="1" hidden="1">{"'Sheet1'!$L$16"}</definedName>
    <definedName name="vcoto" localSheetId="2" hidden="1">{"'Sheet1'!$L$16"}</definedName>
    <definedName name="vcoto" localSheetId="4" hidden="1">{"'Sheet1'!$L$16"}</definedName>
    <definedName name="vcoto" localSheetId="5" hidden="1">{"'Sheet1'!$L$16"}</definedName>
    <definedName name="vcoto" localSheetId="7" hidden="1">{"'Sheet1'!$L$16"}</definedName>
    <definedName name="vcoto" localSheetId="11" hidden="1">{"'Sheet1'!$L$16"}</definedName>
    <definedName name="vcoto" localSheetId="13" hidden="1">{"'Sheet1'!$L$16"}</definedName>
    <definedName name="vcoto" localSheetId="14" hidden="1">{"'Sheet1'!$L$16"}</definedName>
    <definedName name="vcoto" localSheetId="15" hidden="1">{"'Sheet1'!$L$16"}</definedName>
    <definedName name="vcoto" localSheetId="16" hidden="1">{"'Sheet1'!$L$16"}</definedName>
    <definedName name="vcoto" localSheetId="17" hidden="1">{"'Sheet1'!$L$16"}</definedName>
    <definedName name="vcoto" localSheetId="3" hidden="1">{"'Sheet1'!$L$16"}</definedName>
    <definedName name="vcoto" localSheetId="6" hidden="1">{"'Sheet1'!$L$16"}</definedName>
    <definedName name="vcoto" localSheetId="8" hidden="1">{"'Sheet1'!$L$16"}</definedName>
    <definedName name="vcoto" localSheetId="18" hidden="1">{"'Sheet1'!$L$16"}</definedName>
    <definedName name="vcoto" localSheetId="19" hidden="1">{"'Sheet1'!$L$16"}</definedName>
    <definedName name="vcoto" localSheetId="0" hidden="1">{"'Sheet1'!$L$16"}</definedName>
    <definedName name="vcoto" hidden="1">{"'Sheet1'!$L$16"}</definedName>
    <definedName name="vctb" localSheetId="14">#REF!</definedName>
    <definedName name="vctb" localSheetId="17">#REF!</definedName>
    <definedName name="vctb">#REF!</definedName>
    <definedName name="VH" localSheetId="1" hidden="1">{"'Sheet1'!$L$16"}</definedName>
    <definedName name="VH" localSheetId="2" hidden="1">{"'Sheet1'!$L$16"}</definedName>
    <definedName name="VH" localSheetId="4" hidden="1">{"'Sheet1'!$L$16"}</definedName>
    <definedName name="VH" localSheetId="5" hidden="1">{"'Sheet1'!$L$16"}</definedName>
    <definedName name="VH" localSheetId="7" hidden="1">{"'Sheet1'!$L$16"}</definedName>
    <definedName name="VH" localSheetId="11" hidden="1">{"'Sheet1'!$L$16"}</definedName>
    <definedName name="VH" localSheetId="13" hidden="1">{"'Sheet1'!$L$16"}</definedName>
    <definedName name="VH" localSheetId="14" hidden="1">{"'Sheet1'!$L$16"}</definedName>
    <definedName name="VH" localSheetId="15" hidden="1">{"'Sheet1'!$L$16"}</definedName>
    <definedName name="VH" localSheetId="16" hidden="1">{"'Sheet1'!$L$16"}</definedName>
    <definedName name="VH" localSheetId="17" hidden="1">{"'Sheet1'!$L$16"}</definedName>
    <definedName name="VH" localSheetId="3" hidden="1">{"'Sheet1'!$L$16"}</definedName>
    <definedName name="VH" localSheetId="6" hidden="1">{"'Sheet1'!$L$16"}</definedName>
    <definedName name="VH" localSheetId="8" hidden="1">{"'Sheet1'!$L$16"}</definedName>
    <definedName name="VH" localSheetId="18" hidden="1">{"'Sheet1'!$L$16"}</definedName>
    <definedName name="VH" localSheetId="19" hidden="1">{"'Sheet1'!$L$16"}</definedName>
    <definedName name="VH" localSheetId="0" hidden="1">{"'Sheet1'!$L$16"}</definedName>
    <definedName name="VH" hidden="1">{"'Sheet1'!$L$16"}</definedName>
    <definedName name="Viet" localSheetId="1" hidden="1">{"'Sheet1'!$L$16"}</definedName>
    <definedName name="Viet" localSheetId="2" hidden="1">{"'Sheet1'!$L$16"}</definedName>
    <definedName name="Viet" localSheetId="4" hidden="1">{"'Sheet1'!$L$16"}</definedName>
    <definedName name="Viet" localSheetId="5" hidden="1">{"'Sheet1'!$L$16"}</definedName>
    <definedName name="Viet" localSheetId="7" hidden="1">{"'Sheet1'!$L$16"}</definedName>
    <definedName name="Viet" localSheetId="11" hidden="1">{"'Sheet1'!$L$16"}</definedName>
    <definedName name="Viet" localSheetId="13" hidden="1">{"'Sheet1'!$L$16"}</definedName>
    <definedName name="Viet" localSheetId="14" hidden="1">{"'Sheet1'!$L$16"}</definedName>
    <definedName name="Viet" localSheetId="15" hidden="1">{"'Sheet1'!$L$16"}</definedName>
    <definedName name="Viet" localSheetId="16" hidden="1">{"'Sheet1'!$L$16"}</definedName>
    <definedName name="Viet" localSheetId="17" hidden="1">{"'Sheet1'!$L$16"}</definedName>
    <definedName name="Viet" localSheetId="3" hidden="1">{"'Sheet1'!$L$16"}</definedName>
    <definedName name="Viet" localSheetId="6" hidden="1">{"'Sheet1'!$L$16"}</definedName>
    <definedName name="Viet" localSheetId="8" hidden="1">{"'Sheet1'!$L$16"}</definedName>
    <definedName name="Viet" localSheetId="18" hidden="1">{"'Sheet1'!$L$16"}</definedName>
    <definedName name="Viet" localSheetId="19" hidden="1">{"'Sheet1'!$L$16"}</definedName>
    <definedName name="Viet" localSheetId="0" hidden="1">{"'Sheet1'!$L$16"}</definedName>
    <definedName name="Viet" hidden="1">{"'Sheet1'!$L$16"}</definedName>
    <definedName name="Vlcap0.7" localSheetId="14">#REF!</definedName>
    <definedName name="Vlcap0.7" localSheetId="17">#REF!</definedName>
    <definedName name="Vlcap0.7">#REF!</definedName>
    <definedName name="VLcap1" localSheetId="14">#REF!</definedName>
    <definedName name="VLcap1" localSheetId="17">#REF!</definedName>
    <definedName name="VLcap1">#REF!</definedName>
    <definedName name="vlct" localSheetId="1" hidden="1">{"'Sheet1'!$L$16"}</definedName>
    <definedName name="vlct" localSheetId="2" hidden="1">{"'Sheet1'!$L$16"}</definedName>
    <definedName name="vlct" localSheetId="4" hidden="1">{"'Sheet1'!$L$16"}</definedName>
    <definedName name="vlct" localSheetId="5" hidden="1">{"'Sheet1'!$L$16"}</definedName>
    <definedName name="vlct" localSheetId="7" hidden="1">{"'Sheet1'!$L$16"}</definedName>
    <definedName name="vlct" localSheetId="11" hidden="1">{"'Sheet1'!$L$16"}</definedName>
    <definedName name="vlct" localSheetId="13" hidden="1">{"'Sheet1'!$L$16"}</definedName>
    <definedName name="vlct" localSheetId="14" hidden="1">{"'Sheet1'!$L$16"}</definedName>
    <definedName name="vlct" localSheetId="15" hidden="1">{"'Sheet1'!$L$16"}</definedName>
    <definedName name="vlct" localSheetId="16" hidden="1">{"'Sheet1'!$L$16"}</definedName>
    <definedName name="vlct" localSheetId="17" hidden="1">{"'Sheet1'!$L$16"}</definedName>
    <definedName name="vlct" localSheetId="3" hidden="1">{"'Sheet1'!$L$16"}</definedName>
    <definedName name="vlct" localSheetId="6" hidden="1">{"'Sheet1'!$L$16"}</definedName>
    <definedName name="vlct" localSheetId="8" hidden="1">{"'Sheet1'!$L$16"}</definedName>
    <definedName name="vlct" localSheetId="18" hidden="1">{"'Sheet1'!$L$16"}</definedName>
    <definedName name="vlct" localSheetId="19" hidden="1">{"'Sheet1'!$L$16"}</definedName>
    <definedName name="vlct" localSheetId="0" hidden="1">{"'Sheet1'!$L$16"}</definedName>
    <definedName name="vlct" hidden="1">{"'Sheet1'!$L$16"}</definedName>
    <definedName name="Vua" localSheetId="14">#REF!</definedName>
    <definedName name="Vua" localSheetId="17">#REF!</definedName>
    <definedName name="Vua">#REF!</definedName>
    <definedName name="W" localSheetId="14">#REF!</definedName>
    <definedName name="W" localSheetId="17">#REF!</definedName>
    <definedName name="W">#REF!</definedName>
    <definedName name="wrn.Bang._.ke._.nhan._.hang." localSheetId="1" hidden="1">{#N/A,#N/A,FALSE,"Ke khai NH"}</definedName>
    <definedName name="wrn.Bang._.ke._.nhan._.hang." localSheetId="2" hidden="1">{#N/A,#N/A,FALSE,"Ke khai NH"}</definedName>
    <definedName name="wrn.Bang._.ke._.nhan._.hang." localSheetId="4" hidden="1">{#N/A,#N/A,FALSE,"Ke khai NH"}</definedName>
    <definedName name="wrn.Bang._.ke._.nhan._.hang." localSheetId="5" hidden="1">{#N/A,#N/A,FALSE,"Ke khai NH"}</definedName>
    <definedName name="wrn.Bang._.ke._.nhan._.hang." localSheetId="7" hidden="1">{#N/A,#N/A,FALSE,"Ke khai NH"}</definedName>
    <definedName name="wrn.Bang._.ke._.nhan._.hang." localSheetId="13" hidden="1">{#N/A,#N/A,FALSE,"Ke khai NH"}</definedName>
    <definedName name="wrn.Bang._.ke._.nhan._.hang." localSheetId="14" hidden="1">{#N/A,#N/A,FALSE,"Ke khai NH"}</definedName>
    <definedName name="wrn.Bang._.ke._.nhan._.hang." localSheetId="15" hidden="1">{#N/A,#N/A,FALSE,"Ke khai NH"}</definedName>
    <definedName name="wrn.Bang._.ke._.nhan._.hang." localSheetId="16" hidden="1">{#N/A,#N/A,FALSE,"Ke khai NH"}</definedName>
    <definedName name="wrn.Bang._.ke._.nhan._.hang." localSheetId="17" hidden="1">{#N/A,#N/A,FALSE,"Ke khai NH"}</definedName>
    <definedName name="wrn.Bang._.ke._.nhan._.hang." localSheetId="3" hidden="1">{#N/A,#N/A,FALSE,"Ke khai NH"}</definedName>
    <definedName name="wrn.Bang._.ke._.nhan._.hang." localSheetId="6" hidden="1">{#N/A,#N/A,FALSE,"Ke khai NH"}</definedName>
    <definedName name="wrn.Bang._.ke._.nhan._.hang." localSheetId="8" hidden="1">{#N/A,#N/A,FALSE,"Ke khai NH"}</definedName>
    <definedName name="wrn.Bang._.ke._.nhan._.hang." localSheetId="18" hidden="1">{#N/A,#N/A,FALSE,"Ke khai NH"}</definedName>
    <definedName name="wrn.Bang._.ke._.nhan._.hang." localSheetId="19" hidden="1">{#N/A,#N/A,FALSE,"Ke khai NH"}</definedName>
    <definedName name="wrn.Bang._.ke._.nhan._.hang." localSheetId="0" hidden="1">{#N/A,#N/A,FALSE,"Ke khai NH"}</definedName>
    <definedName name="wrn.Bang._.ke._.nhan._.hang." hidden="1">{#N/A,#N/A,FALSE,"Ke khai NH"}</definedName>
    <definedName name="wrn.Che._.do._.duoc._.huong." localSheetId="1" hidden="1">{#N/A,#N/A,FALSE,"BN (2)"}</definedName>
    <definedName name="wrn.Che._.do._.duoc._.huong." localSheetId="2" hidden="1">{#N/A,#N/A,FALSE,"BN (2)"}</definedName>
    <definedName name="wrn.Che._.do._.duoc._.huong." localSheetId="4" hidden="1">{#N/A,#N/A,FALSE,"BN (2)"}</definedName>
    <definedName name="wrn.Che._.do._.duoc._.huong." localSheetId="5" hidden="1">{#N/A,#N/A,FALSE,"BN (2)"}</definedName>
    <definedName name="wrn.Che._.do._.duoc._.huong." localSheetId="7" hidden="1">{#N/A,#N/A,FALSE,"BN (2)"}</definedName>
    <definedName name="wrn.Che._.do._.duoc._.huong." localSheetId="13" hidden="1">{#N/A,#N/A,FALSE,"BN (2)"}</definedName>
    <definedName name="wrn.Che._.do._.duoc._.huong." localSheetId="14" hidden="1">{#N/A,#N/A,FALSE,"BN (2)"}</definedName>
    <definedName name="wrn.Che._.do._.duoc._.huong." localSheetId="15" hidden="1">{#N/A,#N/A,FALSE,"BN (2)"}</definedName>
    <definedName name="wrn.Che._.do._.duoc._.huong." localSheetId="16" hidden="1">{#N/A,#N/A,FALSE,"BN (2)"}</definedName>
    <definedName name="wrn.Che._.do._.duoc._.huong." localSheetId="17" hidden="1">{#N/A,#N/A,FALSE,"BN (2)"}</definedName>
    <definedName name="wrn.Che._.do._.duoc._.huong." localSheetId="3" hidden="1">{#N/A,#N/A,FALSE,"BN (2)"}</definedName>
    <definedName name="wrn.Che._.do._.duoc._.huong." localSheetId="6" hidden="1">{#N/A,#N/A,FALSE,"BN (2)"}</definedName>
    <definedName name="wrn.Che._.do._.duoc._.huong." localSheetId="8" hidden="1">{#N/A,#N/A,FALSE,"BN (2)"}</definedName>
    <definedName name="wrn.Che._.do._.duoc._.huong." localSheetId="18" hidden="1">{#N/A,#N/A,FALSE,"BN (2)"}</definedName>
    <definedName name="wrn.Che._.do._.duoc._.huong." localSheetId="19" hidden="1">{#N/A,#N/A,FALSE,"BN (2)"}</definedName>
    <definedName name="wrn.Che._.do._.duoc._.huong." localSheetId="0" hidden="1">{#N/A,#N/A,FALSE,"BN (2)"}</definedName>
    <definedName name="wrn.Che._.do._.duoc._.huong." hidden="1">{#N/A,#N/A,FALSE,"BN (2)"}</definedName>
    <definedName name="wrn.chi._.tiÆt." localSheetId="1" hidden="1">{#N/A,#N/A,FALSE,"Chi tiÆt"}</definedName>
    <definedName name="wrn.chi._.tiÆt." localSheetId="2" hidden="1">{#N/A,#N/A,FALSE,"Chi tiÆt"}</definedName>
    <definedName name="wrn.chi._.tiÆt." localSheetId="4" hidden="1">{#N/A,#N/A,FALSE,"Chi tiÆt"}</definedName>
    <definedName name="wrn.chi._.tiÆt." localSheetId="5" hidden="1">{#N/A,#N/A,FALSE,"Chi tiÆt"}</definedName>
    <definedName name="wrn.chi._.tiÆt." localSheetId="7" hidden="1">{#N/A,#N/A,FALSE,"Chi tiÆt"}</definedName>
    <definedName name="wrn.chi._.tiÆt." localSheetId="13" hidden="1">{#N/A,#N/A,FALSE,"Chi tiÆt"}</definedName>
    <definedName name="wrn.chi._.tiÆt." localSheetId="14" hidden="1">{#N/A,#N/A,FALSE,"Chi tiÆt"}</definedName>
    <definedName name="wrn.chi._.tiÆt." localSheetId="15" hidden="1">{#N/A,#N/A,FALSE,"Chi tiÆt"}</definedName>
    <definedName name="wrn.chi._.tiÆt." localSheetId="16" hidden="1">{#N/A,#N/A,FALSE,"Chi tiÆt"}</definedName>
    <definedName name="wrn.chi._.tiÆt." localSheetId="17" hidden="1">{#N/A,#N/A,FALSE,"Chi tiÆt"}</definedName>
    <definedName name="wrn.chi._.tiÆt." localSheetId="3" hidden="1">{#N/A,#N/A,FALSE,"Chi tiÆt"}</definedName>
    <definedName name="wrn.chi._.tiÆt." localSheetId="6" hidden="1">{#N/A,#N/A,FALSE,"Chi tiÆt"}</definedName>
    <definedName name="wrn.chi._.tiÆt." localSheetId="8" hidden="1">{#N/A,#N/A,FALSE,"Chi tiÆt"}</definedName>
    <definedName name="wrn.chi._.tiÆt." localSheetId="18" hidden="1">{#N/A,#N/A,FALSE,"Chi tiÆt"}</definedName>
    <definedName name="wrn.chi._.tiÆt." localSheetId="19" hidden="1">{#N/A,#N/A,FALSE,"Chi tiÆt"}</definedName>
    <definedName name="wrn.chi._.tiÆt." localSheetId="0" hidden="1">{#N/A,#N/A,FALSE,"Chi tiÆt"}</definedName>
    <definedName name="wrn.chi._.tiÆt." hidden="1">{#N/A,#N/A,FALSE,"Chi tiÆt"}</definedName>
    <definedName name="wrn.Giáy._.bao._.no." localSheetId="1" hidden="1">{#N/A,#N/A,FALSE,"BN"}</definedName>
    <definedName name="wrn.Giáy._.bao._.no." localSheetId="2" hidden="1">{#N/A,#N/A,FALSE,"BN"}</definedName>
    <definedName name="wrn.Giáy._.bao._.no." localSheetId="4" hidden="1">{#N/A,#N/A,FALSE,"BN"}</definedName>
    <definedName name="wrn.Giáy._.bao._.no." localSheetId="5" hidden="1">{#N/A,#N/A,FALSE,"BN"}</definedName>
    <definedName name="wrn.Giáy._.bao._.no." localSheetId="7" hidden="1">{#N/A,#N/A,FALSE,"BN"}</definedName>
    <definedName name="wrn.Giáy._.bao._.no." localSheetId="13" hidden="1">{#N/A,#N/A,FALSE,"BN"}</definedName>
    <definedName name="wrn.Giáy._.bao._.no." localSheetId="14" hidden="1">{#N/A,#N/A,FALSE,"BN"}</definedName>
    <definedName name="wrn.Giáy._.bao._.no." localSheetId="15" hidden="1">{#N/A,#N/A,FALSE,"BN"}</definedName>
    <definedName name="wrn.Giáy._.bao._.no." localSheetId="16" hidden="1">{#N/A,#N/A,FALSE,"BN"}</definedName>
    <definedName name="wrn.Giáy._.bao._.no." localSheetId="17" hidden="1">{#N/A,#N/A,FALSE,"BN"}</definedName>
    <definedName name="wrn.Giáy._.bao._.no." localSheetId="3" hidden="1">{#N/A,#N/A,FALSE,"BN"}</definedName>
    <definedName name="wrn.Giáy._.bao._.no." localSheetId="6" hidden="1">{#N/A,#N/A,FALSE,"BN"}</definedName>
    <definedName name="wrn.Giáy._.bao._.no." localSheetId="8" hidden="1">{#N/A,#N/A,FALSE,"BN"}</definedName>
    <definedName name="wrn.Giáy._.bao._.no." localSheetId="18" hidden="1">{#N/A,#N/A,FALSE,"BN"}</definedName>
    <definedName name="wrn.Giáy._.bao._.no." localSheetId="19" hidden="1">{#N/A,#N/A,FALSE,"BN"}</definedName>
    <definedName name="wrn.Giáy._.bao._.no." localSheetId="0" hidden="1">{#N/A,#N/A,FALSE,"BN"}</definedName>
    <definedName name="wrn.Giáy._.bao._.no." hidden="1">{#N/A,#N/A,FALSE,"BN"}</definedName>
    <definedName name="wrn.vd." localSheetId="1" hidden="1">{#N/A,#N/A,TRUE,"BT M200 da 10x20"}</definedName>
    <definedName name="wrn.vd." localSheetId="2" hidden="1">{#N/A,#N/A,TRUE,"BT M200 da 10x20"}</definedName>
    <definedName name="wrn.vd." localSheetId="4" hidden="1">{#N/A,#N/A,TRUE,"BT M200 da 10x20"}</definedName>
    <definedName name="wrn.vd." localSheetId="5" hidden="1">{#N/A,#N/A,TRUE,"BT M200 da 10x20"}</definedName>
    <definedName name="wrn.vd." localSheetId="7" hidden="1">{#N/A,#N/A,TRUE,"BT M200 da 10x20"}</definedName>
    <definedName name="wrn.vd." localSheetId="13" hidden="1">{#N/A,#N/A,TRUE,"BT M200 da 10x20"}</definedName>
    <definedName name="wrn.vd." localSheetId="14" hidden="1">{#N/A,#N/A,TRUE,"BT M200 da 10x20"}</definedName>
    <definedName name="wrn.vd." localSheetId="15" hidden="1">{#N/A,#N/A,TRUE,"BT M200 da 10x20"}</definedName>
    <definedName name="wrn.vd." localSheetId="16" hidden="1">{#N/A,#N/A,TRUE,"BT M200 da 10x20"}</definedName>
    <definedName name="wrn.vd." localSheetId="17" hidden="1">{#N/A,#N/A,TRUE,"BT M200 da 10x20"}</definedName>
    <definedName name="wrn.vd." localSheetId="3" hidden="1">{#N/A,#N/A,TRUE,"BT M200 da 10x20"}</definedName>
    <definedName name="wrn.vd." localSheetId="6" hidden="1">{#N/A,#N/A,TRUE,"BT M200 da 10x20"}</definedName>
    <definedName name="wrn.vd." localSheetId="8" hidden="1">{#N/A,#N/A,TRUE,"BT M200 da 10x20"}</definedName>
    <definedName name="wrn.vd." localSheetId="18" hidden="1">{#N/A,#N/A,TRUE,"BT M200 da 10x20"}</definedName>
    <definedName name="wrn.vd." localSheetId="19" hidden="1">{#N/A,#N/A,TRUE,"BT M200 da 10x20"}</definedName>
    <definedName name="wrn.vd." localSheetId="0" hidden="1">{#N/A,#N/A,TRUE,"BT M200 da 10x20"}</definedName>
    <definedName name="wrn.vd." hidden="1">{#N/A,#N/A,TRUE,"BT M200 da 10x20"}</definedName>
    <definedName name="X" localSheetId="14">#REF!</definedName>
    <definedName name="X" localSheetId="17">#REF!</definedName>
    <definedName name="X">#REF!</definedName>
    <definedName name="xls" localSheetId="1" hidden="1">{"'Sheet1'!$L$16"}</definedName>
    <definedName name="xls" localSheetId="2" hidden="1">{"'Sheet1'!$L$16"}</definedName>
    <definedName name="xls" localSheetId="4" hidden="1">{"'Sheet1'!$L$16"}</definedName>
    <definedName name="xls" localSheetId="5" hidden="1">{"'Sheet1'!$L$16"}</definedName>
    <definedName name="xls" localSheetId="7" hidden="1">{"'Sheet1'!$L$16"}</definedName>
    <definedName name="xls" localSheetId="11" hidden="1">{"'Sheet1'!$L$16"}</definedName>
    <definedName name="xls" localSheetId="13" hidden="1">{"'Sheet1'!$L$16"}</definedName>
    <definedName name="xls" localSheetId="14" hidden="1">{"'Sheet1'!$L$16"}</definedName>
    <definedName name="xls" localSheetId="15" hidden="1">{"'Sheet1'!$L$16"}</definedName>
    <definedName name="xls" localSheetId="16" hidden="1">{"'Sheet1'!$L$16"}</definedName>
    <definedName name="xls" localSheetId="17" hidden="1">{"'Sheet1'!$L$16"}</definedName>
    <definedName name="xls" localSheetId="3" hidden="1">{"'Sheet1'!$L$16"}</definedName>
    <definedName name="xls" localSheetId="6" hidden="1">{"'Sheet1'!$L$16"}</definedName>
    <definedName name="xls" localSheetId="8" hidden="1">{"'Sheet1'!$L$16"}</definedName>
    <definedName name="xls" localSheetId="18" hidden="1">{"'Sheet1'!$L$16"}</definedName>
    <definedName name="xls" localSheetId="19" hidden="1">{"'Sheet1'!$L$16"}</definedName>
    <definedName name="xls" localSheetId="0" hidden="1">{"'Sheet1'!$L$16"}</definedName>
    <definedName name="xls" hidden="1">{"'Sheet1'!$L$16"}</definedName>
    <definedName name="xlttbninh" localSheetId="1" hidden="1">{"'Sheet1'!$L$16"}</definedName>
    <definedName name="xlttbninh" localSheetId="2" hidden="1">{"'Sheet1'!$L$16"}</definedName>
    <definedName name="xlttbninh" localSheetId="4" hidden="1">{"'Sheet1'!$L$16"}</definedName>
    <definedName name="xlttbninh" localSheetId="5" hidden="1">{"'Sheet1'!$L$16"}</definedName>
    <definedName name="xlttbninh" localSheetId="7" hidden="1">{"'Sheet1'!$L$16"}</definedName>
    <definedName name="xlttbninh" localSheetId="11" hidden="1">{"'Sheet1'!$L$16"}</definedName>
    <definedName name="xlttbninh" localSheetId="13" hidden="1">{"'Sheet1'!$L$16"}</definedName>
    <definedName name="xlttbninh" localSheetId="14" hidden="1">{"'Sheet1'!$L$16"}</definedName>
    <definedName name="xlttbninh" localSheetId="15" hidden="1">{"'Sheet1'!$L$16"}</definedName>
    <definedName name="xlttbninh" localSheetId="16" hidden="1">{"'Sheet1'!$L$16"}</definedName>
    <definedName name="xlttbninh" localSheetId="17" hidden="1">{"'Sheet1'!$L$16"}</definedName>
    <definedName name="xlttbninh" localSheetId="3" hidden="1">{"'Sheet1'!$L$16"}</definedName>
    <definedName name="xlttbninh" localSheetId="6" hidden="1">{"'Sheet1'!$L$16"}</definedName>
    <definedName name="xlttbninh" localSheetId="8" hidden="1">{"'Sheet1'!$L$16"}</definedName>
    <definedName name="xlttbninh" localSheetId="18" hidden="1">{"'Sheet1'!$L$16"}</definedName>
    <definedName name="xlttbninh" localSheetId="19" hidden="1">{"'Sheet1'!$L$16"}</definedName>
    <definedName name="xlttbninh" localSheetId="0" hidden="1">{"'Sheet1'!$L$16"}</definedName>
    <definedName name="xlttbninh" hidden="1">{"'Sheet1'!$L$16"}</definedName>
    <definedName name="xxx54" localSheetId="1">#REF!</definedName>
    <definedName name="xxx54" localSheetId="2">'Bieu 02 TT'!$BBM$61</definedName>
    <definedName name="xxx54" localSheetId="7">#REF!</definedName>
    <definedName name="xxx54" localSheetId="14">#REF!</definedName>
    <definedName name="xxx54" localSheetId="17">#REF!</definedName>
    <definedName name="xxx54">#REF!</definedName>
    <definedName name="ZYX" localSheetId="14">#REF!</definedName>
    <definedName name="ZYX" localSheetId="17">#REF!</definedName>
    <definedName name="ZYX">#REF!</definedName>
    <definedName name="ZZZ" localSheetId="14">#REF!</definedName>
    <definedName name="ZZZ" localSheetId="17">#REF!</definedName>
    <definedName name="ZZZ">#REF!</definedName>
    <definedName name="zzz54" localSheetId="1">#REF!</definedName>
    <definedName name="zzz54" localSheetId="2">'Bieu 02 TT'!$ABI$61</definedName>
    <definedName name="zzz54" localSheetId="7">#REF!</definedName>
    <definedName name="zzz54" localSheetId="14">#REF!</definedName>
    <definedName name="zzz54" localSheetId="17">#REF!</definedName>
    <definedName name="zzz54">#REF!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444" i="126" l="1"/>
  <c r="S57" i="62"/>
  <c r="W57" i="62"/>
  <c r="AA57" i="62"/>
  <c r="AE57" i="62"/>
  <c r="AI57" i="62"/>
  <c r="AM57" i="62"/>
  <c r="AQ57" i="62"/>
  <c r="AU57" i="62"/>
  <c r="AY57" i="62"/>
  <c r="BC57" i="62"/>
  <c r="AC1095" i="126" l="1"/>
  <c r="O99" i="82" l="1"/>
  <c r="V423" i="126" l="1"/>
  <c r="V428" i="126"/>
  <c r="C52" i="53" l="1"/>
  <c r="C51" i="53" s="1"/>
  <c r="E51" i="53"/>
  <c r="D51" i="53"/>
  <c r="C50" i="53"/>
  <c r="E49" i="53"/>
  <c r="D49" i="53"/>
  <c r="D44" i="53" s="1"/>
  <c r="C48" i="53"/>
  <c r="C47" i="53" s="1"/>
  <c r="D47" i="53"/>
  <c r="C46" i="53"/>
  <c r="E45" i="53"/>
  <c r="D45" i="53"/>
  <c r="C43" i="53"/>
  <c r="C42" i="53" s="1"/>
  <c r="E42" i="53"/>
  <c r="D42" i="53"/>
  <c r="C41" i="53"/>
  <c r="C40" i="53" s="1"/>
  <c r="E40" i="53"/>
  <c r="D40" i="53"/>
  <c r="C39" i="53"/>
  <c r="C38" i="53" s="1"/>
  <c r="E38" i="53"/>
  <c r="D38" i="53"/>
  <c r="C37" i="53"/>
  <c r="C36" i="53" s="1"/>
  <c r="E36" i="53"/>
  <c r="D36" i="53"/>
  <c r="C35" i="53"/>
  <c r="C34" i="53" s="1"/>
  <c r="E34" i="53"/>
  <c r="D34" i="53"/>
  <c r="C33" i="53"/>
  <c r="C32" i="53" s="1"/>
  <c r="E32" i="53"/>
  <c r="D32" i="53"/>
  <c r="C31" i="53"/>
  <c r="C30" i="53" s="1"/>
  <c r="E30" i="53"/>
  <c r="D30" i="53"/>
  <c r="C29" i="53"/>
  <c r="C28" i="53"/>
  <c r="E27" i="53"/>
  <c r="E26" i="53" s="1"/>
  <c r="D27" i="53"/>
  <c r="D26" i="53" s="1"/>
  <c r="C25" i="53"/>
  <c r="E24" i="53"/>
  <c r="D24" i="53"/>
  <c r="C23" i="53"/>
  <c r="C22" i="53" s="1"/>
  <c r="E22" i="53"/>
  <c r="D22" i="53"/>
  <c r="C21" i="53"/>
  <c r="C20" i="53" s="1"/>
  <c r="E20" i="53"/>
  <c r="D20" i="53"/>
  <c r="C19" i="53"/>
  <c r="C18" i="53"/>
  <c r="E17" i="53"/>
  <c r="D17" i="53"/>
  <c r="C16" i="53"/>
  <c r="C15" i="53" s="1"/>
  <c r="D15" i="53"/>
  <c r="C14" i="53"/>
  <c r="C13" i="53" s="1"/>
  <c r="D13" i="53"/>
  <c r="E12" i="53"/>
  <c r="D12" i="53"/>
  <c r="C11" i="53"/>
  <c r="C10" i="53" s="1"/>
  <c r="D10" i="53"/>
  <c r="C45" i="53" l="1"/>
  <c r="C17" i="53"/>
  <c r="C49" i="53"/>
  <c r="E9" i="53"/>
  <c r="D9" i="53"/>
  <c r="D8" i="53" s="1"/>
  <c r="C24" i="53"/>
  <c r="C27" i="53"/>
  <c r="C26" i="53" s="1"/>
  <c r="C12" i="53"/>
  <c r="E44" i="53"/>
  <c r="C9" i="53"/>
  <c r="E8" i="53" l="1"/>
  <c r="C44" i="53"/>
  <c r="C8" i="53"/>
  <c r="AP1128" i="126"/>
  <c r="AO1128" i="126"/>
  <c r="AN1128" i="126"/>
  <c r="AM1128" i="126"/>
  <c r="AL1128" i="126"/>
  <c r="AK1128" i="126"/>
  <c r="AJ1128" i="126"/>
  <c r="AI1128" i="126"/>
  <c r="AH1128" i="126"/>
  <c r="AG1128" i="126"/>
  <c r="AN1127" i="126"/>
  <c r="AM1127" i="126"/>
  <c r="AL1127" i="126"/>
  <c r="AK1127" i="126"/>
  <c r="AJ1127" i="126"/>
  <c r="W1127" i="126"/>
  <c r="H1127" i="126" s="1"/>
  <c r="AN1126" i="126"/>
  <c r="AM1126" i="126"/>
  <c r="AL1126" i="126"/>
  <c r="AK1126" i="126"/>
  <c r="AJ1126" i="126"/>
  <c r="W1126" i="126"/>
  <c r="AN1125" i="126"/>
  <c r="AM1125" i="126"/>
  <c r="AL1125" i="126"/>
  <c r="AK1125" i="126"/>
  <c r="AJ1125" i="126"/>
  <c r="Z1125" i="126"/>
  <c r="AN1124" i="126"/>
  <c r="AM1124" i="126"/>
  <c r="AL1124" i="126"/>
  <c r="AK1124" i="126"/>
  <c r="AJ1124" i="126"/>
  <c r="W1124" i="126"/>
  <c r="AN1122" i="126"/>
  <c r="AM1122" i="126"/>
  <c r="AL1122" i="126"/>
  <c r="AK1122" i="126"/>
  <c r="AJ1122" i="126"/>
  <c r="W1122" i="126"/>
  <c r="H1122" i="126" s="1"/>
  <c r="F1122" i="126" s="1"/>
  <c r="AN1121" i="126"/>
  <c r="AM1121" i="126"/>
  <c r="AL1121" i="126"/>
  <c r="AK1121" i="126"/>
  <c r="AJ1121" i="126"/>
  <c r="W1121" i="126"/>
  <c r="H1121" i="126" s="1"/>
  <c r="F1121" i="126" s="1"/>
  <c r="G1121" i="126" s="1"/>
  <c r="AN1120" i="126"/>
  <c r="AM1120" i="126"/>
  <c r="AL1120" i="126"/>
  <c r="AK1120" i="126"/>
  <c r="AJ1120" i="126"/>
  <c r="W1120" i="126"/>
  <c r="AO1120" i="126" s="1"/>
  <c r="AN1119" i="126"/>
  <c r="AM1119" i="126"/>
  <c r="AL1119" i="126"/>
  <c r="AK1119" i="126"/>
  <c r="AJ1119" i="126"/>
  <c r="W1119" i="126"/>
  <c r="AO1119" i="126" s="1"/>
  <c r="AN1118" i="126"/>
  <c r="AM1118" i="126"/>
  <c r="AL1118" i="126"/>
  <c r="AK1118" i="126"/>
  <c r="AJ1118" i="126"/>
  <c r="Z1118" i="126"/>
  <c r="AN1117" i="126"/>
  <c r="AM1117" i="126"/>
  <c r="AL1117" i="126"/>
  <c r="AK1117" i="126"/>
  <c r="AJ1117" i="126"/>
  <c r="W1117" i="126"/>
  <c r="AO1117" i="126" s="1"/>
  <c r="AN1116" i="126"/>
  <c r="AM1116" i="126"/>
  <c r="AL1116" i="126"/>
  <c r="AK1116" i="126"/>
  <c r="AJ1116" i="126"/>
  <c r="W1116" i="126"/>
  <c r="AO1116" i="126" s="1"/>
  <c r="AD1115" i="126"/>
  <c r="AC1115" i="126"/>
  <c r="AA1115" i="126"/>
  <c r="Z1115" i="126"/>
  <c r="V1115" i="126"/>
  <c r="U1115" i="126"/>
  <c r="T1115" i="126"/>
  <c r="S1115" i="126"/>
  <c r="R1115" i="126"/>
  <c r="Q1115" i="126"/>
  <c r="P1115" i="126"/>
  <c r="O1115" i="126"/>
  <c r="N1115" i="126"/>
  <c r="M1115" i="126"/>
  <c r="L1115" i="126"/>
  <c r="K1115" i="126"/>
  <c r="J1115" i="126"/>
  <c r="I1115" i="126"/>
  <c r="AN1114" i="126"/>
  <c r="AM1114" i="126"/>
  <c r="AL1114" i="126"/>
  <c r="AK1114" i="126"/>
  <c r="AJ1114" i="126"/>
  <c r="W1114" i="126"/>
  <c r="AN1113" i="126"/>
  <c r="AM1113" i="126"/>
  <c r="AL1113" i="126"/>
  <c r="AK1113" i="126"/>
  <c r="AJ1113" i="126"/>
  <c r="W1113" i="126"/>
  <c r="AO1113" i="126" s="1"/>
  <c r="AD1112" i="126"/>
  <c r="AC1112" i="126"/>
  <c r="AA1112" i="126"/>
  <c r="Z1112" i="126"/>
  <c r="V1112" i="126"/>
  <c r="U1112" i="126"/>
  <c r="T1112" i="126"/>
  <c r="S1112" i="126"/>
  <c r="R1112" i="126"/>
  <c r="Q1112" i="126"/>
  <c r="P1112" i="126"/>
  <c r="O1112" i="126"/>
  <c r="N1112" i="126"/>
  <c r="M1112" i="126"/>
  <c r="L1112" i="126"/>
  <c r="K1112" i="126"/>
  <c r="J1112" i="126"/>
  <c r="I1112" i="126"/>
  <c r="Y1111" i="126"/>
  <c r="X1111" i="126"/>
  <c r="AN1110" i="126"/>
  <c r="AM1110" i="126"/>
  <c r="AL1110" i="126"/>
  <c r="AK1110" i="126"/>
  <c r="AJ1110" i="126"/>
  <c r="W1110" i="126"/>
  <c r="AO1110" i="126" s="1"/>
  <c r="AL1109" i="126"/>
  <c r="AK1109" i="126"/>
  <c r="W1109" i="126"/>
  <c r="AO1109" i="126" s="1"/>
  <c r="T1109" i="126"/>
  <c r="AL1108" i="126"/>
  <c r="AK1108" i="126"/>
  <c r="W1108" i="126"/>
  <c r="AO1108" i="126" s="1"/>
  <c r="T1108" i="126"/>
  <c r="AL1107" i="126"/>
  <c r="AK1107" i="126"/>
  <c r="W1107" i="126"/>
  <c r="AO1107" i="126" s="1"/>
  <c r="T1107" i="126"/>
  <c r="AN1107" i="126" s="1"/>
  <c r="AL1106" i="126"/>
  <c r="AK1106" i="126"/>
  <c r="W1106" i="126"/>
  <c r="T1106" i="126"/>
  <c r="AD1105" i="126"/>
  <c r="AC1105" i="126"/>
  <c r="AB1105" i="126"/>
  <c r="AA1105" i="126"/>
  <c r="Z1105" i="126"/>
  <c r="Y1105" i="126"/>
  <c r="X1105" i="126"/>
  <c r="V1105" i="126"/>
  <c r="U1105" i="126"/>
  <c r="S1105" i="126"/>
  <c r="R1105" i="126"/>
  <c r="Q1105" i="126"/>
  <c r="O1105" i="126"/>
  <c r="N1105" i="126"/>
  <c r="M1105" i="126"/>
  <c r="L1105" i="126"/>
  <c r="K1105" i="126"/>
  <c r="J1105" i="126"/>
  <c r="AL1104" i="126"/>
  <c r="AK1104" i="126"/>
  <c r="W1104" i="126"/>
  <c r="T1104" i="126"/>
  <c r="P1104" i="126" s="1"/>
  <c r="I1104" i="126" s="1"/>
  <c r="AJ1104" i="126" s="1"/>
  <c r="AL1103" i="126"/>
  <c r="AK1103" i="126"/>
  <c r="W1103" i="126"/>
  <c r="AO1103" i="126" s="1"/>
  <c r="T1103" i="126"/>
  <c r="AL1102" i="126"/>
  <c r="AK1102" i="126"/>
  <c r="W1102" i="126"/>
  <c r="AO1102" i="126" s="1"/>
  <c r="T1102" i="126"/>
  <c r="AL1101" i="126"/>
  <c r="AK1101" i="126"/>
  <c r="AC1101" i="126"/>
  <c r="Z1101" i="126"/>
  <c r="W1101" i="126" s="1"/>
  <c r="AO1101" i="126" s="1"/>
  <c r="T1101" i="126"/>
  <c r="P1101" i="126" s="1"/>
  <c r="AN1100" i="126"/>
  <c r="AM1100" i="126"/>
  <c r="AL1100" i="126"/>
  <c r="AK1100" i="126"/>
  <c r="AJ1100" i="126"/>
  <c r="W1100" i="126"/>
  <c r="H1100" i="126" s="1"/>
  <c r="AI1100" i="126" s="1"/>
  <c r="AN1099" i="126"/>
  <c r="AM1099" i="126"/>
  <c r="AL1099" i="126"/>
  <c r="AK1099" i="126"/>
  <c r="AJ1099" i="126"/>
  <c r="W1099" i="126"/>
  <c r="AN1098" i="126"/>
  <c r="AM1098" i="126"/>
  <c r="AL1098" i="126"/>
  <c r="AK1098" i="126"/>
  <c r="AJ1098" i="126"/>
  <c r="AC1098" i="126"/>
  <c r="W1098" i="126"/>
  <c r="AN1097" i="126"/>
  <c r="AM1097" i="126"/>
  <c r="AL1097" i="126"/>
  <c r="AK1097" i="126"/>
  <c r="AJ1097" i="126"/>
  <c r="W1097" i="126"/>
  <c r="AO1096" i="126"/>
  <c r="AN1096" i="126"/>
  <c r="AM1096" i="126"/>
  <c r="AL1096" i="126"/>
  <c r="AK1096" i="126"/>
  <c r="AJ1096" i="126"/>
  <c r="AI1096" i="126"/>
  <c r="AH1096" i="126"/>
  <c r="AO1095" i="126"/>
  <c r="AN1095" i="126"/>
  <c r="AM1095" i="126"/>
  <c r="AL1095" i="126"/>
  <c r="AK1095" i="126"/>
  <c r="AJ1095" i="126"/>
  <c r="AI1095" i="126"/>
  <c r="AH1095" i="126"/>
  <c r="E1095" i="126"/>
  <c r="AG1095" i="126" s="1"/>
  <c r="AN1094" i="126"/>
  <c r="AM1094" i="126"/>
  <c r="AL1094" i="126"/>
  <c r="AK1094" i="126"/>
  <c r="AJ1094" i="126"/>
  <c r="AD1094" i="126"/>
  <c r="AC1094" i="126"/>
  <c r="AC1093" i="126" s="1"/>
  <c r="W1094" i="126"/>
  <c r="H1094" i="126" s="1"/>
  <c r="AB1093" i="126"/>
  <c r="AA1093" i="126"/>
  <c r="AA1092" i="126" s="1"/>
  <c r="Z1093" i="126"/>
  <c r="Z1092" i="126" s="1"/>
  <c r="Y1093" i="126"/>
  <c r="Y1092" i="126" s="1"/>
  <c r="X1093" i="126"/>
  <c r="X1092" i="126" s="1"/>
  <c r="V1093" i="126"/>
  <c r="V1092" i="126" s="1"/>
  <c r="U1093" i="126"/>
  <c r="U1092" i="126" s="1"/>
  <c r="T1093" i="126"/>
  <c r="S1093" i="126"/>
  <c r="S1092" i="126" s="1"/>
  <c r="R1093" i="126"/>
  <c r="R1092" i="126" s="1"/>
  <c r="Q1093" i="126"/>
  <c r="Q1092" i="126" s="1"/>
  <c r="P1093" i="126"/>
  <c r="O1093" i="126"/>
  <c r="O1092" i="126" s="1"/>
  <c r="N1093" i="126"/>
  <c r="N1092" i="126" s="1"/>
  <c r="M1093" i="126"/>
  <c r="L1093" i="126"/>
  <c r="L1092" i="126" s="1"/>
  <c r="K1093" i="126"/>
  <c r="K1092" i="126" s="1"/>
  <c r="J1093" i="126"/>
  <c r="J1092" i="126" s="1"/>
  <c r="I1093" i="126"/>
  <c r="M1092" i="126"/>
  <c r="I1092" i="126"/>
  <c r="AN1091" i="126"/>
  <c r="AM1091" i="126"/>
  <c r="AL1091" i="126"/>
  <c r="AK1091" i="126"/>
  <c r="AJ1091" i="126"/>
  <c r="W1091" i="126"/>
  <c r="AN1090" i="126"/>
  <c r="AM1090" i="126"/>
  <c r="AL1090" i="126"/>
  <c r="AK1090" i="126"/>
  <c r="AJ1090" i="126"/>
  <c r="W1090" i="126"/>
  <c r="AN1089" i="126"/>
  <c r="AM1089" i="126"/>
  <c r="AL1089" i="126"/>
  <c r="AK1089" i="126"/>
  <c r="AJ1089" i="126"/>
  <c r="AD1085" i="126"/>
  <c r="Z1089" i="126"/>
  <c r="W1089" i="126"/>
  <c r="AO1089" i="126" s="1"/>
  <c r="AN1088" i="126"/>
  <c r="AM1088" i="126"/>
  <c r="AL1088" i="126"/>
  <c r="AK1088" i="126"/>
  <c r="AJ1088" i="126"/>
  <c r="W1088" i="126"/>
  <c r="AO1088" i="126" s="1"/>
  <c r="AN1087" i="126"/>
  <c r="AM1087" i="126"/>
  <c r="AL1087" i="126"/>
  <c r="AK1087" i="126"/>
  <c r="AJ1087" i="126"/>
  <c r="W1087" i="126"/>
  <c r="AO1087" i="126" s="1"/>
  <c r="AN1086" i="126"/>
  <c r="AM1086" i="126"/>
  <c r="AL1086" i="126"/>
  <c r="AK1086" i="126"/>
  <c r="AJ1086" i="126"/>
  <c r="Z1086" i="126"/>
  <c r="W1086" i="126" s="1"/>
  <c r="AC1085" i="126"/>
  <c r="AC1079" i="126" s="1"/>
  <c r="AA1085" i="126"/>
  <c r="Y1085" i="126"/>
  <c r="Y1079" i="126" s="1"/>
  <c r="X1085" i="126"/>
  <c r="X1079" i="126" s="1"/>
  <c r="V1085" i="126"/>
  <c r="U1085" i="126"/>
  <c r="T1085" i="126"/>
  <c r="S1085" i="126"/>
  <c r="R1085" i="126"/>
  <c r="Q1085" i="126"/>
  <c r="P1085" i="126"/>
  <c r="O1085" i="126"/>
  <c r="N1085" i="126"/>
  <c r="M1085" i="126"/>
  <c r="L1085" i="126"/>
  <c r="K1085" i="126"/>
  <c r="J1085" i="126"/>
  <c r="I1085" i="126"/>
  <c r="AL1084" i="126"/>
  <c r="AK1084" i="126"/>
  <c r="W1084" i="126"/>
  <c r="AO1084" i="126" s="1"/>
  <c r="T1084" i="126"/>
  <c r="AL1083" i="126"/>
  <c r="AK1083" i="126"/>
  <c r="W1083" i="126"/>
  <c r="AO1083" i="126" s="1"/>
  <c r="T1083" i="126"/>
  <c r="AL1082" i="126"/>
  <c r="AK1082" i="126"/>
  <c r="W1082" i="126"/>
  <c r="T1082" i="126"/>
  <c r="AN1082" i="126" s="1"/>
  <c r="AA1081" i="126"/>
  <c r="Z1081" i="126"/>
  <c r="V1081" i="126"/>
  <c r="U1081" i="126"/>
  <c r="S1081" i="126"/>
  <c r="R1081" i="126"/>
  <c r="Q1081" i="126"/>
  <c r="O1081" i="126"/>
  <c r="N1081" i="126"/>
  <c r="M1081" i="126"/>
  <c r="L1081" i="126"/>
  <c r="K1081" i="126"/>
  <c r="J1081" i="126"/>
  <c r="AL1080" i="126"/>
  <c r="AK1080" i="126"/>
  <c r="Z1080" i="126"/>
  <c r="W1080" i="126" s="1"/>
  <c r="T1080" i="126"/>
  <c r="AN1080" i="126" s="1"/>
  <c r="D1079" i="126"/>
  <c r="AL1078" i="126"/>
  <c r="AK1078" i="126"/>
  <c r="Z1078" i="126"/>
  <c r="W1078" i="126" s="1"/>
  <c r="AO1078" i="126" s="1"/>
  <c r="T1078" i="126"/>
  <c r="P1078" i="126" s="1"/>
  <c r="AL1077" i="126"/>
  <c r="AK1077" i="126"/>
  <c r="W1077" i="126"/>
  <c r="AO1077" i="126" s="1"/>
  <c r="T1077" i="126"/>
  <c r="AL1076" i="126"/>
  <c r="AK1076" i="126"/>
  <c r="W1076" i="126"/>
  <c r="AO1076" i="126" s="1"/>
  <c r="T1076" i="126"/>
  <c r="AL1075" i="126"/>
  <c r="AK1075" i="126"/>
  <c r="Z1075" i="126"/>
  <c r="W1075" i="126" s="1"/>
  <c r="AO1075" i="126" s="1"/>
  <c r="T1075" i="126"/>
  <c r="AN1075" i="126" s="1"/>
  <c r="AL1074" i="126"/>
  <c r="AK1074" i="126"/>
  <c r="Z1074" i="126"/>
  <c r="W1074" i="126" s="1"/>
  <c r="AO1074" i="126" s="1"/>
  <c r="T1074" i="126"/>
  <c r="AL1073" i="126"/>
  <c r="AK1073" i="126"/>
  <c r="AD1063" i="126"/>
  <c r="Z1073" i="126"/>
  <c r="T1073" i="126"/>
  <c r="AL1072" i="126"/>
  <c r="AK1072" i="126"/>
  <c r="W1072" i="126"/>
  <c r="AO1072" i="126" s="1"/>
  <c r="T1072" i="126"/>
  <c r="AL1071" i="126"/>
  <c r="AK1071" i="126"/>
  <c r="W1071" i="126"/>
  <c r="AO1071" i="126" s="1"/>
  <c r="T1071" i="126"/>
  <c r="AL1070" i="126"/>
  <c r="AK1070" i="126"/>
  <c r="W1070" i="126"/>
  <c r="AO1070" i="126" s="1"/>
  <c r="T1070" i="126"/>
  <c r="AL1069" i="126"/>
  <c r="AK1069" i="126"/>
  <c r="W1069" i="126"/>
  <c r="AO1069" i="126" s="1"/>
  <c r="T1069" i="126"/>
  <c r="AL1068" i="126"/>
  <c r="AK1068" i="126"/>
  <c r="W1068" i="126"/>
  <c r="AO1068" i="126" s="1"/>
  <c r="T1068" i="126"/>
  <c r="AL1067" i="126"/>
  <c r="AK1067" i="126"/>
  <c r="W1067" i="126"/>
  <c r="AO1067" i="126" s="1"/>
  <c r="T1067" i="126"/>
  <c r="AL1066" i="126"/>
  <c r="AK1066" i="126"/>
  <c r="W1066" i="126"/>
  <c r="AO1066" i="126" s="1"/>
  <c r="T1066" i="126"/>
  <c r="AL1065" i="126"/>
  <c r="AK1065" i="126"/>
  <c r="W1065" i="126"/>
  <c r="AO1065" i="126" s="1"/>
  <c r="T1065" i="126"/>
  <c r="AL1064" i="126"/>
  <c r="AK1064" i="126"/>
  <c r="W1064" i="126"/>
  <c r="AO1064" i="126" s="1"/>
  <c r="T1064" i="126"/>
  <c r="AC1063" i="126"/>
  <c r="AB1063" i="126"/>
  <c r="AA1063" i="126"/>
  <c r="Y1063" i="126"/>
  <c r="Y919" i="126" s="1"/>
  <c r="X1063" i="126"/>
  <c r="X919" i="126" s="1"/>
  <c r="V1063" i="126"/>
  <c r="U1063" i="126"/>
  <c r="S1063" i="126"/>
  <c r="R1063" i="126"/>
  <c r="Q1063" i="126"/>
  <c r="O1063" i="126"/>
  <c r="N1063" i="126"/>
  <c r="M1063" i="126"/>
  <c r="L1063" i="126"/>
  <c r="K1063" i="126"/>
  <c r="J1063" i="126"/>
  <c r="AL1062" i="126"/>
  <c r="AK1062" i="126"/>
  <c r="W1062" i="126"/>
  <c r="AO1062" i="126" s="1"/>
  <c r="T1062" i="126"/>
  <c r="P1062" i="126" s="1"/>
  <c r="AL1061" i="126"/>
  <c r="AK1061" i="126"/>
  <c r="W1061" i="126"/>
  <c r="AO1061" i="126" s="1"/>
  <c r="AO1060" i="126"/>
  <c r="AL1060" i="126"/>
  <c r="AK1060" i="126"/>
  <c r="T1060" i="126"/>
  <c r="AN1060" i="126" s="1"/>
  <c r="AO1059" i="126"/>
  <c r="AL1059" i="126"/>
  <c r="AK1059" i="126"/>
  <c r="T1059" i="126"/>
  <c r="AO1058" i="126"/>
  <c r="AL1058" i="126"/>
  <c r="AK1058" i="126"/>
  <c r="T1058" i="126"/>
  <c r="AA1057" i="126"/>
  <c r="Z1057" i="126"/>
  <c r="W1057" i="126"/>
  <c r="V1057" i="126"/>
  <c r="U1057" i="126"/>
  <c r="S1057" i="126"/>
  <c r="R1057" i="126"/>
  <c r="Q1057" i="126"/>
  <c r="O1057" i="126"/>
  <c r="N1057" i="126"/>
  <c r="M1057" i="126"/>
  <c r="L1057" i="126"/>
  <c r="K1057" i="126"/>
  <c r="J1057" i="126"/>
  <c r="AO1056" i="126"/>
  <c r="AL1056" i="126"/>
  <c r="AK1056" i="126"/>
  <c r="AO1055" i="126"/>
  <c r="AL1055" i="126"/>
  <c r="AK1055" i="126"/>
  <c r="T1055" i="126"/>
  <c r="AO1054" i="126"/>
  <c r="AL1054" i="126"/>
  <c r="AK1054" i="126"/>
  <c r="T1054" i="126"/>
  <c r="AC1053" i="126"/>
  <c r="AC1052" i="126" s="1"/>
  <c r="AB1053" i="126"/>
  <c r="AB1052" i="126" s="1"/>
  <c r="AA1053" i="126"/>
  <c r="Z1053" i="126"/>
  <c r="Y1053" i="126"/>
  <c r="X1053" i="126"/>
  <c r="W1053" i="126"/>
  <c r="U1053" i="126"/>
  <c r="S1053" i="126"/>
  <c r="R1053" i="126"/>
  <c r="Q1053" i="126"/>
  <c r="O1053" i="126"/>
  <c r="N1053" i="126"/>
  <c r="M1053" i="126"/>
  <c r="L1053" i="126"/>
  <c r="K1053" i="126"/>
  <c r="J1053" i="126"/>
  <c r="AD1052" i="126"/>
  <c r="D1052" i="126"/>
  <c r="AL1051" i="126"/>
  <c r="AK1051" i="126"/>
  <c r="W1051" i="126"/>
  <c r="T1051" i="126"/>
  <c r="AB1050" i="126"/>
  <c r="AA1050" i="126"/>
  <c r="Z1050" i="126"/>
  <c r="Y1050" i="126"/>
  <c r="X1050" i="126"/>
  <c r="V1050" i="126"/>
  <c r="U1050" i="126"/>
  <c r="S1050" i="126"/>
  <c r="R1050" i="126"/>
  <c r="Q1050" i="126"/>
  <c r="O1050" i="126"/>
  <c r="N1050" i="126"/>
  <c r="M1050" i="126"/>
  <c r="L1050" i="126"/>
  <c r="K1050" i="126"/>
  <c r="J1050" i="126"/>
  <c r="AO1049" i="126"/>
  <c r="AL1049" i="126"/>
  <c r="AK1049" i="126"/>
  <c r="T1049" i="126"/>
  <c r="AN1049" i="126" s="1"/>
  <c r="AO1048" i="126"/>
  <c r="AL1048" i="126"/>
  <c r="AK1048" i="126"/>
  <c r="T1048" i="126"/>
  <c r="AO1047" i="126"/>
  <c r="AL1047" i="126"/>
  <c r="AK1047" i="126"/>
  <c r="T1047" i="126"/>
  <c r="AO1046" i="126"/>
  <c r="AL1046" i="126"/>
  <c r="AK1046" i="126"/>
  <c r="AL1045" i="126"/>
  <c r="AK1045" i="126"/>
  <c r="W1045" i="126"/>
  <c r="AO1045" i="126" s="1"/>
  <c r="T1045" i="126"/>
  <c r="AN1045" i="126" s="1"/>
  <c r="AL1044" i="126"/>
  <c r="AK1044" i="126"/>
  <c r="W1044" i="126"/>
  <c r="AO1044" i="126" s="1"/>
  <c r="T1044" i="126"/>
  <c r="AN1044" i="126" s="1"/>
  <c r="P1044" i="126"/>
  <c r="AO1043" i="126"/>
  <c r="AL1043" i="126"/>
  <c r="AK1043" i="126"/>
  <c r="T1043" i="126"/>
  <c r="P1043" i="126" s="1"/>
  <c r="AC1042" i="126"/>
  <c r="AC1040" i="126" s="1"/>
  <c r="AB1042" i="126"/>
  <c r="AB1040" i="126" s="1"/>
  <c r="AA1042" i="126"/>
  <c r="Z1042" i="126"/>
  <c r="Z1040" i="126" s="1"/>
  <c r="Y1042" i="126"/>
  <c r="X1042" i="126"/>
  <c r="V1042" i="126"/>
  <c r="V1040" i="126" s="1"/>
  <c r="U1042" i="126"/>
  <c r="U1040" i="126" s="1"/>
  <c r="S1042" i="126"/>
  <c r="R1042" i="126"/>
  <c r="Q1042" i="126"/>
  <c r="O1042" i="126"/>
  <c r="O1040" i="126" s="1"/>
  <c r="N1042" i="126"/>
  <c r="M1042" i="126"/>
  <c r="L1042" i="126"/>
  <c r="K1042" i="126"/>
  <c r="K1040" i="126" s="1"/>
  <c r="J1042" i="126"/>
  <c r="AD1040" i="126"/>
  <c r="AD1039" i="126" s="1"/>
  <c r="W1041" i="126"/>
  <c r="AO1041" i="126" s="1"/>
  <c r="T1041" i="126"/>
  <c r="AA1040" i="126"/>
  <c r="D1040" i="126"/>
  <c r="D1039" i="126" s="1"/>
  <c r="AO1038" i="126"/>
  <c r="AL1038" i="126"/>
  <c r="AK1038" i="126"/>
  <c r="T1038" i="126"/>
  <c r="P1038" i="126" s="1"/>
  <c r="AO1037" i="126"/>
  <c r="AL1037" i="126"/>
  <c r="AK1037" i="126"/>
  <c r="T1037" i="126"/>
  <c r="AN1037" i="126" s="1"/>
  <c r="AO1036" i="126"/>
  <c r="AL1036" i="126"/>
  <c r="AK1036" i="126"/>
  <c r="T1036" i="126"/>
  <c r="AO1035" i="126"/>
  <c r="AL1035" i="126"/>
  <c r="AK1035" i="126"/>
  <c r="AO1034" i="126"/>
  <c r="AL1034" i="126"/>
  <c r="AK1034" i="126"/>
  <c r="T1034" i="126"/>
  <c r="AN1034" i="126" s="1"/>
  <c r="AO1033" i="126"/>
  <c r="AL1033" i="126"/>
  <c r="AK1033" i="126"/>
  <c r="T1033" i="126"/>
  <c r="AN1033" i="126" s="1"/>
  <c r="AO1032" i="126"/>
  <c r="AL1032" i="126"/>
  <c r="AK1032" i="126"/>
  <c r="T1032" i="126"/>
  <c r="P1032" i="126" s="1"/>
  <c r="AO1031" i="126"/>
  <c r="AL1031" i="126"/>
  <c r="AK1031" i="126"/>
  <c r="U1031" i="126"/>
  <c r="T1031" i="126" s="1"/>
  <c r="AO1030" i="126"/>
  <c r="AL1030" i="126"/>
  <c r="AK1030" i="126"/>
  <c r="T1030" i="126"/>
  <c r="AO1029" i="126"/>
  <c r="AL1029" i="126"/>
  <c r="AK1029" i="126"/>
  <c r="T1029" i="126"/>
  <c r="AO1028" i="126"/>
  <c r="AL1028" i="126"/>
  <c r="AK1028" i="126"/>
  <c r="T1028" i="126"/>
  <c r="AN1028" i="126" s="1"/>
  <c r="AO1027" i="126"/>
  <c r="AL1027" i="126"/>
  <c r="AK1027" i="126"/>
  <c r="T1027" i="126"/>
  <c r="AO1026" i="126"/>
  <c r="AL1026" i="126"/>
  <c r="AK1026" i="126"/>
  <c r="AO1025" i="126"/>
  <c r="AL1025" i="126"/>
  <c r="AK1025" i="126"/>
  <c r="T1025" i="126"/>
  <c r="AN1025" i="126" s="1"/>
  <c r="AO1024" i="126"/>
  <c r="AL1024" i="126"/>
  <c r="AK1024" i="126"/>
  <c r="T1024" i="126"/>
  <c r="AO1023" i="126"/>
  <c r="AL1023" i="126"/>
  <c r="AK1023" i="126"/>
  <c r="AD1020" i="126"/>
  <c r="AC1022" i="126"/>
  <c r="AC1020" i="126" s="1"/>
  <c r="AB1022" i="126"/>
  <c r="AB1020" i="126" s="1"/>
  <c r="AA1022" i="126"/>
  <c r="AA1020" i="126" s="1"/>
  <c r="Z1022" i="126"/>
  <c r="Z1020" i="126" s="1"/>
  <c r="Y1022" i="126"/>
  <c r="X1022" i="126"/>
  <c r="W1022" i="126"/>
  <c r="V1022" i="126"/>
  <c r="V1020" i="126" s="1"/>
  <c r="S1022" i="126"/>
  <c r="R1022" i="126"/>
  <c r="Q1022" i="126"/>
  <c r="O1022" i="126"/>
  <c r="O1020" i="126" s="1"/>
  <c r="N1022" i="126"/>
  <c r="N1020" i="126" s="1"/>
  <c r="M1022" i="126"/>
  <c r="L1022" i="126"/>
  <c r="K1022" i="126"/>
  <c r="K1020" i="126" s="1"/>
  <c r="J1022" i="126"/>
  <c r="W1021" i="126"/>
  <c r="T1021" i="126"/>
  <c r="S1021" i="126"/>
  <c r="P1021" i="126" s="1"/>
  <c r="M1021" i="126"/>
  <c r="AL1021" i="126" s="1"/>
  <c r="L1021" i="126"/>
  <c r="D1020" i="126"/>
  <c r="AO1019" i="126"/>
  <c r="AL1019" i="126"/>
  <c r="AK1019" i="126"/>
  <c r="AO1018" i="126"/>
  <c r="AL1018" i="126"/>
  <c r="AK1018" i="126"/>
  <c r="T1018" i="126"/>
  <c r="AN1018" i="126" s="1"/>
  <c r="AO1017" i="126"/>
  <c r="AL1017" i="126"/>
  <c r="AK1017" i="126"/>
  <c r="T1017" i="126"/>
  <c r="P1017" i="126" s="1"/>
  <c r="AL1016" i="126"/>
  <c r="AK1016" i="126"/>
  <c r="W1016" i="126"/>
  <c r="V1016" i="126"/>
  <c r="U1016" i="126"/>
  <c r="AL1015" i="126"/>
  <c r="AK1015" i="126"/>
  <c r="AD1014" i="126"/>
  <c r="W1015" i="126"/>
  <c r="AO1015" i="126" s="1"/>
  <c r="T1015" i="126"/>
  <c r="P1015" i="126" s="1"/>
  <c r="AB1014" i="126"/>
  <c r="AA1014" i="126"/>
  <c r="Z1014" i="126"/>
  <c r="S1014" i="126"/>
  <c r="R1014" i="126"/>
  <c r="Q1014" i="126"/>
  <c r="O1014" i="126"/>
  <c r="N1014" i="126"/>
  <c r="M1014" i="126"/>
  <c r="L1014" i="126"/>
  <c r="K1014" i="126"/>
  <c r="J1014" i="126"/>
  <c r="D1014" i="126"/>
  <c r="AO1013" i="126"/>
  <c r="AL1013" i="126"/>
  <c r="AK1013" i="126"/>
  <c r="T1013" i="126"/>
  <c r="P1013" i="126" s="1"/>
  <c r="AO1012" i="126"/>
  <c r="AL1012" i="126"/>
  <c r="AK1012" i="126"/>
  <c r="T1012" i="126"/>
  <c r="AN1012" i="126" s="1"/>
  <c r="AO1011" i="126"/>
  <c r="AL1011" i="126"/>
  <c r="AK1011" i="126"/>
  <c r="T1011" i="126"/>
  <c r="AN1011" i="126" s="1"/>
  <c r="AO1010" i="126"/>
  <c r="AL1010" i="126"/>
  <c r="AK1010" i="126"/>
  <c r="AO1009" i="126"/>
  <c r="AL1009" i="126"/>
  <c r="AK1009" i="126"/>
  <c r="AO1008" i="126"/>
  <c r="AL1008" i="126"/>
  <c r="AK1008" i="126"/>
  <c r="T1008" i="126"/>
  <c r="AL1007" i="126"/>
  <c r="AK1007" i="126"/>
  <c r="W1007" i="126"/>
  <c r="AO1007" i="126" s="1"/>
  <c r="U1007" i="126"/>
  <c r="AO1006" i="126"/>
  <c r="AL1006" i="126"/>
  <c r="AK1006" i="126"/>
  <c r="T1006" i="126"/>
  <c r="AN1006" i="126" s="1"/>
  <c r="AO1005" i="126"/>
  <c r="AL1005" i="126"/>
  <c r="AK1005" i="126"/>
  <c r="V1002" i="126"/>
  <c r="T1005" i="126"/>
  <c r="AO1004" i="126"/>
  <c r="AL1004" i="126"/>
  <c r="AK1004" i="126"/>
  <c r="T1004" i="126"/>
  <c r="AN1004" i="126" s="1"/>
  <c r="AO1003" i="126"/>
  <c r="AL1003" i="126"/>
  <c r="AK1003" i="126"/>
  <c r="T1003" i="126"/>
  <c r="AO1002" i="126"/>
  <c r="AL1002" i="126"/>
  <c r="AK1002" i="126"/>
  <c r="U1002" i="126"/>
  <c r="AO1001" i="126"/>
  <c r="AL1001" i="126"/>
  <c r="AK1001" i="126"/>
  <c r="T1001" i="126"/>
  <c r="AO1000" i="126"/>
  <c r="AL1000" i="126"/>
  <c r="AK1000" i="126"/>
  <c r="T1000" i="126"/>
  <c r="P1000" i="126" s="1"/>
  <c r="AO999" i="126"/>
  <c r="AL999" i="126"/>
  <c r="AK999" i="126"/>
  <c r="T999" i="126"/>
  <c r="AO998" i="126"/>
  <c r="AL998" i="126"/>
  <c r="AK998" i="126"/>
  <c r="T998" i="126"/>
  <c r="AO997" i="126"/>
  <c r="AL997" i="126"/>
  <c r="AK997" i="126"/>
  <c r="T997" i="126"/>
  <c r="P997" i="126" s="1"/>
  <c r="AO996" i="126"/>
  <c r="AL996" i="126"/>
  <c r="AK996" i="126"/>
  <c r="V996" i="126"/>
  <c r="U996" i="126"/>
  <c r="AL995" i="126"/>
  <c r="AK995" i="126"/>
  <c r="AD995" i="126"/>
  <c r="AC995" i="126"/>
  <c r="W995" i="126"/>
  <c r="AO995" i="126" s="1"/>
  <c r="D995" i="126"/>
  <c r="AO994" i="126"/>
  <c r="AL994" i="126"/>
  <c r="AK994" i="126"/>
  <c r="T994" i="126"/>
  <c r="AO993" i="126"/>
  <c r="AL993" i="126"/>
  <c r="AK993" i="126"/>
  <c r="T993" i="126"/>
  <c r="AN993" i="126" s="1"/>
  <c r="AO992" i="126"/>
  <c r="AL992" i="126"/>
  <c r="AK992" i="126"/>
  <c r="T992" i="126"/>
  <c r="AN992" i="126" s="1"/>
  <c r="AO991" i="126"/>
  <c r="AL991" i="126"/>
  <c r="AK991" i="126"/>
  <c r="T991" i="126"/>
  <c r="AN991" i="126" s="1"/>
  <c r="AO990" i="126"/>
  <c r="AL990" i="126"/>
  <c r="AK990" i="126"/>
  <c r="T990" i="126"/>
  <c r="AL989" i="126"/>
  <c r="AK989" i="126"/>
  <c r="W989" i="126"/>
  <c r="V989" i="126"/>
  <c r="U989" i="126"/>
  <c r="AD987" i="126"/>
  <c r="W988" i="126"/>
  <c r="AO988" i="126" s="1"/>
  <c r="T988" i="126"/>
  <c r="AN988" i="126" s="1"/>
  <c r="S988" i="126"/>
  <c r="AC987" i="126"/>
  <c r="AB987" i="126"/>
  <c r="AA987" i="126"/>
  <c r="U987" i="126"/>
  <c r="N987" i="126"/>
  <c r="J987" i="126"/>
  <c r="D987" i="126"/>
  <c r="AO986" i="126"/>
  <c r="AL986" i="126"/>
  <c r="AK986" i="126"/>
  <c r="T986" i="126"/>
  <c r="AO985" i="126"/>
  <c r="AL985" i="126"/>
  <c r="AK985" i="126"/>
  <c r="T985" i="126"/>
  <c r="AO984" i="126"/>
  <c r="AL984" i="126"/>
  <c r="AK984" i="126"/>
  <c r="T984" i="126"/>
  <c r="AO983" i="126"/>
  <c r="AL983" i="126"/>
  <c r="AK983" i="126"/>
  <c r="T983" i="126"/>
  <c r="P983" i="126" s="1"/>
  <c r="AO982" i="126"/>
  <c r="AL982" i="126"/>
  <c r="AK982" i="126"/>
  <c r="T982" i="126"/>
  <c r="AN982" i="126" s="1"/>
  <c r="AL981" i="126"/>
  <c r="AK981" i="126"/>
  <c r="W981" i="126"/>
  <c r="AO981" i="126" s="1"/>
  <c r="V981" i="126"/>
  <c r="U981" i="126"/>
  <c r="AL980" i="126"/>
  <c r="AK980" i="126"/>
  <c r="AC979" i="126"/>
  <c r="W980" i="126"/>
  <c r="T980" i="126"/>
  <c r="AN980" i="126" s="1"/>
  <c r="AD979" i="126"/>
  <c r="AB979" i="126"/>
  <c r="AA979" i="126"/>
  <c r="Z979" i="126"/>
  <c r="S979" i="126"/>
  <c r="R979" i="126"/>
  <c r="Q979" i="126"/>
  <c r="O979" i="126"/>
  <c r="N979" i="126"/>
  <c r="M979" i="126"/>
  <c r="L979" i="126"/>
  <c r="K979" i="126"/>
  <c r="J979" i="126"/>
  <c r="D979" i="126"/>
  <c r="AK978" i="126"/>
  <c r="AD968" i="126"/>
  <c r="Z978" i="126"/>
  <c r="Z968" i="126" s="1"/>
  <c r="T978" i="126"/>
  <c r="AN978" i="126" s="1"/>
  <c r="M978" i="126"/>
  <c r="AL978" i="126" s="1"/>
  <c r="AO977" i="126"/>
  <c r="AK977" i="126"/>
  <c r="T977" i="126"/>
  <c r="AN977" i="126" s="1"/>
  <c r="M977" i="126"/>
  <c r="AL977" i="126" s="1"/>
  <c r="AO976" i="126"/>
  <c r="AK976" i="126"/>
  <c r="T976" i="126"/>
  <c r="AN976" i="126" s="1"/>
  <c r="M976" i="126"/>
  <c r="AL976" i="126" s="1"/>
  <c r="AO975" i="126"/>
  <c r="AK975" i="126"/>
  <c r="T975" i="126"/>
  <c r="M975" i="126"/>
  <c r="AL975" i="126" s="1"/>
  <c r="AO974" i="126"/>
  <c r="AK974" i="126"/>
  <c r="U974" i="126"/>
  <c r="T974" i="126" s="1"/>
  <c r="M974" i="126"/>
  <c r="AO973" i="126"/>
  <c r="AK973" i="126"/>
  <c r="U973" i="126"/>
  <c r="M973" i="126"/>
  <c r="AL973" i="126" s="1"/>
  <c r="AO972" i="126"/>
  <c r="AK972" i="126"/>
  <c r="U972" i="126"/>
  <c r="T972" i="126" s="1"/>
  <c r="M972" i="126"/>
  <c r="AO971" i="126"/>
  <c r="AK971" i="126"/>
  <c r="M971" i="126"/>
  <c r="AL971" i="126" s="1"/>
  <c r="W970" i="126"/>
  <c r="AO970" i="126" s="1"/>
  <c r="T970" i="126"/>
  <c r="AN970" i="126" s="1"/>
  <c r="O968" i="126"/>
  <c r="K968" i="126"/>
  <c r="AK969" i="126"/>
  <c r="W969" i="126"/>
  <c r="AO969" i="126" s="1"/>
  <c r="T969" i="126"/>
  <c r="AN969" i="126" s="1"/>
  <c r="M969" i="126"/>
  <c r="AL969" i="126" s="1"/>
  <c r="AC968" i="126"/>
  <c r="AB968" i="126"/>
  <c r="AA968" i="126"/>
  <c r="D968" i="126"/>
  <c r="AO967" i="126"/>
  <c r="AL967" i="126"/>
  <c r="AK967" i="126"/>
  <c r="AO966" i="126"/>
  <c r="AL966" i="126"/>
  <c r="AK966" i="126"/>
  <c r="T966" i="126"/>
  <c r="AN966" i="126" s="1"/>
  <c r="AO965" i="126"/>
  <c r="AL965" i="126"/>
  <c r="AK965" i="126"/>
  <c r="T965" i="126"/>
  <c r="P965" i="126" s="1"/>
  <c r="AO964" i="126"/>
  <c r="AL964" i="126"/>
  <c r="AK964" i="126"/>
  <c r="T964" i="126"/>
  <c r="AN964" i="126" s="1"/>
  <c r="AO963" i="126"/>
  <c r="AL963" i="126"/>
  <c r="AK963" i="126"/>
  <c r="T963" i="126"/>
  <c r="AO962" i="126"/>
  <c r="AL962" i="126"/>
  <c r="AK962" i="126"/>
  <c r="T962" i="126"/>
  <c r="AO961" i="126"/>
  <c r="AL961" i="126"/>
  <c r="AK961" i="126"/>
  <c r="AL960" i="126"/>
  <c r="AK960" i="126"/>
  <c r="W960" i="126"/>
  <c r="AO960" i="126" s="1"/>
  <c r="V960" i="126"/>
  <c r="V958" i="126" s="1"/>
  <c r="U960" i="126"/>
  <c r="U958" i="126" s="1"/>
  <c r="AC958" i="126"/>
  <c r="W959" i="126"/>
  <c r="W958" i="126" s="1"/>
  <c r="T959" i="126"/>
  <c r="M959" i="126"/>
  <c r="L959" i="126"/>
  <c r="L958" i="126" s="1"/>
  <c r="AD958" i="126"/>
  <c r="AB958" i="126"/>
  <c r="AA958" i="126"/>
  <c r="Z958" i="126"/>
  <c r="O958" i="126"/>
  <c r="N958" i="126"/>
  <c r="K958" i="126"/>
  <c r="J958" i="126"/>
  <c r="D958" i="126"/>
  <c r="AO957" i="126"/>
  <c r="AL957" i="126"/>
  <c r="AK957" i="126"/>
  <c r="T957" i="126"/>
  <c r="AN957" i="126" s="1"/>
  <c r="AL956" i="126"/>
  <c r="AK956" i="126"/>
  <c r="W956" i="126"/>
  <c r="AO956" i="126" s="1"/>
  <c r="U956" i="126"/>
  <c r="T956" i="126" s="1"/>
  <c r="D956" i="126"/>
  <c r="AO955" i="126"/>
  <c r="AL955" i="126"/>
  <c r="AK955" i="126"/>
  <c r="T955" i="126"/>
  <c r="AN955" i="126" s="1"/>
  <c r="AO954" i="126"/>
  <c r="AL954" i="126"/>
  <c r="AK954" i="126"/>
  <c r="T954" i="126"/>
  <c r="AO953" i="126"/>
  <c r="AL953" i="126"/>
  <c r="AK953" i="126"/>
  <c r="T953" i="126"/>
  <c r="AO952" i="126"/>
  <c r="AL952" i="126"/>
  <c r="AK952" i="126"/>
  <c r="T952" i="126"/>
  <c r="AN952" i="126" s="1"/>
  <c r="AL951" i="126"/>
  <c r="AK951" i="126"/>
  <c r="W951" i="126"/>
  <c r="AO951" i="126" s="1"/>
  <c r="V951" i="126"/>
  <c r="V949" i="126" s="1"/>
  <c r="AL950" i="126"/>
  <c r="AK950" i="126"/>
  <c r="W950" i="126"/>
  <c r="T950" i="126"/>
  <c r="AD949" i="126"/>
  <c r="AC949" i="126"/>
  <c r="AB949" i="126"/>
  <c r="AA949" i="126"/>
  <c r="Z949" i="126"/>
  <c r="U949" i="126"/>
  <c r="S949" i="126"/>
  <c r="R949" i="126"/>
  <c r="Q949" i="126"/>
  <c r="O949" i="126"/>
  <c r="N949" i="126"/>
  <c r="M949" i="126"/>
  <c r="L949" i="126"/>
  <c r="K949" i="126"/>
  <c r="J949" i="126"/>
  <c r="D949" i="126"/>
  <c r="AO948" i="126"/>
  <c r="AL948" i="126"/>
  <c r="AK948" i="126"/>
  <c r="T948" i="126"/>
  <c r="AN948" i="126" s="1"/>
  <c r="AO947" i="126"/>
  <c r="AL947" i="126"/>
  <c r="AK947" i="126"/>
  <c r="T947" i="126"/>
  <c r="AO946" i="126"/>
  <c r="AL946" i="126"/>
  <c r="AK946" i="126"/>
  <c r="T946" i="126"/>
  <c r="AO945" i="126"/>
  <c r="AL945" i="126"/>
  <c r="AK945" i="126"/>
  <c r="T945" i="126"/>
  <c r="AN945" i="126" s="1"/>
  <c r="AO944" i="126"/>
  <c r="AL944" i="126"/>
  <c r="AK944" i="126"/>
  <c r="T944" i="126"/>
  <c r="AO943" i="126"/>
  <c r="AL943" i="126"/>
  <c r="AK943" i="126"/>
  <c r="T943" i="126"/>
  <c r="W942" i="126"/>
  <c r="V942" i="126"/>
  <c r="U942" i="126"/>
  <c r="U940" i="126" s="1"/>
  <c r="S942" i="126"/>
  <c r="S940" i="126" s="1"/>
  <c r="R942" i="126"/>
  <c r="R940" i="126" s="1"/>
  <c r="Q942" i="126"/>
  <c r="Q940" i="126" s="1"/>
  <c r="O942" i="126"/>
  <c r="O940" i="126" s="1"/>
  <c r="N942" i="126"/>
  <c r="N940" i="126" s="1"/>
  <c r="M942" i="126"/>
  <c r="M940" i="126" s="1"/>
  <c r="L942" i="126"/>
  <c r="L940" i="126" s="1"/>
  <c r="K942" i="126"/>
  <c r="K940" i="126" s="1"/>
  <c r="J942" i="126"/>
  <c r="AL941" i="126"/>
  <c r="AK941" i="126"/>
  <c r="W941" i="126"/>
  <c r="AO941" i="126" s="1"/>
  <c r="T941" i="126"/>
  <c r="AN941" i="126" s="1"/>
  <c r="AD940" i="126"/>
  <c r="AC940" i="126"/>
  <c r="AB940" i="126"/>
  <c r="AA940" i="126"/>
  <c r="Z940" i="126"/>
  <c r="J940" i="126"/>
  <c r="D940" i="126"/>
  <c r="AO939" i="126"/>
  <c r="AL939" i="126"/>
  <c r="AK939" i="126"/>
  <c r="T939" i="126"/>
  <c r="AO938" i="126"/>
  <c r="AL938" i="126"/>
  <c r="AK938" i="126"/>
  <c r="T938" i="126"/>
  <c r="AN938" i="126" s="1"/>
  <c r="AO937" i="126"/>
  <c r="AL937" i="126"/>
  <c r="AK937" i="126"/>
  <c r="T937" i="126"/>
  <c r="AO936" i="126"/>
  <c r="AL936" i="126"/>
  <c r="AK936" i="126"/>
  <c r="T936" i="126"/>
  <c r="P936" i="126" s="1"/>
  <c r="AO935" i="126"/>
  <c r="AL935" i="126"/>
  <c r="AK935" i="126"/>
  <c r="T935" i="126"/>
  <c r="AN935" i="126" s="1"/>
  <c r="AO934" i="126"/>
  <c r="AL934" i="126"/>
  <c r="AK934" i="126"/>
  <c r="T934" i="126"/>
  <c r="AO933" i="126"/>
  <c r="AL933" i="126"/>
  <c r="AK933" i="126"/>
  <c r="T933" i="126"/>
  <c r="AN933" i="126" s="1"/>
  <c r="AO932" i="126"/>
  <c r="AL932" i="126"/>
  <c r="AK932" i="126"/>
  <c r="T932" i="126"/>
  <c r="P932" i="126" s="1"/>
  <c r="AL931" i="126"/>
  <c r="AK931" i="126"/>
  <c r="W931" i="126"/>
  <c r="AO931" i="126" s="1"/>
  <c r="V931" i="126"/>
  <c r="U931" i="126"/>
  <c r="U929" i="126" s="1"/>
  <c r="AL930" i="126"/>
  <c r="AK930" i="126"/>
  <c r="AD929" i="126"/>
  <c r="W930" i="126"/>
  <c r="T930" i="126"/>
  <c r="P930" i="126" s="1"/>
  <c r="AC929" i="126"/>
  <c r="AB929" i="126"/>
  <c r="AA929" i="126"/>
  <c r="Z929" i="126"/>
  <c r="S929" i="126"/>
  <c r="R929" i="126"/>
  <c r="Q929" i="126"/>
  <c r="O929" i="126"/>
  <c r="N929" i="126"/>
  <c r="M929" i="126"/>
  <c r="L929" i="126"/>
  <c r="K929" i="126"/>
  <c r="J929" i="126"/>
  <c r="D929" i="126"/>
  <c r="AO928" i="126"/>
  <c r="AL928" i="126"/>
  <c r="AK928" i="126"/>
  <c r="T928" i="126"/>
  <c r="P928" i="126" s="1"/>
  <c r="AO927" i="126"/>
  <c r="AL927" i="126"/>
  <c r="AK927" i="126"/>
  <c r="T927" i="126"/>
  <c r="AO926" i="126"/>
  <c r="AL926" i="126"/>
  <c r="AK926" i="126"/>
  <c r="AO925" i="126"/>
  <c r="AL925" i="126"/>
  <c r="AK925" i="126"/>
  <c r="T925" i="126"/>
  <c r="AO924" i="126"/>
  <c r="AL924" i="126"/>
  <c r="AK924" i="126"/>
  <c r="T924" i="126"/>
  <c r="AO923" i="126"/>
  <c r="AL923" i="126"/>
  <c r="AK923" i="126"/>
  <c r="T923" i="126"/>
  <c r="P923" i="126" s="1"/>
  <c r="AL922" i="126"/>
  <c r="AK922" i="126"/>
  <c r="W922" i="126"/>
  <c r="AO922" i="126" s="1"/>
  <c r="V922" i="126"/>
  <c r="U922" i="126"/>
  <c r="U920" i="126" s="1"/>
  <c r="AL921" i="126"/>
  <c r="AK921" i="126"/>
  <c r="AD920" i="126"/>
  <c r="W921" i="126"/>
  <c r="T921" i="126"/>
  <c r="P921" i="126"/>
  <c r="AC920" i="126"/>
  <c r="AB920" i="126"/>
  <c r="AA920" i="126"/>
  <c r="Z920" i="126"/>
  <c r="S920" i="126"/>
  <c r="R920" i="126"/>
  <c r="Q920" i="126"/>
  <c r="O920" i="126"/>
  <c r="N920" i="126"/>
  <c r="M920" i="126"/>
  <c r="L920" i="126"/>
  <c r="K920" i="126"/>
  <c r="J920" i="126"/>
  <c r="D920" i="126"/>
  <c r="AN918" i="126"/>
  <c r="AM918" i="126"/>
  <c r="AL918" i="126"/>
  <c r="AK918" i="126"/>
  <c r="AJ918" i="126"/>
  <c r="W918" i="126"/>
  <c r="AO918" i="126" s="1"/>
  <c r="AN917" i="126"/>
  <c r="AM917" i="126"/>
  <c r="AL917" i="126"/>
  <c r="AK917" i="126"/>
  <c r="AJ917" i="126"/>
  <c r="W917" i="126"/>
  <c r="AN916" i="126"/>
  <c r="AM916" i="126"/>
  <c r="AL916" i="126"/>
  <c r="AK916" i="126"/>
  <c r="AJ916" i="126"/>
  <c r="W916" i="126"/>
  <c r="AN915" i="126"/>
  <c r="AM915" i="126"/>
  <c r="AL915" i="126"/>
  <c r="AK915" i="126"/>
  <c r="AJ915" i="126"/>
  <c r="W915" i="126"/>
  <c r="AO915" i="126" s="1"/>
  <c r="AN914" i="126"/>
  <c r="AM914" i="126"/>
  <c r="AL914" i="126"/>
  <c r="AK914" i="126"/>
  <c r="AJ914" i="126"/>
  <c r="W914" i="126"/>
  <c r="AN913" i="126"/>
  <c r="AM913" i="126"/>
  <c r="AL913" i="126"/>
  <c r="AK913" i="126"/>
  <c r="AJ913" i="126"/>
  <c r="W913" i="126"/>
  <c r="AN912" i="126"/>
  <c r="AM912" i="126"/>
  <c r="AL912" i="126"/>
  <c r="AK912" i="126"/>
  <c r="AJ912" i="126"/>
  <c r="W912" i="126"/>
  <c r="AO912" i="126" s="1"/>
  <c r="AN911" i="126"/>
  <c r="AM911" i="126"/>
  <c r="AL911" i="126"/>
  <c r="AK911" i="126"/>
  <c r="AJ911" i="126"/>
  <c r="W911" i="126"/>
  <c r="AN910" i="126"/>
  <c r="AM910" i="126"/>
  <c r="AL910" i="126"/>
  <c r="AK910" i="126"/>
  <c r="AJ910" i="126"/>
  <c r="W910" i="126"/>
  <c r="AO910" i="126" s="1"/>
  <c r="AN909" i="126"/>
  <c r="AM909" i="126"/>
  <c r="AL909" i="126"/>
  <c r="AK909" i="126"/>
  <c r="AJ909" i="126"/>
  <c r="W909" i="126"/>
  <c r="AO909" i="126" s="1"/>
  <c r="AN908" i="126"/>
  <c r="AM908" i="126"/>
  <c r="AL908" i="126"/>
  <c r="AK908" i="126"/>
  <c r="AJ908" i="126"/>
  <c r="W908" i="126"/>
  <c r="AN907" i="126"/>
  <c r="AM907" i="126"/>
  <c r="AL907" i="126"/>
  <c r="AK907" i="126"/>
  <c r="AJ907" i="126"/>
  <c r="Z907" i="126"/>
  <c r="AN906" i="126"/>
  <c r="AM906" i="126"/>
  <c r="AL906" i="126"/>
  <c r="AK906" i="126"/>
  <c r="AJ906" i="126"/>
  <c r="W906" i="126"/>
  <c r="H906" i="126" s="1"/>
  <c r="AN905" i="126"/>
  <c r="AM905" i="126"/>
  <c r="AL905" i="126"/>
  <c r="AK905" i="126"/>
  <c r="AJ905" i="126"/>
  <c r="Z905" i="126"/>
  <c r="AC904" i="126"/>
  <c r="AC896" i="126" s="1"/>
  <c r="AB904" i="126"/>
  <c r="AB896" i="126" s="1"/>
  <c r="Z904" i="126"/>
  <c r="Y904" i="126"/>
  <c r="X904" i="126"/>
  <c r="V904" i="126"/>
  <c r="U904" i="126"/>
  <c r="T904" i="126"/>
  <c r="S904" i="126"/>
  <c r="R904" i="126"/>
  <c r="Q904" i="126"/>
  <c r="P904" i="126"/>
  <c r="O904" i="126"/>
  <c r="N904" i="126"/>
  <c r="M904" i="126"/>
  <c r="L904" i="126"/>
  <c r="K904" i="126"/>
  <c r="J904" i="126"/>
  <c r="I904" i="126"/>
  <c r="AN903" i="126"/>
  <c r="AM903" i="126"/>
  <c r="AL903" i="126"/>
  <c r="AK903" i="126"/>
  <c r="AJ903" i="126"/>
  <c r="W903" i="126"/>
  <c r="AN902" i="126"/>
  <c r="AM902" i="126"/>
  <c r="AL902" i="126"/>
  <c r="AK902" i="126"/>
  <c r="AJ902" i="126"/>
  <c r="W902" i="126"/>
  <c r="AO902" i="126" s="1"/>
  <c r="AN901" i="126"/>
  <c r="AM901" i="126"/>
  <c r="AL901" i="126"/>
  <c r="AK901" i="126"/>
  <c r="AJ901" i="126"/>
  <c r="W901" i="126"/>
  <c r="H901" i="126" s="1"/>
  <c r="AI901" i="126" s="1"/>
  <c r="AN900" i="126"/>
  <c r="AM900" i="126"/>
  <c r="AL900" i="126"/>
  <c r="AK900" i="126"/>
  <c r="AJ900" i="126"/>
  <c r="AN899" i="126"/>
  <c r="AM899" i="126"/>
  <c r="AL899" i="126"/>
  <c r="AK899" i="126"/>
  <c r="AJ899" i="126"/>
  <c r="AN898" i="126"/>
  <c r="AM898" i="126"/>
  <c r="AL898" i="126"/>
  <c r="AK898" i="126"/>
  <c r="AJ898" i="126"/>
  <c r="Z897" i="126"/>
  <c r="Y897" i="126"/>
  <c r="X897" i="126"/>
  <c r="V897" i="126"/>
  <c r="U897" i="126"/>
  <c r="T897" i="126"/>
  <c r="S897" i="126"/>
  <c r="R897" i="126"/>
  <c r="Q897" i="126"/>
  <c r="P897" i="126"/>
  <c r="O897" i="126"/>
  <c r="N897" i="126"/>
  <c r="M897" i="126"/>
  <c r="L897" i="126"/>
  <c r="K897" i="126"/>
  <c r="J897" i="126"/>
  <c r="I897" i="126"/>
  <c r="D897" i="126"/>
  <c r="D896" i="126" s="1"/>
  <c r="AD896" i="126"/>
  <c r="AN895" i="126"/>
  <c r="AM895" i="126"/>
  <c r="AL895" i="126"/>
  <c r="AK895" i="126"/>
  <c r="AJ895" i="126"/>
  <c r="W895" i="126"/>
  <c r="AO895" i="126" s="1"/>
  <c r="AN894" i="126"/>
  <c r="AM894" i="126"/>
  <c r="AL894" i="126"/>
  <c r="AK894" i="126"/>
  <c r="AJ894" i="126"/>
  <c r="W894" i="126"/>
  <c r="AN893" i="126"/>
  <c r="AM893" i="126"/>
  <c r="AL893" i="126"/>
  <c r="AK893" i="126"/>
  <c r="AJ893" i="126"/>
  <c r="W893" i="126"/>
  <c r="AN892" i="126"/>
  <c r="AM892" i="126"/>
  <c r="AL892" i="126"/>
  <c r="AK892" i="126"/>
  <c r="AJ892" i="126"/>
  <c r="W892" i="126"/>
  <c r="AN891" i="126"/>
  <c r="AM891" i="126"/>
  <c r="AL891" i="126"/>
  <c r="AK891" i="126"/>
  <c r="AJ891" i="126"/>
  <c r="W891" i="126"/>
  <c r="AO891" i="126" s="1"/>
  <c r="AN890" i="126"/>
  <c r="AM890" i="126"/>
  <c r="AL890" i="126"/>
  <c r="AK890" i="126"/>
  <c r="AJ890" i="126"/>
  <c r="W890" i="126"/>
  <c r="AO890" i="126" s="1"/>
  <c r="AN889" i="126"/>
  <c r="AM889" i="126"/>
  <c r="AL889" i="126"/>
  <c r="AK889" i="126"/>
  <c r="AJ889" i="126"/>
  <c r="W889" i="126"/>
  <c r="AN888" i="126"/>
  <c r="AM888" i="126"/>
  <c r="AL888" i="126"/>
  <c r="AK888" i="126"/>
  <c r="AJ888" i="126"/>
  <c r="AN887" i="126"/>
  <c r="AM887" i="126"/>
  <c r="AL887" i="126"/>
  <c r="AK887" i="126"/>
  <c r="AJ887" i="126"/>
  <c r="W887" i="126"/>
  <c r="AN886" i="126"/>
  <c r="AM886" i="126"/>
  <c r="AL886" i="126"/>
  <c r="AK886" i="126"/>
  <c r="AJ886" i="126"/>
  <c r="W886" i="126"/>
  <c r="H886" i="126" s="1"/>
  <c r="AN885" i="126"/>
  <c r="AM885" i="126"/>
  <c r="AL885" i="126"/>
  <c r="AK885" i="126"/>
  <c r="AJ885" i="126"/>
  <c r="Z885" i="126"/>
  <c r="W885" i="126" s="1"/>
  <c r="AN884" i="126"/>
  <c r="AM884" i="126"/>
  <c r="AL884" i="126"/>
  <c r="AK884" i="126"/>
  <c r="AJ884" i="126"/>
  <c r="W884" i="126"/>
  <c r="AO884" i="126" s="1"/>
  <c r="AN883" i="126"/>
  <c r="AM883" i="126"/>
  <c r="AL883" i="126"/>
  <c r="AK883" i="126"/>
  <c r="AJ883" i="126"/>
  <c r="W883" i="126"/>
  <c r="AO883" i="126" s="1"/>
  <c r="AN882" i="126"/>
  <c r="AM882" i="126"/>
  <c r="AL882" i="126"/>
  <c r="AK882" i="126"/>
  <c r="AJ882" i="126"/>
  <c r="AN881" i="126"/>
  <c r="AM881" i="126"/>
  <c r="AL881" i="126"/>
  <c r="AK881" i="126"/>
  <c r="AJ881" i="126"/>
  <c r="Z881" i="126"/>
  <c r="AN880" i="126"/>
  <c r="AM880" i="126"/>
  <c r="AL880" i="126"/>
  <c r="AK880" i="126"/>
  <c r="AJ880" i="126"/>
  <c r="W880" i="126"/>
  <c r="AN879" i="126"/>
  <c r="AM879" i="126"/>
  <c r="AL879" i="126"/>
  <c r="AK879" i="126"/>
  <c r="AJ879" i="126"/>
  <c r="W879" i="126"/>
  <c r="AB878" i="126"/>
  <c r="Y878" i="126"/>
  <c r="Y868" i="126" s="1"/>
  <c r="Y867" i="126" s="1"/>
  <c r="X878" i="126"/>
  <c r="X868" i="126" s="1"/>
  <c r="X867" i="126" s="1"/>
  <c r="V878" i="126"/>
  <c r="U878" i="126"/>
  <c r="T878" i="126"/>
  <c r="S878" i="126"/>
  <c r="R878" i="126"/>
  <c r="Q878" i="126"/>
  <c r="P878" i="126"/>
  <c r="O878" i="126"/>
  <c r="N878" i="126"/>
  <c r="M878" i="126"/>
  <c r="L878" i="126"/>
  <c r="K878" i="126"/>
  <c r="J878" i="126"/>
  <c r="I878" i="126"/>
  <c r="D878" i="126"/>
  <c r="AL877" i="126"/>
  <c r="AK877" i="126"/>
  <c r="W877" i="126"/>
  <c r="AO877" i="126" s="1"/>
  <c r="T877" i="126"/>
  <c r="P877" i="126" s="1"/>
  <c r="AM877" i="126" s="1"/>
  <c r="AL876" i="126"/>
  <c r="AK876" i="126"/>
  <c r="Z876" i="126"/>
  <c r="W876" i="126" s="1"/>
  <c r="AO876" i="126" s="1"/>
  <c r="T876" i="126"/>
  <c r="AN875" i="126"/>
  <c r="AM875" i="126"/>
  <c r="AL875" i="126"/>
  <c r="AK875" i="126"/>
  <c r="AJ875" i="126"/>
  <c r="W875" i="126"/>
  <c r="AN874" i="126"/>
  <c r="AM874" i="126"/>
  <c r="AL874" i="126"/>
  <c r="AK874" i="126"/>
  <c r="AJ874" i="126"/>
  <c r="W874" i="126"/>
  <c r="AN873" i="126"/>
  <c r="AM873" i="126"/>
  <c r="AL873" i="126"/>
  <c r="AK873" i="126"/>
  <c r="AJ873" i="126"/>
  <c r="AN872" i="126"/>
  <c r="AM872" i="126"/>
  <c r="AL872" i="126"/>
  <c r="AK872" i="126"/>
  <c r="AJ872" i="126"/>
  <c r="AN871" i="126"/>
  <c r="AM871" i="126"/>
  <c r="AL871" i="126"/>
  <c r="AK871" i="126"/>
  <c r="AJ871" i="126"/>
  <c r="Z871" i="126"/>
  <c r="AB870" i="126"/>
  <c r="AB869" i="126" s="1"/>
  <c r="Y870" i="126"/>
  <c r="X870" i="126"/>
  <c r="V870" i="126"/>
  <c r="V869" i="126" s="1"/>
  <c r="U870" i="126"/>
  <c r="U869" i="126" s="1"/>
  <c r="T870" i="126"/>
  <c r="S870" i="126"/>
  <c r="S869" i="126" s="1"/>
  <c r="R870" i="126"/>
  <c r="R869" i="126" s="1"/>
  <c r="Q870" i="126"/>
  <c r="Q869" i="126" s="1"/>
  <c r="P870" i="126"/>
  <c r="O870" i="126"/>
  <c r="O869" i="126" s="1"/>
  <c r="N870" i="126"/>
  <c r="M870" i="126"/>
  <c r="M869" i="126" s="1"/>
  <c r="L870" i="126"/>
  <c r="L869" i="126" s="1"/>
  <c r="K870" i="126"/>
  <c r="K869" i="126" s="1"/>
  <c r="J870" i="126"/>
  <c r="I870" i="126"/>
  <c r="D870" i="126"/>
  <c r="D869" i="126" s="1"/>
  <c r="AD869" i="126"/>
  <c r="AD868" i="126" s="1"/>
  <c r="AD867" i="126" s="1"/>
  <c r="AC869" i="126"/>
  <c r="AC868" i="126" s="1"/>
  <c r="AL866" i="126"/>
  <c r="AK866" i="126"/>
  <c r="T866" i="126"/>
  <c r="AL865" i="126"/>
  <c r="AK865" i="126"/>
  <c r="W865" i="126"/>
  <c r="AO865" i="126" s="1"/>
  <c r="T865" i="126"/>
  <c r="AL864" i="126"/>
  <c r="AK864" i="126"/>
  <c r="T864" i="126"/>
  <c r="AN864" i="126" s="1"/>
  <c r="AL863" i="126"/>
  <c r="AK863" i="126"/>
  <c r="W863" i="126"/>
  <c r="AO863" i="126" s="1"/>
  <c r="T863" i="126"/>
  <c r="AL862" i="126"/>
  <c r="AK862" i="126"/>
  <c r="T862" i="126"/>
  <c r="AL861" i="126"/>
  <c r="AK861" i="126"/>
  <c r="W861" i="126"/>
  <c r="AO861" i="126" s="1"/>
  <c r="T861" i="126"/>
  <c r="P861" i="126" s="1"/>
  <c r="AL860" i="126"/>
  <c r="AK860" i="126"/>
  <c r="W860" i="126"/>
  <c r="AO860" i="126" s="1"/>
  <c r="T860" i="126"/>
  <c r="AL859" i="126"/>
  <c r="AK859" i="126"/>
  <c r="W859" i="126"/>
  <c r="AO859" i="126" s="1"/>
  <c r="T859" i="126"/>
  <c r="P859" i="126" s="1"/>
  <c r="AL858" i="126"/>
  <c r="AK858" i="126"/>
  <c r="AD857" i="126"/>
  <c r="AA858" i="126"/>
  <c r="Z858" i="126"/>
  <c r="W858" i="126" s="1"/>
  <c r="T858" i="126"/>
  <c r="AC857" i="126"/>
  <c r="AB857" i="126"/>
  <c r="Y857" i="126"/>
  <c r="X857" i="126"/>
  <c r="V857" i="126"/>
  <c r="U857" i="126"/>
  <c r="S857" i="126"/>
  <c r="R857" i="126"/>
  <c r="Q857" i="126"/>
  <c r="O857" i="126"/>
  <c r="N857" i="126"/>
  <c r="M857" i="126"/>
  <c r="L857" i="126"/>
  <c r="K857" i="126"/>
  <c r="J857" i="126"/>
  <c r="AL856" i="126"/>
  <c r="AK856" i="126"/>
  <c r="AD855" i="126"/>
  <c r="W856" i="126"/>
  <c r="W855" i="126" s="1"/>
  <c r="T856" i="126"/>
  <c r="AC855" i="126"/>
  <c r="AB855" i="126"/>
  <c r="AA855" i="126"/>
  <c r="Z855" i="126"/>
  <c r="V855" i="126"/>
  <c r="U855" i="126"/>
  <c r="S855" i="126"/>
  <c r="R855" i="126"/>
  <c r="R840" i="126" s="1"/>
  <c r="Q855" i="126"/>
  <c r="Q840" i="126" s="1"/>
  <c r="O855" i="126"/>
  <c r="N855" i="126"/>
  <c r="M855" i="126"/>
  <c r="L855" i="126"/>
  <c r="K855" i="126"/>
  <c r="J855" i="126"/>
  <c r="AO854" i="126"/>
  <c r="AL854" i="126"/>
  <c r="AK854" i="126"/>
  <c r="T854" i="126"/>
  <c r="AN854" i="126" s="1"/>
  <c r="AO853" i="126"/>
  <c r="AL853" i="126"/>
  <c r="AK853" i="126"/>
  <c r="T853" i="126"/>
  <c r="AN853" i="126" s="1"/>
  <c r="AO852" i="126"/>
  <c r="AL852" i="126"/>
  <c r="AK852" i="126"/>
  <c r="T852" i="126"/>
  <c r="P852" i="126" s="1"/>
  <c r="AO851" i="126"/>
  <c r="AL851" i="126"/>
  <c r="AK851" i="126"/>
  <c r="AO850" i="126"/>
  <c r="AL850" i="126"/>
  <c r="AK850" i="126"/>
  <c r="T850" i="126"/>
  <c r="AO849" i="126"/>
  <c r="AL849" i="126"/>
  <c r="AK849" i="126"/>
  <c r="AO848" i="126"/>
  <c r="AL848" i="126"/>
  <c r="AK848" i="126"/>
  <c r="T848" i="126"/>
  <c r="AN848" i="126" s="1"/>
  <c r="AO847" i="126"/>
  <c r="AL847" i="126"/>
  <c r="AK847" i="126"/>
  <c r="U847" i="126"/>
  <c r="T847" i="126" s="1"/>
  <c r="AL846" i="126"/>
  <c r="AK846" i="126"/>
  <c r="W846" i="126"/>
  <c r="AO846" i="126" s="1"/>
  <c r="T846" i="126"/>
  <c r="AN846" i="126" s="1"/>
  <c r="AL845" i="126"/>
  <c r="AK845" i="126"/>
  <c r="W845" i="126"/>
  <c r="AO845" i="126" s="1"/>
  <c r="T845" i="126"/>
  <c r="AL844" i="126"/>
  <c r="AK844" i="126"/>
  <c r="W844" i="126"/>
  <c r="T844" i="126"/>
  <c r="AN844" i="126" s="1"/>
  <c r="AC843" i="126"/>
  <c r="AC841" i="126" s="1"/>
  <c r="AB843" i="126"/>
  <c r="AA843" i="126"/>
  <c r="AA841" i="126" s="1"/>
  <c r="Z843" i="126"/>
  <c r="Z841" i="126" s="1"/>
  <c r="Y843" i="126"/>
  <c r="X843" i="126"/>
  <c r="V843" i="126"/>
  <c r="V841" i="126" s="1"/>
  <c r="V840" i="126" s="1"/>
  <c r="U843" i="126"/>
  <c r="U841" i="126" s="1"/>
  <c r="S843" i="126"/>
  <c r="R843" i="126"/>
  <c r="Q843" i="126"/>
  <c r="O843" i="126"/>
  <c r="O841" i="126" s="1"/>
  <c r="N843" i="126"/>
  <c r="M843" i="126"/>
  <c r="L843" i="126"/>
  <c r="K843" i="126"/>
  <c r="J843" i="126"/>
  <c r="W842" i="126"/>
  <c r="AO842" i="126" s="1"/>
  <c r="T842" i="126"/>
  <c r="AN842" i="126" s="1"/>
  <c r="M842" i="126"/>
  <c r="L842" i="126"/>
  <c r="AB841" i="126"/>
  <c r="K841" i="126"/>
  <c r="D841" i="126"/>
  <c r="D840" i="126" s="1"/>
  <c r="AO839" i="126"/>
  <c r="AL839" i="126"/>
  <c r="AK839" i="126"/>
  <c r="T839" i="126"/>
  <c r="P839" i="126" s="1"/>
  <c r="AO838" i="126"/>
  <c r="AL838" i="126"/>
  <c r="AK838" i="126"/>
  <c r="T838" i="126"/>
  <c r="AN838" i="126" s="1"/>
  <c r="AO837" i="126"/>
  <c r="AL837" i="126"/>
  <c r="AK837" i="126"/>
  <c r="T837" i="126"/>
  <c r="AO836" i="126"/>
  <c r="AL836" i="126"/>
  <c r="AK836" i="126"/>
  <c r="AO835" i="126"/>
  <c r="AL835" i="126"/>
  <c r="AK835" i="126"/>
  <c r="T835" i="126"/>
  <c r="P835" i="126" s="1"/>
  <c r="AM835" i="126" s="1"/>
  <c r="AO834" i="126"/>
  <c r="AL834" i="126"/>
  <c r="AK834" i="126"/>
  <c r="T834" i="126"/>
  <c r="AO833" i="126"/>
  <c r="AL833" i="126"/>
  <c r="AK833" i="126"/>
  <c r="T833" i="126"/>
  <c r="AN833" i="126" s="1"/>
  <c r="AO832" i="126"/>
  <c r="AL832" i="126"/>
  <c r="AK832" i="126"/>
  <c r="T832" i="126"/>
  <c r="AO831" i="126"/>
  <c r="AL831" i="126"/>
  <c r="AK831" i="126"/>
  <c r="T831" i="126"/>
  <c r="AN831" i="126" s="1"/>
  <c r="AL830" i="126"/>
  <c r="AK830" i="126"/>
  <c r="W830" i="126"/>
  <c r="AO830" i="126" s="1"/>
  <c r="T830" i="126"/>
  <c r="P830" i="126" s="1"/>
  <c r="AL829" i="126"/>
  <c r="AK829" i="126"/>
  <c r="W829" i="126"/>
  <c r="AO829" i="126" s="1"/>
  <c r="T829" i="126"/>
  <c r="P829" i="126" s="1"/>
  <c r="AM829" i="126" s="1"/>
  <c r="AL828" i="126"/>
  <c r="AK828" i="126"/>
  <c r="W828" i="126"/>
  <c r="AO828" i="126" s="1"/>
  <c r="T828" i="126"/>
  <c r="P828" i="126" s="1"/>
  <c r="AL827" i="126"/>
  <c r="AK827" i="126"/>
  <c r="W827" i="126"/>
  <c r="AO827" i="126" s="1"/>
  <c r="V826" i="126"/>
  <c r="U827" i="126"/>
  <c r="T827" i="126"/>
  <c r="AN827" i="126" s="1"/>
  <c r="AO826" i="126"/>
  <c r="S826" i="126"/>
  <c r="R826" i="126"/>
  <c r="Q826" i="126"/>
  <c r="O826" i="126"/>
  <c r="N826" i="126"/>
  <c r="M826" i="126"/>
  <c r="L826" i="126"/>
  <c r="K826" i="126"/>
  <c r="J826" i="126"/>
  <c r="AL825" i="126"/>
  <c r="AK825" i="126"/>
  <c r="W825" i="126"/>
  <c r="AO825" i="126" s="1"/>
  <c r="T825" i="126"/>
  <c r="P825" i="126" s="1"/>
  <c r="AM825" i="126" s="1"/>
  <c r="AL824" i="126"/>
  <c r="AK824" i="126"/>
  <c r="W824" i="126"/>
  <c r="AO824" i="126" s="1"/>
  <c r="T824" i="126"/>
  <c r="AN824" i="126" s="1"/>
  <c r="AC823" i="126"/>
  <c r="AC821" i="126" s="1"/>
  <c r="AB823" i="126"/>
  <c r="AB821" i="126" s="1"/>
  <c r="AA823" i="126"/>
  <c r="AA821" i="126" s="1"/>
  <c r="Z823" i="126"/>
  <c r="Z821" i="126" s="1"/>
  <c r="Y823" i="126"/>
  <c r="X823" i="126"/>
  <c r="V823" i="126"/>
  <c r="V821" i="126" s="1"/>
  <c r="U823" i="126"/>
  <c r="U821" i="126" s="1"/>
  <c r="S823" i="126"/>
  <c r="R823" i="126"/>
  <c r="Q823" i="126"/>
  <c r="O823" i="126"/>
  <c r="O821" i="126" s="1"/>
  <c r="N823" i="126"/>
  <c r="N821" i="126" s="1"/>
  <c r="M823" i="126"/>
  <c r="L823" i="126"/>
  <c r="K823" i="126"/>
  <c r="J823" i="126"/>
  <c r="J821" i="126" s="1"/>
  <c r="W822" i="126"/>
  <c r="T822" i="126"/>
  <c r="AN822" i="126" s="1"/>
  <c r="S822" i="126"/>
  <c r="M822" i="126"/>
  <c r="L822" i="126"/>
  <c r="AD821" i="126"/>
  <c r="D821" i="126"/>
  <c r="AN820" i="126"/>
  <c r="AM820" i="126"/>
  <c r="AL820" i="126"/>
  <c r="AK820" i="126"/>
  <c r="AJ820" i="126"/>
  <c r="W820" i="126"/>
  <c r="AL819" i="126"/>
  <c r="AK819" i="126"/>
  <c r="T819" i="126"/>
  <c r="AL818" i="126"/>
  <c r="AK818" i="126"/>
  <c r="Z818" i="126"/>
  <c r="W818" i="126" s="1"/>
  <c r="AO818" i="126" s="1"/>
  <c r="T818" i="126"/>
  <c r="D818" i="126"/>
  <c r="AD817" i="126"/>
  <c r="AC817" i="126"/>
  <c r="AB817" i="126"/>
  <c r="Z817" i="126"/>
  <c r="Y817" i="126"/>
  <c r="X817" i="126"/>
  <c r="X800" i="126" s="1"/>
  <c r="V817" i="126"/>
  <c r="U817" i="126"/>
  <c r="S817" i="126"/>
  <c r="R817" i="126"/>
  <c r="R800" i="126" s="1"/>
  <c r="Q817" i="126"/>
  <c r="Q800" i="126" s="1"/>
  <c r="O817" i="126"/>
  <c r="N817" i="126"/>
  <c r="M817" i="126"/>
  <c r="L817" i="126"/>
  <c r="K817" i="126"/>
  <c r="J817" i="126"/>
  <c r="AO816" i="126"/>
  <c r="AL816" i="126"/>
  <c r="AK816" i="126"/>
  <c r="T816" i="126"/>
  <c r="AO815" i="126"/>
  <c r="AL815" i="126"/>
  <c r="AK815" i="126"/>
  <c r="T815" i="126"/>
  <c r="AO814" i="126"/>
  <c r="AL814" i="126"/>
  <c r="AK814" i="126"/>
  <c r="T814" i="126"/>
  <c r="AN814" i="126" s="1"/>
  <c r="AO813" i="126"/>
  <c r="AL813" i="126"/>
  <c r="AK813" i="126"/>
  <c r="T813" i="126"/>
  <c r="AO812" i="126"/>
  <c r="AL812" i="126"/>
  <c r="AK812" i="126"/>
  <c r="T812" i="126"/>
  <c r="AO811" i="126"/>
  <c r="AL811" i="126"/>
  <c r="AK811" i="126"/>
  <c r="AO810" i="126"/>
  <c r="AL810" i="126"/>
  <c r="AK810" i="126"/>
  <c r="T810" i="126"/>
  <c r="AN810" i="126" s="1"/>
  <c r="AO809" i="126"/>
  <c r="AL809" i="126"/>
  <c r="AK809" i="126"/>
  <c r="AO808" i="126"/>
  <c r="AL808" i="126"/>
  <c r="AK808" i="126"/>
  <c r="AO807" i="126"/>
  <c r="AL807" i="126"/>
  <c r="AK807" i="126"/>
  <c r="T807" i="126"/>
  <c r="AL806" i="126"/>
  <c r="AK806" i="126"/>
  <c r="W806" i="126"/>
  <c r="AO806" i="126" s="1"/>
  <c r="T806" i="126"/>
  <c r="AN806" i="126" s="1"/>
  <c r="AO805" i="126"/>
  <c r="AL805" i="126"/>
  <c r="AK805" i="126"/>
  <c r="U805" i="126"/>
  <c r="AO804" i="126"/>
  <c r="AL804" i="126"/>
  <c r="AK804" i="126"/>
  <c r="T804" i="126"/>
  <c r="AB803" i="126"/>
  <c r="AB801" i="126" s="1"/>
  <c r="AA803" i="126"/>
  <c r="AA801" i="126" s="1"/>
  <c r="Z803" i="126"/>
  <c r="Y803" i="126"/>
  <c r="X803" i="126"/>
  <c r="U803" i="126"/>
  <c r="U801" i="126" s="1"/>
  <c r="U800" i="126" s="1"/>
  <c r="S803" i="126"/>
  <c r="R803" i="126"/>
  <c r="Q803" i="126"/>
  <c r="O803" i="126"/>
  <c r="O801" i="126" s="1"/>
  <c r="O800" i="126" s="1"/>
  <c r="N803" i="126"/>
  <c r="M803" i="126"/>
  <c r="L803" i="126"/>
  <c r="K803" i="126"/>
  <c r="J803" i="126"/>
  <c r="AD801" i="126"/>
  <c r="AD800" i="126" s="1"/>
  <c r="W802" i="126"/>
  <c r="AO802" i="126" s="1"/>
  <c r="T802" i="126"/>
  <c r="AC801" i="126"/>
  <c r="D801" i="126"/>
  <c r="D800" i="126" s="1"/>
  <c r="Y800" i="126"/>
  <c r="AO799" i="126"/>
  <c r="AL799" i="126"/>
  <c r="AK799" i="126"/>
  <c r="T799" i="126"/>
  <c r="AO798" i="126"/>
  <c r="AL798" i="126"/>
  <c r="AK798" i="126"/>
  <c r="T798" i="126"/>
  <c r="AO797" i="126"/>
  <c r="AL797" i="126"/>
  <c r="AK797" i="126"/>
  <c r="T797" i="126"/>
  <c r="AO796" i="126"/>
  <c r="AL796" i="126"/>
  <c r="AK796" i="126"/>
  <c r="T796" i="126"/>
  <c r="AL795" i="126"/>
  <c r="AK795" i="126"/>
  <c r="W795" i="126"/>
  <c r="W794" i="126" s="1"/>
  <c r="T795" i="126"/>
  <c r="AD792" i="126"/>
  <c r="AC794" i="126"/>
  <c r="AB794" i="126"/>
  <c r="AB792" i="126" s="1"/>
  <c r="AA794" i="126"/>
  <c r="AA792" i="126" s="1"/>
  <c r="Z794" i="126"/>
  <c r="Z792" i="126" s="1"/>
  <c r="Y794" i="126"/>
  <c r="X794" i="126"/>
  <c r="V794" i="126"/>
  <c r="V792" i="126" s="1"/>
  <c r="U794" i="126"/>
  <c r="U792" i="126" s="1"/>
  <c r="S794" i="126"/>
  <c r="R794" i="126"/>
  <c r="Q794" i="126"/>
  <c r="O794" i="126"/>
  <c r="O792" i="126" s="1"/>
  <c r="N794" i="126"/>
  <c r="N792" i="126" s="1"/>
  <c r="M794" i="126"/>
  <c r="L794" i="126"/>
  <c r="K794" i="126"/>
  <c r="K792" i="126" s="1"/>
  <c r="J794" i="126"/>
  <c r="W793" i="126"/>
  <c r="AO793" i="126" s="1"/>
  <c r="T793" i="126"/>
  <c r="S793" i="126"/>
  <c r="L793" i="126"/>
  <c r="AC792" i="126"/>
  <c r="D792" i="126"/>
  <c r="AL791" i="126"/>
  <c r="AK791" i="126"/>
  <c r="Z791" i="126"/>
  <c r="T791" i="126"/>
  <c r="AL790" i="126"/>
  <c r="AK790" i="126"/>
  <c r="Z790" i="126"/>
  <c r="W790" i="126" s="1"/>
  <c r="T790" i="126"/>
  <c r="P790" i="126" s="1"/>
  <c r="I790" i="126" s="1"/>
  <c r="AJ790" i="126" s="1"/>
  <c r="AN789" i="126"/>
  <c r="AM789" i="126"/>
  <c r="AL789" i="126"/>
  <c r="AK789" i="126"/>
  <c r="AJ789" i="126"/>
  <c r="Z789" i="126"/>
  <c r="W789" i="126" s="1"/>
  <c r="AO789" i="126" s="1"/>
  <c r="AN788" i="126"/>
  <c r="AM788" i="126"/>
  <c r="AL788" i="126"/>
  <c r="AK788" i="126"/>
  <c r="AJ788" i="126"/>
  <c r="Z788" i="126"/>
  <c r="W788" i="126" s="1"/>
  <c r="AN787" i="126"/>
  <c r="AM787" i="126"/>
  <c r="AL787" i="126"/>
  <c r="AK787" i="126"/>
  <c r="AJ787" i="126"/>
  <c r="Z787" i="126"/>
  <c r="W787" i="126" s="1"/>
  <c r="AO787" i="126" s="1"/>
  <c r="AN786" i="126"/>
  <c r="AM786" i="126"/>
  <c r="AL786" i="126"/>
  <c r="AK786" i="126"/>
  <c r="AJ786" i="126"/>
  <c r="Z786" i="126"/>
  <c r="W786" i="126" s="1"/>
  <c r="AN785" i="126"/>
  <c r="AM785" i="126"/>
  <c r="AL785" i="126"/>
  <c r="AK785" i="126"/>
  <c r="AJ785" i="126"/>
  <c r="Z785" i="126"/>
  <c r="W785" i="126" s="1"/>
  <c r="AO785" i="126" s="1"/>
  <c r="AL784" i="126"/>
  <c r="AK784" i="126"/>
  <c r="Z784" i="126"/>
  <c r="W784" i="126" s="1"/>
  <c r="AO784" i="126" s="1"/>
  <c r="T784" i="126"/>
  <c r="AC783" i="126"/>
  <c r="AB783" i="126"/>
  <c r="AA783" i="126"/>
  <c r="Y783" i="126"/>
  <c r="X783" i="126"/>
  <c r="V783" i="126"/>
  <c r="U783" i="126"/>
  <c r="S783" i="126"/>
  <c r="R783" i="126"/>
  <c r="R779" i="126" s="1"/>
  <c r="Q783" i="126"/>
  <c r="Q779" i="126" s="1"/>
  <c r="O783" i="126"/>
  <c r="N783" i="126"/>
  <c r="M783" i="126"/>
  <c r="L783" i="126"/>
  <c r="K783" i="126"/>
  <c r="J783" i="126"/>
  <c r="AP782" i="126"/>
  <c r="AO782" i="126"/>
  <c r="AN782" i="126"/>
  <c r="AM782" i="126"/>
  <c r="AL782" i="126"/>
  <c r="AK782" i="126"/>
  <c r="AJ782" i="126"/>
  <c r="AI782" i="126"/>
  <c r="AH782" i="126"/>
  <c r="AG782" i="126"/>
  <c r="AO781" i="126"/>
  <c r="AN781" i="126"/>
  <c r="AD780" i="126"/>
  <c r="AD779" i="126" s="1"/>
  <c r="O780" i="126"/>
  <c r="K780" i="126"/>
  <c r="S781" i="126"/>
  <c r="AC780" i="126"/>
  <c r="AB780" i="126"/>
  <c r="AA780" i="126"/>
  <c r="Z780" i="126"/>
  <c r="Y780" i="126"/>
  <c r="Y779" i="126" s="1"/>
  <c r="X780" i="126"/>
  <c r="W780" i="126"/>
  <c r="V780" i="126"/>
  <c r="U780" i="126"/>
  <c r="T780" i="126"/>
  <c r="N780" i="126"/>
  <c r="J780" i="126"/>
  <c r="J779" i="126" s="1"/>
  <c r="D780" i="126"/>
  <c r="D779" i="126" s="1"/>
  <c r="AB779" i="126"/>
  <c r="AA779" i="126"/>
  <c r="AL778" i="126"/>
  <c r="AK778" i="126"/>
  <c r="W778" i="126"/>
  <c r="AO778" i="126" s="1"/>
  <c r="U778" i="126"/>
  <c r="T778" i="126" s="1"/>
  <c r="AO777" i="126"/>
  <c r="AL777" i="126"/>
  <c r="AK777" i="126"/>
  <c r="U777" i="126"/>
  <c r="T777" i="126" s="1"/>
  <c r="AO776" i="126"/>
  <c r="AL776" i="126"/>
  <c r="AK776" i="126"/>
  <c r="T776" i="126"/>
  <c r="AO775" i="126"/>
  <c r="AL775" i="126"/>
  <c r="AK775" i="126"/>
  <c r="T775" i="126"/>
  <c r="P775" i="126" s="1"/>
  <c r="AL774" i="126"/>
  <c r="AK774" i="126"/>
  <c r="W774" i="126"/>
  <c r="U774" i="126"/>
  <c r="T774" i="126" s="1"/>
  <c r="AN774" i="126" s="1"/>
  <c r="AO773" i="126"/>
  <c r="AL773" i="126"/>
  <c r="AK773" i="126"/>
  <c r="U773" i="126"/>
  <c r="AL772" i="126"/>
  <c r="AK772" i="126"/>
  <c r="W772" i="126"/>
  <c r="AO772" i="126" s="1"/>
  <c r="T772" i="126"/>
  <c r="AN772" i="126" s="1"/>
  <c r="AL771" i="126"/>
  <c r="AK771" i="126"/>
  <c r="W771" i="126"/>
  <c r="AO771" i="126" s="1"/>
  <c r="T771" i="126"/>
  <c r="P771" i="126" s="1"/>
  <c r="AC770" i="126"/>
  <c r="AB770" i="126"/>
  <c r="AA770" i="126"/>
  <c r="Z770" i="126"/>
  <c r="Y770" i="126"/>
  <c r="X770" i="126"/>
  <c r="V770" i="126"/>
  <c r="S770" i="126"/>
  <c r="R770" i="126"/>
  <c r="Q770" i="126"/>
  <c r="O770" i="126"/>
  <c r="N770" i="126"/>
  <c r="M770" i="126"/>
  <c r="L770" i="126"/>
  <c r="K770" i="126"/>
  <c r="J770" i="126"/>
  <c r="AK769" i="126"/>
  <c r="AD765" i="126"/>
  <c r="AD764" i="126" s="1"/>
  <c r="W769" i="126"/>
  <c r="AO769" i="126" s="1"/>
  <c r="T769" i="126"/>
  <c r="AN769" i="126" s="1"/>
  <c r="S769" i="126"/>
  <c r="M769" i="126"/>
  <c r="AL769" i="126" s="1"/>
  <c r="AO768" i="126"/>
  <c r="AN768" i="126"/>
  <c r="M768" i="126"/>
  <c r="AL768" i="126" s="1"/>
  <c r="L768" i="126"/>
  <c r="W767" i="126"/>
  <c r="T767" i="126"/>
  <c r="AN767" i="126" s="1"/>
  <c r="O766" i="126"/>
  <c r="K766" i="126"/>
  <c r="AB766" i="126"/>
  <c r="AB765" i="126" s="1"/>
  <c r="AB764" i="126" s="1"/>
  <c r="AA766" i="126"/>
  <c r="Z766" i="126"/>
  <c r="Y766" i="126"/>
  <c r="X766" i="126"/>
  <c r="X765" i="126" s="1"/>
  <c r="V766" i="126"/>
  <c r="U766" i="126"/>
  <c r="D766" i="126"/>
  <c r="D765" i="126" s="1"/>
  <c r="D764" i="126" s="1"/>
  <c r="R764" i="126"/>
  <c r="Q764" i="126"/>
  <c r="AO762" i="126"/>
  <c r="AL762" i="126"/>
  <c r="AK762" i="126"/>
  <c r="U762" i="126"/>
  <c r="AO761" i="126"/>
  <c r="AL761" i="126"/>
  <c r="AK761" i="126"/>
  <c r="T761" i="126"/>
  <c r="AL760" i="126"/>
  <c r="AK760" i="126"/>
  <c r="W760" i="126"/>
  <c r="T760" i="126"/>
  <c r="AB759" i="126"/>
  <c r="AB756" i="126" s="1"/>
  <c r="AA759" i="126"/>
  <c r="Z759" i="126"/>
  <c r="Z756" i="126" s="1"/>
  <c r="Y759" i="126"/>
  <c r="X759" i="126"/>
  <c r="V759" i="126"/>
  <c r="V756" i="126" s="1"/>
  <c r="S759" i="126"/>
  <c r="R759" i="126"/>
  <c r="Q759" i="126"/>
  <c r="O759" i="126"/>
  <c r="N759" i="126"/>
  <c r="N756" i="126" s="1"/>
  <c r="M759" i="126"/>
  <c r="L759" i="126"/>
  <c r="K759" i="126"/>
  <c r="J759" i="126"/>
  <c r="J756" i="126" s="1"/>
  <c r="AK758" i="126"/>
  <c r="W758" i="126"/>
  <c r="AO758" i="126" s="1"/>
  <c r="T758" i="126"/>
  <c r="AN758" i="126" s="1"/>
  <c r="S758" i="126"/>
  <c r="M758" i="126"/>
  <c r="W757" i="126"/>
  <c r="AO757" i="126" s="1"/>
  <c r="T757" i="126"/>
  <c r="AN757" i="126" s="1"/>
  <c r="S757" i="126"/>
  <c r="M757" i="126"/>
  <c r="L757" i="126"/>
  <c r="L756" i="126" s="1"/>
  <c r="AD756" i="126"/>
  <c r="AC756" i="126"/>
  <c r="D756" i="126"/>
  <c r="AL755" i="126"/>
  <c r="AK755" i="126"/>
  <c r="W755" i="126"/>
  <c r="AO755" i="126" s="1"/>
  <c r="T755" i="126"/>
  <c r="P755" i="126" s="1"/>
  <c r="AM755" i="126" s="1"/>
  <c r="AL754" i="126"/>
  <c r="AK754" i="126"/>
  <c r="W754" i="126"/>
  <c r="AO754" i="126" s="1"/>
  <c r="T754" i="126"/>
  <c r="AL753" i="126"/>
  <c r="AK753" i="126"/>
  <c r="W753" i="126"/>
  <c r="AO753" i="126" s="1"/>
  <c r="T753" i="126"/>
  <c r="AN753" i="126" s="1"/>
  <c r="AL752" i="126"/>
  <c r="AK752" i="126"/>
  <c r="W752" i="126"/>
  <c r="AO752" i="126" s="1"/>
  <c r="T752" i="126"/>
  <c r="AL751" i="126"/>
  <c r="AK751" i="126"/>
  <c r="W751" i="126"/>
  <c r="AO751" i="126" s="1"/>
  <c r="T751" i="126"/>
  <c r="AL750" i="126"/>
  <c r="AK750" i="126"/>
  <c r="W750" i="126"/>
  <c r="AO750" i="126" s="1"/>
  <c r="T750" i="126"/>
  <c r="AN750" i="126" s="1"/>
  <c r="AL749" i="126"/>
  <c r="AK749" i="126"/>
  <c r="W749" i="126"/>
  <c r="AO749" i="126" s="1"/>
  <c r="T749" i="126"/>
  <c r="AN749" i="126" s="1"/>
  <c r="AL748" i="126"/>
  <c r="AK748" i="126"/>
  <c r="W748" i="126"/>
  <c r="AO748" i="126" s="1"/>
  <c r="T748" i="126"/>
  <c r="AN748" i="126" s="1"/>
  <c r="AL747" i="126"/>
  <c r="AK747" i="126"/>
  <c r="Z747" i="126"/>
  <c r="Z740" i="126" s="1"/>
  <c r="T747" i="126"/>
  <c r="P747" i="126" s="1"/>
  <c r="AM747" i="126" s="1"/>
  <c r="AL746" i="126"/>
  <c r="AK746" i="126"/>
  <c r="W746" i="126"/>
  <c r="AO746" i="126" s="1"/>
  <c r="T746" i="126"/>
  <c r="AL745" i="126"/>
  <c r="AK745" i="126"/>
  <c r="W745" i="126"/>
  <c r="AO745" i="126" s="1"/>
  <c r="T745" i="126"/>
  <c r="AN745" i="126" s="1"/>
  <c r="AL744" i="126"/>
  <c r="AK744" i="126"/>
  <c r="W744" i="126"/>
  <c r="AO744" i="126" s="1"/>
  <c r="T744" i="126"/>
  <c r="AL743" i="126"/>
  <c r="AK743" i="126"/>
  <c r="W743" i="126"/>
  <c r="AO743" i="126" s="1"/>
  <c r="T743" i="126"/>
  <c r="AL742" i="126"/>
  <c r="AK742" i="126"/>
  <c r="W742" i="126"/>
  <c r="AO742" i="126" s="1"/>
  <c r="T742" i="126"/>
  <c r="AL741" i="126"/>
  <c r="AK741" i="126"/>
  <c r="W741" i="126"/>
  <c r="AO741" i="126" s="1"/>
  <c r="T741" i="126"/>
  <c r="AC740" i="126"/>
  <c r="AB740" i="126"/>
  <c r="AA740" i="126"/>
  <c r="Y740" i="126"/>
  <c r="X740" i="126"/>
  <c r="V740" i="126"/>
  <c r="U740" i="126"/>
  <c r="S740" i="126"/>
  <c r="R740" i="126"/>
  <c r="Q740" i="126"/>
  <c r="O740" i="126"/>
  <c r="N740" i="126"/>
  <c r="M740" i="126"/>
  <c r="L740" i="126"/>
  <c r="K740" i="126"/>
  <c r="J740" i="126"/>
  <c r="AC738" i="126"/>
  <c r="W739" i="126"/>
  <c r="W738" i="126" s="1"/>
  <c r="T739" i="126"/>
  <c r="T738" i="126" s="1"/>
  <c r="M739" i="126"/>
  <c r="AD738" i="126"/>
  <c r="AD737" i="126" s="1"/>
  <c r="AB738" i="126"/>
  <c r="AB737" i="126" s="1"/>
  <c r="AA738" i="126"/>
  <c r="Z738" i="126"/>
  <c r="V738" i="126"/>
  <c r="U738" i="126"/>
  <c r="O738" i="126"/>
  <c r="O737" i="126" s="1"/>
  <c r="N738" i="126"/>
  <c r="N737" i="126" s="1"/>
  <c r="K738" i="126"/>
  <c r="D738" i="126"/>
  <c r="D737" i="126" s="1"/>
  <c r="AA737" i="126"/>
  <c r="AO736" i="126"/>
  <c r="AL736" i="126"/>
  <c r="AK736" i="126"/>
  <c r="T736" i="126"/>
  <c r="AN736" i="126" s="1"/>
  <c r="AO735" i="126"/>
  <c r="AL735" i="126"/>
  <c r="AK735" i="126"/>
  <c r="T735" i="126"/>
  <c r="AO734" i="126"/>
  <c r="AL734" i="126"/>
  <c r="AK734" i="126"/>
  <c r="T734" i="126"/>
  <c r="P734" i="126" s="1"/>
  <c r="AO733" i="126"/>
  <c r="AL733" i="126"/>
  <c r="AK733" i="126"/>
  <c r="AL732" i="126"/>
  <c r="AK732" i="126"/>
  <c r="W732" i="126"/>
  <c r="AO732" i="126" s="1"/>
  <c r="AO731" i="126"/>
  <c r="AL731" i="126"/>
  <c r="AK731" i="126"/>
  <c r="T731" i="126"/>
  <c r="AN731" i="126" s="1"/>
  <c r="AC730" i="126"/>
  <c r="AB730" i="126"/>
  <c r="AB727" i="126" s="1"/>
  <c r="AA730" i="126"/>
  <c r="AA727" i="126" s="1"/>
  <c r="Z730" i="126"/>
  <c r="Z727" i="126" s="1"/>
  <c r="Y730" i="126"/>
  <c r="X730" i="126"/>
  <c r="V730" i="126"/>
  <c r="V727" i="126" s="1"/>
  <c r="U730" i="126"/>
  <c r="U727" i="126" s="1"/>
  <c r="S730" i="126"/>
  <c r="R730" i="126"/>
  <c r="Q730" i="126"/>
  <c r="O730" i="126"/>
  <c r="N730" i="126"/>
  <c r="N727" i="126" s="1"/>
  <c r="M730" i="126"/>
  <c r="L730" i="126"/>
  <c r="K730" i="126"/>
  <c r="J730" i="126"/>
  <c r="J727" i="126" s="1"/>
  <c r="AK729" i="126"/>
  <c r="W729" i="126"/>
  <c r="AO729" i="126" s="1"/>
  <c r="T729" i="126"/>
  <c r="AN729" i="126" s="1"/>
  <c r="S729" i="126"/>
  <c r="M729" i="126"/>
  <c r="AL729" i="126" s="1"/>
  <c r="W728" i="126"/>
  <c r="AO728" i="126" s="1"/>
  <c r="T728" i="126"/>
  <c r="AN728" i="126" s="1"/>
  <c r="S728" i="126"/>
  <c r="M728" i="126"/>
  <c r="AL728" i="126" s="1"/>
  <c r="L728" i="126"/>
  <c r="AK728" i="126" s="1"/>
  <c r="AD727" i="126"/>
  <c r="AC727" i="126"/>
  <c r="O727" i="126"/>
  <c r="K727" i="126"/>
  <c r="D727" i="126"/>
  <c r="D726" i="126" s="1"/>
  <c r="AL725" i="126"/>
  <c r="AK725" i="126"/>
  <c r="W725" i="126"/>
  <c r="AO725" i="126" s="1"/>
  <c r="U725" i="126"/>
  <c r="T725" i="126" s="1"/>
  <c r="AL724" i="126"/>
  <c r="AK724" i="126"/>
  <c r="W724" i="126"/>
  <c r="AO724" i="126" s="1"/>
  <c r="U724" i="126"/>
  <c r="T724" i="126" s="1"/>
  <c r="AO723" i="126"/>
  <c r="AL723" i="126"/>
  <c r="AK723" i="126"/>
  <c r="T723" i="126"/>
  <c r="AO722" i="126"/>
  <c r="AL722" i="126"/>
  <c r="AK722" i="126"/>
  <c r="T722" i="126"/>
  <c r="AN722" i="126" s="1"/>
  <c r="AC721" i="126"/>
  <c r="AC718" i="126" s="1"/>
  <c r="AC717" i="126" s="1"/>
  <c r="AB721" i="126"/>
  <c r="AB718" i="126" s="1"/>
  <c r="AB717" i="126" s="1"/>
  <c r="AA721" i="126"/>
  <c r="AA718" i="126" s="1"/>
  <c r="Z721" i="126"/>
  <c r="Z718" i="126" s="1"/>
  <c r="Z717" i="126" s="1"/>
  <c r="Y721" i="126"/>
  <c r="X721" i="126"/>
  <c r="W721" i="126"/>
  <c r="V721" i="126"/>
  <c r="V718" i="126" s="1"/>
  <c r="U721" i="126"/>
  <c r="U718" i="126" s="1"/>
  <c r="U717" i="126" s="1"/>
  <c r="S721" i="126"/>
  <c r="R721" i="126"/>
  <c r="Q721" i="126"/>
  <c r="O721" i="126"/>
  <c r="O718" i="126" s="1"/>
  <c r="O717" i="126" s="1"/>
  <c r="N721" i="126"/>
  <c r="N718" i="126" s="1"/>
  <c r="N717" i="126" s="1"/>
  <c r="M721" i="126"/>
  <c r="L721" i="126"/>
  <c r="K721" i="126"/>
  <c r="K718" i="126" s="1"/>
  <c r="K717" i="126" s="1"/>
  <c r="J721" i="126"/>
  <c r="J718" i="126" s="1"/>
  <c r="J717" i="126" s="1"/>
  <c r="AK720" i="126"/>
  <c r="W720" i="126"/>
  <c r="AO720" i="126" s="1"/>
  <c r="T720" i="126"/>
  <c r="AN720" i="126" s="1"/>
  <c r="S720" i="126"/>
  <c r="M720" i="126"/>
  <c r="AL720" i="126" s="1"/>
  <c r="W719" i="126"/>
  <c r="AO719" i="126" s="1"/>
  <c r="T719" i="126"/>
  <c r="AN719" i="126" s="1"/>
  <c r="M719" i="126"/>
  <c r="AL719" i="126" s="1"/>
  <c r="L719" i="126"/>
  <c r="AD718" i="126"/>
  <c r="AD717" i="126" s="1"/>
  <c r="D718" i="126"/>
  <c r="D717" i="126" s="1"/>
  <c r="AA717" i="126"/>
  <c r="V717" i="126"/>
  <c r="R717" i="126"/>
  <c r="Q717" i="126"/>
  <c r="AO716" i="126"/>
  <c r="AL716" i="126"/>
  <c r="AK716" i="126"/>
  <c r="T716" i="126"/>
  <c r="AO715" i="126"/>
  <c r="AL715" i="126"/>
  <c r="AK715" i="126"/>
  <c r="T715" i="126"/>
  <c r="AN715" i="126" s="1"/>
  <c r="AO714" i="126"/>
  <c r="AL714" i="126"/>
  <c r="AK714" i="126"/>
  <c r="T714" i="126"/>
  <c r="AO713" i="126"/>
  <c r="AL713" i="126"/>
  <c r="AK713" i="126"/>
  <c r="T713" i="126"/>
  <c r="AN713" i="126" s="1"/>
  <c r="AO712" i="126"/>
  <c r="AL712" i="126"/>
  <c r="AK712" i="126"/>
  <c r="T712" i="126"/>
  <c r="AN712" i="126" s="1"/>
  <c r="AO711" i="126"/>
  <c r="AL711" i="126"/>
  <c r="AK711" i="126"/>
  <c r="U711" i="126"/>
  <c r="U709" i="126" s="1"/>
  <c r="AL710" i="126"/>
  <c r="AK710" i="126"/>
  <c r="W710" i="126"/>
  <c r="AO710" i="126" s="1"/>
  <c r="T710" i="126"/>
  <c r="P710" i="126" s="1"/>
  <c r="AO709" i="126"/>
  <c r="S709" i="126"/>
  <c r="R709" i="126"/>
  <c r="R708" i="126" s="1"/>
  <c r="Q709" i="126"/>
  <c r="Q708" i="126" s="1"/>
  <c r="O709" i="126"/>
  <c r="O708" i="126" s="1"/>
  <c r="O705" i="126" s="1"/>
  <c r="N709" i="126"/>
  <c r="N708" i="126" s="1"/>
  <c r="N705" i="126" s="1"/>
  <c r="M709" i="126"/>
  <c r="M708" i="126" s="1"/>
  <c r="L709" i="126"/>
  <c r="L708" i="126" s="1"/>
  <c r="K709" i="126"/>
  <c r="J709" i="126"/>
  <c r="AB708" i="126"/>
  <c r="AB705" i="126" s="1"/>
  <c r="AA708" i="126"/>
  <c r="AA705" i="126" s="1"/>
  <c r="Z708" i="126"/>
  <c r="Y708" i="126"/>
  <c r="X708" i="126"/>
  <c r="W708" i="126"/>
  <c r="V708" i="126"/>
  <c r="V705" i="126" s="1"/>
  <c r="K708" i="126"/>
  <c r="K705" i="126" s="1"/>
  <c r="AK707" i="126"/>
  <c r="W707" i="126"/>
  <c r="AO707" i="126" s="1"/>
  <c r="T707" i="126"/>
  <c r="AN707" i="126" s="1"/>
  <c r="S707" i="126"/>
  <c r="M707" i="126"/>
  <c r="AL707" i="126" s="1"/>
  <c r="W706" i="126"/>
  <c r="AO706" i="126" s="1"/>
  <c r="T706" i="126"/>
  <c r="AN706" i="126" s="1"/>
  <c r="M706" i="126"/>
  <c r="AL706" i="126" s="1"/>
  <c r="L706" i="126"/>
  <c r="AD705" i="126"/>
  <c r="AC705" i="126"/>
  <c r="Z705" i="126"/>
  <c r="D705" i="126"/>
  <c r="AL704" i="126"/>
  <c r="AK704" i="126"/>
  <c r="W704" i="126"/>
  <c r="AO704" i="126" s="1"/>
  <c r="AL703" i="126"/>
  <c r="AK703" i="126"/>
  <c r="AD702" i="126"/>
  <c r="W703" i="126"/>
  <c r="T703" i="126"/>
  <c r="P703" i="126" s="1"/>
  <c r="AC702" i="126"/>
  <c r="AB702" i="126"/>
  <c r="AA702" i="126"/>
  <c r="Z702" i="126"/>
  <c r="Y702" i="126"/>
  <c r="X702" i="126"/>
  <c r="V702" i="126"/>
  <c r="U702" i="126"/>
  <c r="S702" i="126"/>
  <c r="R702" i="126"/>
  <c r="Q702" i="126"/>
  <c r="O702" i="126"/>
  <c r="N702" i="126"/>
  <c r="M702" i="126"/>
  <c r="L702" i="126"/>
  <c r="K702" i="126"/>
  <c r="J702" i="126"/>
  <c r="AL701" i="126"/>
  <c r="AK701" i="126"/>
  <c r="W701" i="126"/>
  <c r="AO701" i="126" s="1"/>
  <c r="T701" i="126"/>
  <c r="AN701" i="126" s="1"/>
  <c r="AL700" i="126"/>
  <c r="AK700" i="126"/>
  <c r="W700" i="126"/>
  <c r="T700" i="126"/>
  <c r="T699" i="126" s="1"/>
  <c r="AB699" i="126"/>
  <c r="Z699" i="126"/>
  <c r="Y699" i="126"/>
  <c r="X699" i="126"/>
  <c r="V699" i="126"/>
  <c r="U699" i="126"/>
  <c r="S699" i="126"/>
  <c r="R699" i="126"/>
  <c r="Q699" i="126"/>
  <c r="O699" i="126"/>
  <c r="N699" i="126"/>
  <c r="M699" i="126"/>
  <c r="L699" i="126"/>
  <c r="K699" i="126"/>
  <c r="J699" i="126"/>
  <c r="T698" i="126"/>
  <c r="P698" i="126" s="1"/>
  <c r="I698" i="126" s="1"/>
  <c r="H698" i="126" s="1"/>
  <c r="F698" i="126" s="1"/>
  <c r="AO697" i="126"/>
  <c r="AL697" i="126"/>
  <c r="AK697" i="126"/>
  <c r="T697" i="126"/>
  <c r="AN697" i="126" s="1"/>
  <c r="AD696" i="126"/>
  <c r="AC696" i="126"/>
  <c r="AB696" i="126"/>
  <c r="AB693" i="126" s="1"/>
  <c r="AA696" i="126"/>
  <c r="AA693" i="126" s="1"/>
  <c r="Z696" i="126"/>
  <c r="Z693" i="126" s="1"/>
  <c r="Y696" i="126"/>
  <c r="X696" i="126"/>
  <c r="W696" i="126"/>
  <c r="V696" i="126"/>
  <c r="V693" i="126" s="1"/>
  <c r="U696" i="126"/>
  <c r="U693" i="126" s="1"/>
  <c r="S696" i="126"/>
  <c r="R696" i="126"/>
  <c r="Q696" i="126"/>
  <c r="O696" i="126"/>
  <c r="N696" i="126"/>
  <c r="M696" i="126"/>
  <c r="L696" i="126"/>
  <c r="K696" i="126"/>
  <c r="K693" i="126" s="1"/>
  <c r="J696" i="126"/>
  <c r="AK695" i="126"/>
  <c r="W695" i="126"/>
  <c r="AO695" i="126" s="1"/>
  <c r="T695" i="126"/>
  <c r="AN695" i="126" s="1"/>
  <c r="S695" i="126"/>
  <c r="M695" i="126"/>
  <c r="AL695" i="126" s="1"/>
  <c r="W694" i="126"/>
  <c r="T694" i="126"/>
  <c r="M694" i="126"/>
  <c r="O693" i="126"/>
  <c r="D693" i="126"/>
  <c r="D692" i="126" s="1"/>
  <c r="AN691" i="126"/>
  <c r="AM691" i="126"/>
  <c r="AL691" i="126"/>
  <c r="AK691" i="126"/>
  <c r="AJ691" i="126"/>
  <c r="W691" i="126"/>
  <c r="AN690" i="126"/>
  <c r="AM690" i="126"/>
  <c r="AL690" i="126"/>
  <c r="AK690" i="126"/>
  <c r="AJ690" i="126"/>
  <c r="W690" i="126"/>
  <c r="AN689" i="126"/>
  <c r="AM689" i="126"/>
  <c r="AL689" i="126"/>
  <c r="AK689" i="126"/>
  <c r="AJ689" i="126"/>
  <c r="W689" i="126"/>
  <c r="AO689" i="126" s="1"/>
  <c r="AN688" i="126"/>
  <c r="AL688" i="126"/>
  <c r="AK688" i="126"/>
  <c r="W688" i="126"/>
  <c r="AO688" i="126" s="1"/>
  <c r="P688" i="126"/>
  <c r="AM688" i="126" s="1"/>
  <c r="AN687" i="126"/>
  <c r="AL687" i="126"/>
  <c r="AK687" i="126"/>
  <c r="W687" i="126"/>
  <c r="AO687" i="126" s="1"/>
  <c r="P687" i="126"/>
  <c r="AN686" i="126"/>
  <c r="AL686" i="126"/>
  <c r="AK686" i="126"/>
  <c r="Z686" i="126"/>
  <c r="W686" i="126" s="1"/>
  <c r="AO686" i="126" s="1"/>
  <c r="P686" i="126"/>
  <c r="I686" i="126" s="1"/>
  <c r="AJ686" i="126" s="1"/>
  <c r="AB685" i="126"/>
  <c r="AA685" i="126"/>
  <c r="Y685" i="126"/>
  <c r="X685" i="126"/>
  <c r="V685" i="126"/>
  <c r="U685" i="126"/>
  <c r="T685" i="126"/>
  <c r="S685" i="126"/>
  <c r="R685" i="126"/>
  <c r="Q685" i="126"/>
  <c r="O685" i="126"/>
  <c r="N685" i="126"/>
  <c r="M685" i="126"/>
  <c r="L685" i="126"/>
  <c r="K685" i="126"/>
  <c r="J685" i="126"/>
  <c r="AO684" i="126"/>
  <c r="AN684" i="126"/>
  <c r="AM684" i="126"/>
  <c r="AL684" i="126"/>
  <c r="AK684" i="126"/>
  <c r="AJ684" i="126"/>
  <c r="AI684" i="126"/>
  <c r="AH684" i="126"/>
  <c r="E684" i="126"/>
  <c r="AK683" i="126"/>
  <c r="W683" i="126"/>
  <c r="AO683" i="126" s="1"/>
  <c r="T683" i="126"/>
  <c r="S683" i="126"/>
  <c r="M683" i="126"/>
  <c r="AL683" i="126" s="1"/>
  <c r="AD681" i="126"/>
  <c r="AD680" i="126" s="1"/>
  <c r="W682" i="126"/>
  <c r="AO682" i="126" s="1"/>
  <c r="T682" i="126"/>
  <c r="AN682" i="126" s="1"/>
  <c r="S682" i="126"/>
  <c r="O681" i="126"/>
  <c r="K681" i="126"/>
  <c r="AC681" i="126"/>
  <c r="AC680" i="126" s="1"/>
  <c r="AB681" i="126"/>
  <c r="AA681" i="126"/>
  <c r="Z681" i="126"/>
  <c r="V681" i="126"/>
  <c r="U681" i="126"/>
  <c r="N681" i="126"/>
  <c r="J681" i="126"/>
  <c r="J680" i="126" s="1"/>
  <c r="D681" i="126"/>
  <c r="D680" i="126" s="1"/>
  <c r="W679" i="126"/>
  <c r="I679" i="126"/>
  <c r="AL678" i="126"/>
  <c r="AK678" i="126"/>
  <c r="W678" i="126"/>
  <c r="AO678" i="126" s="1"/>
  <c r="T678" i="126"/>
  <c r="AN678" i="126" s="1"/>
  <c r="AL677" i="126"/>
  <c r="AK677" i="126"/>
  <c r="W677" i="126"/>
  <c r="AO677" i="126" s="1"/>
  <c r="T677" i="126"/>
  <c r="P677" i="126" s="1"/>
  <c r="AL676" i="126"/>
  <c r="AK676" i="126"/>
  <c r="W676" i="126"/>
  <c r="AO676" i="126" s="1"/>
  <c r="T676" i="126"/>
  <c r="AN676" i="126" s="1"/>
  <c r="AN675" i="126"/>
  <c r="AM675" i="126"/>
  <c r="AL675" i="126"/>
  <c r="AK675" i="126"/>
  <c r="AJ675" i="126"/>
  <c r="Z675" i="126"/>
  <c r="W675" i="126" s="1"/>
  <c r="H675" i="126" s="1"/>
  <c r="AN674" i="126"/>
  <c r="AM674" i="126"/>
  <c r="AL674" i="126"/>
  <c r="AK674" i="126"/>
  <c r="AJ674" i="126"/>
  <c r="AN673" i="126"/>
  <c r="AM673" i="126"/>
  <c r="AL673" i="126"/>
  <c r="AK673" i="126"/>
  <c r="AJ673" i="126"/>
  <c r="Z673" i="126"/>
  <c r="AN672" i="126"/>
  <c r="AM672" i="126"/>
  <c r="AL672" i="126"/>
  <c r="AK672" i="126"/>
  <c r="AJ672" i="126"/>
  <c r="Z672" i="126"/>
  <c r="W672" i="126" s="1"/>
  <c r="G672" i="126"/>
  <c r="E672" i="126"/>
  <c r="AG672" i="126" s="1"/>
  <c r="AN671" i="126"/>
  <c r="AM671" i="126"/>
  <c r="AL671" i="126"/>
  <c r="AK671" i="126"/>
  <c r="AJ671" i="126"/>
  <c r="Z671" i="126"/>
  <c r="G671" i="126"/>
  <c r="E671" i="126"/>
  <c r="AG671" i="126" s="1"/>
  <c r="AN670" i="126"/>
  <c r="AM670" i="126"/>
  <c r="AL670" i="126"/>
  <c r="AK670" i="126"/>
  <c r="AJ670" i="126"/>
  <c r="Z670" i="126"/>
  <c r="W670" i="126" s="1"/>
  <c r="G670" i="126"/>
  <c r="E670" i="126"/>
  <c r="AG670" i="126" s="1"/>
  <c r="AN669" i="126"/>
  <c r="AM669" i="126"/>
  <c r="AL669" i="126"/>
  <c r="AK669" i="126"/>
  <c r="AJ669" i="126"/>
  <c r="Z669" i="126"/>
  <c r="W669" i="126" s="1"/>
  <c r="G669" i="126"/>
  <c r="E669" i="126"/>
  <c r="AG669" i="126" s="1"/>
  <c r="AN668" i="126"/>
  <c r="AM668" i="126"/>
  <c r="AL668" i="126"/>
  <c r="AK668" i="126"/>
  <c r="AJ668" i="126"/>
  <c r="Z668" i="126"/>
  <c r="W668" i="126" s="1"/>
  <c r="G668" i="126"/>
  <c r="E668" i="126"/>
  <c r="AG668" i="126" s="1"/>
  <c r="AN667" i="126"/>
  <c r="AM667" i="126"/>
  <c r="AL667" i="126"/>
  <c r="AK667" i="126"/>
  <c r="AJ667" i="126"/>
  <c r="Z667" i="126"/>
  <c r="W667" i="126" s="1"/>
  <c r="H667" i="126" s="1"/>
  <c r="G667" i="126"/>
  <c r="E667" i="126"/>
  <c r="AG667" i="126" s="1"/>
  <c r="AD665" i="126"/>
  <c r="AA666" i="126"/>
  <c r="V666" i="126"/>
  <c r="V665" i="126" s="1"/>
  <c r="U666" i="126"/>
  <c r="U665" i="126" s="1"/>
  <c r="T666" i="126"/>
  <c r="S666" i="126"/>
  <c r="R666" i="126"/>
  <c r="R665" i="126" s="1"/>
  <c r="Q666" i="126"/>
  <c r="Q665" i="126" s="1"/>
  <c r="P666" i="126"/>
  <c r="O666" i="126"/>
  <c r="O665" i="126" s="1"/>
  <c r="N666" i="126"/>
  <c r="N665" i="126" s="1"/>
  <c r="M666" i="126"/>
  <c r="M665" i="126" s="1"/>
  <c r="L666" i="126"/>
  <c r="L665" i="126" s="1"/>
  <c r="K666" i="126"/>
  <c r="K665" i="126" s="1"/>
  <c r="J666" i="126"/>
  <c r="I666" i="126"/>
  <c r="AC665" i="126"/>
  <c r="AB665" i="126"/>
  <c r="Y665" i="126"/>
  <c r="X665" i="126"/>
  <c r="S665" i="126"/>
  <c r="AN664" i="126"/>
  <c r="AM664" i="126"/>
  <c r="AL664" i="126"/>
  <c r="AK664" i="126"/>
  <c r="AJ664" i="126"/>
  <c r="W664" i="126"/>
  <c r="AN663" i="126"/>
  <c r="AM663" i="126"/>
  <c r="AL663" i="126"/>
  <c r="AK663" i="126"/>
  <c r="AJ663" i="126"/>
  <c r="W663" i="126"/>
  <c r="H663" i="126" s="1"/>
  <c r="AN662" i="126"/>
  <c r="AM662" i="126"/>
  <c r="AL662" i="126"/>
  <c r="AK662" i="126"/>
  <c r="AJ662" i="126"/>
  <c r="W662" i="126"/>
  <c r="H662" i="126" s="1"/>
  <c r="AN661" i="126"/>
  <c r="AM661" i="126"/>
  <c r="AL661" i="126"/>
  <c r="AK661" i="126"/>
  <c r="AJ661" i="126"/>
  <c r="W661" i="126"/>
  <c r="AO661" i="126" s="1"/>
  <c r="AN660" i="126"/>
  <c r="AM660" i="126"/>
  <c r="AL660" i="126"/>
  <c r="AK660" i="126"/>
  <c r="AJ660" i="126"/>
  <c r="W660" i="126"/>
  <c r="H660" i="126" s="1"/>
  <c r="F660" i="126" s="1"/>
  <c r="AN659" i="126"/>
  <c r="AM659" i="126"/>
  <c r="AL659" i="126"/>
  <c r="AK659" i="126"/>
  <c r="AJ659" i="126"/>
  <c r="W659" i="126"/>
  <c r="H659" i="126" s="1"/>
  <c r="AN658" i="126"/>
  <c r="AM658" i="126"/>
  <c r="AL658" i="126"/>
  <c r="AK658" i="126"/>
  <c r="AJ658" i="126"/>
  <c r="W658" i="126"/>
  <c r="H658" i="126" s="1"/>
  <c r="AN657" i="126"/>
  <c r="AM657" i="126"/>
  <c r="AL657" i="126"/>
  <c r="AK657" i="126"/>
  <c r="AJ657" i="126"/>
  <c r="W657" i="126"/>
  <c r="AO657" i="126" s="1"/>
  <c r="AN656" i="126"/>
  <c r="AM656" i="126"/>
  <c r="AL656" i="126"/>
  <c r="AK656" i="126"/>
  <c r="AJ656" i="126"/>
  <c r="W656" i="126"/>
  <c r="AN655" i="126"/>
  <c r="AM655" i="126"/>
  <c r="AL655" i="126"/>
  <c r="AK655" i="126"/>
  <c r="AJ655" i="126"/>
  <c r="W655" i="126"/>
  <c r="AN654" i="126"/>
  <c r="AM654" i="126"/>
  <c r="AL654" i="126"/>
  <c r="AK654" i="126"/>
  <c r="AJ654" i="126"/>
  <c r="W654" i="126"/>
  <c r="AN653" i="126"/>
  <c r="AM653" i="126"/>
  <c r="AL653" i="126"/>
  <c r="AK653" i="126"/>
  <c r="AJ653" i="126"/>
  <c r="W653" i="126"/>
  <c r="AO653" i="126" s="1"/>
  <c r="AN652" i="126"/>
  <c r="AM652" i="126"/>
  <c r="AL652" i="126"/>
  <c r="AK652" i="126"/>
  <c r="AJ652" i="126"/>
  <c r="AN651" i="126"/>
  <c r="AM651" i="126"/>
  <c r="AL651" i="126"/>
  <c r="AK651" i="126"/>
  <c r="AJ651" i="126"/>
  <c r="AA645" i="126"/>
  <c r="W651" i="126"/>
  <c r="AO651" i="126" s="1"/>
  <c r="AN650" i="126"/>
  <c r="AM650" i="126"/>
  <c r="AL650" i="126"/>
  <c r="AK650" i="126"/>
  <c r="AJ650" i="126"/>
  <c r="W650" i="126"/>
  <c r="AO650" i="126" s="1"/>
  <c r="AN649" i="126"/>
  <c r="AM649" i="126"/>
  <c r="AL649" i="126"/>
  <c r="AK649" i="126"/>
  <c r="AJ649" i="126"/>
  <c r="W649" i="126"/>
  <c r="AO649" i="126" s="1"/>
  <c r="AN648" i="126"/>
  <c r="AM648" i="126"/>
  <c r="AL648" i="126"/>
  <c r="AK648" i="126"/>
  <c r="AJ648" i="126"/>
  <c r="W648" i="126"/>
  <c r="H648" i="126" s="1"/>
  <c r="F648" i="126" s="1"/>
  <c r="AN647" i="126"/>
  <c r="AM647" i="126"/>
  <c r="AL647" i="126"/>
  <c r="AK647" i="126"/>
  <c r="AJ647" i="126"/>
  <c r="W647" i="126"/>
  <c r="H647" i="126" s="1"/>
  <c r="AN646" i="126"/>
  <c r="AM646" i="126"/>
  <c r="AL646" i="126"/>
  <c r="AK646" i="126"/>
  <c r="AJ646" i="126"/>
  <c r="W646" i="126"/>
  <c r="AB645" i="126"/>
  <c r="AB643" i="126" s="1"/>
  <c r="AB228" i="126" s="1"/>
  <c r="Z645" i="126"/>
  <c r="Z643" i="126" s="1"/>
  <c r="Y645" i="126"/>
  <c r="X645" i="126"/>
  <c r="X643" i="126" s="1"/>
  <c r="V645" i="126"/>
  <c r="V643" i="126" s="1"/>
  <c r="U645" i="126"/>
  <c r="U643" i="126" s="1"/>
  <c r="T645" i="126"/>
  <c r="S645" i="126"/>
  <c r="R645" i="126"/>
  <c r="Q645" i="126"/>
  <c r="P645" i="126"/>
  <c r="O645" i="126"/>
  <c r="O643" i="126" s="1"/>
  <c r="N645" i="126"/>
  <c r="N643" i="126" s="1"/>
  <c r="M645" i="126"/>
  <c r="L645" i="126"/>
  <c r="K645" i="126"/>
  <c r="J645" i="126"/>
  <c r="I645" i="126"/>
  <c r="W644" i="126"/>
  <c r="AO644" i="126" s="1"/>
  <c r="T644" i="126"/>
  <c r="AN644" i="126" s="1"/>
  <c r="S644" i="126"/>
  <c r="M644" i="126"/>
  <c r="AL644" i="126" s="1"/>
  <c r="L644" i="126"/>
  <c r="AK644" i="126" s="1"/>
  <c r="AD643" i="126"/>
  <c r="AC643" i="126"/>
  <c r="Y643" i="126"/>
  <c r="K643" i="126"/>
  <c r="J643" i="126"/>
  <c r="D643" i="126"/>
  <c r="AN642" i="126"/>
  <c r="AM642" i="126"/>
  <c r="AL642" i="126"/>
  <c r="AK642" i="126"/>
  <c r="AJ642" i="126"/>
  <c r="W642" i="126"/>
  <c r="AN641" i="126"/>
  <c r="AM641" i="126"/>
  <c r="AL641" i="126"/>
  <c r="AK641" i="126"/>
  <c r="AJ641" i="126"/>
  <c r="Z641" i="126"/>
  <c r="X641" i="126" s="1"/>
  <c r="AN640" i="126"/>
  <c r="AM640" i="126"/>
  <c r="AL640" i="126"/>
  <c r="AK640" i="126"/>
  <c r="AJ640" i="126"/>
  <c r="Z640" i="126"/>
  <c r="W640" i="126" s="1"/>
  <c r="AO640" i="126" s="1"/>
  <c r="AN639" i="126"/>
  <c r="AM639" i="126"/>
  <c r="AL639" i="126"/>
  <c r="AK639" i="126"/>
  <c r="AJ639" i="126"/>
  <c r="Z639" i="126"/>
  <c r="W639" i="126" s="1"/>
  <c r="AO639" i="126" s="1"/>
  <c r="AN638" i="126"/>
  <c r="AM638" i="126"/>
  <c r="AL638" i="126"/>
  <c r="AK638" i="126"/>
  <c r="AJ638" i="126"/>
  <c r="Z638" i="126"/>
  <c r="W638" i="126" s="1"/>
  <c r="AO638" i="126" s="1"/>
  <c r="AN637" i="126"/>
  <c r="AM637" i="126"/>
  <c r="AL637" i="126"/>
  <c r="AK637" i="126"/>
  <c r="AJ637" i="126"/>
  <c r="W637" i="126"/>
  <c r="AN636" i="126"/>
  <c r="AM636" i="126"/>
  <c r="AL636" i="126"/>
  <c r="AK636" i="126"/>
  <c r="AJ636" i="126"/>
  <c r="W636" i="126"/>
  <c r="H636" i="126" s="1"/>
  <c r="AA635" i="126"/>
  <c r="AA631" i="126" s="1"/>
  <c r="V635" i="126"/>
  <c r="U635" i="126"/>
  <c r="T635" i="126"/>
  <c r="S635" i="126"/>
  <c r="R635" i="126"/>
  <c r="Q635" i="126"/>
  <c r="P635" i="126"/>
  <c r="O635" i="126"/>
  <c r="N635" i="126"/>
  <c r="M635" i="126"/>
  <c r="L635" i="126"/>
  <c r="K635" i="126"/>
  <c r="J635" i="126"/>
  <c r="I635" i="126"/>
  <c r="AN634" i="126"/>
  <c r="AM634" i="126"/>
  <c r="AL634" i="126"/>
  <c r="AK634" i="126"/>
  <c r="AJ634" i="126"/>
  <c r="Z634" i="126"/>
  <c r="G634" i="126"/>
  <c r="E634" i="126"/>
  <c r="AG634" i="126" s="1"/>
  <c r="AN633" i="126"/>
  <c r="AM633" i="126"/>
  <c r="AL633" i="126"/>
  <c r="AK633" i="126"/>
  <c r="AJ633" i="126"/>
  <c r="W633" i="126"/>
  <c r="G633" i="126"/>
  <c r="E633" i="126"/>
  <c r="AP633" i="126" s="1"/>
  <c r="Y632" i="126"/>
  <c r="Y631" i="126" s="1"/>
  <c r="X632" i="126"/>
  <c r="X631" i="126" s="1"/>
  <c r="V632" i="126"/>
  <c r="U632" i="126"/>
  <c r="U631" i="126" s="1"/>
  <c r="T632" i="126"/>
  <c r="S632" i="126"/>
  <c r="S631" i="126" s="1"/>
  <c r="R632" i="126"/>
  <c r="Q632" i="126"/>
  <c r="P632" i="126"/>
  <c r="P631" i="126" s="1"/>
  <c r="O632" i="126"/>
  <c r="O631" i="126" s="1"/>
  <c r="N632" i="126"/>
  <c r="M632" i="126"/>
  <c r="L632" i="126"/>
  <c r="L631" i="126" s="1"/>
  <c r="K632" i="126"/>
  <c r="J632" i="126"/>
  <c r="I632" i="126"/>
  <c r="AD631" i="126"/>
  <c r="AC631" i="126"/>
  <c r="AB631" i="126"/>
  <c r="D631" i="126"/>
  <c r="AL630" i="126"/>
  <c r="AK630" i="126"/>
  <c r="W630" i="126"/>
  <c r="AO630" i="126" s="1"/>
  <c r="T630" i="126"/>
  <c r="P630" i="126" s="1"/>
  <c r="AL629" i="126"/>
  <c r="AK629" i="126"/>
  <c r="T629" i="126"/>
  <c r="AN629" i="126" s="1"/>
  <c r="AL628" i="126"/>
  <c r="AK628" i="126"/>
  <c r="AA626" i="126"/>
  <c r="T628" i="126"/>
  <c r="AN628" i="126" s="1"/>
  <c r="AL627" i="126"/>
  <c r="AK627" i="126"/>
  <c r="W627" i="126"/>
  <c r="AO627" i="126" s="1"/>
  <c r="T627" i="126"/>
  <c r="AN627" i="126" s="1"/>
  <c r="AL626" i="126"/>
  <c r="AK626" i="126"/>
  <c r="Z626" i="126"/>
  <c r="T626" i="126"/>
  <c r="P626" i="126" s="1"/>
  <c r="AO625" i="126"/>
  <c r="AN625" i="126"/>
  <c r="AD624" i="126"/>
  <c r="AB624" i="126"/>
  <c r="M625" i="126"/>
  <c r="AC624" i="126"/>
  <c r="V624" i="126"/>
  <c r="U624" i="126"/>
  <c r="O624" i="126"/>
  <c r="K624" i="126"/>
  <c r="D624" i="126"/>
  <c r="AL622" i="126"/>
  <c r="AK622" i="126"/>
  <c r="W622" i="126"/>
  <c r="AO622" i="126" s="1"/>
  <c r="T622" i="126"/>
  <c r="AN622" i="126" s="1"/>
  <c r="AL621" i="126"/>
  <c r="AK621" i="126"/>
  <c r="Z621" i="126"/>
  <c r="T621" i="126"/>
  <c r="AN621" i="126" s="1"/>
  <c r="AL620" i="126"/>
  <c r="AK620" i="126"/>
  <c r="W620" i="126"/>
  <c r="AO620" i="126" s="1"/>
  <c r="T620" i="126"/>
  <c r="AN620" i="126" s="1"/>
  <c r="AN619" i="126"/>
  <c r="AM619" i="126"/>
  <c r="AL619" i="126"/>
  <c r="AK619" i="126"/>
  <c r="AJ619" i="126"/>
  <c r="W619" i="126"/>
  <c r="H619" i="126" s="1"/>
  <c r="AE618" i="126"/>
  <c r="AD618" i="126"/>
  <c r="AC618" i="126"/>
  <c r="AB618" i="126"/>
  <c r="AA618" i="126"/>
  <c r="Z618" i="126"/>
  <c r="Y618" i="126"/>
  <c r="Y592" i="126" s="1"/>
  <c r="X618" i="126"/>
  <c r="X592" i="126" s="1"/>
  <c r="V618" i="126"/>
  <c r="U618" i="126"/>
  <c r="T618" i="126"/>
  <c r="S618" i="126"/>
  <c r="R618" i="126"/>
  <c r="R592" i="126" s="1"/>
  <c r="Q618" i="126"/>
  <c r="Q592" i="126" s="1"/>
  <c r="P618" i="126"/>
  <c r="O618" i="126"/>
  <c r="N618" i="126"/>
  <c r="M618" i="126"/>
  <c r="L618" i="126"/>
  <c r="K618" i="126"/>
  <c r="J618" i="126"/>
  <c r="I618" i="126"/>
  <c r="D618" i="126"/>
  <c r="AL617" i="126"/>
  <c r="AK617" i="126"/>
  <c r="W617" i="126"/>
  <c r="AO617" i="126" s="1"/>
  <c r="T617" i="126"/>
  <c r="AN617" i="126" s="1"/>
  <c r="AL616" i="126"/>
  <c r="AK616" i="126"/>
  <c r="W616" i="126"/>
  <c r="AO616" i="126" s="1"/>
  <c r="T616" i="126"/>
  <c r="P616" i="126" s="1"/>
  <c r="I616" i="126" s="1"/>
  <c r="AL615" i="126"/>
  <c r="AK615" i="126"/>
  <c r="W615" i="126"/>
  <c r="AO615" i="126" s="1"/>
  <c r="T615" i="126"/>
  <c r="AL614" i="126"/>
  <c r="AK614" i="126"/>
  <c r="W614" i="126"/>
  <c r="AO614" i="126" s="1"/>
  <c r="T614" i="126"/>
  <c r="P614" i="126" s="1"/>
  <c r="AL613" i="126"/>
  <c r="AK613" i="126"/>
  <c r="W613" i="126"/>
  <c r="AO613" i="126" s="1"/>
  <c r="U613" i="126"/>
  <c r="T613" i="126" s="1"/>
  <c r="D613" i="126"/>
  <c r="AL612" i="126"/>
  <c r="AK612" i="126"/>
  <c r="W612" i="126"/>
  <c r="AO612" i="126" s="1"/>
  <c r="U612" i="126"/>
  <c r="T612" i="126"/>
  <c r="AN612" i="126" s="1"/>
  <c r="D612" i="126"/>
  <c r="AL611" i="126"/>
  <c r="AK611" i="126"/>
  <c r="W611" i="126"/>
  <c r="AO611" i="126" s="1"/>
  <c r="T611" i="126"/>
  <c r="AN611" i="126" s="1"/>
  <c r="AL610" i="126"/>
  <c r="AK610" i="126"/>
  <c r="W610" i="126"/>
  <c r="AO610" i="126" s="1"/>
  <c r="T610" i="126"/>
  <c r="P610" i="126" s="1"/>
  <c r="AM610" i="126" s="1"/>
  <c r="AL609" i="126"/>
  <c r="AK609" i="126"/>
  <c r="W609" i="126"/>
  <c r="AO609" i="126" s="1"/>
  <c r="T609" i="126"/>
  <c r="P609" i="126" s="1"/>
  <c r="AL608" i="126"/>
  <c r="AK608" i="126"/>
  <c r="W608" i="126"/>
  <c r="AO608" i="126" s="1"/>
  <c r="T608" i="126"/>
  <c r="AN608" i="126" s="1"/>
  <c r="AL607" i="126"/>
  <c r="AK607" i="126"/>
  <c r="W607" i="126"/>
  <c r="AO607" i="126" s="1"/>
  <c r="T607" i="126"/>
  <c r="P607" i="126" s="1"/>
  <c r="AL606" i="126"/>
  <c r="AK606" i="126"/>
  <c r="W606" i="126"/>
  <c r="AO606" i="126" s="1"/>
  <c r="T606" i="126"/>
  <c r="AN606" i="126" s="1"/>
  <c r="AC605" i="126"/>
  <c r="AB605" i="126"/>
  <c r="AA605" i="126"/>
  <c r="Z605" i="126"/>
  <c r="Y605" i="126"/>
  <c r="X605" i="126"/>
  <c r="V605" i="126"/>
  <c r="U605" i="126"/>
  <c r="S605" i="126"/>
  <c r="R605" i="126"/>
  <c r="Q605" i="126"/>
  <c r="O605" i="126"/>
  <c r="N605" i="126"/>
  <c r="M605" i="126"/>
  <c r="L605" i="126"/>
  <c r="K605" i="126"/>
  <c r="J605" i="126"/>
  <c r="AL604" i="126"/>
  <c r="AK604" i="126"/>
  <c r="W604" i="126"/>
  <c r="AO604" i="126" s="1"/>
  <c r="T604" i="126"/>
  <c r="AN604" i="126" s="1"/>
  <c r="AL603" i="126"/>
  <c r="AK603" i="126"/>
  <c r="W603" i="126"/>
  <c r="AO603" i="126" s="1"/>
  <c r="T603" i="126"/>
  <c r="AN603" i="126" s="1"/>
  <c r="AL602" i="126"/>
  <c r="AK602" i="126"/>
  <c r="W602" i="126"/>
  <c r="AO602" i="126" s="1"/>
  <c r="T602" i="126"/>
  <c r="AN602" i="126" s="1"/>
  <c r="AL601" i="126"/>
  <c r="AK601" i="126"/>
  <c r="W601" i="126"/>
  <c r="AO601" i="126" s="1"/>
  <c r="U601" i="126"/>
  <c r="U600" i="126" s="1"/>
  <c r="AD600" i="126"/>
  <c r="AD599" i="126" s="1"/>
  <c r="AC600" i="126"/>
  <c r="AB600" i="126"/>
  <c r="AA600" i="126"/>
  <c r="Z600" i="126"/>
  <c r="Y600" i="126"/>
  <c r="X600" i="126"/>
  <c r="V600" i="126"/>
  <c r="S600" i="126"/>
  <c r="R600" i="126"/>
  <c r="R599" i="126" s="1"/>
  <c r="Q600" i="126"/>
  <c r="O600" i="126"/>
  <c r="N600" i="126"/>
  <c r="M600" i="126"/>
  <c r="L600" i="126"/>
  <c r="K600" i="126"/>
  <c r="J600" i="126"/>
  <c r="D599" i="126"/>
  <c r="AK598" i="126"/>
  <c r="W598" i="126"/>
  <c r="AO598" i="126" s="1"/>
  <c r="T598" i="126"/>
  <c r="T597" i="126" s="1"/>
  <c r="S598" i="126"/>
  <c r="S597" i="126" s="1"/>
  <c r="M598" i="126"/>
  <c r="AL598" i="126" s="1"/>
  <c r="AD597" i="126"/>
  <c r="AC597" i="126"/>
  <c r="AB597" i="126"/>
  <c r="AA597" i="126"/>
  <c r="Z597" i="126"/>
  <c r="V597" i="126"/>
  <c r="U597" i="126"/>
  <c r="R597" i="126"/>
  <c r="O597" i="126"/>
  <c r="N597" i="126"/>
  <c r="L597" i="126"/>
  <c r="K597" i="126"/>
  <c r="J597" i="126"/>
  <c r="W596" i="126"/>
  <c r="AO596" i="126" s="1"/>
  <c r="T596" i="126"/>
  <c r="AN596" i="126" s="1"/>
  <c r="S596" i="126"/>
  <c r="M596" i="126"/>
  <c r="AL596" i="126" s="1"/>
  <c r="L596" i="126"/>
  <c r="AK596" i="126" s="1"/>
  <c r="AC594" i="126"/>
  <c r="W595" i="126"/>
  <c r="T595" i="126"/>
  <c r="AN595" i="126" s="1"/>
  <c r="O594" i="126"/>
  <c r="M595" i="126"/>
  <c r="AL595" i="126" s="1"/>
  <c r="L595" i="126"/>
  <c r="AD594" i="126"/>
  <c r="AB594" i="126"/>
  <c r="AA594" i="126"/>
  <c r="Z594" i="126"/>
  <c r="Y594" i="126"/>
  <c r="X594" i="126"/>
  <c r="V594" i="126"/>
  <c r="U594" i="126"/>
  <c r="N594" i="126"/>
  <c r="K594" i="126"/>
  <c r="J594" i="126"/>
  <c r="D594" i="126"/>
  <c r="AN591" i="126"/>
  <c r="AM591" i="126"/>
  <c r="AL591" i="126"/>
  <c r="AK591" i="126"/>
  <c r="AJ591" i="126"/>
  <c r="AN590" i="126"/>
  <c r="AM590" i="126"/>
  <c r="AL590" i="126"/>
  <c r="AK590" i="126"/>
  <c r="AJ590" i="126"/>
  <c r="Z590" i="126"/>
  <c r="AL589" i="126"/>
  <c r="AK589" i="126"/>
  <c r="Z589" i="126"/>
  <c r="T589" i="126"/>
  <c r="AN589" i="126" s="1"/>
  <c r="AL588" i="126"/>
  <c r="AK588" i="126"/>
  <c r="W588" i="126"/>
  <c r="AO588" i="126" s="1"/>
  <c r="T588" i="126"/>
  <c r="AD587" i="126"/>
  <c r="AC587" i="126"/>
  <c r="AB587" i="126"/>
  <c r="AA587" i="126"/>
  <c r="Y587" i="126"/>
  <c r="Y576" i="126" s="1"/>
  <c r="X587" i="126"/>
  <c r="X576" i="126" s="1"/>
  <c r="V587" i="126"/>
  <c r="U587" i="126"/>
  <c r="S587" i="126"/>
  <c r="R587" i="126"/>
  <c r="R576" i="126" s="1"/>
  <c r="Q587" i="126"/>
  <c r="Q576" i="126" s="1"/>
  <c r="O587" i="126"/>
  <c r="N587" i="126"/>
  <c r="M587" i="126"/>
  <c r="L587" i="126"/>
  <c r="K587" i="126"/>
  <c r="J587" i="126"/>
  <c r="D587" i="126"/>
  <c r="AL586" i="126"/>
  <c r="AK586" i="126"/>
  <c r="W586" i="126"/>
  <c r="AO586" i="126" s="1"/>
  <c r="T586" i="126"/>
  <c r="AN586" i="126" s="1"/>
  <c r="AL585" i="126"/>
  <c r="AK585" i="126"/>
  <c r="W585" i="126"/>
  <c r="AO585" i="126" s="1"/>
  <c r="T585" i="126"/>
  <c r="P585" i="126" s="1"/>
  <c r="AB584" i="126"/>
  <c r="AA584" i="126"/>
  <c r="Z584" i="126"/>
  <c r="Y584" i="126"/>
  <c r="X584" i="126"/>
  <c r="V584" i="126"/>
  <c r="U584" i="126"/>
  <c r="S584" i="126"/>
  <c r="R584" i="126"/>
  <c r="Q584" i="126"/>
  <c r="O584" i="126"/>
  <c r="N584" i="126"/>
  <c r="M584" i="126"/>
  <c r="L584" i="126"/>
  <c r="K584" i="126"/>
  <c r="J584" i="126"/>
  <c r="AO583" i="126"/>
  <c r="AN583" i="126"/>
  <c r="AD582" i="126"/>
  <c r="AD581" i="126" s="1"/>
  <c r="AB582" i="126"/>
  <c r="M583" i="126"/>
  <c r="L583" i="126"/>
  <c r="L582" i="126" s="1"/>
  <c r="L581" i="126" s="1"/>
  <c r="AC582" i="126"/>
  <c r="AC581" i="126" s="1"/>
  <c r="AA582" i="126"/>
  <c r="Z582" i="126"/>
  <c r="W582" i="126"/>
  <c r="V582" i="126"/>
  <c r="U582" i="126"/>
  <c r="T582" i="126"/>
  <c r="O582" i="126"/>
  <c r="O581" i="126" s="1"/>
  <c r="K582" i="126"/>
  <c r="D582" i="126"/>
  <c r="D581" i="126" s="1"/>
  <c r="AO580" i="126"/>
  <c r="AN580" i="126"/>
  <c r="AM580" i="126"/>
  <c r="AL580" i="126"/>
  <c r="AK580" i="126"/>
  <c r="AJ580" i="126"/>
  <c r="AI580" i="126"/>
  <c r="AH580" i="126"/>
  <c r="E580" i="126"/>
  <c r="AG580" i="126" s="1"/>
  <c r="AK579" i="126"/>
  <c r="AD577" i="126"/>
  <c r="W579" i="126"/>
  <c r="T579" i="126"/>
  <c r="AN579" i="126" s="1"/>
  <c r="S579" i="126"/>
  <c r="M579" i="126"/>
  <c r="W578" i="126"/>
  <c r="AO578" i="126" s="1"/>
  <c r="T578" i="126"/>
  <c r="M578" i="126"/>
  <c r="L578" i="126"/>
  <c r="L577" i="126" s="1"/>
  <c r="AC577" i="126"/>
  <c r="AB577" i="126"/>
  <c r="AA577" i="126"/>
  <c r="Z577" i="126"/>
  <c r="V577" i="126"/>
  <c r="U577" i="126"/>
  <c r="O577" i="126"/>
  <c r="K577" i="126"/>
  <c r="D577" i="126"/>
  <c r="W575" i="126"/>
  <c r="H575" i="126" s="1"/>
  <c r="F575" i="126" s="1"/>
  <c r="AN574" i="126"/>
  <c r="AM574" i="126"/>
  <c r="AL574" i="126"/>
  <c r="AK574" i="126"/>
  <c r="AJ574" i="126"/>
  <c r="W574" i="126"/>
  <c r="H574" i="126" s="1"/>
  <c r="AN573" i="126"/>
  <c r="AM573" i="126"/>
  <c r="AL573" i="126"/>
  <c r="AK573" i="126"/>
  <c r="AJ573" i="126"/>
  <c r="W573" i="126"/>
  <c r="H573" i="126" s="1"/>
  <c r="AN572" i="126"/>
  <c r="AM572" i="126"/>
  <c r="AL572" i="126"/>
  <c r="AK572" i="126"/>
  <c r="AJ572" i="126"/>
  <c r="W572" i="126"/>
  <c r="H572" i="126" s="1"/>
  <c r="AN571" i="126"/>
  <c r="AM571" i="126"/>
  <c r="AL571" i="126"/>
  <c r="AK571" i="126"/>
  <c r="AJ571" i="126"/>
  <c r="AN570" i="126"/>
  <c r="AM570" i="126"/>
  <c r="AL570" i="126"/>
  <c r="AK570" i="126"/>
  <c r="AJ570" i="126"/>
  <c r="W570" i="126"/>
  <c r="AO570" i="126" s="1"/>
  <c r="AN569" i="126"/>
  <c r="AM569" i="126"/>
  <c r="AL569" i="126"/>
  <c r="AK569" i="126"/>
  <c r="AJ569" i="126"/>
  <c r="W569" i="126"/>
  <c r="AO569" i="126" s="1"/>
  <c r="AN568" i="126"/>
  <c r="AM568" i="126"/>
  <c r="AL568" i="126"/>
  <c r="AK568" i="126"/>
  <c r="AJ568" i="126"/>
  <c r="W568" i="126"/>
  <c r="AO568" i="126" s="1"/>
  <c r="AN567" i="126"/>
  <c r="AM567" i="126"/>
  <c r="AL567" i="126"/>
  <c r="AK567" i="126"/>
  <c r="AJ567" i="126"/>
  <c r="W567" i="126"/>
  <c r="AO567" i="126" s="1"/>
  <c r="AN566" i="126"/>
  <c r="AM566" i="126"/>
  <c r="AL566" i="126"/>
  <c r="AK566" i="126"/>
  <c r="AJ566" i="126"/>
  <c r="W566" i="126"/>
  <c r="AO566" i="126" s="1"/>
  <c r="AN565" i="126"/>
  <c r="AM565" i="126"/>
  <c r="AL565" i="126"/>
  <c r="AK565" i="126"/>
  <c r="AJ565" i="126"/>
  <c r="W565" i="126"/>
  <c r="AN564" i="126"/>
  <c r="AM564" i="126"/>
  <c r="AL564" i="126"/>
  <c r="AK564" i="126"/>
  <c r="AJ564" i="126"/>
  <c r="W564" i="126"/>
  <c r="AO564" i="126" s="1"/>
  <c r="AN563" i="126"/>
  <c r="AM563" i="126"/>
  <c r="AL563" i="126"/>
  <c r="AK563" i="126"/>
  <c r="AJ563" i="126"/>
  <c r="W563" i="126"/>
  <c r="AO563" i="126" s="1"/>
  <c r="AN562" i="126"/>
  <c r="AM562" i="126"/>
  <c r="AL562" i="126"/>
  <c r="AK562" i="126"/>
  <c r="AJ562" i="126"/>
  <c r="W562" i="126"/>
  <c r="AO562" i="126" s="1"/>
  <c r="AN561" i="126"/>
  <c r="AM561" i="126"/>
  <c r="AL561" i="126"/>
  <c r="AK561" i="126"/>
  <c r="AJ561" i="126"/>
  <c r="W561" i="126"/>
  <c r="H561" i="126" s="1"/>
  <c r="AI561" i="126" s="1"/>
  <c r="AN560" i="126"/>
  <c r="AM560" i="126"/>
  <c r="AL560" i="126"/>
  <c r="AK560" i="126"/>
  <c r="AJ560" i="126"/>
  <c r="W560" i="126"/>
  <c r="H560" i="126" s="1"/>
  <c r="AN559" i="126"/>
  <c r="AM559" i="126"/>
  <c r="AL559" i="126"/>
  <c r="AK559" i="126"/>
  <c r="AJ559" i="126"/>
  <c r="W559" i="126"/>
  <c r="AN558" i="126"/>
  <c r="AM558" i="126"/>
  <c r="AL558" i="126"/>
  <c r="AK558" i="126"/>
  <c r="AJ558" i="126"/>
  <c r="W558" i="126"/>
  <c r="AN557" i="126"/>
  <c r="AM557" i="126"/>
  <c r="AL557" i="126"/>
  <c r="AK557" i="126"/>
  <c r="AJ557" i="126"/>
  <c r="Z557" i="126"/>
  <c r="W557" i="126" s="1"/>
  <c r="AN556" i="126"/>
  <c r="AM556" i="126"/>
  <c r="AL556" i="126"/>
  <c r="AK556" i="126"/>
  <c r="AJ556" i="126"/>
  <c r="W556" i="126"/>
  <c r="AO556" i="126" s="1"/>
  <c r="AN555" i="126"/>
  <c r="AM555" i="126"/>
  <c r="AL555" i="126"/>
  <c r="AK555" i="126"/>
  <c r="AJ555" i="126"/>
  <c r="AN554" i="126"/>
  <c r="AM554" i="126"/>
  <c r="AL554" i="126"/>
  <c r="AK554" i="126"/>
  <c r="AJ554" i="126"/>
  <c r="Z554" i="126"/>
  <c r="W554" i="126" s="1"/>
  <c r="AN553" i="126"/>
  <c r="AM553" i="126"/>
  <c r="AL553" i="126"/>
  <c r="AK553" i="126"/>
  <c r="AJ553" i="126"/>
  <c r="W553" i="126"/>
  <c r="AO553" i="126" s="1"/>
  <c r="AN552" i="126"/>
  <c r="AM552" i="126"/>
  <c r="AL552" i="126"/>
  <c r="AK552" i="126"/>
  <c r="AJ552" i="126"/>
  <c r="AA548" i="126"/>
  <c r="Z552" i="126"/>
  <c r="W552" i="126" s="1"/>
  <c r="H552" i="126" s="1"/>
  <c r="AN551" i="126"/>
  <c r="AM551" i="126"/>
  <c r="AL551" i="126"/>
  <c r="AK551" i="126"/>
  <c r="AJ551" i="126"/>
  <c r="W551" i="126"/>
  <c r="AO551" i="126" s="1"/>
  <c r="AL550" i="126"/>
  <c r="AK550" i="126"/>
  <c r="Z550" i="126"/>
  <c r="W550" i="126" s="1"/>
  <c r="AO550" i="126" s="1"/>
  <c r="T550" i="126"/>
  <c r="AL549" i="126"/>
  <c r="AK549" i="126"/>
  <c r="Z549" i="126"/>
  <c r="W549" i="126" s="1"/>
  <c r="AO549" i="126" s="1"/>
  <c r="T549" i="126"/>
  <c r="AN549" i="126" s="1"/>
  <c r="AB548" i="126"/>
  <c r="Y548" i="126"/>
  <c r="X548" i="126"/>
  <c r="V548" i="126"/>
  <c r="U548" i="126"/>
  <c r="S548" i="126"/>
  <c r="R548" i="126"/>
  <c r="Q548" i="126"/>
  <c r="O548" i="126"/>
  <c r="N548" i="126"/>
  <c r="M548" i="126"/>
  <c r="L548" i="126"/>
  <c r="K548" i="126"/>
  <c r="J548" i="126"/>
  <c r="AL547" i="126"/>
  <c r="AK547" i="126"/>
  <c r="T547" i="126"/>
  <c r="P547" i="126" s="1"/>
  <c r="I547" i="126" s="1"/>
  <c r="AC545" i="126"/>
  <c r="W546" i="126"/>
  <c r="W545" i="126" s="1"/>
  <c r="T546" i="126"/>
  <c r="S546" i="126"/>
  <c r="O545" i="126"/>
  <c r="O544" i="126" s="1"/>
  <c r="M546" i="126"/>
  <c r="M545" i="126" s="1"/>
  <c r="K545" i="126"/>
  <c r="K544" i="126" s="1"/>
  <c r="L546" i="126"/>
  <c r="L545" i="126" s="1"/>
  <c r="L544" i="126" s="1"/>
  <c r="AD545" i="126"/>
  <c r="AD544" i="126" s="1"/>
  <c r="AB545" i="126"/>
  <c r="AB544" i="126" s="1"/>
  <c r="AA545" i="126"/>
  <c r="Z545" i="126"/>
  <c r="V545" i="126"/>
  <c r="V544" i="126" s="1"/>
  <c r="U545" i="126"/>
  <c r="U544" i="126" s="1"/>
  <c r="N545" i="126"/>
  <c r="N544" i="126" s="1"/>
  <c r="J545" i="126"/>
  <c r="D545" i="126"/>
  <c r="D544" i="126" s="1"/>
  <c r="R544" i="126"/>
  <c r="AO543" i="126"/>
  <c r="AN543" i="126"/>
  <c r="AM543" i="126"/>
  <c r="AL543" i="126"/>
  <c r="AK543" i="126"/>
  <c r="AJ543" i="126"/>
  <c r="AI543" i="126"/>
  <c r="AH543" i="126"/>
  <c r="E543" i="126"/>
  <c r="AP543" i="126" s="1"/>
  <c r="AK542" i="126"/>
  <c r="AD540" i="126"/>
  <c r="W542" i="126"/>
  <c r="AO542" i="126" s="1"/>
  <c r="T542" i="126"/>
  <c r="AN542" i="126" s="1"/>
  <c r="S542" i="126"/>
  <c r="M542" i="126"/>
  <c r="AL542" i="126" s="1"/>
  <c r="AC540" i="126"/>
  <c r="W541" i="126"/>
  <c r="T541" i="126"/>
  <c r="M541" i="126"/>
  <c r="AB540" i="126"/>
  <c r="AA540" i="126"/>
  <c r="Z540" i="126"/>
  <c r="V540" i="126"/>
  <c r="U540" i="126"/>
  <c r="O540" i="126"/>
  <c r="K540" i="126"/>
  <c r="D540" i="126"/>
  <c r="AN538" i="126"/>
  <c r="AM538" i="126"/>
  <c r="AL538" i="126"/>
  <c r="AK538" i="126"/>
  <c r="W538" i="126"/>
  <c r="I538" i="126"/>
  <c r="AJ538" i="126" s="1"/>
  <c r="W537" i="126"/>
  <c r="AO537" i="126" s="1"/>
  <c r="T537" i="126"/>
  <c r="AN537" i="126" s="1"/>
  <c r="M537" i="126"/>
  <c r="AA536" i="126"/>
  <c r="Z536" i="126"/>
  <c r="V536" i="126"/>
  <c r="U536" i="126"/>
  <c r="O536" i="126"/>
  <c r="N536" i="126"/>
  <c r="K536" i="126"/>
  <c r="J536" i="126"/>
  <c r="AN535" i="126"/>
  <c r="AM535" i="126"/>
  <c r="AL535" i="126"/>
  <c r="AK535" i="126"/>
  <c r="W535" i="126"/>
  <c r="I535" i="126"/>
  <c r="AJ535" i="126" s="1"/>
  <c r="AN534" i="126"/>
  <c r="AM534" i="126"/>
  <c r="AL534" i="126"/>
  <c r="AK534" i="126"/>
  <c r="AA534" i="126"/>
  <c r="W534" i="126" s="1"/>
  <c r="AO534" i="126" s="1"/>
  <c r="I534" i="126"/>
  <c r="AJ534" i="126" s="1"/>
  <c r="W533" i="126"/>
  <c r="AO533" i="126" s="1"/>
  <c r="T533" i="126"/>
  <c r="AN533" i="126" s="1"/>
  <c r="S533" i="126"/>
  <c r="P533" i="126" s="1"/>
  <c r="O532" i="126"/>
  <c r="K532" i="126"/>
  <c r="L533" i="126"/>
  <c r="L532" i="126" s="1"/>
  <c r="AD531" i="126"/>
  <c r="AC532" i="126"/>
  <c r="AB532" i="126"/>
  <c r="AB531" i="126" s="1"/>
  <c r="Z532" i="126"/>
  <c r="V532" i="126"/>
  <c r="V531" i="126" s="1"/>
  <c r="U532" i="126"/>
  <c r="N532" i="126"/>
  <c r="J532" i="126"/>
  <c r="Y531" i="126"/>
  <c r="X531" i="126"/>
  <c r="R531" i="126"/>
  <c r="Q531" i="126"/>
  <c r="D531" i="126"/>
  <c r="AN530" i="126"/>
  <c r="AL530" i="126"/>
  <c r="AK530" i="126"/>
  <c r="W530" i="126"/>
  <c r="AO530" i="126" s="1"/>
  <c r="P530" i="126"/>
  <c r="AM530" i="126" s="1"/>
  <c r="AN529" i="126"/>
  <c r="AL529" i="126"/>
  <c r="AK529" i="126"/>
  <c r="W529" i="126"/>
  <c r="AO529" i="126" s="1"/>
  <c r="P529" i="126"/>
  <c r="AM529" i="126" s="1"/>
  <c r="AN528" i="126"/>
  <c r="AL528" i="126"/>
  <c r="AK528" i="126"/>
  <c r="W528" i="126"/>
  <c r="AO528" i="126" s="1"/>
  <c r="P528" i="126"/>
  <c r="AM528" i="126" s="1"/>
  <c r="AN527" i="126"/>
  <c r="AL527" i="126"/>
  <c r="AK527" i="126"/>
  <c r="W527" i="126"/>
  <c r="AO527" i="126" s="1"/>
  <c r="P527" i="126"/>
  <c r="I527" i="126" s="1"/>
  <c r="AN526" i="126"/>
  <c r="AL526" i="126"/>
  <c r="AK526" i="126"/>
  <c r="W526" i="126"/>
  <c r="AO526" i="126" s="1"/>
  <c r="P526" i="126"/>
  <c r="Z525" i="126"/>
  <c r="Y525" i="126"/>
  <c r="X525" i="126"/>
  <c r="V525" i="126"/>
  <c r="U525" i="126"/>
  <c r="T525" i="126"/>
  <c r="S525" i="126"/>
  <c r="R525" i="126"/>
  <c r="Q525" i="126"/>
  <c r="O525" i="126"/>
  <c r="N525" i="126"/>
  <c r="M525" i="126"/>
  <c r="L525" i="126"/>
  <c r="K525" i="126"/>
  <c r="J525" i="126"/>
  <c r="AL524" i="126"/>
  <c r="AK524" i="126"/>
  <c r="T524" i="126"/>
  <c r="AN523" i="126"/>
  <c r="AL523" i="126"/>
  <c r="AK523" i="126"/>
  <c r="AA523" i="126"/>
  <c r="Z523" i="126"/>
  <c r="P523" i="126"/>
  <c r="AD521" i="126"/>
  <c r="AD520" i="126" s="1"/>
  <c r="W522" i="126"/>
  <c r="AO522" i="126" s="1"/>
  <c r="T522" i="126"/>
  <c r="S522" i="126"/>
  <c r="S521" i="126" s="1"/>
  <c r="S520" i="126" s="1"/>
  <c r="M522" i="126"/>
  <c r="L522" i="126"/>
  <c r="L521" i="126" s="1"/>
  <c r="L520" i="126" s="1"/>
  <c r="AB521" i="126"/>
  <c r="AB520" i="126" s="1"/>
  <c r="AA521" i="126"/>
  <c r="Z521" i="126"/>
  <c r="N521" i="126"/>
  <c r="N520" i="126" s="1"/>
  <c r="J521" i="126"/>
  <c r="J520" i="126" s="1"/>
  <c r="D521" i="126"/>
  <c r="D520" i="126" s="1"/>
  <c r="V520" i="126"/>
  <c r="U520" i="126"/>
  <c r="AO519" i="126"/>
  <c r="AL519" i="126"/>
  <c r="AK519" i="126"/>
  <c r="U519" i="126"/>
  <c r="T519" i="126"/>
  <c r="P519" i="126" s="1"/>
  <c r="D519" i="126"/>
  <c r="AO518" i="126"/>
  <c r="AL518" i="126"/>
  <c r="AK518" i="126"/>
  <c r="AO517" i="126"/>
  <c r="AL517" i="126"/>
  <c r="AK517" i="126"/>
  <c r="V518" i="126"/>
  <c r="U517" i="126"/>
  <c r="U513" i="126" s="1"/>
  <c r="U511" i="126" s="1"/>
  <c r="D517" i="126"/>
  <c r="AO516" i="126"/>
  <c r="AL516" i="126"/>
  <c r="AK516" i="126"/>
  <c r="T516" i="126"/>
  <c r="AO515" i="126"/>
  <c r="AL515" i="126"/>
  <c r="AK515" i="126"/>
  <c r="T515" i="126"/>
  <c r="P515" i="126" s="1"/>
  <c r="AL514" i="126"/>
  <c r="AK514" i="126"/>
  <c r="W514" i="126"/>
  <c r="AB513" i="126"/>
  <c r="AB511" i="126" s="1"/>
  <c r="AA513" i="126"/>
  <c r="Z513" i="126"/>
  <c r="Y513" i="126"/>
  <c r="X513" i="126"/>
  <c r="S513" i="126"/>
  <c r="R513" i="126"/>
  <c r="Q513" i="126"/>
  <c r="O513" i="126"/>
  <c r="O511" i="126" s="1"/>
  <c r="N513" i="126"/>
  <c r="M513" i="126"/>
  <c r="L513" i="126"/>
  <c r="K513" i="126"/>
  <c r="K511" i="126" s="1"/>
  <c r="J513" i="126"/>
  <c r="J511" i="126" s="1"/>
  <c r="W512" i="126"/>
  <c r="AO512" i="126" s="1"/>
  <c r="T512" i="126"/>
  <c r="M512" i="126"/>
  <c r="L512" i="126"/>
  <c r="AD511" i="126"/>
  <c r="AC511" i="126"/>
  <c r="AA511" i="126"/>
  <c r="D511" i="126"/>
  <c r="AL509" i="126"/>
  <c r="AK509" i="126"/>
  <c r="T509" i="126"/>
  <c r="AN509" i="126" s="1"/>
  <c r="AD507" i="126"/>
  <c r="AD506" i="126" s="1"/>
  <c r="AB507" i="126"/>
  <c r="W508" i="126"/>
  <c r="AO508" i="126" s="1"/>
  <c r="T508" i="126"/>
  <c r="AN508" i="126" s="1"/>
  <c r="M508" i="126"/>
  <c r="L508" i="126"/>
  <c r="L507" i="126" s="1"/>
  <c r="L506" i="126" s="1"/>
  <c r="AC507" i="126"/>
  <c r="AC506" i="126" s="1"/>
  <c r="L27" i="125" s="1"/>
  <c r="AA507" i="126"/>
  <c r="Z507" i="126"/>
  <c r="V507" i="126"/>
  <c r="V506" i="126" s="1"/>
  <c r="U507" i="126"/>
  <c r="U506" i="126" s="1"/>
  <c r="O507" i="126"/>
  <c r="O506" i="126" s="1"/>
  <c r="K507" i="126"/>
  <c r="K506" i="126" s="1"/>
  <c r="D507" i="126"/>
  <c r="D506" i="126" s="1"/>
  <c r="AA506" i="126"/>
  <c r="AO505" i="126"/>
  <c r="AN505" i="126"/>
  <c r="AM505" i="126"/>
  <c r="AL505" i="126"/>
  <c r="AK505" i="126"/>
  <c r="AJ505" i="126"/>
  <c r="AI505" i="126"/>
  <c r="AH505" i="126"/>
  <c r="E505" i="126"/>
  <c r="AG505" i="126" s="1"/>
  <c r="AK504" i="126"/>
  <c r="AD503" i="126"/>
  <c r="W504" i="126"/>
  <c r="AO504" i="126" s="1"/>
  <c r="T504" i="126"/>
  <c r="AN504" i="126" s="1"/>
  <c r="S504" i="126"/>
  <c r="M504" i="126"/>
  <c r="AC503" i="126"/>
  <c r="AB503" i="126"/>
  <c r="AA503" i="126"/>
  <c r="Z503" i="126"/>
  <c r="W503" i="126"/>
  <c r="V503" i="126"/>
  <c r="U503" i="126"/>
  <c r="R503" i="126"/>
  <c r="O503" i="126"/>
  <c r="N503" i="126"/>
  <c r="L503" i="126"/>
  <c r="K503" i="126"/>
  <c r="J503" i="126"/>
  <c r="AC501" i="126"/>
  <c r="W502" i="126"/>
  <c r="AO502" i="126" s="1"/>
  <c r="T502" i="126"/>
  <c r="AN502" i="126" s="1"/>
  <c r="M502" i="126"/>
  <c r="AD501" i="126"/>
  <c r="AB501" i="126"/>
  <c r="AA501" i="126"/>
  <c r="AA500" i="126" s="1"/>
  <c r="Z501" i="126"/>
  <c r="Y501" i="126"/>
  <c r="X501" i="126"/>
  <c r="W501" i="126"/>
  <c r="V501" i="126"/>
  <c r="U501" i="126"/>
  <c r="O501" i="126"/>
  <c r="K501" i="126"/>
  <c r="K500" i="126" s="1"/>
  <c r="D501" i="126"/>
  <c r="D500" i="126" s="1"/>
  <c r="AN498" i="126"/>
  <c r="AM498" i="126"/>
  <c r="AL498" i="126"/>
  <c r="AK498" i="126"/>
  <c r="W498" i="126"/>
  <c r="I498" i="126"/>
  <c r="AJ498" i="126" s="1"/>
  <c r="AN497" i="126"/>
  <c r="AM497" i="126"/>
  <c r="AL497" i="126"/>
  <c r="AK497" i="126"/>
  <c r="I497" i="126"/>
  <c r="AJ497" i="126" s="1"/>
  <c r="AN496" i="126"/>
  <c r="AM496" i="126"/>
  <c r="AL496" i="126"/>
  <c r="AK496" i="126"/>
  <c r="W496" i="126"/>
  <c r="AO496" i="126" s="1"/>
  <c r="I496" i="126"/>
  <c r="AJ496" i="126" s="1"/>
  <c r="AN495" i="126"/>
  <c r="AM495" i="126"/>
  <c r="AL495" i="126"/>
  <c r="AK495" i="126"/>
  <c r="AA495" i="126"/>
  <c r="W495" i="126" s="1"/>
  <c r="AO495" i="126" s="1"/>
  <c r="I495" i="126"/>
  <c r="AJ495" i="126" s="1"/>
  <c r="AL494" i="126"/>
  <c r="AK494" i="126"/>
  <c r="Z494" i="126"/>
  <c r="T494" i="126"/>
  <c r="AN494" i="126" s="1"/>
  <c r="AD492" i="126"/>
  <c r="AD491" i="126" s="1"/>
  <c r="W493" i="126"/>
  <c r="AO493" i="126" s="1"/>
  <c r="T493" i="126"/>
  <c r="AN493" i="126" s="1"/>
  <c r="M493" i="126"/>
  <c r="AC492" i="126"/>
  <c r="AC491" i="126" s="1"/>
  <c r="AB492" i="126"/>
  <c r="AB491" i="126" s="1"/>
  <c r="AA492" i="126"/>
  <c r="Z492" i="126"/>
  <c r="Y492" i="126"/>
  <c r="Y491" i="126" s="1"/>
  <c r="X492" i="126"/>
  <c r="X491" i="126" s="1"/>
  <c r="W492" i="126"/>
  <c r="V492" i="126"/>
  <c r="V491" i="126" s="1"/>
  <c r="U492" i="126"/>
  <c r="U491" i="126" s="1"/>
  <c r="O492" i="126"/>
  <c r="K492" i="126"/>
  <c r="K491" i="126" s="1"/>
  <c r="D492" i="126"/>
  <c r="D491" i="126" s="1"/>
  <c r="O491" i="126"/>
  <c r="AN490" i="126"/>
  <c r="AL490" i="126"/>
  <c r="AK490" i="126"/>
  <c r="W490" i="126"/>
  <c r="AO490" i="126" s="1"/>
  <c r="P490" i="126"/>
  <c r="AM490" i="126" s="1"/>
  <c r="AD489" i="126"/>
  <c r="AC489" i="126"/>
  <c r="AB489" i="126"/>
  <c r="AA489" i="126"/>
  <c r="Z489" i="126"/>
  <c r="V489" i="126"/>
  <c r="T489" i="126"/>
  <c r="S489" i="126"/>
  <c r="R489" i="126"/>
  <c r="Q489" i="126"/>
  <c r="O489" i="126"/>
  <c r="N489" i="126"/>
  <c r="M489" i="126"/>
  <c r="L489" i="126"/>
  <c r="K489" i="126"/>
  <c r="J489" i="126"/>
  <c r="AL488" i="126"/>
  <c r="AK488" i="126"/>
  <c r="W488" i="126"/>
  <c r="AO488" i="126" s="1"/>
  <c r="T488" i="126"/>
  <c r="P488" i="126" s="1"/>
  <c r="I488" i="126" s="1"/>
  <c r="AL487" i="126"/>
  <c r="AK487" i="126"/>
  <c r="W487" i="126"/>
  <c r="AO487" i="126" s="1"/>
  <c r="T487" i="126"/>
  <c r="AN487" i="126" s="1"/>
  <c r="AL486" i="126"/>
  <c r="AK486" i="126"/>
  <c r="W486" i="126"/>
  <c r="AO486" i="126" s="1"/>
  <c r="T486" i="126"/>
  <c r="AN486" i="126" s="1"/>
  <c r="AL485" i="126"/>
  <c r="AK485" i="126"/>
  <c r="W485" i="126"/>
  <c r="AO485" i="126" s="1"/>
  <c r="T485" i="126"/>
  <c r="P485" i="126" s="1"/>
  <c r="AL484" i="126"/>
  <c r="AK484" i="126"/>
  <c r="Z484" i="126"/>
  <c r="W484" i="126" s="1"/>
  <c r="AO484" i="126" s="1"/>
  <c r="T484" i="126"/>
  <c r="AN484" i="126" s="1"/>
  <c r="AL483" i="126"/>
  <c r="AK483" i="126"/>
  <c r="T483" i="126"/>
  <c r="AN483" i="126" s="1"/>
  <c r="W482" i="126"/>
  <c r="AO482" i="126" s="1"/>
  <c r="T482" i="126"/>
  <c r="AN482" i="126" s="1"/>
  <c r="Q481" i="126"/>
  <c r="M482" i="126"/>
  <c r="M481" i="126" s="1"/>
  <c r="L482" i="126"/>
  <c r="L481" i="126" s="1"/>
  <c r="AD481" i="126"/>
  <c r="AC481" i="126"/>
  <c r="AB481" i="126"/>
  <c r="Z481" i="126"/>
  <c r="Y481" i="126"/>
  <c r="Y441" i="126" s="1"/>
  <c r="X481" i="126"/>
  <c r="V481" i="126"/>
  <c r="U481" i="126"/>
  <c r="R481" i="126"/>
  <c r="O481" i="126"/>
  <c r="N481" i="126"/>
  <c r="K481" i="126"/>
  <c r="J481" i="126"/>
  <c r="D481" i="126"/>
  <c r="AL480" i="126"/>
  <c r="AK480" i="126"/>
  <c r="W480" i="126"/>
  <c r="AO480" i="126" s="1"/>
  <c r="AL479" i="126"/>
  <c r="AK479" i="126"/>
  <c r="W479" i="126"/>
  <c r="AO479" i="126" s="1"/>
  <c r="T479" i="126"/>
  <c r="T478" i="126"/>
  <c r="P478" i="126" s="1"/>
  <c r="I478" i="126" s="1"/>
  <c r="H478" i="126" s="1"/>
  <c r="F478" i="126" s="1"/>
  <c r="AO477" i="126"/>
  <c r="AL477" i="126"/>
  <c r="AK477" i="126"/>
  <c r="T477" i="126"/>
  <c r="AN477" i="126" s="1"/>
  <c r="AO476" i="126"/>
  <c r="AL476" i="126"/>
  <c r="AK476" i="126"/>
  <c r="T476" i="126"/>
  <c r="AN476" i="126" s="1"/>
  <c r="AO475" i="126"/>
  <c r="AL475" i="126"/>
  <c r="AK475" i="126"/>
  <c r="T475" i="126"/>
  <c r="AO474" i="126"/>
  <c r="AL474" i="126"/>
  <c r="AK474" i="126"/>
  <c r="T474" i="126"/>
  <c r="P474" i="126" s="1"/>
  <c r="AO473" i="126"/>
  <c r="AL473" i="126"/>
  <c r="AK473" i="126"/>
  <c r="T473" i="126"/>
  <c r="AN473" i="126" s="1"/>
  <c r="AO472" i="126"/>
  <c r="AL472" i="126"/>
  <c r="AK472" i="126"/>
  <c r="T472" i="126"/>
  <c r="P472" i="126" s="1"/>
  <c r="AO471" i="126"/>
  <c r="AL471" i="126"/>
  <c r="AK471" i="126"/>
  <c r="AO470" i="126"/>
  <c r="AL470" i="126"/>
  <c r="AK470" i="126"/>
  <c r="U470" i="126"/>
  <c r="T470" i="126" s="1"/>
  <c r="AO469" i="126"/>
  <c r="AL469" i="126"/>
  <c r="AK469" i="126"/>
  <c r="T469" i="126"/>
  <c r="AO468" i="126"/>
  <c r="V468" i="126"/>
  <c r="U468" i="126"/>
  <c r="S468" i="126"/>
  <c r="R468" i="126"/>
  <c r="Q468" i="126"/>
  <c r="O468" i="126"/>
  <c r="N468" i="126"/>
  <c r="M468" i="126"/>
  <c r="L468" i="126"/>
  <c r="K468" i="126"/>
  <c r="J468" i="126"/>
  <c r="AO467" i="126"/>
  <c r="AL467" i="126"/>
  <c r="AK467" i="126"/>
  <c r="U467" i="126"/>
  <c r="T467" i="126" s="1"/>
  <c r="AL466" i="126"/>
  <c r="AK466" i="126"/>
  <c r="W466" i="126"/>
  <c r="AO466" i="126" s="1"/>
  <c r="U466" i="126"/>
  <c r="T466" i="126" s="1"/>
  <c r="AL465" i="126"/>
  <c r="AK465" i="126"/>
  <c r="W465" i="126"/>
  <c r="AO465" i="126" s="1"/>
  <c r="T465" i="126"/>
  <c r="P465" i="126" s="1"/>
  <c r="AL464" i="126"/>
  <c r="AK464" i="126"/>
  <c r="W464" i="126"/>
  <c r="AO464" i="126" s="1"/>
  <c r="U464" i="126"/>
  <c r="AL463" i="126"/>
  <c r="AK463" i="126"/>
  <c r="W463" i="126"/>
  <c r="AO463" i="126" s="1"/>
  <c r="U463" i="126"/>
  <c r="AO462" i="126"/>
  <c r="AL462" i="126"/>
  <c r="AK462" i="126"/>
  <c r="U462" i="126"/>
  <c r="AL461" i="126"/>
  <c r="AK461" i="126"/>
  <c r="W461" i="126"/>
  <c r="AO461" i="126" s="1"/>
  <c r="U461" i="126"/>
  <c r="AL460" i="126"/>
  <c r="AK460" i="126"/>
  <c r="W460" i="126"/>
  <c r="U460" i="126"/>
  <c r="AL459" i="126"/>
  <c r="AK459" i="126"/>
  <c r="W459" i="126"/>
  <c r="AO459" i="126" s="1"/>
  <c r="U459" i="126"/>
  <c r="AA458" i="126"/>
  <c r="AA452" i="126" s="1"/>
  <c r="S458" i="126"/>
  <c r="R458" i="126"/>
  <c r="Q458" i="126"/>
  <c r="O458" i="126"/>
  <c r="N458" i="126"/>
  <c r="M458" i="126"/>
  <c r="L458" i="126"/>
  <c r="K458" i="126"/>
  <c r="J458" i="126"/>
  <c r="AO457" i="126"/>
  <c r="AL457" i="126"/>
  <c r="AK457" i="126"/>
  <c r="T457" i="126"/>
  <c r="AL456" i="126"/>
  <c r="AK456" i="126"/>
  <c r="W456" i="126"/>
  <c r="AO456" i="126" s="1"/>
  <c r="U456" i="126"/>
  <c r="T456" i="126" s="1"/>
  <c r="AL455" i="126"/>
  <c r="AK455" i="126"/>
  <c r="W455" i="126"/>
  <c r="U455" i="126"/>
  <c r="AO454" i="126"/>
  <c r="AL454" i="126"/>
  <c r="AK454" i="126"/>
  <c r="T454" i="126"/>
  <c r="AO453" i="126"/>
  <c r="AN453" i="126"/>
  <c r="AM453" i="126"/>
  <c r="AL453" i="126"/>
  <c r="AK453" i="126"/>
  <c r="AJ453" i="126"/>
  <c r="AI453" i="126"/>
  <c r="AH453" i="126"/>
  <c r="G453" i="126"/>
  <c r="E453" i="126"/>
  <c r="AB452" i="126"/>
  <c r="Z452" i="126"/>
  <c r="Y452" i="126"/>
  <c r="X452" i="126"/>
  <c r="D452" i="126"/>
  <c r="W451" i="126"/>
  <c r="AO451" i="126" s="1"/>
  <c r="T451" i="126"/>
  <c r="AN451" i="126" s="1"/>
  <c r="M451" i="126"/>
  <c r="AL451" i="126" s="1"/>
  <c r="W450" i="126"/>
  <c r="AO450" i="126" s="1"/>
  <c r="T450" i="126"/>
  <c r="AN450" i="126" s="1"/>
  <c r="M450" i="126"/>
  <c r="L450" i="126"/>
  <c r="AC443" i="126"/>
  <c r="AC442" i="126" s="1"/>
  <c r="W449" i="126"/>
  <c r="AO449" i="126" s="1"/>
  <c r="T449" i="126"/>
  <c r="AN449" i="126" s="1"/>
  <c r="AL448" i="126"/>
  <c r="AK448" i="126"/>
  <c r="W448" i="126"/>
  <c r="AO448" i="126" s="1"/>
  <c r="T448" i="126"/>
  <c r="AN448" i="126" s="1"/>
  <c r="S448" i="126"/>
  <c r="W447" i="126"/>
  <c r="AO447" i="126" s="1"/>
  <c r="T447" i="126"/>
  <c r="AN447" i="126" s="1"/>
  <c r="M447" i="126"/>
  <c r="AL447" i="126" s="1"/>
  <c r="L447" i="126"/>
  <c r="AK447" i="126" s="1"/>
  <c r="AD443" i="126"/>
  <c r="AD442" i="126" s="1"/>
  <c r="W446" i="126"/>
  <c r="AO446" i="126" s="1"/>
  <c r="T446" i="126"/>
  <c r="AN446" i="126" s="1"/>
  <c r="S446" i="126"/>
  <c r="M446" i="126"/>
  <c r="W445" i="126"/>
  <c r="AO445" i="126" s="1"/>
  <c r="T445" i="126"/>
  <c r="AN445" i="126" s="1"/>
  <c r="S445" i="126"/>
  <c r="M445" i="126"/>
  <c r="AL445" i="126" s="1"/>
  <c r="L445" i="126"/>
  <c r="AK445" i="126" s="1"/>
  <c r="W444" i="126"/>
  <c r="AO444" i="126" s="1"/>
  <c r="T444" i="126"/>
  <c r="AB443" i="126"/>
  <c r="AB442" i="126" s="1"/>
  <c r="AA443" i="126"/>
  <c r="Z443" i="126"/>
  <c r="V443" i="126"/>
  <c r="U443" i="126"/>
  <c r="J443" i="126"/>
  <c r="D443" i="126"/>
  <c r="AL440" i="126"/>
  <c r="AK440" i="126"/>
  <c r="W440" i="126"/>
  <c r="AO440" i="126" s="1"/>
  <c r="T440" i="126"/>
  <c r="AN440" i="126" s="1"/>
  <c r="AL439" i="126"/>
  <c r="AK439" i="126"/>
  <c r="W439" i="126"/>
  <c r="AO439" i="126" s="1"/>
  <c r="T439" i="126"/>
  <c r="AN439" i="126" s="1"/>
  <c r="AL438" i="126"/>
  <c r="AK438" i="126"/>
  <c r="W438" i="126"/>
  <c r="AO438" i="126" s="1"/>
  <c r="T438" i="126"/>
  <c r="P438" i="126" s="1"/>
  <c r="AL437" i="126"/>
  <c r="AK437" i="126"/>
  <c r="W437" i="126"/>
  <c r="AO437" i="126" s="1"/>
  <c r="T437" i="126"/>
  <c r="AN437" i="126" s="1"/>
  <c r="AL436" i="126"/>
  <c r="AK436" i="126"/>
  <c r="Z436" i="126"/>
  <c r="Z434" i="126" s="1"/>
  <c r="T436" i="126"/>
  <c r="AL435" i="126"/>
  <c r="AK435" i="126"/>
  <c r="Z435" i="126"/>
  <c r="W435" i="126" s="1"/>
  <c r="T435" i="126"/>
  <c r="P435" i="126" s="1"/>
  <c r="AC434" i="126"/>
  <c r="AB434" i="126"/>
  <c r="AA434" i="126"/>
  <c r="Y434" i="126"/>
  <c r="X434" i="126"/>
  <c r="V434" i="126"/>
  <c r="U434" i="126"/>
  <c r="S434" i="126"/>
  <c r="R434" i="126"/>
  <c r="Q434" i="126"/>
  <c r="O434" i="126"/>
  <c r="N434" i="126"/>
  <c r="M434" i="126"/>
  <c r="L434" i="126"/>
  <c r="K434" i="126"/>
  <c r="J434" i="126"/>
  <c r="D434" i="126"/>
  <c r="AB431" i="126"/>
  <c r="W433" i="126"/>
  <c r="AO433" i="126" s="1"/>
  <c r="T433" i="126"/>
  <c r="AN433" i="126" s="1"/>
  <c r="O431" i="126"/>
  <c r="M433" i="126"/>
  <c r="AL433" i="126" s="1"/>
  <c r="K431" i="126"/>
  <c r="W432" i="126"/>
  <c r="T432" i="126"/>
  <c r="AN432" i="126" s="1"/>
  <c r="N431" i="126"/>
  <c r="M432" i="126"/>
  <c r="L432" i="126"/>
  <c r="AK432" i="126" s="1"/>
  <c r="AD431" i="126"/>
  <c r="AA431" i="126"/>
  <c r="Z431" i="126"/>
  <c r="Y431" i="126"/>
  <c r="X431" i="126"/>
  <c r="V431" i="126"/>
  <c r="U431" i="126"/>
  <c r="D431" i="126"/>
  <c r="AD430" i="126"/>
  <c r="AO429" i="126"/>
  <c r="AL429" i="126"/>
  <c r="AK429" i="126"/>
  <c r="T429" i="126"/>
  <c r="AN429" i="126" s="1"/>
  <c r="AO428" i="126"/>
  <c r="AL428" i="126"/>
  <c r="AK428" i="126"/>
  <c r="AL427" i="126"/>
  <c r="AK427" i="126"/>
  <c r="W427" i="126"/>
  <c r="AO427" i="126" s="1"/>
  <c r="T427" i="126"/>
  <c r="AL426" i="126"/>
  <c r="AK426" i="126"/>
  <c r="W426" i="126"/>
  <c r="AO426" i="126" s="1"/>
  <c r="T426" i="126"/>
  <c r="P426" i="126" s="1"/>
  <c r="AL425" i="126"/>
  <c r="AK425" i="126"/>
  <c r="W425" i="126"/>
  <c r="AO425" i="126" s="1"/>
  <c r="U425" i="126"/>
  <c r="AL424" i="126"/>
  <c r="AK424" i="126"/>
  <c r="W424" i="126"/>
  <c r="AO424" i="126" s="1"/>
  <c r="T424" i="126"/>
  <c r="AO423" i="126"/>
  <c r="AL423" i="126"/>
  <c r="AK423" i="126"/>
  <c r="T423" i="126"/>
  <c r="AL422" i="126"/>
  <c r="AK422" i="126"/>
  <c r="W422" i="126"/>
  <c r="AO422" i="126" s="1"/>
  <c r="T422" i="126"/>
  <c r="AL421" i="126"/>
  <c r="AK421" i="126"/>
  <c r="W421" i="126"/>
  <c r="AO421" i="126" s="1"/>
  <c r="T421" i="126"/>
  <c r="P421" i="126" s="1"/>
  <c r="AC420" i="126"/>
  <c r="AC417" i="126" s="1"/>
  <c r="AB420" i="126"/>
  <c r="AB417" i="126" s="1"/>
  <c r="AA420" i="126"/>
  <c r="AA417" i="126" s="1"/>
  <c r="Z420" i="126"/>
  <c r="Z417" i="126" s="1"/>
  <c r="Y420" i="126"/>
  <c r="X420" i="126"/>
  <c r="V420" i="126"/>
  <c r="V417" i="126" s="1"/>
  <c r="U420" i="126"/>
  <c r="U417" i="126" s="1"/>
  <c r="S420" i="126"/>
  <c r="R420" i="126"/>
  <c r="Q420" i="126"/>
  <c r="O420" i="126"/>
  <c r="O417" i="126" s="1"/>
  <c r="N420" i="126"/>
  <c r="N417" i="126" s="1"/>
  <c r="M420" i="126"/>
  <c r="L420" i="126"/>
  <c r="K420" i="126"/>
  <c r="K417" i="126" s="1"/>
  <c r="J420" i="126"/>
  <c r="D420" i="126"/>
  <c r="D417" i="126" s="1"/>
  <c r="AK419" i="126"/>
  <c r="W419" i="126"/>
  <c r="AO419" i="126" s="1"/>
  <c r="T419" i="126"/>
  <c r="AN419" i="126" s="1"/>
  <c r="S419" i="126"/>
  <c r="M419" i="126"/>
  <c r="AD417" i="126"/>
  <c r="W418" i="126"/>
  <c r="AO418" i="126" s="1"/>
  <c r="T418" i="126"/>
  <c r="AN418" i="126" s="1"/>
  <c r="M418" i="126"/>
  <c r="M417" i="126" s="1"/>
  <c r="L418" i="126"/>
  <c r="AL415" i="126"/>
  <c r="AK415" i="126"/>
  <c r="W415" i="126"/>
  <c r="T415" i="126"/>
  <c r="AD414" i="126"/>
  <c r="AC414" i="126"/>
  <c r="AB414" i="126"/>
  <c r="AA414" i="126"/>
  <c r="Z414" i="126"/>
  <c r="Y414" i="126"/>
  <c r="X414" i="126"/>
  <c r="V414" i="126"/>
  <c r="U414" i="126"/>
  <c r="S414" i="126"/>
  <c r="R414" i="126"/>
  <c r="Q414" i="126"/>
  <c r="O414" i="126"/>
  <c r="N414" i="126"/>
  <c r="M414" i="126"/>
  <c r="L414" i="126"/>
  <c r="K414" i="126"/>
  <c r="J414" i="126"/>
  <c r="AN413" i="126"/>
  <c r="AM413" i="126"/>
  <c r="AL413" i="126"/>
  <c r="AK413" i="126"/>
  <c r="AJ413" i="126"/>
  <c r="W413" i="126"/>
  <c r="AN412" i="126"/>
  <c r="AM412" i="126"/>
  <c r="AL412" i="126"/>
  <c r="AK412" i="126"/>
  <c r="AJ412" i="126"/>
  <c r="W412" i="126"/>
  <c r="AN411" i="126"/>
  <c r="AM411" i="126"/>
  <c r="AL411" i="126"/>
  <c r="AK411" i="126"/>
  <c r="AJ411" i="126"/>
  <c r="W411" i="126"/>
  <c r="AN410" i="126"/>
  <c r="AM410" i="126"/>
  <c r="AL410" i="126"/>
  <c r="AK410" i="126"/>
  <c r="AJ410" i="126"/>
  <c r="Z410" i="126"/>
  <c r="AN409" i="126"/>
  <c r="AM409" i="126"/>
  <c r="AL409" i="126"/>
  <c r="AK409" i="126"/>
  <c r="AJ409" i="126"/>
  <c r="Z409" i="126"/>
  <c r="AN408" i="126"/>
  <c r="AM408" i="126"/>
  <c r="AL408" i="126"/>
  <c r="AK408" i="126"/>
  <c r="AJ408" i="126"/>
  <c r="Z408" i="126"/>
  <c r="AN407" i="126"/>
  <c r="AM407" i="126"/>
  <c r="AL407" i="126"/>
  <c r="AK407" i="126"/>
  <c r="AJ407" i="126"/>
  <c r="Z407" i="126"/>
  <c r="W407" i="126" s="1"/>
  <c r="AN406" i="126"/>
  <c r="AM406" i="126"/>
  <c r="AL406" i="126"/>
  <c r="AK406" i="126"/>
  <c r="AJ406" i="126"/>
  <c r="Z406" i="126"/>
  <c r="AN405" i="126"/>
  <c r="AM405" i="126"/>
  <c r="AL405" i="126"/>
  <c r="AK405" i="126"/>
  <c r="AJ405" i="126"/>
  <c r="Z405" i="126"/>
  <c r="AB404" i="126"/>
  <c r="AB403" i="126" s="1"/>
  <c r="AA404" i="126"/>
  <c r="AA403" i="126" s="1"/>
  <c r="Y404" i="126"/>
  <c r="Y403" i="126" s="1"/>
  <c r="X404" i="126"/>
  <c r="X403" i="126" s="1"/>
  <c r="V404" i="126"/>
  <c r="V403" i="126" s="1"/>
  <c r="U404" i="126"/>
  <c r="U403" i="126" s="1"/>
  <c r="T404" i="126"/>
  <c r="T403" i="126" s="1"/>
  <c r="S404" i="126"/>
  <c r="S403" i="126" s="1"/>
  <c r="R404" i="126"/>
  <c r="R403" i="126" s="1"/>
  <c r="Q404" i="126"/>
  <c r="Q403" i="126" s="1"/>
  <c r="P404" i="126"/>
  <c r="P403" i="126" s="1"/>
  <c r="O404" i="126"/>
  <c r="O403" i="126" s="1"/>
  <c r="N404" i="126"/>
  <c r="N403" i="126" s="1"/>
  <c r="M404" i="126"/>
  <c r="M403" i="126" s="1"/>
  <c r="L404" i="126"/>
  <c r="L403" i="126" s="1"/>
  <c r="K404" i="126"/>
  <c r="J404" i="126"/>
  <c r="J403" i="126" s="1"/>
  <c r="I404" i="126"/>
  <c r="I403" i="126" s="1"/>
  <c r="D403" i="126"/>
  <c r="AN402" i="126"/>
  <c r="AM402" i="126"/>
  <c r="AL402" i="126"/>
  <c r="AK402" i="126"/>
  <c r="AJ402" i="126"/>
  <c r="Z402" i="126"/>
  <c r="W402" i="126" s="1"/>
  <c r="D402" i="126"/>
  <c r="AN401" i="126"/>
  <c r="AM401" i="126"/>
  <c r="AL401" i="126"/>
  <c r="AK401" i="126"/>
  <c r="AJ401" i="126"/>
  <c r="W401" i="126"/>
  <c r="AN400" i="126"/>
  <c r="AM400" i="126"/>
  <c r="AL400" i="126"/>
  <c r="AK400" i="126"/>
  <c r="AJ400" i="126"/>
  <c r="W400" i="126"/>
  <c r="AN399" i="126"/>
  <c r="AM399" i="126"/>
  <c r="AL399" i="126"/>
  <c r="AK399" i="126"/>
  <c r="AJ399" i="126"/>
  <c r="Z399" i="126"/>
  <c r="W399" i="126" s="1"/>
  <c r="AN398" i="126"/>
  <c r="AM398" i="126"/>
  <c r="AL398" i="126"/>
  <c r="AK398" i="126"/>
  <c r="AJ398" i="126"/>
  <c r="Z398" i="126"/>
  <c r="Z395" i="126" s="1"/>
  <c r="W398" i="126"/>
  <c r="AN397" i="126"/>
  <c r="AM397" i="126"/>
  <c r="AL397" i="126"/>
  <c r="AK397" i="126"/>
  <c r="AJ397" i="126"/>
  <c r="W397" i="126"/>
  <c r="AN396" i="126"/>
  <c r="AM396" i="126"/>
  <c r="AL396" i="126"/>
  <c r="AK396" i="126"/>
  <c r="AJ396" i="126"/>
  <c r="W396" i="126"/>
  <c r="AN395" i="126"/>
  <c r="AM395" i="126"/>
  <c r="AL395" i="126"/>
  <c r="AK395" i="126"/>
  <c r="AJ395" i="126"/>
  <c r="AN394" i="126"/>
  <c r="AM394" i="126"/>
  <c r="AL394" i="126"/>
  <c r="AK394" i="126"/>
  <c r="AJ394" i="126"/>
  <c r="W394" i="126"/>
  <c r="AN393" i="126"/>
  <c r="AM393" i="126"/>
  <c r="AL393" i="126"/>
  <c r="AK393" i="126"/>
  <c r="AJ393" i="126"/>
  <c r="W393" i="126"/>
  <c r="H393" i="126" s="1"/>
  <c r="AN392" i="126"/>
  <c r="AM392" i="126"/>
  <c r="AL392" i="126"/>
  <c r="AK392" i="126"/>
  <c r="AJ392" i="126"/>
  <c r="W392" i="126"/>
  <c r="AN391" i="126"/>
  <c r="AM391" i="126"/>
  <c r="AL391" i="126"/>
  <c r="AK391" i="126"/>
  <c r="AJ391" i="126"/>
  <c r="W391" i="126"/>
  <c r="AO391" i="126" s="1"/>
  <c r="AE390" i="126"/>
  <c r="AD390" i="126"/>
  <c r="AC390" i="126"/>
  <c r="AB390" i="126"/>
  <c r="AA390" i="126"/>
  <c r="Y390" i="126"/>
  <c r="X390" i="126"/>
  <c r="V390" i="126"/>
  <c r="U390" i="126"/>
  <c r="T390" i="126"/>
  <c r="S390" i="126"/>
  <c r="R390" i="126"/>
  <c r="Q390" i="126"/>
  <c r="P390" i="126"/>
  <c r="O390" i="126"/>
  <c r="N390" i="126"/>
  <c r="M390" i="126"/>
  <c r="L390" i="126"/>
  <c r="K390" i="126"/>
  <c r="J390" i="126"/>
  <c r="I390" i="126"/>
  <c r="D390" i="126"/>
  <c r="AN389" i="126"/>
  <c r="AM389" i="126"/>
  <c r="AL389" i="126"/>
  <c r="AK389" i="126"/>
  <c r="AJ389" i="126"/>
  <c r="W389" i="126"/>
  <c r="AN388" i="126"/>
  <c r="AM388" i="126"/>
  <c r="AL388" i="126"/>
  <c r="AK388" i="126"/>
  <c r="AJ388" i="126"/>
  <c r="W388" i="126"/>
  <c r="AO388" i="126" s="1"/>
  <c r="AA387" i="126"/>
  <c r="Z387" i="126"/>
  <c r="Y387" i="126"/>
  <c r="X387" i="126"/>
  <c r="V387" i="126"/>
  <c r="U387" i="126"/>
  <c r="T387" i="126"/>
  <c r="S387" i="126"/>
  <c r="R387" i="126"/>
  <c r="Q387" i="126"/>
  <c r="P387" i="126"/>
  <c r="O387" i="126"/>
  <c r="N387" i="126"/>
  <c r="M387" i="126"/>
  <c r="L387" i="126"/>
  <c r="K387" i="126"/>
  <c r="J387" i="126"/>
  <c r="I387" i="126"/>
  <c r="AN386" i="126"/>
  <c r="AM386" i="126"/>
  <c r="AL386" i="126"/>
  <c r="AK386" i="126"/>
  <c r="AJ386" i="126"/>
  <c r="W386" i="126"/>
  <c r="AO386" i="126" s="1"/>
  <c r="AN385" i="126"/>
  <c r="AM385" i="126"/>
  <c r="AL385" i="126"/>
  <c r="AK385" i="126"/>
  <c r="AJ385" i="126"/>
  <c r="W385" i="126"/>
  <c r="AO385" i="126" s="1"/>
  <c r="AN384" i="126"/>
  <c r="AM384" i="126"/>
  <c r="AL384" i="126"/>
  <c r="AK384" i="126"/>
  <c r="AJ384" i="126"/>
  <c r="W384" i="126"/>
  <c r="H384" i="126" s="1"/>
  <c r="AN383" i="126"/>
  <c r="AM383" i="126"/>
  <c r="AL383" i="126"/>
  <c r="AK383" i="126"/>
  <c r="AJ383" i="126"/>
  <c r="Z383" i="126"/>
  <c r="W383" i="126" s="1"/>
  <c r="AO383" i="126" s="1"/>
  <c r="AA382" i="126"/>
  <c r="Y382" i="126"/>
  <c r="X382" i="126"/>
  <c r="V382" i="126"/>
  <c r="U382" i="126"/>
  <c r="T382" i="126"/>
  <c r="S382" i="126"/>
  <c r="R382" i="126"/>
  <c r="Q382" i="126"/>
  <c r="P382" i="126"/>
  <c r="O382" i="126"/>
  <c r="N382" i="126"/>
  <c r="M382" i="126"/>
  <c r="L382" i="126"/>
  <c r="K382" i="126"/>
  <c r="J382" i="126"/>
  <c r="I382" i="126"/>
  <c r="AN381" i="126"/>
  <c r="AM381" i="126"/>
  <c r="AL381" i="126"/>
  <c r="AK381" i="126"/>
  <c r="AJ381" i="126"/>
  <c r="W381" i="126"/>
  <c r="AO381" i="126" s="1"/>
  <c r="AN380" i="126"/>
  <c r="AM380" i="126"/>
  <c r="AL380" i="126"/>
  <c r="AK380" i="126"/>
  <c r="AJ380" i="126"/>
  <c r="W380" i="126"/>
  <c r="AN379" i="126"/>
  <c r="AM379" i="126"/>
  <c r="AL379" i="126"/>
  <c r="AK379" i="126"/>
  <c r="AJ379" i="126"/>
  <c r="Z379" i="126"/>
  <c r="AN378" i="126"/>
  <c r="AM378" i="126"/>
  <c r="AL378" i="126"/>
  <c r="AK378" i="126"/>
  <c r="AJ378" i="126"/>
  <c r="W378" i="126"/>
  <c r="AA377" i="126"/>
  <c r="Z377" i="126"/>
  <c r="Y377" i="126"/>
  <c r="X377" i="126"/>
  <c r="V377" i="126"/>
  <c r="U377" i="126"/>
  <c r="T377" i="126"/>
  <c r="S377" i="126"/>
  <c r="R377" i="126"/>
  <c r="Q377" i="126"/>
  <c r="P377" i="126"/>
  <c r="O377" i="126"/>
  <c r="N377" i="126"/>
  <c r="M377" i="126"/>
  <c r="L377" i="126"/>
  <c r="K377" i="126"/>
  <c r="J377" i="126"/>
  <c r="I377" i="126"/>
  <c r="AN376" i="126"/>
  <c r="AM376" i="126"/>
  <c r="AL376" i="126"/>
  <c r="AK376" i="126"/>
  <c r="AJ376" i="126"/>
  <c r="W376" i="126"/>
  <c r="AN375" i="126"/>
  <c r="AM375" i="126"/>
  <c r="AL375" i="126"/>
  <c r="AK375" i="126"/>
  <c r="AJ375" i="126"/>
  <c r="W375" i="126"/>
  <c r="H375" i="126" s="1"/>
  <c r="AI375" i="126" s="1"/>
  <c r="AA374" i="126"/>
  <c r="Z374" i="126"/>
  <c r="Y374" i="126"/>
  <c r="X374" i="126"/>
  <c r="V374" i="126"/>
  <c r="U374" i="126"/>
  <c r="T374" i="126"/>
  <c r="S374" i="126"/>
  <c r="R374" i="126"/>
  <c r="Q374" i="126"/>
  <c r="P374" i="126"/>
  <c r="O374" i="126"/>
  <c r="N374" i="126"/>
  <c r="M374" i="126"/>
  <c r="L374" i="126"/>
  <c r="K374" i="126"/>
  <c r="J374" i="126"/>
  <c r="I374" i="126"/>
  <c r="D373" i="126"/>
  <c r="AN372" i="126"/>
  <c r="AM372" i="126"/>
  <c r="AL372" i="126"/>
  <c r="AK372" i="126"/>
  <c r="AJ372" i="126"/>
  <c r="W372" i="126"/>
  <c r="AO372" i="126" s="1"/>
  <c r="AN371" i="126"/>
  <c r="AM371" i="126"/>
  <c r="AL371" i="126"/>
  <c r="AK371" i="126"/>
  <c r="AJ371" i="126"/>
  <c r="W371" i="126"/>
  <c r="AN370" i="126"/>
  <c r="AM370" i="126"/>
  <c r="AL370" i="126"/>
  <c r="AK370" i="126"/>
  <c r="AJ370" i="126"/>
  <c r="Z370" i="126"/>
  <c r="W370" i="126" s="1"/>
  <c r="AN369" i="126"/>
  <c r="AM369" i="126"/>
  <c r="AL369" i="126"/>
  <c r="AK369" i="126"/>
  <c r="AJ369" i="126"/>
  <c r="Z369" i="126"/>
  <c r="W369" i="126" s="1"/>
  <c r="AC368" i="126"/>
  <c r="AB368" i="126"/>
  <c r="AA368" i="126"/>
  <c r="Y368" i="126"/>
  <c r="X368" i="126"/>
  <c r="V368" i="126"/>
  <c r="U368" i="126"/>
  <c r="T368" i="126"/>
  <c r="S368" i="126"/>
  <c r="R368" i="126"/>
  <c r="Q368" i="126"/>
  <c r="P368" i="126"/>
  <c r="O368" i="126"/>
  <c r="N368" i="126"/>
  <c r="M368" i="126"/>
  <c r="L368" i="126"/>
  <c r="K368" i="126"/>
  <c r="J368" i="126"/>
  <c r="I368" i="126"/>
  <c r="D368" i="126"/>
  <c r="W366" i="126"/>
  <c r="T366" i="126"/>
  <c r="M366" i="126"/>
  <c r="AL366" i="126" s="1"/>
  <c r="L366" i="126"/>
  <c r="AD364" i="126"/>
  <c r="AD363" i="126" s="1"/>
  <c r="W365" i="126"/>
  <c r="AO365" i="126" s="1"/>
  <c r="T365" i="126"/>
  <c r="AN365" i="126" s="1"/>
  <c r="O364" i="126"/>
  <c r="M365" i="126"/>
  <c r="K364" i="126"/>
  <c r="AC364" i="126"/>
  <c r="AC363" i="126" s="1"/>
  <c r="AB364" i="126"/>
  <c r="AA364" i="126"/>
  <c r="Z364" i="126"/>
  <c r="V364" i="126"/>
  <c r="U364" i="126"/>
  <c r="N364" i="126"/>
  <c r="J364" i="126"/>
  <c r="D364" i="126"/>
  <c r="AO362" i="126"/>
  <c r="AL362" i="126"/>
  <c r="AK362" i="126"/>
  <c r="T362" i="126"/>
  <c r="AN362" i="126" s="1"/>
  <c r="AL361" i="126"/>
  <c r="AK361" i="126"/>
  <c r="W361" i="126"/>
  <c r="AO361" i="126" s="1"/>
  <c r="T361" i="126"/>
  <c r="AN361" i="126" s="1"/>
  <c r="AO360" i="126"/>
  <c r="AL360" i="126"/>
  <c r="AK360" i="126"/>
  <c r="T360" i="126"/>
  <c r="AN360" i="126" s="1"/>
  <c r="AO359" i="126"/>
  <c r="AL359" i="126"/>
  <c r="AK359" i="126"/>
  <c r="T359" i="126"/>
  <c r="AO358" i="126"/>
  <c r="AL358" i="126"/>
  <c r="AK358" i="126"/>
  <c r="T358" i="126"/>
  <c r="AC357" i="126"/>
  <c r="AC356" i="126" s="1"/>
  <c r="AC353" i="126" s="1"/>
  <c r="AB357" i="126"/>
  <c r="AB356" i="126" s="1"/>
  <c r="AB353" i="126" s="1"/>
  <c r="AA357" i="126"/>
  <c r="Z357" i="126"/>
  <c r="Z356" i="126" s="1"/>
  <c r="Z353" i="126" s="1"/>
  <c r="Y357" i="126"/>
  <c r="Y356" i="126" s="1"/>
  <c r="X357" i="126"/>
  <c r="X356" i="126" s="1"/>
  <c r="W357" i="126"/>
  <c r="V357" i="126"/>
  <c r="V356" i="126" s="1"/>
  <c r="V353" i="126" s="1"/>
  <c r="U357" i="126"/>
  <c r="U356" i="126" s="1"/>
  <c r="U353" i="126" s="1"/>
  <c r="S357" i="126"/>
  <c r="S356" i="126" s="1"/>
  <c r="R357" i="126"/>
  <c r="R356" i="126" s="1"/>
  <c r="Q357" i="126"/>
  <c r="Q356" i="126" s="1"/>
  <c r="O357" i="126"/>
  <c r="O356" i="126" s="1"/>
  <c r="O353" i="126" s="1"/>
  <c r="N357" i="126"/>
  <c r="N356" i="126" s="1"/>
  <c r="N353" i="126" s="1"/>
  <c r="M357" i="126"/>
  <c r="M356" i="126" s="1"/>
  <c r="L357" i="126"/>
  <c r="L356" i="126" s="1"/>
  <c r="K357" i="126"/>
  <c r="K356" i="126" s="1"/>
  <c r="K353" i="126" s="1"/>
  <c r="J357" i="126"/>
  <c r="J356" i="126" s="1"/>
  <c r="AA356" i="126"/>
  <c r="AA353" i="126" s="1"/>
  <c r="AK355" i="126"/>
  <c r="W355" i="126"/>
  <c r="AO355" i="126" s="1"/>
  <c r="T355" i="126"/>
  <c r="AN355" i="126" s="1"/>
  <c r="S355" i="126"/>
  <c r="M355" i="126"/>
  <c r="W354" i="126"/>
  <c r="AO354" i="126" s="1"/>
  <c r="T354" i="126"/>
  <c r="M354" i="126"/>
  <c r="L354" i="126"/>
  <c r="AD353" i="126"/>
  <c r="D353" i="126"/>
  <c r="AK351" i="126"/>
  <c r="W351" i="126"/>
  <c r="AO351" i="126" s="1"/>
  <c r="T351" i="126"/>
  <c r="M351" i="126"/>
  <c r="AL351" i="126" s="1"/>
  <c r="AK350" i="126"/>
  <c r="W350" i="126"/>
  <c r="AO350" i="126" s="1"/>
  <c r="T350" i="126"/>
  <c r="AN350" i="126" s="1"/>
  <c r="M350" i="126"/>
  <c r="AK349" i="126"/>
  <c r="W349" i="126"/>
  <c r="AO349" i="126" s="1"/>
  <c r="T349" i="126"/>
  <c r="M349" i="126"/>
  <c r="AL349" i="126" s="1"/>
  <c r="AK348" i="126"/>
  <c r="T348" i="126"/>
  <c r="M348" i="126"/>
  <c r="AK347" i="126"/>
  <c r="W347" i="126"/>
  <c r="AO347" i="126" s="1"/>
  <c r="T347" i="126"/>
  <c r="AN347" i="126" s="1"/>
  <c r="M347" i="126"/>
  <c r="AL347" i="126" s="1"/>
  <c r="AK346" i="126"/>
  <c r="W346" i="126"/>
  <c r="AO346" i="126" s="1"/>
  <c r="T346" i="126"/>
  <c r="M346" i="126"/>
  <c r="AL346" i="126" s="1"/>
  <c r="AK345" i="126"/>
  <c r="W345" i="126"/>
  <c r="AO345" i="126" s="1"/>
  <c r="T345" i="126"/>
  <c r="AN345" i="126" s="1"/>
  <c r="M345" i="126"/>
  <c r="AL345" i="126" s="1"/>
  <c r="AK344" i="126"/>
  <c r="W344" i="126"/>
  <c r="AO344" i="126" s="1"/>
  <c r="T344" i="126"/>
  <c r="M344" i="126"/>
  <c r="AK343" i="126"/>
  <c r="W343" i="126"/>
  <c r="AO343" i="126" s="1"/>
  <c r="T343" i="126"/>
  <c r="AN343" i="126" s="1"/>
  <c r="P343" i="126"/>
  <c r="M343" i="126"/>
  <c r="AL343" i="126" s="1"/>
  <c r="AB342" i="126"/>
  <c r="AA342" i="126"/>
  <c r="Z342" i="126"/>
  <c r="Y342" i="126"/>
  <c r="X342" i="126"/>
  <c r="V342" i="126"/>
  <c r="U342" i="126"/>
  <c r="U339" i="126" s="1"/>
  <c r="S342" i="126"/>
  <c r="R342" i="126"/>
  <c r="Q342" i="126"/>
  <c r="O342" i="126"/>
  <c r="N342" i="126"/>
  <c r="L342" i="126"/>
  <c r="K342" i="126"/>
  <c r="J342" i="126"/>
  <c r="AC340" i="126"/>
  <c r="W341" i="126"/>
  <c r="T341" i="126"/>
  <c r="S341" i="126"/>
  <c r="N340" i="126"/>
  <c r="N339" i="126" s="1"/>
  <c r="M341" i="126"/>
  <c r="L341" i="126"/>
  <c r="L340" i="126" s="1"/>
  <c r="L339" i="126" s="1"/>
  <c r="AD340" i="126"/>
  <c r="AD339" i="126" s="1"/>
  <c r="AB340" i="126"/>
  <c r="AA340" i="126"/>
  <c r="Z340" i="126"/>
  <c r="O340" i="126"/>
  <c r="K340" i="126"/>
  <c r="D340" i="126"/>
  <c r="D339" i="126" s="1"/>
  <c r="V339" i="126"/>
  <c r="AN338" i="126"/>
  <c r="AM338" i="126"/>
  <c r="AL338" i="126"/>
  <c r="AK338" i="126"/>
  <c r="AJ338" i="126"/>
  <c r="W338" i="126"/>
  <c r="H338" i="126" s="1"/>
  <c r="AI338" i="126" s="1"/>
  <c r="AN337" i="126"/>
  <c r="AM337" i="126"/>
  <c r="AL337" i="126"/>
  <c r="AK337" i="126"/>
  <c r="AJ337" i="126"/>
  <c r="W337" i="126"/>
  <c r="AN336" i="126"/>
  <c r="AM336" i="126"/>
  <c r="AL336" i="126"/>
  <c r="AK336" i="126"/>
  <c r="AJ336" i="126"/>
  <c r="AN335" i="126"/>
  <c r="AM335" i="126"/>
  <c r="AL335" i="126"/>
  <c r="AK335" i="126"/>
  <c r="AJ335" i="126"/>
  <c r="AN334" i="126"/>
  <c r="AM334" i="126"/>
  <c r="AL334" i="126"/>
  <c r="AK334" i="126"/>
  <c r="AJ334" i="126"/>
  <c r="W334" i="126"/>
  <c r="AO334" i="126" s="1"/>
  <c r="W333" i="126"/>
  <c r="H333" i="126" s="1"/>
  <c r="F333" i="126" s="1"/>
  <c r="E333" i="126" s="1"/>
  <c r="AN332" i="126"/>
  <c r="AM332" i="126"/>
  <c r="AL332" i="126"/>
  <c r="AK332" i="126"/>
  <c r="AJ332" i="126"/>
  <c r="W332" i="126"/>
  <c r="H332" i="126" s="1"/>
  <c r="AN331" i="126"/>
  <c r="AM331" i="126"/>
  <c r="AL331" i="126"/>
  <c r="AK331" i="126"/>
  <c r="AJ331" i="126"/>
  <c r="W331" i="126"/>
  <c r="AO331" i="126" s="1"/>
  <c r="AN330" i="126"/>
  <c r="AM330" i="126"/>
  <c r="AL330" i="126"/>
  <c r="AK330" i="126"/>
  <c r="AJ330" i="126"/>
  <c r="AN329" i="126"/>
  <c r="AM329" i="126"/>
  <c r="AL329" i="126"/>
  <c r="AK329" i="126"/>
  <c r="AJ329" i="126"/>
  <c r="W329" i="126"/>
  <c r="AO329" i="126" s="1"/>
  <c r="AN328" i="126"/>
  <c r="AM328" i="126"/>
  <c r="AL328" i="126"/>
  <c r="AK328" i="126"/>
  <c r="AJ328" i="126"/>
  <c r="W328" i="126"/>
  <c r="AO328" i="126" s="1"/>
  <c r="AN327" i="126"/>
  <c r="AM327" i="126"/>
  <c r="AL327" i="126"/>
  <c r="AK327" i="126"/>
  <c r="AJ327" i="126"/>
  <c r="W327" i="126"/>
  <c r="H327" i="126" s="1"/>
  <c r="AI327" i="126" s="1"/>
  <c r="AN326" i="126"/>
  <c r="AM326" i="126"/>
  <c r="AL326" i="126"/>
  <c r="AK326" i="126"/>
  <c r="AJ326" i="126"/>
  <c r="W326" i="126"/>
  <c r="AN325" i="126"/>
  <c r="AM325" i="126"/>
  <c r="AL325" i="126"/>
  <c r="AK325" i="126"/>
  <c r="AJ325" i="126"/>
  <c r="W325" i="126"/>
  <c r="AO325" i="126" s="1"/>
  <c r="AN324" i="126"/>
  <c r="AM324" i="126"/>
  <c r="AL324" i="126"/>
  <c r="AK324" i="126"/>
  <c r="AJ324" i="126"/>
  <c r="W324" i="126"/>
  <c r="AO324" i="126" s="1"/>
  <c r="AN323" i="126"/>
  <c r="AM323" i="126"/>
  <c r="AL323" i="126"/>
  <c r="AK323" i="126"/>
  <c r="AJ323" i="126"/>
  <c r="W323" i="126"/>
  <c r="AN322" i="126"/>
  <c r="AM322" i="126"/>
  <c r="AL322" i="126"/>
  <c r="AK322" i="126"/>
  <c r="AJ322" i="126"/>
  <c r="W322" i="126"/>
  <c r="AN321" i="126"/>
  <c r="AM321" i="126"/>
  <c r="AL321" i="126"/>
  <c r="AK321" i="126"/>
  <c r="AJ321" i="126"/>
  <c r="W321" i="126"/>
  <c r="AO321" i="126" s="1"/>
  <c r="AN320" i="126"/>
  <c r="AM320" i="126"/>
  <c r="AL320" i="126"/>
  <c r="AK320" i="126"/>
  <c r="AJ320" i="126"/>
  <c r="W320" i="126"/>
  <c r="AO320" i="126" s="1"/>
  <c r="AN319" i="126"/>
  <c r="AM319" i="126"/>
  <c r="AL319" i="126"/>
  <c r="AK319" i="126"/>
  <c r="AJ319" i="126"/>
  <c r="W319" i="126"/>
  <c r="H319" i="126" s="1"/>
  <c r="AI319" i="126" s="1"/>
  <c r="AN318" i="126"/>
  <c r="AM318" i="126"/>
  <c r="AL318" i="126"/>
  <c r="AK318" i="126"/>
  <c r="AJ318" i="126"/>
  <c r="W318" i="126"/>
  <c r="AN317" i="126"/>
  <c r="AM317" i="126"/>
  <c r="AL317" i="126"/>
  <c r="AK317" i="126"/>
  <c r="AJ317" i="126"/>
  <c r="W317" i="126"/>
  <c r="AO317" i="126" s="1"/>
  <c r="AN316" i="126"/>
  <c r="AM316" i="126"/>
  <c r="AL316" i="126"/>
  <c r="AK316" i="126"/>
  <c r="AJ316" i="126"/>
  <c r="W316" i="126"/>
  <c r="AO316" i="126" s="1"/>
  <c r="AN315" i="126"/>
  <c r="AM315" i="126"/>
  <c r="AL315" i="126"/>
  <c r="AK315" i="126"/>
  <c r="AJ315" i="126"/>
  <c r="W315" i="126"/>
  <c r="H315" i="126" s="1"/>
  <c r="AI315" i="126" s="1"/>
  <c r="AN314" i="126"/>
  <c r="AM314" i="126"/>
  <c r="AL314" i="126"/>
  <c r="AK314" i="126"/>
  <c r="AJ314" i="126"/>
  <c r="W314" i="126"/>
  <c r="AN313" i="126"/>
  <c r="AM313" i="126"/>
  <c r="AL313" i="126"/>
  <c r="AK313" i="126"/>
  <c r="AJ313" i="126"/>
  <c r="W313" i="126"/>
  <c r="AO313" i="126" s="1"/>
  <c r="AN312" i="126"/>
  <c r="AM312" i="126"/>
  <c r="AL312" i="126"/>
  <c r="AK312" i="126"/>
  <c r="AJ312" i="126"/>
  <c r="W312" i="126"/>
  <c r="H312" i="126" s="1"/>
  <c r="AN311" i="126"/>
  <c r="AM311" i="126"/>
  <c r="AL311" i="126"/>
  <c r="AK311" i="126"/>
  <c r="AJ311" i="126"/>
  <c r="W311" i="126"/>
  <c r="H311" i="126" s="1"/>
  <c r="AI311" i="126" s="1"/>
  <c r="AN310" i="126"/>
  <c r="AM310" i="126"/>
  <c r="AL310" i="126"/>
  <c r="AK310" i="126"/>
  <c r="AJ310" i="126"/>
  <c r="W310" i="126"/>
  <c r="AN309" i="126"/>
  <c r="AM309" i="126"/>
  <c r="AL309" i="126"/>
  <c r="AK309" i="126"/>
  <c r="AJ309" i="126"/>
  <c r="W309" i="126"/>
  <c r="AN308" i="126"/>
  <c r="AM308" i="126"/>
  <c r="AL308" i="126"/>
  <c r="AK308" i="126"/>
  <c r="AJ308" i="126"/>
  <c r="W308" i="126"/>
  <c r="AO308" i="126" s="1"/>
  <c r="AN307" i="126"/>
  <c r="AM307" i="126"/>
  <c r="AL307" i="126"/>
  <c r="AK307" i="126"/>
  <c r="AJ307" i="126"/>
  <c r="W307" i="126"/>
  <c r="H307" i="126" s="1"/>
  <c r="AI307" i="126" s="1"/>
  <c r="AN306" i="126"/>
  <c r="AM306" i="126"/>
  <c r="AL306" i="126"/>
  <c r="AK306" i="126"/>
  <c r="AJ306" i="126"/>
  <c r="W306" i="126"/>
  <c r="AN305" i="126"/>
  <c r="AM305" i="126"/>
  <c r="AL305" i="126"/>
  <c r="AK305" i="126"/>
  <c r="AJ305" i="126"/>
  <c r="W305" i="126"/>
  <c r="AO305" i="126" s="1"/>
  <c r="AN304" i="126"/>
  <c r="AM304" i="126"/>
  <c r="AL304" i="126"/>
  <c r="AK304" i="126"/>
  <c r="AJ304" i="126"/>
  <c r="AN303" i="126"/>
  <c r="AM303" i="126"/>
  <c r="AL303" i="126"/>
  <c r="AK303" i="126"/>
  <c r="AJ303" i="126"/>
  <c r="Z303" i="126"/>
  <c r="W303" i="126" s="1"/>
  <c r="AN302" i="126"/>
  <c r="AM302" i="126"/>
  <c r="AL302" i="126"/>
  <c r="AK302" i="126"/>
  <c r="AJ302" i="126"/>
  <c r="W302" i="126"/>
  <c r="AO302" i="126" s="1"/>
  <c r="AN301" i="126"/>
  <c r="AM301" i="126"/>
  <c r="AL301" i="126"/>
  <c r="AK301" i="126"/>
  <c r="AJ301" i="126"/>
  <c r="W301" i="126"/>
  <c r="AO301" i="126" s="1"/>
  <c r="AN300" i="126"/>
  <c r="AM300" i="126"/>
  <c r="AL300" i="126"/>
  <c r="AK300" i="126"/>
  <c r="AJ300" i="126"/>
  <c r="W300" i="126"/>
  <c r="H300" i="126" s="1"/>
  <c r="AI300" i="126" s="1"/>
  <c r="AN299" i="126"/>
  <c r="AM299" i="126"/>
  <c r="AL299" i="126"/>
  <c r="AK299" i="126"/>
  <c r="AJ299" i="126"/>
  <c r="W299" i="126"/>
  <c r="AN298" i="126"/>
  <c r="AM298" i="126"/>
  <c r="AL298" i="126"/>
  <c r="AK298" i="126"/>
  <c r="AJ298" i="126"/>
  <c r="Z298" i="126"/>
  <c r="W298" i="126" s="1"/>
  <c r="AN297" i="126"/>
  <c r="AM297" i="126"/>
  <c r="AL297" i="126"/>
  <c r="AK297" i="126"/>
  <c r="AJ297" i="126"/>
  <c r="Z297" i="126"/>
  <c r="W297" i="126"/>
  <c r="AN296" i="126"/>
  <c r="AM296" i="126"/>
  <c r="AL296" i="126"/>
  <c r="AK296" i="126"/>
  <c r="AJ296" i="126"/>
  <c r="Z296" i="126"/>
  <c r="W296" i="126" s="1"/>
  <c r="AA295" i="126"/>
  <c r="V295" i="126"/>
  <c r="U295" i="126"/>
  <c r="T295" i="126"/>
  <c r="S295" i="126"/>
  <c r="R295" i="126"/>
  <c r="Q295" i="126"/>
  <c r="P295" i="126"/>
  <c r="O295" i="126"/>
  <c r="N295" i="126"/>
  <c r="M295" i="126"/>
  <c r="L295" i="126"/>
  <c r="K295" i="126"/>
  <c r="J295" i="126"/>
  <c r="I295" i="126"/>
  <c r="AN294" i="126"/>
  <c r="AM294" i="126"/>
  <c r="AL294" i="126"/>
  <c r="AK294" i="126"/>
  <c r="AJ294" i="126"/>
  <c r="Z294" i="126"/>
  <c r="W294" i="126" s="1"/>
  <c r="AO294" i="126" s="1"/>
  <c r="AN293" i="126"/>
  <c r="AM293" i="126"/>
  <c r="AL293" i="126"/>
  <c r="AK293" i="126"/>
  <c r="AJ293" i="126"/>
  <c r="Z293" i="126"/>
  <c r="W293" i="126" s="1"/>
  <c r="H293" i="126" s="1"/>
  <c r="AA292" i="126"/>
  <c r="Y292" i="126"/>
  <c r="X292" i="126"/>
  <c r="V292" i="126"/>
  <c r="U292" i="126"/>
  <c r="T292" i="126"/>
  <c r="S292" i="126"/>
  <c r="R292" i="126"/>
  <c r="Q292" i="126"/>
  <c r="P292" i="126"/>
  <c r="O292" i="126"/>
  <c r="N292" i="126"/>
  <c r="M292" i="126"/>
  <c r="L292" i="126"/>
  <c r="K292" i="126"/>
  <c r="J292" i="126"/>
  <c r="I292" i="126"/>
  <c r="AN291" i="126"/>
  <c r="AM291" i="126"/>
  <c r="AL291" i="126"/>
  <c r="AK291" i="126"/>
  <c r="AJ291" i="126"/>
  <c r="W290" i="126"/>
  <c r="AO290" i="126" s="1"/>
  <c r="T290" i="126"/>
  <c r="AN290" i="126" s="1"/>
  <c r="M290" i="126"/>
  <c r="AL290" i="126" s="1"/>
  <c r="L290" i="126"/>
  <c r="AK290" i="126" s="1"/>
  <c r="AD287" i="126"/>
  <c r="AD286" i="126" s="1"/>
  <c r="W289" i="126"/>
  <c r="AO289" i="126" s="1"/>
  <c r="T289" i="126"/>
  <c r="AN289" i="126" s="1"/>
  <c r="S289" i="126"/>
  <c r="P289" i="126" s="1"/>
  <c r="AM289" i="126" s="1"/>
  <c r="W288" i="126"/>
  <c r="AO288" i="126" s="1"/>
  <c r="T288" i="126"/>
  <c r="AN288" i="126" s="1"/>
  <c r="S288" i="126"/>
  <c r="M288" i="126"/>
  <c r="L288" i="126"/>
  <c r="AC287" i="126"/>
  <c r="AC286" i="126" s="1"/>
  <c r="AB287" i="126"/>
  <c r="AB286" i="126" s="1"/>
  <c r="AA287" i="126"/>
  <c r="Z287" i="126"/>
  <c r="Z286" i="126" s="1"/>
  <c r="V287" i="126"/>
  <c r="V286" i="126" s="1"/>
  <c r="U287" i="126"/>
  <c r="U286" i="126" s="1"/>
  <c r="N287" i="126"/>
  <c r="N286" i="126" s="1"/>
  <c r="J287" i="126"/>
  <c r="D287" i="126"/>
  <c r="D286" i="126" s="1"/>
  <c r="AO285" i="126"/>
  <c r="AN285" i="126"/>
  <c r="AM285" i="126"/>
  <c r="AL285" i="126"/>
  <c r="AK285" i="126"/>
  <c r="AJ285" i="126"/>
  <c r="AI285" i="126"/>
  <c r="AH285" i="126"/>
  <c r="E285" i="126"/>
  <c r="AP285" i="126" s="1"/>
  <c r="AK284" i="126"/>
  <c r="W284" i="126"/>
  <c r="AO284" i="126" s="1"/>
  <c r="T284" i="126"/>
  <c r="AN284" i="126" s="1"/>
  <c r="S284" i="126"/>
  <c r="M284" i="126"/>
  <c r="AL284" i="126" s="1"/>
  <c r="W283" i="126"/>
  <c r="AO283" i="126" s="1"/>
  <c r="T283" i="126"/>
  <c r="AN283" i="126" s="1"/>
  <c r="M283" i="126"/>
  <c r="L283" i="126"/>
  <c r="L282" i="126" s="1"/>
  <c r="AD282" i="126"/>
  <c r="AC282" i="126"/>
  <c r="AB282" i="126"/>
  <c r="AA282" i="126"/>
  <c r="Z282" i="126"/>
  <c r="V282" i="126"/>
  <c r="U282" i="126"/>
  <c r="O282" i="126"/>
  <c r="N282" i="126"/>
  <c r="K282" i="126"/>
  <c r="J282" i="126"/>
  <c r="D282" i="126"/>
  <c r="R281" i="126"/>
  <c r="AL280" i="126"/>
  <c r="AK280" i="126"/>
  <c r="AB280" i="126"/>
  <c r="W280" i="126"/>
  <c r="AO280" i="126" s="1"/>
  <c r="T280" i="126"/>
  <c r="P280" i="126" s="1"/>
  <c r="I280" i="126" s="1"/>
  <c r="AJ280" i="126" s="1"/>
  <c r="AL279" i="126"/>
  <c r="AK279" i="126"/>
  <c r="W279" i="126"/>
  <c r="AO279" i="126" s="1"/>
  <c r="T279" i="126"/>
  <c r="AL278" i="126"/>
  <c r="AK278" i="126"/>
  <c r="T278" i="126"/>
  <c r="P278" i="126" s="1"/>
  <c r="AL277" i="126"/>
  <c r="AK277" i="126"/>
  <c r="W277" i="126"/>
  <c r="AO277" i="126" s="1"/>
  <c r="T277" i="126"/>
  <c r="P277" i="126" s="1"/>
  <c r="AL276" i="126"/>
  <c r="AK276" i="126"/>
  <c r="W276" i="126"/>
  <c r="AO276" i="126" s="1"/>
  <c r="T276" i="126"/>
  <c r="AN276" i="126" s="1"/>
  <c r="AL275" i="126"/>
  <c r="AK275" i="126"/>
  <c r="Z275" i="126"/>
  <c r="T275" i="126"/>
  <c r="AN275" i="126" s="1"/>
  <c r="AL274" i="126"/>
  <c r="AK274" i="126"/>
  <c r="W274" i="126"/>
  <c r="AO274" i="126" s="1"/>
  <c r="T274" i="126"/>
  <c r="AN274" i="126" s="1"/>
  <c r="AL273" i="126"/>
  <c r="AK273" i="126"/>
  <c r="W273" i="126"/>
  <c r="AO273" i="126" s="1"/>
  <c r="T273" i="126"/>
  <c r="AN273" i="126" s="1"/>
  <c r="AL272" i="126"/>
  <c r="AK272" i="126"/>
  <c r="AB272" i="126"/>
  <c r="AB268" i="126" s="1"/>
  <c r="Z272" i="126"/>
  <c r="W272" i="126" s="1"/>
  <c r="AO272" i="126" s="1"/>
  <c r="T272" i="126"/>
  <c r="AN272" i="126" s="1"/>
  <c r="AL271" i="126"/>
  <c r="AK271" i="126"/>
  <c r="Z271" i="126"/>
  <c r="T271" i="126"/>
  <c r="P271" i="126" s="1"/>
  <c r="AL270" i="126"/>
  <c r="AK270" i="126"/>
  <c r="W270" i="126"/>
  <c r="AO270" i="126" s="1"/>
  <c r="T270" i="126"/>
  <c r="AL269" i="126"/>
  <c r="AK269" i="126"/>
  <c r="W269" i="126"/>
  <c r="AO269" i="126" s="1"/>
  <c r="T269" i="126"/>
  <c r="AN269" i="126" s="1"/>
  <c r="AL268" i="126"/>
  <c r="AK268" i="126"/>
  <c r="AA268" i="126"/>
  <c r="T268" i="126"/>
  <c r="P268" i="126" s="1"/>
  <c r="I268" i="126" s="1"/>
  <c r="AJ268" i="126" s="1"/>
  <c r="AN267" i="126"/>
  <c r="AM267" i="126"/>
  <c r="AL267" i="126"/>
  <c r="AK267" i="126"/>
  <c r="AJ267" i="126"/>
  <c r="W267" i="126"/>
  <c r="AG266" i="126"/>
  <c r="W266" i="126"/>
  <c r="AO266" i="126" s="1"/>
  <c r="T266" i="126"/>
  <c r="AN266" i="126" s="1"/>
  <c r="M266" i="126"/>
  <c r="L266" i="126"/>
  <c r="AG265" i="126"/>
  <c r="W265" i="126"/>
  <c r="AO265" i="126" s="1"/>
  <c r="T265" i="126"/>
  <c r="AN265" i="126" s="1"/>
  <c r="M265" i="126"/>
  <c r="L265" i="126"/>
  <c r="AG264" i="126"/>
  <c r="W264" i="126"/>
  <c r="AO264" i="126" s="1"/>
  <c r="T264" i="126"/>
  <c r="AN264" i="126" s="1"/>
  <c r="M264" i="126"/>
  <c r="L264" i="126"/>
  <c r="AG263" i="126"/>
  <c r="W263" i="126"/>
  <c r="AO263" i="126" s="1"/>
  <c r="T263" i="126"/>
  <c r="AN263" i="126" s="1"/>
  <c r="M263" i="126"/>
  <c r="L263" i="126"/>
  <c r="AG262" i="126"/>
  <c r="W262" i="126"/>
  <c r="AO262" i="126" s="1"/>
  <c r="T262" i="126"/>
  <c r="AN262" i="126" s="1"/>
  <c r="M262" i="126"/>
  <c r="L262" i="126"/>
  <c r="AG261" i="126"/>
  <c r="W261" i="126"/>
  <c r="AO261" i="126" s="1"/>
  <c r="T261" i="126"/>
  <c r="AN261" i="126" s="1"/>
  <c r="M261" i="126"/>
  <c r="AG260" i="126"/>
  <c r="W260" i="126"/>
  <c r="AO260" i="126" s="1"/>
  <c r="T260" i="126"/>
  <c r="AN260" i="126" s="1"/>
  <c r="S260" i="126"/>
  <c r="M260" i="126"/>
  <c r="AL260" i="126" s="1"/>
  <c r="L260" i="126"/>
  <c r="AG259" i="126"/>
  <c r="W259" i="126"/>
  <c r="T259" i="126"/>
  <c r="AN259" i="126" s="1"/>
  <c r="L259" i="126"/>
  <c r="AG258" i="126"/>
  <c r="W258" i="126"/>
  <c r="AO258" i="126" s="1"/>
  <c r="T258" i="126"/>
  <c r="AN258" i="126" s="1"/>
  <c r="O256" i="126"/>
  <c r="AG257" i="126"/>
  <c r="W257" i="126"/>
  <c r="AO257" i="126" s="1"/>
  <c r="T257" i="126"/>
  <c r="S257" i="126"/>
  <c r="M257" i="126"/>
  <c r="AL257" i="126" s="1"/>
  <c r="L257" i="126"/>
  <c r="AG256" i="126"/>
  <c r="AA256" i="126"/>
  <c r="Z256" i="126"/>
  <c r="Y256" i="126"/>
  <c r="X256" i="126"/>
  <c r="V256" i="126"/>
  <c r="U256" i="126"/>
  <c r="AG255" i="126"/>
  <c r="W255" i="126"/>
  <c r="AO255" i="126" s="1"/>
  <c r="T255" i="126"/>
  <c r="AN255" i="126" s="1"/>
  <c r="S255" i="126"/>
  <c r="AP255" i="126" s="1"/>
  <c r="M255" i="126"/>
  <c r="AL255" i="126" s="1"/>
  <c r="L255" i="126"/>
  <c r="AG254" i="126"/>
  <c r="W254" i="126"/>
  <c r="AO254" i="126" s="1"/>
  <c r="T254" i="126"/>
  <c r="AN254" i="126" s="1"/>
  <c r="S254" i="126"/>
  <c r="AP254" i="126" s="1"/>
  <c r="M254" i="126"/>
  <c r="AL254" i="126" s="1"/>
  <c r="L254" i="126"/>
  <c r="AG253" i="126"/>
  <c r="W253" i="126"/>
  <c r="AO253" i="126" s="1"/>
  <c r="T253" i="126"/>
  <c r="AN253" i="126" s="1"/>
  <c r="S253" i="126"/>
  <c r="AP253" i="126" s="1"/>
  <c r="M253" i="126"/>
  <c r="AL253" i="126" s="1"/>
  <c r="L253" i="126"/>
  <c r="AG252" i="126"/>
  <c r="W252" i="126"/>
  <c r="AO252" i="126" s="1"/>
  <c r="T252" i="126"/>
  <c r="S252" i="126"/>
  <c r="M252" i="126"/>
  <c r="AL252" i="126" s="1"/>
  <c r="L252" i="126"/>
  <c r="AG251" i="126"/>
  <c r="AA251" i="126"/>
  <c r="Z251" i="126"/>
  <c r="Y251" i="126"/>
  <c r="X251" i="126"/>
  <c r="V251" i="126"/>
  <c r="U251" i="126"/>
  <c r="O251" i="126"/>
  <c r="N251" i="126"/>
  <c r="K251" i="126"/>
  <c r="J251" i="126"/>
  <c r="AD248" i="126"/>
  <c r="AD241" i="126" s="1"/>
  <c r="R250" i="126"/>
  <c r="R248" i="126" s="1"/>
  <c r="Q250" i="126"/>
  <c r="Q248" i="126" s="1"/>
  <c r="AO249" i="126"/>
  <c r="AN249" i="126"/>
  <c r="AM249" i="126"/>
  <c r="AL249" i="126"/>
  <c r="AK249" i="126"/>
  <c r="AJ249" i="126"/>
  <c r="AI249" i="126"/>
  <c r="AB248" i="126"/>
  <c r="AN247" i="126"/>
  <c r="AM247" i="126"/>
  <c r="AL247" i="126"/>
  <c r="AK247" i="126"/>
  <c r="AJ247" i="126"/>
  <c r="Z247" i="126"/>
  <c r="AN246" i="126"/>
  <c r="AM246" i="126"/>
  <c r="AL246" i="126"/>
  <c r="AK246" i="126"/>
  <c r="AJ246" i="126"/>
  <c r="W246" i="126"/>
  <c r="AN245" i="126"/>
  <c r="AM245" i="126"/>
  <c r="AL245" i="126"/>
  <c r="AK245" i="126"/>
  <c r="AJ245" i="126"/>
  <c r="Z245" i="126"/>
  <c r="AN244" i="126"/>
  <c r="AM244" i="126"/>
  <c r="AL244" i="126"/>
  <c r="AK244" i="126"/>
  <c r="AJ244" i="126"/>
  <c r="AN243" i="126"/>
  <c r="AM243" i="126"/>
  <c r="AL243" i="126"/>
  <c r="AK243" i="126"/>
  <c r="AJ243" i="126"/>
  <c r="AB242" i="126"/>
  <c r="AB241" i="126" s="1"/>
  <c r="X243" i="126"/>
  <c r="Z243" i="126" s="1"/>
  <c r="AC242" i="126"/>
  <c r="V242" i="126"/>
  <c r="U242" i="126"/>
  <c r="T242" i="126"/>
  <c r="S242" i="126"/>
  <c r="R242" i="126"/>
  <c r="Q242" i="126"/>
  <c r="P242" i="126"/>
  <c r="O242" i="126"/>
  <c r="N242" i="126"/>
  <c r="M242" i="126"/>
  <c r="L242" i="126"/>
  <c r="K242" i="126"/>
  <c r="J242" i="126"/>
  <c r="I242" i="126"/>
  <c r="D241" i="126"/>
  <c r="AL240" i="126"/>
  <c r="AK240" i="126"/>
  <c r="W240" i="126"/>
  <c r="T240" i="126"/>
  <c r="P240" i="126" s="1"/>
  <c r="AO239" i="126"/>
  <c r="AL239" i="126"/>
  <c r="AK239" i="126"/>
  <c r="T239" i="126"/>
  <c r="AN239" i="126" s="1"/>
  <c r="AB238" i="126"/>
  <c r="AA238" i="126"/>
  <c r="Z238" i="126"/>
  <c r="Y238" i="126"/>
  <c r="X238" i="126"/>
  <c r="V238" i="126"/>
  <c r="U238" i="126"/>
  <c r="T238" i="126"/>
  <c r="S238" i="126"/>
  <c r="R238" i="126"/>
  <c r="Q238" i="126"/>
  <c r="O238" i="126"/>
  <c r="N238" i="126"/>
  <c r="M238" i="126"/>
  <c r="L238" i="126"/>
  <c r="K238" i="126"/>
  <c r="J238" i="126"/>
  <c r="AK237" i="126"/>
  <c r="AD236" i="126"/>
  <c r="W237" i="126"/>
  <c r="AO237" i="126" s="1"/>
  <c r="T237" i="126"/>
  <c r="T236" i="126" s="1"/>
  <c r="M237" i="126"/>
  <c r="AL237" i="126" s="1"/>
  <c r="AC236" i="126"/>
  <c r="AB236" i="126"/>
  <c r="AA236" i="126"/>
  <c r="Z236" i="126"/>
  <c r="V236" i="126"/>
  <c r="U236" i="126"/>
  <c r="R236" i="126"/>
  <c r="O236" i="126"/>
  <c r="N236" i="126"/>
  <c r="L236" i="126"/>
  <c r="K236" i="126"/>
  <c r="J236" i="126"/>
  <c r="W235" i="126"/>
  <c r="AO235" i="126" s="1"/>
  <c r="T235" i="126"/>
  <c r="AN235" i="126" s="1"/>
  <c r="M235" i="126"/>
  <c r="AL235" i="126" s="1"/>
  <c r="L235" i="126"/>
  <c r="AK235" i="126" s="1"/>
  <c r="AD232" i="126"/>
  <c r="W234" i="126"/>
  <c r="AO234" i="126" s="1"/>
  <c r="T234" i="126"/>
  <c r="AN234" i="126" s="1"/>
  <c r="O232" i="126"/>
  <c r="AC232" i="126"/>
  <c r="W233" i="126"/>
  <c r="AO233" i="126" s="1"/>
  <c r="T233" i="126"/>
  <c r="AN233" i="126" s="1"/>
  <c r="M233" i="126"/>
  <c r="AL233" i="126" s="1"/>
  <c r="L233" i="126"/>
  <c r="AB232" i="126"/>
  <c r="AA232" i="126"/>
  <c r="V232" i="126"/>
  <c r="U232" i="126"/>
  <c r="N232" i="126"/>
  <c r="J232" i="126"/>
  <c r="D232" i="126"/>
  <c r="D231" i="126" s="1"/>
  <c r="Y230" i="126"/>
  <c r="Y229" i="126" s="1"/>
  <c r="X230" i="126"/>
  <c r="X229" i="126" s="1"/>
  <c r="AO228" i="126"/>
  <c r="AN228" i="126"/>
  <c r="AM228" i="126"/>
  <c r="AL228" i="126"/>
  <c r="AK228" i="126"/>
  <c r="AJ228" i="126"/>
  <c r="H228" i="126"/>
  <c r="AO227" i="126"/>
  <c r="AN227" i="126"/>
  <c r="AM227" i="126"/>
  <c r="AL227" i="126"/>
  <c r="AK227" i="126"/>
  <c r="AJ227" i="126"/>
  <c r="AB227" i="126"/>
  <c r="H227" i="126"/>
  <c r="AI227" i="126" s="1"/>
  <c r="AO226" i="126"/>
  <c r="AN226" i="126"/>
  <c r="AM226" i="126"/>
  <c r="AL226" i="126"/>
  <c r="AK226" i="126"/>
  <c r="AJ226" i="126"/>
  <c r="AB226" i="126"/>
  <c r="H226" i="126"/>
  <c r="AI226" i="126" s="1"/>
  <c r="AA225" i="126"/>
  <c r="Z225" i="126"/>
  <c r="Y225" i="126"/>
  <c r="X225" i="126"/>
  <c r="W225" i="126"/>
  <c r="V225" i="126"/>
  <c r="U225" i="126"/>
  <c r="T225" i="126"/>
  <c r="S225" i="126"/>
  <c r="R225" i="126"/>
  <c r="Q225" i="126"/>
  <c r="P225" i="126"/>
  <c r="O225" i="126"/>
  <c r="N225" i="126"/>
  <c r="M225" i="126"/>
  <c r="L225" i="126"/>
  <c r="K225" i="126"/>
  <c r="J225" i="126"/>
  <c r="I225" i="126"/>
  <c r="AL224" i="126"/>
  <c r="AK224" i="126"/>
  <c r="AJ224" i="126"/>
  <c r="Z224" i="126"/>
  <c r="W224" i="126" s="1"/>
  <c r="H224" i="126" s="1"/>
  <c r="T224" i="126"/>
  <c r="AL223" i="126"/>
  <c r="AK223" i="126"/>
  <c r="AJ223" i="126"/>
  <c r="Z223" i="126"/>
  <c r="T223" i="126"/>
  <c r="AN223" i="126" s="1"/>
  <c r="AL222" i="126"/>
  <c r="AK222" i="126"/>
  <c r="AJ222" i="126"/>
  <c r="T222" i="126"/>
  <c r="AM222" i="126" s="1"/>
  <c r="AN221" i="126"/>
  <c r="AM221" i="126"/>
  <c r="AL221" i="126"/>
  <c r="AK221" i="126"/>
  <c r="AJ221" i="126"/>
  <c r="W221" i="126"/>
  <c r="AO221" i="126" s="1"/>
  <c r="AN220" i="126"/>
  <c r="AM220" i="126"/>
  <c r="AL220" i="126"/>
  <c r="AK220" i="126"/>
  <c r="AJ220" i="126"/>
  <c r="W220" i="126"/>
  <c r="AN219" i="126"/>
  <c r="AM219" i="126"/>
  <c r="AL219" i="126"/>
  <c r="AK219" i="126"/>
  <c r="AJ219" i="126"/>
  <c r="W219" i="126"/>
  <c r="AO219" i="126" s="1"/>
  <c r="AN218" i="126"/>
  <c r="AM218" i="126"/>
  <c r="AL218" i="126"/>
  <c r="AK218" i="126"/>
  <c r="AJ218" i="126"/>
  <c r="W218" i="126"/>
  <c r="AO218" i="126" s="1"/>
  <c r="AN217" i="126"/>
  <c r="AM217" i="126"/>
  <c r="AL217" i="126"/>
  <c r="AK217" i="126"/>
  <c r="AJ217" i="126"/>
  <c r="W217" i="126"/>
  <c r="AO217" i="126" s="1"/>
  <c r="AN216" i="126"/>
  <c r="AM216" i="126"/>
  <c r="AL216" i="126"/>
  <c r="AK216" i="126"/>
  <c r="AJ216" i="126"/>
  <c r="W216" i="126"/>
  <c r="AN215" i="126"/>
  <c r="AM215" i="126"/>
  <c r="AL215" i="126"/>
  <c r="AK215" i="126"/>
  <c r="AJ215" i="126"/>
  <c r="AD214" i="126"/>
  <c r="Z215" i="126"/>
  <c r="Z214" i="126" s="1"/>
  <c r="W214" i="126" s="1"/>
  <c r="H214" i="126" s="1"/>
  <c r="AI214" i="126" s="1"/>
  <c r="AN214" i="126"/>
  <c r="AM214" i="126"/>
  <c r="AL214" i="126"/>
  <c r="AK214" i="126"/>
  <c r="AJ214" i="126"/>
  <c r="AC214" i="126"/>
  <c r="D214" i="126"/>
  <c r="AL213" i="126"/>
  <c r="AK213" i="126"/>
  <c r="W213" i="126"/>
  <c r="AO213" i="126" s="1"/>
  <c r="T213" i="126"/>
  <c r="AL212" i="126"/>
  <c r="AK212" i="126"/>
  <c r="W212" i="126"/>
  <c r="AO212" i="126" s="1"/>
  <c r="T212" i="126"/>
  <c r="AL211" i="126"/>
  <c r="AK211" i="126"/>
  <c r="W211" i="126"/>
  <c r="T211" i="126"/>
  <c r="AD210" i="126"/>
  <c r="AC210" i="126"/>
  <c r="AB210" i="126"/>
  <c r="AA210" i="126"/>
  <c r="Z210" i="126"/>
  <c r="Y210" i="126"/>
  <c r="X210" i="126"/>
  <c r="V210" i="126"/>
  <c r="U210" i="126"/>
  <c r="S210" i="126"/>
  <c r="R210" i="126"/>
  <c r="Q210" i="126"/>
  <c r="O210" i="126"/>
  <c r="N210" i="126"/>
  <c r="M210" i="126"/>
  <c r="L210" i="126"/>
  <c r="K210" i="126"/>
  <c r="J210" i="126"/>
  <c r="D210" i="126"/>
  <c r="AN209" i="126"/>
  <c r="AM209" i="126"/>
  <c r="AL209" i="126"/>
  <c r="AK209" i="126"/>
  <c r="AJ209" i="126"/>
  <c r="W209" i="126"/>
  <c r="AO209" i="126" s="1"/>
  <c r="AN208" i="126"/>
  <c r="AM208" i="126"/>
  <c r="AL208" i="126"/>
  <c r="AK208" i="126"/>
  <c r="AJ208" i="126"/>
  <c r="W208" i="126"/>
  <c r="H208" i="126" s="1"/>
  <c r="AI208" i="126" s="1"/>
  <c r="AN207" i="126"/>
  <c r="AM207" i="126"/>
  <c r="AL207" i="126"/>
  <c r="AK207" i="126"/>
  <c r="AJ207" i="126"/>
  <c r="W207" i="126"/>
  <c r="H207" i="126" s="1"/>
  <c r="AN206" i="126"/>
  <c r="AM206" i="126"/>
  <c r="AL206" i="126"/>
  <c r="AK206" i="126"/>
  <c r="AJ206" i="126"/>
  <c r="W206" i="126"/>
  <c r="AL205" i="126"/>
  <c r="AK205" i="126"/>
  <c r="W205" i="126"/>
  <c r="AO205" i="126" s="1"/>
  <c r="T205" i="126"/>
  <c r="P205" i="126" s="1"/>
  <c r="P204" i="126" s="1"/>
  <c r="AD204" i="126"/>
  <c r="AC204" i="126"/>
  <c r="AB204" i="126"/>
  <c r="AA204" i="126"/>
  <c r="Z204" i="126"/>
  <c r="Y204" i="126"/>
  <c r="X204" i="126"/>
  <c r="V204" i="126"/>
  <c r="U204" i="126"/>
  <c r="S204" i="126"/>
  <c r="R204" i="126"/>
  <c r="Q204" i="126"/>
  <c r="O204" i="126"/>
  <c r="N204" i="126"/>
  <c r="M204" i="126"/>
  <c r="L204" i="126"/>
  <c r="K204" i="126"/>
  <c r="J204" i="126"/>
  <c r="AL203" i="126"/>
  <c r="AK203" i="126"/>
  <c r="T203" i="126"/>
  <c r="AN203" i="126" s="1"/>
  <c r="AL202" i="126"/>
  <c r="AK202" i="126"/>
  <c r="T202" i="126"/>
  <c r="AL201" i="126"/>
  <c r="AK201" i="126"/>
  <c r="T201" i="126"/>
  <c r="AN201" i="126" s="1"/>
  <c r="AL200" i="126"/>
  <c r="AK200" i="126"/>
  <c r="Z200" i="126"/>
  <c r="T200" i="126"/>
  <c r="P200" i="126" s="1"/>
  <c r="AL199" i="126"/>
  <c r="AK199" i="126"/>
  <c r="W199" i="126"/>
  <c r="AO199" i="126" s="1"/>
  <c r="T199" i="126"/>
  <c r="AN199" i="126" s="1"/>
  <c r="AL198" i="126"/>
  <c r="AK198" i="126"/>
  <c r="AD197" i="126"/>
  <c r="AD183" i="126" s="1"/>
  <c r="AA200" i="126"/>
  <c r="T198" i="126"/>
  <c r="AN198" i="126" s="1"/>
  <c r="AC197" i="126"/>
  <c r="AB197" i="126"/>
  <c r="AA197" i="126"/>
  <c r="Z197" i="126"/>
  <c r="Y197" i="126"/>
  <c r="Y183" i="126" s="1"/>
  <c r="X197" i="126"/>
  <c r="X183" i="126" s="1"/>
  <c r="V197" i="126"/>
  <c r="V183" i="126" s="1"/>
  <c r="U197" i="126"/>
  <c r="U183" i="126" s="1"/>
  <c r="S197" i="126"/>
  <c r="S183" i="126" s="1"/>
  <c r="R197" i="126"/>
  <c r="R183" i="126" s="1"/>
  <c r="Q197" i="126"/>
  <c r="Q183" i="126" s="1"/>
  <c r="Q182" i="126" s="1"/>
  <c r="O197" i="126"/>
  <c r="O183" i="126" s="1"/>
  <c r="N197" i="126"/>
  <c r="N183" i="126" s="1"/>
  <c r="M197" i="126"/>
  <c r="M183" i="126" s="1"/>
  <c r="L197" i="126"/>
  <c r="L183" i="126" s="1"/>
  <c r="K197" i="126"/>
  <c r="J197" i="126"/>
  <c r="J183" i="126" s="1"/>
  <c r="AN196" i="126"/>
  <c r="AM196" i="126"/>
  <c r="AL196" i="126"/>
  <c r="AK196" i="126"/>
  <c r="AJ196" i="126"/>
  <c r="AN195" i="126"/>
  <c r="AM195" i="126"/>
  <c r="AL195" i="126"/>
  <c r="AK195" i="126"/>
  <c r="AJ195" i="126"/>
  <c r="W195" i="126"/>
  <c r="AN194" i="126"/>
  <c r="AM194" i="126"/>
  <c r="AL194" i="126"/>
  <c r="AK194" i="126"/>
  <c r="AJ194" i="126"/>
  <c r="W194" i="126"/>
  <c r="AL193" i="126"/>
  <c r="AK193" i="126"/>
  <c r="W193" i="126"/>
  <c r="AO193" i="126" s="1"/>
  <c r="T193" i="126"/>
  <c r="P193" i="126" s="1"/>
  <c r="AN192" i="126"/>
  <c r="AM192" i="126"/>
  <c r="AL192" i="126"/>
  <c r="AK192" i="126"/>
  <c r="AJ192" i="126"/>
  <c r="W192" i="126"/>
  <c r="AL191" i="126"/>
  <c r="AK191" i="126"/>
  <c r="W191" i="126"/>
  <c r="AO191" i="126" s="1"/>
  <c r="T191" i="126"/>
  <c r="AN191" i="126" s="1"/>
  <c r="AL190" i="126"/>
  <c r="AK190" i="126"/>
  <c r="W190" i="126"/>
  <c r="AO190" i="126" s="1"/>
  <c r="T190" i="126"/>
  <c r="P190" i="126" s="1"/>
  <c r="AL189" i="126"/>
  <c r="AK189" i="126"/>
  <c r="T189" i="126"/>
  <c r="P189" i="126" s="1"/>
  <c r="AL188" i="126"/>
  <c r="AK188" i="126"/>
  <c r="AB196" i="126"/>
  <c r="AB189" i="126" s="1"/>
  <c r="AB187" i="126" s="1"/>
  <c r="AB184" i="126" s="1"/>
  <c r="T188" i="126"/>
  <c r="AL187" i="126"/>
  <c r="AK187" i="126"/>
  <c r="T187" i="126"/>
  <c r="AN187" i="126" s="1"/>
  <c r="AL186" i="126"/>
  <c r="AK186" i="126"/>
  <c r="Y186" i="126"/>
  <c r="Z186" i="126" s="1"/>
  <c r="W186" i="126" s="1"/>
  <c r="AO186" i="126" s="1"/>
  <c r="T186" i="126"/>
  <c r="AL185" i="126"/>
  <c r="AK185" i="126"/>
  <c r="AC184" i="126"/>
  <c r="Z185" i="126"/>
  <c r="T185" i="126"/>
  <c r="AN185" i="126" s="1"/>
  <c r="AL184" i="126"/>
  <c r="AK184" i="126"/>
  <c r="AA184" i="126"/>
  <c r="T184" i="126"/>
  <c r="P184" i="126" s="1"/>
  <c r="D183" i="126"/>
  <c r="D182" i="126" s="1"/>
  <c r="AO181" i="126"/>
  <c r="AN181" i="126"/>
  <c r="AM181" i="126"/>
  <c r="AL181" i="126"/>
  <c r="AK181" i="126"/>
  <c r="AJ181" i="126"/>
  <c r="AI181" i="126"/>
  <c r="AH181" i="126"/>
  <c r="E181" i="126"/>
  <c r="AP181" i="126" s="1"/>
  <c r="AK180" i="126"/>
  <c r="W180" i="126"/>
  <c r="AO180" i="126" s="1"/>
  <c r="T180" i="126"/>
  <c r="S180" i="126"/>
  <c r="M180" i="126"/>
  <c r="AL180" i="126" s="1"/>
  <c r="W179" i="126"/>
  <c r="AO179" i="126" s="1"/>
  <c r="T179" i="126"/>
  <c r="AN179" i="126" s="1"/>
  <c r="S179" i="126"/>
  <c r="M179" i="126"/>
  <c r="AL179" i="126" s="1"/>
  <c r="L179" i="126"/>
  <c r="AD178" i="126"/>
  <c r="AC178" i="126"/>
  <c r="AB178" i="126"/>
  <c r="AA178" i="126"/>
  <c r="Z178" i="126"/>
  <c r="V178" i="126"/>
  <c r="U178" i="126"/>
  <c r="O178" i="126"/>
  <c r="N178" i="126"/>
  <c r="K178" i="126"/>
  <c r="J178" i="126"/>
  <c r="D178" i="126"/>
  <c r="AN175" i="126"/>
  <c r="AM175" i="126"/>
  <c r="AL175" i="126"/>
  <c r="AK175" i="126"/>
  <c r="AJ175" i="126"/>
  <c r="W175" i="126"/>
  <c r="AO175" i="126" s="1"/>
  <c r="AN174" i="126"/>
  <c r="AM174" i="126"/>
  <c r="AL174" i="126"/>
  <c r="AK174" i="126"/>
  <c r="AJ174" i="126"/>
  <c r="AN173" i="126"/>
  <c r="AM173" i="126"/>
  <c r="AL173" i="126"/>
  <c r="AK173" i="126"/>
  <c r="AJ173" i="126"/>
  <c r="Z173" i="126"/>
  <c r="W173" i="126" s="1"/>
  <c r="AN172" i="126"/>
  <c r="AM172" i="126"/>
  <c r="AL172" i="126"/>
  <c r="AK172" i="126"/>
  <c r="AJ172" i="126"/>
  <c r="W172" i="126"/>
  <c r="AN171" i="126"/>
  <c r="AM171" i="126"/>
  <c r="AL171" i="126"/>
  <c r="AK171" i="126"/>
  <c r="AJ171" i="126"/>
  <c r="W171" i="126"/>
  <c r="AN170" i="126"/>
  <c r="AM170" i="126"/>
  <c r="AL170" i="126"/>
  <c r="AK170" i="126"/>
  <c r="AJ170" i="126"/>
  <c r="W170" i="126"/>
  <c r="AN169" i="126"/>
  <c r="AM169" i="126"/>
  <c r="AL169" i="126"/>
  <c r="AK169" i="126"/>
  <c r="AJ169" i="126"/>
  <c r="W169" i="126"/>
  <c r="AN168" i="126"/>
  <c r="AM168" i="126"/>
  <c r="AL168" i="126"/>
  <c r="AK168" i="126"/>
  <c r="AJ168" i="126"/>
  <c r="W168" i="126"/>
  <c r="AN167" i="126"/>
  <c r="AM167" i="126"/>
  <c r="AL167" i="126"/>
  <c r="AK167" i="126"/>
  <c r="AJ167" i="126"/>
  <c r="W167" i="126"/>
  <c r="AL166" i="126"/>
  <c r="AK166" i="126"/>
  <c r="W166" i="126"/>
  <c r="AO166" i="126" s="1"/>
  <c r="T166" i="126"/>
  <c r="AN165" i="126"/>
  <c r="AM165" i="126"/>
  <c r="AL165" i="126"/>
  <c r="AK165" i="126"/>
  <c r="AJ165" i="126"/>
  <c r="Z165" i="126"/>
  <c r="W165" i="126" s="1"/>
  <c r="AN164" i="126"/>
  <c r="AM164" i="126"/>
  <c r="AL164" i="126"/>
  <c r="AK164" i="126"/>
  <c r="AJ164" i="126"/>
  <c r="W164" i="126"/>
  <c r="AO164" i="126" s="1"/>
  <c r="H164" i="126"/>
  <c r="AN163" i="126"/>
  <c r="AM163" i="126"/>
  <c r="AL163" i="126"/>
  <c r="AK163" i="126"/>
  <c r="AJ163" i="126"/>
  <c r="W163" i="126"/>
  <c r="AL162" i="126"/>
  <c r="AK162" i="126"/>
  <c r="Z162" i="126"/>
  <c r="T162" i="126"/>
  <c r="AD160" i="126"/>
  <c r="AD159" i="126" s="1"/>
  <c r="W161" i="126"/>
  <c r="AO161" i="126" s="1"/>
  <c r="T161" i="126"/>
  <c r="T160" i="126" s="1"/>
  <c r="O160" i="126"/>
  <c r="O159" i="126" s="1"/>
  <c r="AC160" i="126"/>
  <c r="AC159" i="126" s="1"/>
  <c r="AB160" i="126"/>
  <c r="AB159" i="126" s="1"/>
  <c r="AA160" i="126"/>
  <c r="Z160" i="126"/>
  <c r="V160" i="126"/>
  <c r="V159" i="126" s="1"/>
  <c r="U160" i="126"/>
  <c r="N160" i="126"/>
  <c r="N159" i="126" s="1"/>
  <c r="J160" i="126"/>
  <c r="J159" i="126" s="1"/>
  <c r="D160" i="126"/>
  <c r="D159" i="126" s="1"/>
  <c r="U159" i="126"/>
  <c r="AL158" i="126"/>
  <c r="AK158" i="126"/>
  <c r="W158" i="126"/>
  <c r="AO158" i="126" s="1"/>
  <c r="T158" i="126"/>
  <c r="AN158" i="126" s="1"/>
  <c r="AB157" i="126"/>
  <c r="AA157" i="126"/>
  <c r="Z157" i="126"/>
  <c r="Y157" i="126"/>
  <c r="X157" i="126"/>
  <c r="V157" i="126"/>
  <c r="U157" i="126"/>
  <c r="S157" i="126"/>
  <c r="R157" i="126"/>
  <c r="Q157" i="126"/>
  <c r="O157" i="126"/>
  <c r="N157" i="126"/>
  <c r="M157" i="126"/>
  <c r="L157" i="126"/>
  <c r="K157" i="126"/>
  <c r="J157" i="126"/>
  <c r="AK156" i="126"/>
  <c r="W156" i="126"/>
  <c r="T156" i="126"/>
  <c r="S156" i="126"/>
  <c r="M156" i="126"/>
  <c r="AL156" i="126" s="1"/>
  <c r="AC155" i="126"/>
  <c r="AB155" i="126"/>
  <c r="AA155" i="126"/>
  <c r="Z155" i="126"/>
  <c r="V155" i="126"/>
  <c r="V153" i="126" s="1"/>
  <c r="U155" i="126"/>
  <c r="R155" i="126"/>
  <c r="Q155" i="126"/>
  <c r="O155" i="126"/>
  <c r="N155" i="126"/>
  <c r="L155" i="126"/>
  <c r="K155" i="126"/>
  <c r="J155" i="126"/>
  <c r="W154" i="126"/>
  <c r="AO154" i="126" s="1"/>
  <c r="T154" i="126"/>
  <c r="AC153" i="126"/>
  <c r="D153" i="126"/>
  <c r="AN151" i="126"/>
  <c r="AM151" i="126"/>
  <c r="AL151" i="126"/>
  <c r="AK151" i="126"/>
  <c r="AJ151" i="126"/>
  <c r="W151" i="126"/>
  <c r="AN150" i="126"/>
  <c r="AM150" i="126"/>
  <c r="AL150" i="126"/>
  <c r="AK150" i="126"/>
  <c r="AJ150" i="126"/>
  <c r="AN149" i="126"/>
  <c r="AM149" i="126"/>
  <c r="AL149" i="126"/>
  <c r="AK149" i="126"/>
  <c r="AJ149" i="126"/>
  <c r="W149" i="126"/>
  <c r="H149" i="126" s="1"/>
  <c r="AI149" i="126" s="1"/>
  <c r="AN148" i="126"/>
  <c r="AM148" i="126"/>
  <c r="AL148" i="126"/>
  <c r="AK148" i="126"/>
  <c r="AJ148" i="126"/>
  <c r="W148" i="126"/>
  <c r="AN147" i="126"/>
  <c r="AM147" i="126"/>
  <c r="AL147" i="126"/>
  <c r="AK147" i="126"/>
  <c r="AJ147" i="126"/>
  <c r="W147" i="126"/>
  <c r="AO147" i="126" s="1"/>
  <c r="AN146" i="126"/>
  <c r="AM146" i="126"/>
  <c r="AL146" i="126"/>
  <c r="AK146" i="126"/>
  <c r="AJ146" i="126"/>
  <c r="W146" i="126"/>
  <c r="AN145" i="126"/>
  <c r="AM145" i="126"/>
  <c r="AL145" i="126"/>
  <c r="AK145" i="126"/>
  <c r="AJ145" i="126"/>
  <c r="W145" i="126"/>
  <c r="H145" i="126" s="1"/>
  <c r="AI145" i="126" s="1"/>
  <c r="AN144" i="126"/>
  <c r="AM144" i="126"/>
  <c r="AL144" i="126"/>
  <c r="AK144" i="126"/>
  <c r="AJ144" i="126"/>
  <c r="Z144" i="126"/>
  <c r="AN143" i="126"/>
  <c r="AM143" i="126"/>
  <c r="AL143" i="126"/>
  <c r="AK143" i="126"/>
  <c r="AJ143" i="126"/>
  <c r="Z143" i="126"/>
  <c r="AL142" i="126"/>
  <c r="AK142" i="126"/>
  <c r="T142" i="126"/>
  <c r="P142" i="126" s="1"/>
  <c r="AC140" i="126"/>
  <c r="AC139" i="126" s="1"/>
  <c r="AB140" i="126"/>
  <c r="AB139" i="126" s="1"/>
  <c r="W141" i="126"/>
  <c r="AO141" i="126" s="1"/>
  <c r="T141" i="126"/>
  <c r="AN141" i="126" s="1"/>
  <c r="O140" i="126"/>
  <c r="O139" i="126" s="1"/>
  <c r="AD140" i="126"/>
  <c r="AD139" i="126" s="1"/>
  <c r="AA140" i="126"/>
  <c r="Z140" i="126"/>
  <c r="Z139" i="126" s="1"/>
  <c r="V140" i="126"/>
  <c r="V139" i="126" s="1"/>
  <c r="U140" i="126"/>
  <c r="U139" i="126" s="1"/>
  <c r="K140" i="126"/>
  <c r="K139" i="126" s="1"/>
  <c r="D140" i="126"/>
  <c r="D139" i="126" s="1"/>
  <c r="R139" i="126"/>
  <c r="Q139" i="126"/>
  <c r="AN138" i="126"/>
  <c r="AM138" i="126"/>
  <c r="AL138" i="126"/>
  <c r="AK138" i="126"/>
  <c r="AJ138" i="126"/>
  <c r="W138" i="126"/>
  <c r="AO138" i="126" s="1"/>
  <c r="AN137" i="126"/>
  <c r="AM137" i="126"/>
  <c r="AL137" i="126"/>
  <c r="AK137" i="126"/>
  <c r="AJ137" i="126"/>
  <c r="Z137" i="126"/>
  <c r="W137" i="126" s="1"/>
  <c r="H137" i="126" s="1"/>
  <c r="AN136" i="126"/>
  <c r="AM136" i="126"/>
  <c r="AL136" i="126"/>
  <c r="AK136" i="126"/>
  <c r="AJ136" i="126"/>
  <c r="W136" i="126"/>
  <c r="H136" i="126" s="1"/>
  <c r="AI136" i="126" s="1"/>
  <c r="AN135" i="126"/>
  <c r="AM135" i="126"/>
  <c r="AL135" i="126"/>
  <c r="AK135" i="126"/>
  <c r="AJ135" i="126"/>
  <c r="W135" i="126"/>
  <c r="H135" i="126" s="1"/>
  <c r="AI135" i="126" s="1"/>
  <c r="AN134" i="126"/>
  <c r="AM134" i="126"/>
  <c r="AL134" i="126"/>
  <c r="AK134" i="126"/>
  <c r="AJ134" i="126"/>
  <c r="W134" i="126"/>
  <c r="AO134" i="126" s="1"/>
  <c r="AN133" i="126"/>
  <c r="AM133" i="126"/>
  <c r="AL133" i="126"/>
  <c r="AK133" i="126"/>
  <c r="AJ133" i="126"/>
  <c r="W133" i="126"/>
  <c r="AO133" i="126" s="1"/>
  <c r="AL132" i="126"/>
  <c r="AK132" i="126"/>
  <c r="AA132" i="126"/>
  <c r="W132" i="126" s="1"/>
  <c r="AO132" i="126" s="1"/>
  <c r="T132" i="126"/>
  <c r="AN132" i="126" s="1"/>
  <c r="W131" i="126"/>
  <c r="T131" i="126"/>
  <c r="AN131" i="126" s="1"/>
  <c r="M131" i="126"/>
  <c r="AL131" i="126" s="1"/>
  <c r="L131" i="126"/>
  <c r="AD128" i="126"/>
  <c r="AD127" i="126" s="1"/>
  <c r="W130" i="126"/>
  <c r="AO130" i="126" s="1"/>
  <c r="T130" i="126"/>
  <c r="AN130" i="126" s="1"/>
  <c r="O128" i="126"/>
  <c r="O127" i="126" s="1"/>
  <c r="L130" i="126"/>
  <c r="K128" i="126"/>
  <c r="K127" i="126" s="1"/>
  <c r="AN129" i="126"/>
  <c r="AC128" i="126"/>
  <c r="AC127" i="126" s="1"/>
  <c r="AB128" i="126"/>
  <c r="AB127" i="126" s="1"/>
  <c r="W129" i="126"/>
  <c r="AO129" i="126" s="1"/>
  <c r="M129" i="126"/>
  <c r="AA128" i="126"/>
  <c r="Z128" i="126"/>
  <c r="Z127" i="126" s="1"/>
  <c r="V128" i="126"/>
  <c r="V127" i="126" s="1"/>
  <c r="U128" i="126"/>
  <c r="U127" i="126" s="1"/>
  <c r="N128" i="126"/>
  <c r="N127" i="126" s="1"/>
  <c r="J128" i="126"/>
  <c r="D128" i="126"/>
  <c r="D127" i="126" s="1"/>
  <c r="AL126" i="126"/>
  <c r="AK126" i="126"/>
  <c r="W126" i="126"/>
  <c r="AO126" i="126" s="1"/>
  <c r="AL125" i="126"/>
  <c r="AK125" i="126"/>
  <c r="W125" i="126"/>
  <c r="AO125" i="126" s="1"/>
  <c r="AE124" i="126"/>
  <c r="AD124" i="126"/>
  <c r="AC124" i="126"/>
  <c r="AB124" i="126"/>
  <c r="AA124" i="126"/>
  <c r="Z124" i="126"/>
  <c r="Y124" i="126"/>
  <c r="X124" i="126"/>
  <c r="V124" i="126"/>
  <c r="U124" i="126"/>
  <c r="S124" i="126"/>
  <c r="R124" i="126"/>
  <c r="Q124" i="126"/>
  <c r="O124" i="126"/>
  <c r="N124" i="126"/>
  <c r="M124" i="126"/>
  <c r="L124" i="126"/>
  <c r="K124" i="126"/>
  <c r="J124" i="126"/>
  <c r="AK123" i="126"/>
  <c r="W123" i="126"/>
  <c r="AO123" i="126" s="1"/>
  <c r="T123" i="126"/>
  <c r="Q122" i="126"/>
  <c r="M123" i="126"/>
  <c r="AL123" i="126" s="1"/>
  <c r="AC122" i="126"/>
  <c r="AB122" i="126"/>
  <c r="AA122" i="126"/>
  <c r="Z122" i="126"/>
  <c r="V122" i="126"/>
  <c r="U122" i="126"/>
  <c r="R122" i="126"/>
  <c r="O122" i="126"/>
  <c r="N122" i="126"/>
  <c r="L122" i="126"/>
  <c r="K122" i="126"/>
  <c r="J122" i="126"/>
  <c r="AD120" i="126"/>
  <c r="W121" i="126"/>
  <c r="AO121" i="126" s="1"/>
  <c r="T121" i="126"/>
  <c r="T120" i="126" s="1"/>
  <c r="M121" i="126"/>
  <c r="L121" i="126"/>
  <c r="L120" i="126" s="1"/>
  <c r="AC120" i="126"/>
  <c r="AB120" i="126"/>
  <c r="AA120" i="126"/>
  <c r="Z120" i="126"/>
  <c r="Y120" i="126"/>
  <c r="X120" i="126"/>
  <c r="V120" i="126"/>
  <c r="U120" i="126"/>
  <c r="O120" i="126"/>
  <c r="N120" i="126"/>
  <c r="K120" i="126"/>
  <c r="J120" i="126"/>
  <c r="D120" i="126"/>
  <c r="D119" i="126" s="1"/>
  <c r="AL117" i="126"/>
  <c r="AK117" i="126"/>
  <c r="W117" i="126"/>
  <c r="AO117" i="126" s="1"/>
  <c r="T117" i="126"/>
  <c r="P117" i="126" s="1"/>
  <c r="I117" i="126" s="1"/>
  <c r="AL116" i="126"/>
  <c r="AK116" i="126"/>
  <c r="W116" i="126"/>
  <c r="AO116" i="126" s="1"/>
  <c r="T116" i="126"/>
  <c r="P116" i="126" s="1"/>
  <c r="AL115" i="126"/>
  <c r="AK115" i="126"/>
  <c r="W115" i="126"/>
  <c r="AO115" i="126" s="1"/>
  <c r="T115" i="126"/>
  <c r="P115" i="126" s="1"/>
  <c r="I115" i="126" s="1"/>
  <c r="AL114" i="126"/>
  <c r="AK114" i="126"/>
  <c r="W114" i="126"/>
  <c r="AO114" i="126" s="1"/>
  <c r="T114" i="126"/>
  <c r="P114" i="126" s="1"/>
  <c r="AL113" i="126"/>
  <c r="AK113" i="126"/>
  <c r="W113" i="126"/>
  <c r="AO113" i="126" s="1"/>
  <c r="T113" i="126"/>
  <c r="P113" i="126" s="1"/>
  <c r="AL112" i="126"/>
  <c r="AK112" i="126"/>
  <c r="W112" i="126"/>
  <c r="T112" i="126"/>
  <c r="P112" i="126" s="1"/>
  <c r="AL111" i="126"/>
  <c r="AK111" i="126"/>
  <c r="W111" i="126"/>
  <c r="AO111" i="126" s="1"/>
  <c r="T111" i="126"/>
  <c r="P111" i="126" s="1"/>
  <c r="AB110" i="126"/>
  <c r="AB109" i="126" s="1"/>
  <c r="AB108" i="126" s="1"/>
  <c r="AA110" i="126"/>
  <c r="Z110" i="126"/>
  <c r="Z109" i="126" s="1"/>
  <c r="Z108" i="126" s="1"/>
  <c r="Y110" i="126"/>
  <c r="Y109" i="126" s="1"/>
  <c r="X110" i="126"/>
  <c r="X109" i="126" s="1"/>
  <c r="V110" i="126"/>
  <c r="V109" i="126" s="1"/>
  <c r="U110" i="126"/>
  <c r="U109" i="126" s="1"/>
  <c r="S110" i="126"/>
  <c r="S109" i="126" s="1"/>
  <c r="S108" i="126" s="1"/>
  <c r="R110" i="126"/>
  <c r="R109" i="126" s="1"/>
  <c r="R108" i="126" s="1"/>
  <c r="Q110" i="126"/>
  <c r="Q109" i="126" s="1"/>
  <c r="Q108" i="126" s="1"/>
  <c r="O110" i="126"/>
  <c r="O109" i="126" s="1"/>
  <c r="O108" i="126" s="1"/>
  <c r="N110" i="126"/>
  <c r="N109" i="126" s="1"/>
  <c r="N108" i="126" s="1"/>
  <c r="M110" i="126"/>
  <c r="L110" i="126"/>
  <c r="L109" i="126" s="1"/>
  <c r="L108" i="126" s="1"/>
  <c r="K110" i="126"/>
  <c r="K109" i="126" s="1"/>
  <c r="J110" i="126"/>
  <c r="J109" i="126" s="1"/>
  <c r="J108" i="126" s="1"/>
  <c r="AD108" i="126"/>
  <c r="AD101" i="126" s="1"/>
  <c r="AC108" i="126"/>
  <c r="D108" i="126"/>
  <c r="AO107" i="126"/>
  <c r="AN107" i="126"/>
  <c r="AM107" i="126"/>
  <c r="AL107" i="126"/>
  <c r="AK107" i="126"/>
  <c r="AJ107" i="126"/>
  <c r="AI107" i="126"/>
  <c r="AH107" i="126"/>
  <c r="E107" i="126"/>
  <c r="AK106" i="126"/>
  <c r="W106" i="126"/>
  <c r="AO106" i="126" s="1"/>
  <c r="T106" i="126"/>
  <c r="S106" i="126"/>
  <c r="M106" i="126"/>
  <c r="AL106" i="126" s="1"/>
  <c r="AC105" i="126"/>
  <c r="AB105" i="126"/>
  <c r="AA105" i="126"/>
  <c r="Z105" i="126"/>
  <c r="Y105" i="126"/>
  <c r="X105" i="126"/>
  <c r="V105" i="126"/>
  <c r="U105" i="126"/>
  <c r="R105" i="126"/>
  <c r="O105" i="126"/>
  <c r="N105" i="126"/>
  <c r="M105" i="126"/>
  <c r="L105" i="126"/>
  <c r="K105" i="126"/>
  <c r="J105" i="126"/>
  <c r="AO104" i="126"/>
  <c r="AN104" i="126"/>
  <c r="O103" i="126"/>
  <c r="O102" i="126" s="1"/>
  <c r="M104" i="126"/>
  <c r="S104" i="126"/>
  <c r="AD103" i="126"/>
  <c r="AD102" i="126" s="1"/>
  <c r="AC103" i="126"/>
  <c r="AC102" i="126" s="1"/>
  <c r="AC101" i="126" s="1"/>
  <c r="AB103" i="126"/>
  <c r="AA103" i="126"/>
  <c r="Z103" i="126"/>
  <c r="Y103" i="126"/>
  <c r="X103" i="126"/>
  <c r="W103" i="126"/>
  <c r="V103" i="126"/>
  <c r="U103" i="126"/>
  <c r="T103" i="126"/>
  <c r="N103" i="126"/>
  <c r="J103" i="126"/>
  <c r="D103" i="126"/>
  <c r="D102" i="126" s="1"/>
  <c r="D101" i="126" s="1"/>
  <c r="AO100" i="126"/>
  <c r="AN100" i="126"/>
  <c r="S100" i="126"/>
  <c r="P100" i="126" s="1"/>
  <c r="AM100" i="126" s="1"/>
  <c r="M100" i="126"/>
  <c r="L100" i="126"/>
  <c r="AK100" i="126" s="1"/>
  <c r="AN99" i="126"/>
  <c r="AM99" i="126"/>
  <c r="AL99" i="126"/>
  <c r="AK99" i="126"/>
  <c r="AJ99" i="126"/>
  <c r="X99" i="126"/>
  <c r="W99" i="126" s="1"/>
  <c r="H99" i="126" s="1"/>
  <c r="AN98" i="126"/>
  <c r="AD97" i="126"/>
  <c r="W98" i="126"/>
  <c r="AO98" i="126" s="1"/>
  <c r="M98" i="126"/>
  <c r="AB97" i="126"/>
  <c r="AA97" i="126"/>
  <c r="Z97" i="126"/>
  <c r="V97" i="126"/>
  <c r="U97" i="126"/>
  <c r="T97" i="126"/>
  <c r="O97" i="126"/>
  <c r="K97" i="126"/>
  <c r="D97" i="126"/>
  <c r="AL96" i="126"/>
  <c r="AK96" i="126"/>
  <c r="W96" i="126"/>
  <c r="W95" i="126" s="1"/>
  <c r="T96" i="126"/>
  <c r="AN96" i="126" s="1"/>
  <c r="AB95" i="126"/>
  <c r="AA95" i="126"/>
  <c r="Z95" i="126"/>
  <c r="Y95" i="126"/>
  <c r="X95" i="126"/>
  <c r="V95" i="126"/>
  <c r="U95" i="126"/>
  <c r="S95" i="126"/>
  <c r="R95" i="126"/>
  <c r="Q95" i="126"/>
  <c r="O95" i="126"/>
  <c r="N95" i="126"/>
  <c r="M95" i="126"/>
  <c r="L95" i="126"/>
  <c r="K95" i="126"/>
  <c r="J95" i="126"/>
  <c r="AK94" i="126"/>
  <c r="W94" i="126"/>
  <c r="T94" i="126"/>
  <c r="AN94" i="126" s="1"/>
  <c r="S94" i="126"/>
  <c r="M94" i="126"/>
  <c r="AL94" i="126" s="1"/>
  <c r="AK93" i="126"/>
  <c r="W93" i="126"/>
  <c r="AO93" i="126" s="1"/>
  <c r="T93" i="126"/>
  <c r="S93" i="126"/>
  <c r="M93" i="126"/>
  <c r="AD92" i="126"/>
  <c r="AC92" i="126"/>
  <c r="AB92" i="126"/>
  <c r="AA92" i="126"/>
  <c r="Z92" i="126"/>
  <c r="V92" i="126"/>
  <c r="U92" i="126"/>
  <c r="R92" i="126"/>
  <c r="O92" i="126"/>
  <c r="N92" i="126"/>
  <c r="L92" i="126"/>
  <c r="K92" i="126"/>
  <c r="J92" i="126"/>
  <c r="D92" i="126"/>
  <c r="W91" i="126"/>
  <c r="AO91" i="126" s="1"/>
  <c r="T91" i="126"/>
  <c r="AN91" i="126" s="1"/>
  <c r="O89" i="126"/>
  <c r="M91" i="126"/>
  <c r="K89" i="126"/>
  <c r="W90" i="126"/>
  <c r="T90" i="126"/>
  <c r="AN90" i="126" s="1"/>
  <c r="S90" i="126"/>
  <c r="M90" i="126"/>
  <c r="L90" i="126"/>
  <c r="AK90" i="126" s="1"/>
  <c r="AD89" i="126"/>
  <c r="AD88" i="126" s="1"/>
  <c r="AC89" i="126"/>
  <c r="AC88" i="126" s="1"/>
  <c r="AB89" i="126"/>
  <c r="AA89" i="126"/>
  <c r="Z89" i="126"/>
  <c r="Y89" i="126"/>
  <c r="X89" i="126"/>
  <c r="V89" i="126"/>
  <c r="U89" i="126"/>
  <c r="D89" i="126"/>
  <c r="D88" i="126" s="1"/>
  <c r="Y87" i="126"/>
  <c r="Y86" i="126" s="1"/>
  <c r="X87" i="126"/>
  <c r="X86" i="126" s="1"/>
  <c r="AN85" i="126"/>
  <c r="AM85" i="126"/>
  <c r="AL85" i="126"/>
  <c r="AK85" i="126"/>
  <c r="AJ85" i="126"/>
  <c r="W85" i="126"/>
  <c r="AO85" i="126" s="1"/>
  <c r="AN84" i="126"/>
  <c r="AM84" i="126"/>
  <c r="AL84" i="126"/>
  <c r="AK84" i="126"/>
  <c r="AJ84" i="126"/>
  <c r="W84" i="126"/>
  <c r="AN83" i="126"/>
  <c r="AM83" i="126"/>
  <c r="AL83" i="126"/>
  <c r="AK83" i="126"/>
  <c r="AJ83" i="126"/>
  <c r="AD82" i="126"/>
  <c r="W83" i="126"/>
  <c r="AO83" i="126" s="1"/>
  <c r="AC82" i="126"/>
  <c r="AB82" i="126"/>
  <c r="Z82" i="126"/>
  <c r="Y82" i="126"/>
  <c r="X82" i="126"/>
  <c r="V82" i="126"/>
  <c r="U82" i="126"/>
  <c r="T82" i="126"/>
  <c r="S82" i="126"/>
  <c r="R82" i="126"/>
  <c r="Q82" i="126"/>
  <c r="P82" i="126"/>
  <c r="O82" i="126"/>
  <c r="N82" i="126"/>
  <c r="M82" i="126"/>
  <c r="L82" i="126"/>
  <c r="K82" i="126"/>
  <c r="J82" i="126"/>
  <c r="I82" i="126"/>
  <c r="D82" i="126"/>
  <c r="AN81" i="126"/>
  <c r="AM81" i="126"/>
  <c r="AL81" i="126"/>
  <c r="AK81" i="126"/>
  <c r="AJ81" i="126"/>
  <c r="W81" i="126"/>
  <c r="AO81" i="126" s="1"/>
  <c r="AN80" i="126"/>
  <c r="AM80" i="126"/>
  <c r="AL80" i="126"/>
  <c r="AK80" i="126"/>
  <c r="AJ80" i="126"/>
  <c r="W80" i="126"/>
  <c r="H80" i="126" s="1"/>
  <c r="AN79" i="126"/>
  <c r="AM79" i="126"/>
  <c r="AL79" i="126"/>
  <c r="AK79" i="126"/>
  <c r="AJ79" i="126"/>
  <c r="W79" i="126"/>
  <c r="H79" i="126" s="1"/>
  <c r="AL78" i="126"/>
  <c r="AK78" i="126"/>
  <c r="W78" i="126"/>
  <c r="AO78" i="126" s="1"/>
  <c r="T78" i="126"/>
  <c r="P78" i="126" s="1"/>
  <c r="AC77" i="126"/>
  <c r="AB77" i="126"/>
  <c r="AA77" i="126"/>
  <c r="Z77" i="126"/>
  <c r="Y77" i="126"/>
  <c r="X77" i="126"/>
  <c r="V77" i="126"/>
  <c r="U77" i="126"/>
  <c r="S77" i="126"/>
  <c r="R77" i="126"/>
  <c r="Q77" i="126"/>
  <c r="O77" i="126"/>
  <c r="N77" i="126"/>
  <c r="M77" i="126"/>
  <c r="L77" i="126"/>
  <c r="K77" i="126"/>
  <c r="J77" i="126"/>
  <c r="AN76" i="126"/>
  <c r="AM76" i="126"/>
  <c r="AL76" i="126"/>
  <c r="AK76" i="126"/>
  <c r="AJ76" i="126"/>
  <c r="AN75" i="126"/>
  <c r="AM75" i="126"/>
  <c r="AL75" i="126"/>
  <c r="AK75" i="126"/>
  <c r="AJ75" i="126"/>
  <c r="W75" i="126"/>
  <c r="H75" i="126" s="1"/>
  <c r="AN74" i="126"/>
  <c r="AM74" i="126"/>
  <c r="AL74" i="126"/>
  <c r="AK74" i="126"/>
  <c r="AJ74" i="126"/>
  <c r="W74" i="126"/>
  <c r="H74" i="126" s="1"/>
  <c r="AI74" i="126" s="1"/>
  <c r="AC73" i="126"/>
  <c r="AB73" i="126"/>
  <c r="AA73" i="126"/>
  <c r="Z73" i="126"/>
  <c r="Y73" i="126"/>
  <c r="X73" i="126"/>
  <c r="V73" i="126"/>
  <c r="U73" i="126"/>
  <c r="T73" i="126"/>
  <c r="S73" i="126"/>
  <c r="R73" i="126"/>
  <c r="Q73" i="126"/>
  <c r="P73" i="126"/>
  <c r="O73" i="126"/>
  <c r="N73" i="126"/>
  <c r="M73" i="126"/>
  <c r="L73" i="126"/>
  <c r="K73" i="126"/>
  <c r="J73" i="126"/>
  <c r="I73" i="126"/>
  <c r="AN72" i="126"/>
  <c r="AM72" i="126"/>
  <c r="AL72" i="126"/>
  <c r="AK72" i="126"/>
  <c r="AJ72" i="126"/>
  <c r="Z72" i="126"/>
  <c r="W72" i="126" s="1"/>
  <c r="AL71" i="126"/>
  <c r="AK71" i="126"/>
  <c r="AA71" i="126"/>
  <c r="W71" i="126" s="1"/>
  <c r="AO71" i="126" s="1"/>
  <c r="T71" i="126"/>
  <c r="AN71" i="126" s="1"/>
  <c r="W70" i="126"/>
  <c r="AO70" i="126" s="1"/>
  <c r="T70" i="126"/>
  <c r="AN70" i="126" s="1"/>
  <c r="M70" i="126"/>
  <c r="W69" i="126"/>
  <c r="AO69" i="126" s="1"/>
  <c r="T69" i="126"/>
  <c r="AN69" i="126" s="1"/>
  <c r="M69" i="126"/>
  <c r="W68" i="126"/>
  <c r="AO68" i="126" s="1"/>
  <c r="T68" i="126"/>
  <c r="AN68" i="126" s="1"/>
  <c r="S68" i="126"/>
  <c r="M68" i="126"/>
  <c r="AL68" i="126" s="1"/>
  <c r="L68" i="126"/>
  <c r="W67" i="126"/>
  <c r="AO67" i="126" s="1"/>
  <c r="T67" i="126"/>
  <c r="AN67" i="126" s="1"/>
  <c r="M67" i="126"/>
  <c r="L67" i="126"/>
  <c r="AC63" i="126"/>
  <c r="W66" i="126"/>
  <c r="AO66" i="126" s="1"/>
  <c r="T66" i="126"/>
  <c r="AN66" i="126" s="1"/>
  <c r="M66" i="126"/>
  <c r="AB63" i="126"/>
  <c r="AB62" i="126" s="1"/>
  <c r="W65" i="126"/>
  <c r="AO65" i="126" s="1"/>
  <c r="T65" i="126"/>
  <c r="AN65" i="126" s="1"/>
  <c r="M65" i="126"/>
  <c r="W64" i="126"/>
  <c r="T64" i="126"/>
  <c r="S64" i="126"/>
  <c r="O63" i="126"/>
  <c r="O62" i="126" s="1"/>
  <c r="M64" i="126"/>
  <c r="L64" i="126"/>
  <c r="AK64" i="126" s="1"/>
  <c r="K63" i="126"/>
  <c r="K62" i="126" s="1"/>
  <c r="AD63" i="126"/>
  <c r="AD62" i="126" s="1"/>
  <c r="AA63" i="126"/>
  <c r="Z63" i="126"/>
  <c r="Z62" i="126" s="1"/>
  <c r="V63" i="126"/>
  <c r="V62" i="126" s="1"/>
  <c r="U63" i="126"/>
  <c r="U62" i="126" s="1"/>
  <c r="N63" i="126"/>
  <c r="N62" i="126" s="1"/>
  <c r="J63" i="126"/>
  <c r="D63" i="126"/>
  <c r="D62" i="126" s="1"/>
  <c r="AN61" i="126"/>
  <c r="AM61" i="126"/>
  <c r="AL61" i="126"/>
  <c r="AK61" i="126"/>
  <c r="AJ61" i="126"/>
  <c r="W61" i="126"/>
  <c r="AO61" i="126" s="1"/>
  <c r="AN60" i="126"/>
  <c r="AM60" i="126"/>
  <c r="AL60" i="126"/>
  <c r="AK60" i="126"/>
  <c r="AJ60" i="126"/>
  <c r="AN59" i="126"/>
  <c r="AM59" i="126"/>
  <c r="AL59" i="126"/>
  <c r="AK59" i="126"/>
  <c r="AJ59" i="126"/>
  <c r="W59" i="126"/>
  <c r="AN58" i="126"/>
  <c r="AM58" i="126"/>
  <c r="AL58" i="126"/>
  <c r="AK58" i="126"/>
  <c r="AJ58" i="126"/>
  <c r="Z58" i="126"/>
  <c r="W58" i="126" s="1"/>
  <c r="AN57" i="126"/>
  <c r="AM57" i="126"/>
  <c r="AL57" i="126"/>
  <c r="AK57" i="126"/>
  <c r="AJ57" i="126"/>
  <c r="W57" i="126"/>
  <c r="H57" i="126" s="1"/>
  <c r="AN56" i="126"/>
  <c r="AM56" i="126"/>
  <c r="AL56" i="126"/>
  <c r="AK56" i="126"/>
  <c r="AJ56" i="126"/>
  <c r="W56" i="126"/>
  <c r="H56" i="126" s="1"/>
  <c r="AN55" i="126"/>
  <c r="AM55" i="126"/>
  <c r="AL55" i="126"/>
  <c r="AK55" i="126"/>
  <c r="AJ55" i="126"/>
  <c r="Z55" i="126"/>
  <c r="W55" i="126"/>
  <c r="H55" i="126" s="1"/>
  <c r="AN54" i="126"/>
  <c r="AM54" i="126"/>
  <c r="AL54" i="126"/>
  <c r="AK54" i="126"/>
  <c r="AJ54" i="126"/>
  <c r="W54" i="126"/>
  <c r="H54" i="126" s="1"/>
  <c r="AI54" i="126" s="1"/>
  <c r="AN53" i="126"/>
  <c r="AM53" i="126"/>
  <c r="AL53" i="126"/>
  <c r="AK53" i="126"/>
  <c r="AJ53" i="126"/>
  <c r="W53" i="126"/>
  <c r="H53" i="126" s="1"/>
  <c r="AN52" i="126"/>
  <c r="AM52" i="126"/>
  <c r="AL52" i="126"/>
  <c r="AK52" i="126"/>
  <c r="AJ52" i="126"/>
  <c r="AA52" i="126"/>
  <c r="Z52" i="126"/>
  <c r="W51" i="126"/>
  <c r="AO51" i="126" s="1"/>
  <c r="T51" i="126"/>
  <c r="M51" i="126"/>
  <c r="L51" i="126"/>
  <c r="AK51" i="126" s="1"/>
  <c r="W50" i="126"/>
  <c r="AO50" i="126" s="1"/>
  <c r="T50" i="126"/>
  <c r="AN50" i="126" s="1"/>
  <c r="M50" i="126"/>
  <c r="AD49" i="126"/>
  <c r="AD48" i="126" s="1"/>
  <c r="AB49" i="126"/>
  <c r="AB48" i="126" s="1"/>
  <c r="AA49" i="126"/>
  <c r="Z49" i="126"/>
  <c r="V49" i="126"/>
  <c r="V48" i="126" s="1"/>
  <c r="U49" i="126"/>
  <c r="U48" i="126" s="1"/>
  <c r="O49" i="126"/>
  <c r="O48" i="126" s="1"/>
  <c r="K49" i="126"/>
  <c r="K48" i="126" s="1"/>
  <c r="D49" i="126"/>
  <c r="D48" i="126" s="1"/>
  <c r="Y47" i="126"/>
  <c r="Y28" i="126" s="1"/>
  <c r="X47" i="126"/>
  <c r="X28" i="126" s="1"/>
  <c r="R47" i="126"/>
  <c r="Q47" i="126"/>
  <c r="Q28" i="126" s="1"/>
  <c r="AL46" i="126"/>
  <c r="AK46" i="126"/>
  <c r="W46" i="126"/>
  <c r="AO46" i="126" s="1"/>
  <c r="T46" i="126"/>
  <c r="P46" i="126" s="1"/>
  <c r="AB45" i="126"/>
  <c r="AA45" i="126"/>
  <c r="Z45" i="126"/>
  <c r="Y45" i="126"/>
  <c r="X45" i="126"/>
  <c r="V45" i="126"/>
  <c r="U45" i="126"/>
  <c r="S45" i="126"/>
  <c r="R45" i="126"/>
  <c r="Q45" i="126"/>
  <c r="O45" i="126"/>
  <c r="N45" i="126"/>
  <c r="M45" i="126"/>
  <c r="L45" i="126"/>
  <c r="K45" i="126"/>
  <c r="J45" i="126"/>
  <c r="D45" i="126"/>
  <c r="AK44" i="126"/>
  <c r="W44" i="126"/>
  <c r="AO44" i="126" s="1"/>
  <c r="T44" i="126"/>
  <c r="AN44" i="126" s="1"/>
  <c r="S44" i="126"/>
  <c r="M44" i="126"/>
  <c r="AK43" i="126"/>
  <c r="W43" i="126"/>
  <c r="AO43" i="126" s="1"/>
  <c r="T43" i="126"/>
  <c r="AN43" i="126" s="1"/>
  <c r="S43" i="126"/>
  <c r="M43" i="126"/>
  <c r="AL43" i="126" s="1"/>
  <c r="AK42" i="126"/>
  <c r="W42" i="126"/>
  <c r="AO42" i="126" s="1"/>
  <c r="T42" i="126"/>
  <c r="AN42" i="126" s="1"/>
  <c r="S42" i="126"/>
  <c r="M42" i="126"/>
  <c r="AK41" i="126"/>
  <c r="W41" i="126"/>
  <c r="AO41" i="126" s="1"/>
  <c r="T41" i="126"/>
  <c r="AN41" i="126" s="1"/>
  <c r="S41" i="126"/>
  <c r="M41" i="126"/>
  <c r="AL41" i="126" s="1"/>
  <c r="AK40" i="126"/>
  <c r="W40" i="126"/>
  <c r="AO40" i="126" s="1"/>
  <c r="T40" i="126"/>
  <c r="AN40" i="126" s="1"/>
  <c r="S40" i="126"/>
  <c r="M40" i="126"/>
  <c r="AK39" i="126"/>
  <c r="W39" i="126"/>
  <c r="T39" i="126"/>
  <c r="AN39" i="126" s="1"/>
  <c r="S39" i="126"/>
  <c r="M39" i="126"/>
  <c r="AL39" i="126" s="1"/>
  <c r="AD38" i="126"/>
  <c r="AC38" i="126"/>
  <c r="AB38" i="126"/>
  <c r="AA38" i="126"/>
  <c r="Z38" i="126"/>
  <c r="V38" i="126"/>
  <c r="U38" i="126"/>
  <c r="R38" i="126"/>
  <c r="O38" i="126"/>
  <c r="N38" i="126"/>
  <c r="L38" i="126"/>
  <c r="K38" i="126"/>
  <c r="J38" i="126"/>
  <c r="D38" i="126"/>
  <c r="W37" i="126"/>
  <c r="AO37" i="126" s="1"/>
  <c r="T37" i="126"/>
  <c r="AN37" i="126" s="1"/>
  <c r="S37" i="126"/>
  <c r="M37" i="126"/>
  <c r="L37" i="126"/>
  <c r="AK37" i="126" s="1"/>
  <c r="W36" i="126"/>
  <c r="AO36" i="126" s="1"/>
  <c r="T36" i="126"/>
  <c r="AN36" i="126" s="1"/>
  <c r="M36" i="126"/>
  <c r="W35" i="126"/>
  <c r="AO35" i="126" s="1"/>
  <c r="T35" i="126"/>
  <c r="AN35" i="126" s="1"/>
  <c r="M35" i="126"/>
  <c r="L35" i="126"/>
  <c r="AK35" i="126" s="1"/>
  <c r="W34" i="126"/>
  <c r="AO34" i="126" s="1"/>
  <c r="T34" i="126"/>
  <c r="AN34" i="126" s="1"/>
  <c r="M34" i="126"/>
  <c r="W33" i="126"/>
  <c r="AO33" i="126" s="1"/>
  <c r="T33" i="126"/>
  <c r="AN33" i="126" s="1"/>
  <c r="M33" i="126"/>
  <c r="L33" i="126"/>
  <c r="AK33" i="126" s="1"/>
  <c r="S33" i="126"/>
  <c r="W32" i="126"/>
  <c r="AO32" i="126" s="1"/>
  <c r="T32" i="126"/>
  <c r="AN32" i="126" s="1"/>
  <c r="O30" i="126"/>
  <c r="M32" i="126"/>
  <c r="K30" i="126"/>
  <c r="W31" i="126"/>
  <c r="T31" i="126"/>
  <c r="AN31" i="126" s="1"/>
  <c r="M31" i="126"/>
  <c r="L31" i="126"/>
  <c r="AK31" i="126" s="1"/>
  <c r="AD30" i="126"/>
  <c r="AC30" i="126"/>
  <c r="AB30" i="126"/>
  <c r="AA30" i="126"/>
  <c r="Z30" i="126"/>
  <c r="V30" i="126"/>
  <c r="U30" i="126"/>
  <c r="N30" i="126"/>
  <c r="J30" i="126"/>
  <c r="D30" i="126"/>
  <c r="AL24" i="126"/>
  <c r="AK24" i="126"/>
  <c r="W24" i="126"/>
  <c r="AO24" i="126" s="1"/>
  <c r="T24" i="126"/>
  <c r="P24" i="126" s="1"/>
  <c r="AL23" i="126"/>
  <c r="AK23" i="126"/>
  <c r="W23" i="126"/>
  <c r="AO23" i="126" s="1"/>
  <c r="T23" i="126"/>
  <c r="AL22" i="126"/>
  <c r="AK22" i="126"/>
  <c r="W22" i="126"/>
  <c r="AO22" i="126" s="1"/>
  <c r="T22" i="126"/>
  <c r="AN22" i="126" s="1"/>
  <c r="AL21" i="126"/>
  <c r="AK21" i="126"/>
  <c r="W21" i="126"/>
  <c r="W19" i="126" s="1"/>
  <c r="T21" i="126"/>
  <c r="AN21" i="126" s="1"/>
  <c r="AO20" i="126"/>
  <c r="AN20" i="126"/>
  <c r="AM20" i="126"/>
  <c r="AL20" i="126"/>
  <c r="AK20" i="126"/>
  <c r="AJ20" i="126"/>
  <c r="AI20" i="126"/>
  <c r="AH20" i="126"/>
  <c r="E20" i="126"/>
  <c r="AD19" i="126"/>
  <c r="AD17" i="126" s="1"/>
  <c r="AC19" i="126"/>
  <c r="AC17" i="126" s="1"/>
  <c r="AB19" i="126"/>
  <c r="AB17" i="126" s="1"/>
  <c r="AA19" i="126"/>
  <c r="AA17" i="126" s="1"/>
  <c r="Z19" i="126"/>
  <c r="Z17" i="126" s="1"/>
  <c r="Y19" i="126"/>
  <c r="Y17" i="126" s="1"/>
  <c r="X19" i="126"/>
  <c r="V19" i="126"/>
  <c r="U19" i="126"/>
  <c r="U17" i="126" s="1"/>
  <c r="S19" i="126"/>
  <c r="S17" i="126" s="1"/>
  <c r="R19" i="126"/>
  <c r="R17" i="126" s="1"/>
  <c r="R16" i="126" s="1"/>
  <c r="Q19" i="126"/>
  <c r="Q17" i="126" s="1"/>
  <c r="Q16" i="126" s="1"/>
  <c r="O19" i="126"/>
  <c r="O17" i="126" s="1"/>
  <c r="N19" i="126"/>
  <c r="N17" i="126" s="1"/>
  <c r="M19" i="126"/>
  <c r="M17" i="126" s="1"/>
  <c r="L19" i="126"/>
  <c r="L17" i="126" s="1"/>
  <c r="K19" i="126"/>
  <c r="K17" i="126" s="1"/>
  <c r="J19" i="126"/>
  <c r="J17" i="126" s="1"/>
  <c r="AL18" i="126"/>
  <c r="AK18" i="126"/>
  <c r="W18" i="126"/>
  <c r="AO18" i="126" s="1"/>
  <c r="T18" i="126"/>
  <c r="X17" i="126"/>
  <c r="X16" i="126" s="1"/>
  <c r="V17" i="126"/>
  <c r="D17" i="126"/>
  <c r="A5" i="126"/>
  <c r="Y2" i="126"/>
  <c r="X2" i="126"/>
  <c r="R2" i="126"/>
  <c r="Q2" i="126"/>
  <c r="M490" i="125"/>
  <c r="M465" i="125" s="1"/>
  <c r="J490" i="125"/>
  <c r="J465" i="125" s="1"/>
  <c r="I490" i="125"/>
  <c r="I465" i="125" s="1"/>
  <c r="G490" i="125"/>
  <c r="G465" i="125" s="1"/>
  <c r="F490" i="125"/>
  <c r="F465" i="125" s="1"/>
  <c r="E490" i="125"/>
  <c r="E465" i="125" s="1"/>
  <c r="D490" i="125"/>
  <c r="D465" i="125" s="1"/>
  <c r="I96" i="125"/>
  <c r="I95" i="125"/>
  <c r="H95" i="125" s="1"/>
  <c r="I91" i="125"/>
  <c r="H91" i="125" s="1"/>
  <c r="M85" i="125"/>
  <c r="M81" i="125" s="1"/>
  <c r="K81" i="125"/>
  <c r="J81" i="125"/>
  <c r="I80" i="125"/>
  <c r="H80" i="125" s="1"/>
  <c r="G80" i="125" s="1"/>
  <c r="H79" i="125"/>
  <c r="G79" i="125" s="1"/>
  <c r="M75" i="125"/>
  <c r="M74" i="125" s="1"/>
  <c r="L75" i="125"/>
  <c r="L74" i="125" s="1"/>
  <c r="J75" i="125"/>
  <c r="J74" i="125"/>
  <c r="H73" i="125"/>
  <c r="K72" i="125"/>
  <c r="J72" i="125"/>
  <c r="H72" i="125"/>
  <c r="G72" i="125" s="1"/>
  <c r="K70" i="125"/>
  <c r="J70" i="125"/>
  <c r="H70" i="125"/>
  <c r="G70" i="125" s="1"/>
  <c r="L68" i="125"/>
  <c r="M65" i="125"/>
  <c r="K65" i="125"/>
  <c r="J65" i="125"/>
  <c r="L59" i="125"/>
  <c r="K54" i="125"/>
  <c r="J54" i="125"/>
  <c r="H54" i="125"/>
  <c r="G54" i="125" s="1"/>
  <c r="L49" i="125"/>
  <c r="K39" i="125"/>
  <c r="J39" i="125"/>
  <c r="H39" i="125"/>
  <c r="G39" i="125" s="1"/>
  <c r="M32" i="125"/>
  <c r="M31" i="125" s="1"/>
  <c r="K28" i="125"/>
  <c r="J28" i="125"/>
  <c r="H28" i="125"/>
  <c r="M24" i="125"/>
  <c r="G22" i="125"/>
  <c r="M17" i="125"/>
  <c r="M15" i="125" s="1"/>
  <c r="L17" i="125"/>
  <c r="L15" i="125" s="1"/>
  <c r="F5" i="125"/>
  <c r="E5" i="125"/>
  <c r="D5" i="125"/>
  <c r="Z48" i="126" l="1"/>
  <c r="W77" i="126"/>
  <c r="H225" i="126"/>
  <c r="W356" i="126"/>
  <c r="AA680" i="126"/>
  <c r="U692" i="126"/>
  <c r="AD182" i="126"/>
  <c r="H563" i="126"/>
  <c r="F563" i="126" s="1"/>
  <c r="T577" i="126"/>
  <c r="K581" i="126"/>
  <c r="Z857" i="126"/>
  <c r="Q1052" i="126"/>
  <c r="Y599" i="126"/>
  <c r="Z88" i="126"/>
  <c r="T95" i="126"/>
  <c r="AC152" i="126"/>
  <c r="K430" i="126"/>
  <c r="U458" i="126"/>
  <c r="W626" i="126"/>
  <c r="Q631" i="126"/>
  <c r="W681" i="126"/>
  <c r="AO681" i="126" s="1"/>
  <c r="L1052" i="126"/>
  <c r="H1113" i="126"/>
  <c r="V430" i="126"/>
  <c r="U599" i="126"/>
  <c r="O779" i="126"/>
  <c r="D29" i="126"/>
  <c r="AA231" i="126"/>
  <c r="W489" i="126"/>
  <c r="AO489" i="126" s="1"/>
  <c r="AJ618" i="126"/>
  <c r="AO149" i="126"/>
  <c r="T157" i="126"/>
  <c r="P158" i="126"/>
  <c r="P157" i="126" s="1"/>
  <c r="AB222" i="126"/>
  <c r="Z295" i="126"/>
  <c r="AM387" i="126"/>
  <c r="P429" i="126"/>
  <c r="AM429" i="126" s="1"/>
  <c r="W436" i="126"/>
  <c r="AO436" i="126" s="1"/>
  <c r="P439" i="126"/>
  <c r="W618" i="126"/>
  <c r="Z635" i="126"/>
  <c r="P750" i="126"/>
  <c r="P793" i="126"/>
  <c r="AA840" i="126"/>
  <c r="H1087" i="126"/>
  <c r="F1087" i="126" s="1"/>
  <c r="G1087" i="126" s="1"/>
  <c r="H1120" i="126"/>
  <c r="F1120" i="126" s="1"/>
  <c r="I90" i="125" s="1"/>
  <c r="G90" i="125" s="1"/>
  <c r="AO1127" i="126"/>
  <c r="M23" i="125"/>
  <c r="AA1039" i="126"/>
  <c r="AC1092" i="126"/>
  <c r="Y16" i="126"/>
  <c r="M155" i="126"/>
  <c r="AL155" i="126" s="1"/>
  <c r="W178" i="126"/>
  <c r="AO178" i="126" s="1"/>
  <c r="S182" i="126"/>
  <c r="X250" i="126"/>
  <c r="X248" i="126" s="1"/>
  <c r="P276" i="126"/>
  <c r="AN278" i="126"/>
  <c r="M282" i="126"/>
  <c r="Z382" i="126"/>
  <c r="Z430" i="126"/>
  <c r="AA581" i="126"/>
  <c r="AA576" i="126" s="1"/>
  <c r="AO708" i="126"/>
  <c r="T711" i="126"/>
  <c r="AN711" i="126" s="1"/>
  <c r="V737" i="126"/>
  <c r="R763" i="126"/>
  <c r="M841" i="126"/>
  <c r="K868" i="126"/>
  <c r="K867" i="126" s="1"/>
  <c r="O868" i="126"/>
  <c r="O867" i="126" s="1"/>
  <c r="S868" i="126"/>
  <c r="S867" i="126" s="1"/>
  <c r="AO886" i="126"/>
  <c r="P955" i="126"/>
  <c r="AM955" i="126" s="1"/>
  <c r="Z1063" i="126"/>
  <c r="Z1085" i="126"/>
  <c r="I1111" i="126"/>
  <c r="Q1111" i="126"/>
  <c r="Q1123" i="126" s="1"/>
  <c r="U1111" i="126"/>
  <c r="AC1111" i="126"/>
  <c r="AL1115" i="126"/>
  <c r="AO1122" i="126"/>
  <c r="U29" i="126"/>
  <c r="Y27" i="126"/>
  <c r="AO53" i="126"/>
  <c r="AD87" i="126"/>
  <c r="AD86" i="126" s="1"/>
  <c r="L119" i="126"/>
  <c r="M122" i="126"/>
  <c r="AL122" i="126" s="1"/>
  <c r="W200" i="126"/>
  <c r="AO200" i="126" s="1"/>
  <c r="D230" i="126"/>
  <c r="D229" i="126" s="1"/>
  <c r="J231" i="126"/>
  <c r="AA250" i="126"/>
  <c r="AA248" i="126" s="1"/>
  <c r="AA241" i="126" s="1"/>
  <c r="AA230" i="126" s="1"/>
  <c r="AA229" i="126" s="1"/>
  <c r="Q27" i="126"/>
  <c r="W89" i="126"/>
  <c r="AN189" i="126"/>
  <c r="P269" i="126"/>
  <c r="AM269" i="126" s="1"/>
  <c r="H316" i="126"/>
  <c r="AI316" i="126" s="1"/>
  <c r="AO375" i="126"/>
  <c r="Z442" i="126"/>
  <c r="Q452" i="126"/>
  <c r="Q441" i="126"/>
  <c r="K539" i="126"/>
  <c r="AA599" i="126"/>
  <c r="AL696" i="126"/>
  <c r="AO696" i="126"/>
  <c r="T766" i="126"/>
  <c r="AN766" i="126" s="1"/>
  <c r="R1079" i="126"/>
  <c r="Z1079" i="126"/>
  <c r="K1111" i="126"/>
  <c r="O1111" i="126"/>
  <c r="S1111" i="126"/>
  <c r="AM1115" i="126"/>
  <c r="T1111" i="126"/>
  <c r="I205" i="126"/>
  <c r="AM377" i="126"/>
  <c r="Z500" i="126"/>
  <c r="M597" i="126"/>
  <c r="AL597" i="126" s="1"/>
  <c r="X599" i="126"/>
  <c r="AB599" i="126"/>
  <c r="AB593" i="126" s="1"/>
  <c r="AB592" i="126" s="1"/>
  <c r="U680" i="126"/>
  <c r="AD726" i="126"/>
  <c r="W803" i="126"/>
  <c r="W801" i="126" s="1"/>
  <c r="AC840" i="126"/>
  <c r="AM878" i="126"/>
  <c r="AM897" i="126"/>
  <c r="Y896" i="126"/>
  <c r="H912" i="126"/>
  <c r="AI912" i="126" s="1"/>
  <c r="P933" i="126"/>
  <c r="I933" i="126" s="1"/>
  <c r="P957" i="126"/>
  <c r="AM957" i="126" s="1"/>
  <c r="P966" i="126"/>
  <c r="I966" i="126" s="1"/>
  <c r="P1034" i="126"/>
  <c r="AM1034" i="126" s="1"/>
  <c r="K80" i="125"/>
  <c r="AO54" i="126"/>
  <c r="AO57" i="126"/>
  <c r="AA127" i="126"/>
  <c r="W140" i="126"/>
  <c r="AO207" i="126"/>
  <c r="N231" i="126"/>
  <c r="AM295" i="126"/>
  <c r="H325" i="126"/>
  <c r="F325" i="126" s="1"/>
  <c r="AB339" i="126"/>
  <c r="P361" i="126"/>
  <c r="AM361" i="126" s="1"/>
  <c r="K452" i="126"/>
  <c r="O452" i="126"/>
  <c r="P483" i="126"/>
  <c r="I483" i="126" s="1"/>
  <c r="AJ483" i="126" s="1"/>
  <c r="P486" i="126"/>
  <c r="I486" i="126" s="1"/>
  <c r="P489" i="126"/>
  <c r="AN489" i="126"/>
  <c r="I490" i="126"/>
  <c r="H490" i="126" s="1"/>
  <c r="L511" i="126"/>
  <c r="W525" i="126"/>
  <c r="AO525" i="126" s="1"/>
  <c r="AN598" i="126"/>
  <c r="AC599" i="126"/>
  <c r="AC593" i="126" s="1"/>
  <c r="P715" i="126"/>
  <c r="K599" i="126"/>
  <c r="K593" i="126" s="1"/>
  <c r="K592" i="126" s="1"/>
  <c r="P617" i="126"/>
  <c r="AM617" i="126" s="1"/>
  <c r="AM618" i="126"/>
  <c r="P697" i="126"/>
  <c r="H1088" i="126"/>
  <c r="F1088" i="126" s="1"/>
  <c r="E1088" i="126" s="1"/>
  <c r="AG1088" i="126" s="1"/>
  <c r="H1119" i="126"/>
  <c r="F1119" i="126" s="1"/>
  <c r="J80" i="125"/>
  <c r="Z76" i="126"/>
  <c r="W76" i="126" s="1"/>
  <c r="AA102" i="126"/>
  <c r="K119" i="126"/>
  <c r="Q177" i="126"/>
  <c r="Q176" i="126" s="1"/>
  <c r="W236" i="126"/>
  <c r="AN238" i="126"/>
  <c r="M452" i="126"/>
  <c r="AO660" i="126"/>
  <c r="P935" i="126"/>
  <c r="AM935" i="126" s="1"/>
  <c r="U102" i="126"/>
  <c r="U101" i="126" s="1"/>
  <c r="AL110" i="126"/>
  <c r="AO225" i="126"/>
  <c r="R231" i="126"/>
  <c r="R241" i="126"/>
  <c r="AL282" i="126"/>
  <c r="AO327" i="126"/>
  <c r="O373" i="126"/>
  <c r="O367" i="126" s="1"/>
  <c r="O363" i="126" s="1"/>
  <c r="O352" i="126" s="1"/>
  <c r="S373" i="126"/>
  <c r="S367" i="126" s="1"/>
  <c r="AL382" i="126"/>
  <c r="Z373" i="126"/>
  <c r="T501" i="126"/>
  <c r="N531" i="126"/>
  <c r="P549" i="126"/>
  <c r="I549" i="126" s="1"/>
  <c r="H650" i="126"/>
  <c r="AI650" i="126" s="1"/>
  <c r="P1028" i="126"/>
  <c r="AM1028" i="126" s="1"/>
  <c r="AA1052" i="126"/>
  <c r="P1107" i="126"/>
  <c r="AM1107" i="126" s="1"/>
  <c r="AN106" i="126"/>
  <c r="T105" i="126"/>
  <c r="AB29" i="126"/>
  <c r="AB47" i="126"/>
  <c r="P68" i="126"/>
  <c r="AM68" i="126" s="1"/>
  <c r="D87" i="126"/>
  <c r="D86" i="126" s="1"/>
  <c r="V102" i="126"/>
  <c r="V101" i="126" s="1"/>
  <c r="AA62" i="126"/>
  <c r="AN123" i="126"/>
  <c r="T122" i="126"/>
  <c r="AN122" i="126" s="1"/>
  <c r="AO224" i="126"/>
  <c r="AO788" i="126"/>
  <c r="H788" i="126"/>
  <c r="F788" i="126" s="1"/>
  <c r="P21" i="126"/>
  <c r="AO146" i="126"/>
  <c r="H146" i="126"/>
  <c r="F146" i="126" s="1"/>
  <c r="E146" i="126" s="1"/>
  <c r="AG146" i="126" s="1"/>
  <c r="AN222" i="126"/>
  <c r="AK210" i="126"/>
  <c r="U250" i="126"/>
  <c r="U248" i="126" s="1"/>
  <c r="U241" i="126" s="1"/>
  <c r="O250" i="126"/>
  <c r="O248" i="126" s="1"/>
  <c r="U281" i="126"/>
  <c r="Z339" i="126"/>
  <c r="AA442" i="126"/>
  <c r="X441" i="126"/>
  <c r="K499" i="126"/>
  <c r="W507" i="126"/>
  <c r="Z591" i="126"/>
  <c r="AM666" i="126"/>
  <c r="D763" i="126"/>
  <c r="AO795" i="126"/>
  <c r="U840" i="126"/>
  <c r="K896" i="126"/>
  <c r="X896" i="126"/>
  <c r="M1020" i="126"/>
  <c r="AL1020" i="126" s="1"/>
  <c r="K1079" i="126"/>
  <c r="O1079" i="126"/>
  <c r="AO1100" i="126"/>
  <c r="AK1105" i="126"/>
  <c r="W92" i="126"/>
  <c r="O119" i="126"/>
  <c r="O118" i="126" s="1"/>
  <c r="AK155" i="126"/>
  <c r="T204" i="126"/>
  <c r="AM204" i="126" s="1"/>
  <c r="D177" i="126"/>
  <c r="AL210" i="126"/>
  <c r="M251" i="126"/>
  <c r="AL251" i="126" s="1"/>
  <c r="AG285" i="126"/>
  <c r="AM292" i="126"/>
  <c r="H301" i="126"/>
  <c r="F301" i="126" s="1"/>
  <c r="E301" i="126" s="1"/>
  <c r="AG301" i="126" s="1"/>
  <c r="P362" i="126"/>
  <c r="H386" i="126"/>
  <c r="AI386" i="126" s="1"/>
  <c r="R441" i="126"/>
  <c r="AN525" i="126"/>
  <c r="T532" i="126"/>
  <c r="AN532" i="126" s="1"/>
  <c r="Z548" i="126"/>
  <c r="Z547" i="126" s="1"/>
  <c r="Z544" i="126" s="1"/>
  <c r="Z539" i="126" s="1"/>
  <c r="H551" i="126"/>
  <c r="F551" i="126" s="1"/>
  <c r="AO561" i="126"/>
  <c r="O576" i="126"/>
  <c r="AA593" i="126"/>
  <c r="AA592" i="126" s="1"/>
  <c r="Q599" i="126"/>
  <c r="AJ632" i="126"/>
  <c r="AO648" i="126"/>
  <c r="AK685" i="126"/>
  <c r="AM686" i="126"/>
  <c r="H689" i="126"/>
  <c r="AI689" i="126" s="1"/>
  <c r="Z692" i="126"/>
  <c r="V779" i="126"/>
  <c r="T783" i="126"/>
  <c r="S792" i="126"/>
  <c r="AB868" i="126"/>
  <c r="AB867" i="126" s="1"/>
  <c r="M868" i="126"/>
  <c r="M867" i="126" s="1"/>
  <c r="Q868" i="126"/>
  <c r="Q867" i="126" s="1"/>
  <c r="U868" i="126"/>
  <c r="U867" i="126" s="1"/>
  <c r="AO901" i="126"/>
  <c r="P938" i="126"/>
  <c r="I938" i="126" s="1"/>
  <c r="H938" i="126" s="1"/>
  <c r="T960" i="126"/>
  <c r="P982" i="126"/>
  <c r="AL1042" i="126"/>
  <c r="R1052" i="126"/>
  <c r="R919" i="126" s="1"/>
  <c r="AK1085" i="126"/>
  <c r="AA1079" i="126"/>
  <c r="H1089" i="126"/>
  <c r="AO1121" i="126"/>
  <c r="Z102" i="126"/>
  <c r="Z101" i="126" s="1"/>
  <c r="AD119" i="126"/>
  <c r="AD118" i="126" s="1"/>
  <c r="AA119" i="126"/>
  <c r="AL124" i="126"/>
  <c r="AK157" i="126"/>
  <c r="N153" i="126"/>
  <c r="N152" i="126" s="1"/>
  <c r="Z159" i="126"/>
  <c r="X182" i="126"/>
  <c r="AN200" i="126"/>
  <c r="AD231" i="126"/>
  <c r="AD229" i="126" s="1"/>
  <c r="P274" i="126"/>
  <c r="AM274" i="126" s="1"/>
  <c r="Z292" i="126"/>
  <c r="Z304" i="126" s="1"/>
  <c r="Z330" i="126" s="1"/>
  <c r="AO312" i="126"/>
  <c r="H334" i="126"/>
  <c r="AI334" i="126" s="1"/>
  <c r="Z368" i="126"/>
  <c r="AO393" i="126"/>
  <c r="X352" i="126"/>
  <c r="AB441" i="126"/>
  <c r="D442" i="126"/>
  <c r="Z520" i="126"/>
  <c r="I528" i="126"/>
  <c r="T536" i="126"/>
  <c r="AN536" i="126" s="1"/>
  <c r="O539" i="126"/>
  <c r="Z587" i="126"/>
  <c r="O599" i="126"/>
  <c r="W641" i="126"/>
  <c r="AO641" i="126" s="1"/>
  <c r="P748" i="126"/>
  <c r="AK770" i="126"/>
  <c r="Z765" i="126"/>
  <c r="Z764" i="126" s="1"/>
  <c r="U779" i="126"/>
  <c r="P806" i="126"/>
  <c r="P824" i="126"/>
  <c r="I824" i="126" s="1"/>
  <c r="AN835" i="126"/>
  <c r="AN839" i="126"/>
  <c r="P853" i="126"/>
  <c r="AO855" i="126"/>
  <c r="AL857" i="126"/>
  <c r="AN859" i="126"/>
  <c r="Z896" i="126"/>
  <c r="P952" i="126"/>
  <c r="I952" i="126" s="1"/>
  <c r="P993" i="126"/>
  <c r="U995" i="126"/>
  <c r="AB539" i="126"/>
  <c r="S1079" i="126"/>
  <c r="L1079" i="126"/>
  <c r="AM1085" i="126"/>
  <c r="AN1101" i="126"/>
  <c r="AL1105" i="126"/>
  <c r="H1116" i="126"/>
  <c r="AL183" i="126"/>
  <c r="M182" i="126"/>
  <c r="AM184" i="126"/>
  <c r="I184" i="126"/>
  <c r="AN184" i="126"/>
  <c r="AO309" i="126"/>
  <c r="H309" i="126"/>
  <c r="AN522" i="126"/>
  <c r="T521" i="126"/>
  <c r="AN521" i="126" s="1"/>
  <c r="G95" i="125"/>
  <c r="P33" i="126"/>
  <c r="AM33" i="126" s="1"/>
  <c r="AL45" i="126"/>
  <c r="R29" i="126"/>
  <c r="R28" i="126" s="1"/>
  <c r="R27" i="126" s="1"/>
  <c r="W45" i="126"/>
  <c r="AO45" i="126" s="1"/>
  <c r="AA29" i="126"/>
  <c r="H61" i="126"/>
  <c r="F61" i="126" s="1"/>
  <c r="AH61" i="126" s="1"/>
  <c r="AO77" i="126"/>
  <c r="AN82" i="126"/>
  <c r="H83" i="126"/>
  <c r="AK95" i="126"/>
  <c r="AK110" i="126"/>
  <c r="W120" i="126"/>
  <c r="AO120" i="126" s="1"/>
  <c r="AK122" i="126"/>
  <c r="AK124" i="126"/>
  <c r="T128" i="126"/>
  <c r="AN128" i="126" s="1"/>
  <c r="P132" i="126"/>
  <c r="AM132" i="126" s="1"/>
  <c r="H138" i="126"/>
  <c r="F138" i="126" s="1"/>
  <c r="E138" i="126" s="1"/>
  <c r="G146" i="126"/>
  <c r="H147" i="126"/>
  <c r="F147" i="126" s="1"/>
  <c r="AN156" i="126"/>
  <c r="T155" i="126"/>
  <c r="AB153" i="126"/>
  <c r="AB152" i="126" s="1"/>
  <c r="W160" i="126"/>
  <c r="AN190" i="126"/>
  <c r="AN202" i="126"/>
  <c r="P202" i="126"/>
  <c r="T210" i="126"/>
  <c r="AN210" i="126" s="1"/>
  <c r="M236" i="126"/>
  <c r="AL236" i="126" s="1"/>
  <c r="AN236" i="126"/>
  <c r="Q241" i="126"/>
  <c r="P272" i="126"/>
  <c r="H302" i="126"/>
  <c r="F302" i="126" s="1"/>
  <c r="E302" i="126" s="1"/>
  <c r="N373" i="126"/>
  <c r="R373" i="126"/>
  <c r="R367" i="126" s="1"/>
  <c r="V373" i="126"/>
  <c r="AJ403" i="126"/>
  <c r="D441" i="126"/>
  <c r="AN582" i="126"/>
  <c r="U581" i="126"/>
  <c r="U576" i="126" s="1"/>
  <c r="AB581" i="126"/>
  <c r="AB576" i="126" s="1"/>
  <c r="AN795" i="126"/>
  <c r="P795" i="126"/>
  <c r="I795" i="126" s="1"/>
  <c r="M840" i="126"/>
  <c r="W843" i="126"/>
  <c r="W841" i="126" s="1"/>
  <c r="AO841" i="126" s="1"/>
  <c r="AO844" i="126"/>
  <c r="AO874" i="126"/>
  <c r="H874" i="126"/>
  <c r="H323" i="126"/>
  <c r="AO323" i="126"/>
  <c r="H402" i="126"/>
  <c r="AI402" i="126" s="1"/>
  <c r="AO402" i="126"/>
  <c r="AK404" i="126"/>
  <c r="K403" i="126"/>
  <c r="AO767" i="126"/>
  <c r="W766" i="126"/>
  <c r="AO766" i="126" s="1"/>
  <c r="AO892" i="126"/>
  <c r="H892" i="126"/>
  <c r="F892" i="126" s="1"/>
  <c r="AN962" i="126"/>
  <c r="P962" i="126"/>
  <c r="I962" i="126" s="1"/>
  <c r="H90" i="125"/>
  <c r="V29" i="126"/>
  <c r="O29" i="126"/>
  <c r="V47" i="126"/>
  <c r="AO74" i="126"/>
  <c r="AL77" i="126"/>
  <c r="AO80" i="126"/>
  <c r="Z87" i="126"/>
  <c r="Z86" i="126" s="1"/>
  <c r="AN105" i="126"/>
  <c r="W110" i="126"/>
  <c r="D118" i="126"/>
  <c r="AO136" i="126"/>
  <c r="T153" i="126"/>
  <c r="AO163" i="126"/>
  <c r="H163" i="126"/>
  <c r="F163" i="126" s="1"/>
  <c r="E163" i="126" s="1"/>
  <c r="AG163" i="126" s="1"/>
  <c r="AO192" i="126"/>
  <c r="H192" i="126"/>
  <c r="F192" i="126" s="1"/>
  <c r="AH192" i="126" s="1"/>
  <c r="O182" i="126"/>
  <c r="N281" i="126"/>
  <c r="AK295" i="126"/>
  <c r="AN444" i="126"/>
  <c r="T443" i="126"/>
  <c r="AP453" i="126"/>
  <c r="AG453" i="126"/>
  <c r="AO514" i="126"/>
  <c r="W513" i="126"/>
  <c r="AN615" i="126"/>
  <c r="P615" i="126"/>
  <c r="AM615" i="126" s="1"/>
  <c r="Q763" i="126"/>
  <c r="AN939" i="126"/>
  <c r="P939" i="126"/>
  <c r="I939" i="126" s="1"/>
  <c r="AN946" i="126"/>
  <c r="P946" i="126"/>
  <c r="W157" i="126"/>
  <c r="AO157" i="126" s="1"/>
  <c r="T709" i="126"/>
  <c r="AN709" i="126" s="1"/>
  <c r="U708" i="126"/>
  <c r="U705" i="126" s="1"/>
  <c r="AN925" i="126"/>
  <c r="P925" i="126"/>
  <c r="P22" i="126"/>
  <c r="P19" i="126" s="1"/>
  <c r="P40" i="126"/>
  <c r="AM40" i="126" s="1"/>
  <c r="AM73" i="126"/>
  <c r="K88" i="126"/>
  <c r="K87" i="126" s="1"/>
  <c r="K86" i="126" s="1"/>
  <c r="AO92" i="126"/>
  <c r="AO95" i="126"/>
  <c r="AN103" i="126"/>
  <c r="AK105" i="126"/>
  <c r="AK120" i="126"/>
  <c r="U119" i="126"/>
  <c r="U118" i="126" s="1"/>
  <c r="AC119" i="126"/>
  <c r="AC118" i="126" s="1"/>
  <c r="V119" i="126"/>
  <c r="T140" i="126"/>
  <c r="L182" i="126"/>
  <c r="AN205" i="126"/>
  <c r="AO208" i="126"/>
  <c r="AM223" i="126"/>
  <c r="P257" i="126"/>
  <c r="I257" i="126" s="1"/>
  <c r="H257" i="126" s="1"/>
  <c r="AN279" i="126"/>
  <c r="P279" i="126"/>
  <c r="AB281" i="126"/>
  <c r="AJ292" i="126"/>
  <c r="AL292" i="126"/>
  <c r="AO338" i="126"/>
  <c r="L417" i="126"/>
  <c r="AK418" i="126"/>
  <c r="AN426" i="126"/>
  <c r="AN475" i="126"/>
  <c r="P475" i="126"/>
  <c r="I475" i="126" s="1"/>
  <c r="H475" i="126" s="1"/>
  <c r="Z599" i="126"/>
  <c r="AB692" i="126"/>
  <c r="AN714" i="126"/>
  <c r="P714" i="126"/>
  <c r="AM714" i="126" s="1"/>
  <c r="P735" i="126"/>
  <c r="AN735" i="126"/>
  <c r="AO760" i="126"/>
  <c r="W759" i="126"/>
  <c r="W756" i="126" s="1"/>
  <c r="AN804" i="126"/>
  <c r="P804" i="126"/>
  <c r="I804" i="126" s="1"/>
  <c r="H804" i="126" s="1"/>
  <c r="AN927" i="126"/>
  <c r="P927" i="126"/>
  <c r="AM927" i="126" s="1"/>
  <c r="AN1030" i="126"/>
  <c r="P1030" i="126"/>
  <c r="AM1030" i="126" s="1"/>
  <c r="W1050" i="126"/>
  <c r="AO1050" i="126" s="1"/>
  <c r="AO1051" i="126"/>
  <c r="AN1059" i="126"/>
  <c r="P1059" i="126"/>
  <c r="I1059" i="126" s="1"/>
  <c r="AJ1059" i="126" s="1"/>
  <c r="T1063" i="126"/>
  <c r="P1064" i="126"/>
  <c r="AN1068" i="126"/>
  <c r="P1068" i="126"/>
  <c r="AM1068" i="126" s="1"/>
  <c r="AN1072" i="126"/>
  <c r="P1072" i="126"/>
  <c r="H1099" i="126"/>
  <c r="F1099" i="126" s="1"/>
  <c r="G1099" i="126" s="1"/>
  <c r="AO1099" i="126"/>
  <c r="O339" i="126"/>
  <c r="L353" i="126"/>
  <c r="AJ382" i="126"/>
  <c r="AJ387" i="126"/>
  <c r="AL387" i="126"/>
  <c r="AK390" i="126"/>
  <c r="H391" i="126"/>
  <c r="F391" i="126" s="1"/>
  <c r="P487" i="126"/>
  <c r="AM487" i="126" s="1"/>
  <c r="O500" i="126"/>
  <c r="O499" i="126" s="1"/>
  <c r="W500" i="126"/>
  <c r="AA499" i="126"/>
  <c r="AK525" i="126"/>
  <c r="I530" i="126"/>
  <c r="H530" i="126" s="1"/>
  <c r="F530" i="126" s="1"/>
  <c r="Z531" i="126"/>
  <c r="T540" i="126"/>
  <c r="AN540" i="126" s="1"/>
  <c r="D539" i="126"/>
  <c r="V539" i="126"/>
  <c r="AK548" i="126"/>
  <c r="H569" i="126"/>
  <c r="F569" i="126" s="1"/>
  <c r="G569" i="126" s="1"/>
  <c r="V581" i="126"/>
  <c r="L599" i="126"/>
  <c r="V599" i="126"/>
  <c r="V593" i="126" s="1"/>
  <c r="V592" i="126" s="1"/>
  <c r="P603" i="126"/>
  <c r="I603" i="126" s="1"/>
  <c r="AJ603" i="126" s="1"/>
  <c r="W605" i="126"/>
  <c r="AO605" i="126" s="1"/>
  <c r="AM632" i="126"/>
  <c r="T681" i="126"/>
  <c r="AN699" i="126"/>
  <c r="P749" i="126"/>
  <c r="AM749" i="126" s="1"/>
  <c r="AN776" i="126"/>
  <c r="P776" i="126"/>
  <c r="I776" i="126" s="1"/>
  <c r="N779" i="126"/>
  <c r="AO780" i="126"/>
  <c r="H785" i="126"/>
  <c r="F785" i="126" s="1"/>
  <c r="H789" i="126"/>
  <c r="W792" i="126"/>
  <c r="AO792" i="126" s="1"/>
  <c r="AB840" i="126"/>
  <c r="AN858" i="126"/>
  <c r="P858" i="126"/>
  <c r="AM858" i="126" s="1"/>
  <c r="AO885" i="126"/>
  <c r="H885" i="126"/>
  <c r="AI885" i="126" s="1"/>
  <c r="H891" i="126"/>
  <c r="H894" i="126"/>
  <c r="AO894" i="126"/>
  <c r="AI906" i="126"/>
  <c r="F906" i="126"/>
  <c r="AK940" i="126"/>
  <c r="AN954" i="126"/>
  <c r="P954" i="126"/>
  <c r="I954" i="126" s="1"/>
  <c r="AJ954" i="126" s="1"/>
  <c r="AN1065" i="126"/>
  <c r="P1065" i="126"/>
  <c r="AN1069" i="126"/>
  <c r="P1069" i="126"/>
  <c r="AN1073" i="126"/>
  <c r="P1073" i="126"/>
  <c r="AO1098" i="126"/>
  <c r="H1098" i="126"/>
  <c r="AM374" i="126"/>
  <c r="AN374" i="126"/>
  <c r="Y373" i="126"/>
  <c r="Y367" i="126" s="1"/>
  <c r="AL414" i="126"/>
  <c r="L452" i="126"/>
  <c r="AO492" i="126"/>
  <c r="H528" i="126"/>
  <c r="F528" i="126" s="1"/>
  <c r="D576" i="126"/>
  <c r="AL587" i="126"/>
  <c r="AD593" i="126"/>
  <c r="AD592" i="126" s="1"/>
  <c r="AK597" i="126"/>
  <c r="AL632" i="126"/>
  <c r="V692" i="126"/>
  <c r="AK721" i="126"/>
  <c r="AK730" i="126"/>
  <c r="AN861" i="126"/>
  <c r="AO921" i="126"/>
  <c r="W920" i="126"/>
  <c r="AO920" i="126" s="1"/>
  <c r="AN944" i="126"/>
  <c r="P944" i="126"/>
  <c r="I944" i="126" s="1"/>
  <c r="AN985" i="126"/>
  <c r="P985" i="126"/>
  <c r="AM985" i="126" s="1"/>
  <c r="AN986" i="126"/>
  <c r="P986" i="126"/>
  <c r="I986" i="126" s="1"/>
  <c r="AK1014" i="126"/>
  <c r="AN1066" i="126"/>
  <c r="P1066" i="126"/>
  <c r="AN1070" i="126"/>
  <c r="P1070" i="126"/>
  <c r="AM1070" i="126" s="1"/>
  <c r="AN1074" i="126"/>
  <c r="P1074" i="126"/>
  <c r="AL1112" i="126"/>
  <c r="M1111" i="126"/>
  <c r="O177" i="126"/>
  <c r="O176" i="126" s="1"/>
  <c r="AK204" i="126"/>
  <c r="AI225" i="126"/>
  <c r="AJ225" i="126"/>
  <c r="AN225" i="126"/>
  <c r="F228" i="126"/>
  <c r="E228" i="126" s="1"/>
  <c r="AG228" i="126" s="1"/>
  <c r="V231" i="126"/>
  <c r="AB231" i="126"/>
  <c r="Y250" i="126"/>
  <c r="Y248" i="126" s="1"/>
  <c r="W256" i="126"/>
  <c r="AO256" i="126" s="1"/>
  <c r="AK282" i="126"/>
  <c r="AJ295" i="126"/>
  <c r="D281" i="126"/>
  <c r="AC352" i="126"/>
  <c r="AJ377" i="126"/>
  <c r="R352" i="126"/>
  <c r="D430" i="126"/>
  <c r="AK458" i="126"/>
  <c r="S452" i="126"/>
  <c r="AL489" i="126"/>
  <c r="T492" i="126"/>
  <c r="H498" i="126"/>
  <c r="AI498" i="126" s="1"/>
  <c r="AB500" i="126"/>
  <c r="O531" i="126"/>
  <c r="U539" i="126"/>
  <c r="K576" i="126"/>
  <c r="Z581" i="126"/>
  <c r="AL584" i="126"/>
  <c r="W584" i="126"/>
  <c r="AO584" i="126" s="1"/>
  <c r="Z593" i="126"/>
  <c r="Z592" i="126" s="1"/>
  <c r="L594" i="126"/>
  <c r="AK594" i="126" s="1"/>
  <c r="J599" i="126"/>
  <c r="N599" i="126"/>
  <c r="N593" i="126" s="1"/>
  <c r="N592" i="126" s="1"/>
  <c r="S599" i="126"/>
  <c r="AK618" i="126"/>
  <c r="AO619" i="126"/>
  <c r="N631" i="126"/>
  <c r="R631" i="126"/>
  <c r="V631" i="126"/>
  <c r="AL665" i="126"/>
  <c r="P682" i="126"/>
  <c r="P729" i="126"/>
  <c r="AM729" i="126" s="1"/>
  <c r="AL730" i="126"/>
  <c r="W730" i="126"/>
  <c r="AO730" i="126" s="1"/>
  <c r="AA726" i="126"/>
  <c r="AN751" i="126"/>
  <c r="P751" i="126"/>
  <c r="AM751" i="126" s="1"/>
  <c r="P757" i="126"/>
  <c r="AN791" i="126"/>
  <c r="P791" i="126"/>
  <c r="AM791" i="126" s="1"/>
  <c r="AK803" i="126"/>
  <c r="O840" i="126"/>
  <c r="R868" i="126"/>
  <c r="R867" i="126" s="1"/>
  <c r="V868" i="126"/>
  <c r="V867" i="126" s="1"/>
  <c r="S896" i="126"/>
  <c r="AO906" i="126"/>
  <c r="AL940" i="126"/>
  <c r="AN1027" i="126"/>
  <c r="P1027" i="126"/>
  <c r="I1027" i="126" s="1"/>
  <c r="Z1039" i="126"/>
  <c r="P1048" i="126"/>
  <c r="AM1048" i="126" s="1"/>
  <c r="AN1048" i="126"/>
  <c r="AN1054" i="126"/>
  <c r="P1054" i="126"/>
  <c r="AM1054" i="126" s="1"/>
  <c r="AK1063" i="126"/>
  <c r="AN1067" i="126"/>
  <c r="P1067" i="126"/>
  <c r="AN1071" i="126"/>
  <c r="P1071" i="126"/>
  <c r="I1071" i="126" s="1"/>
  <c r="AD1111" i="126"/>
  <c r="AL1014" i="126"/>
  <c r="O1052" i="126"/>
  <c r="U1052" i="126"/>
  <c r="N1052" i="126"/>
  <c r="Z1052" i="126"/>
  <c r="W1063" i="126"/>
  <c r="AO1063" i="126" s="1"/>
  <c r="AL1092" i="126"/>
  <c r="W1115" i="126"/>
  <c r="H1115" i="126" s="1"/>
  <c r="H1117" i="126"/>
  <c r="P720" i="126"/>
  <c r="AM720" i="126" s="1"/>
  <c r="AL721" i="126"/>
  <c r="AO721" i="126"/>
  <c r="K737" i="126"/>
  <c r="K726" i="126" s="1"/>
  <c r="AL740" i="126"/>
  <c r="V765" i="126"/>
  <c r="V764" i="126" s="1"/>
  <c r="V763" i="126" s="1"/>
  <c r="AL783" i="126"/>
  <c r="X779" i="126"/>
  <c r="AK826" i="126"/>
  <c r="AL843" i="126"/>
  <c r="D868" i="126"/>
  <c r="D867" i="126" s="1"/>
  <c r="D623" i="126" s="1"/>
  <c r="L868" i="126"/>
  <c r="L867" i="126" s="1"/>
  <c r="AM870" i="126"/>
  <c r="T869" i="126"/>
  <c r="AN869" i="126" s="1"/>
  <c r="I896" i="126"/>
  <c r="Q896" i="126"/>
  <c r="U896" i="126"/>
  <c r="V896" i="126"/>
  <c r="AK942" i="126"/>
  <c r="W987" i="126"/>
  <c r="AK1042" i="126"/>
  <c r="V1039" i="126"/>
  <c r="AK1050" i="126"/>
  <c r="AJ1085" i="126"/>
  <c r="AL1085" i="126"/>
  <c r="U1079" i="126"/>
  <c r="L1111" i="126"/>
  <c r="AN1112" i="126"/>
  <c r="AA1111" i="126"/>
  <c r="AL417" i="126"/>
  <c r="AL420" i="126"/>
  <c r="AN23" i="126"/>
  <c r="P23" i="126"/>
  <c r="I23" i="126" s="1"/>
  <c r="AO39" i="126"/>
  <c r="W38" i="126"/>
  <c r="AO38" i="126" s="1"/>
  <c r="P186" i="126"/>
  <c r="AM186" i="126" s="1"/>
  <c r="AN186" i="126"/>
  <c r="H96" i="125"/>
  <c r="G96" i="125"/>
  <c r="AG20" i="126"/>
  <c r="AP20" i="126"/>
  <c r="AB102" i="126"/>
  <c r="AB101" i="126" s="1"/>
  <c r="AN115" i="126"/>
  <c r="AO165" i="126"/>
  <c r="H165" i="126"/>
  <c r="F165" i="126" s="1"/>
  <c r="G165" i="126" s="1"/>
  <c r="AM189" i="126"/>
  <c r="I189" i="126"/>
  <c r="AJ189" i="126" s="1"/>
  <c r="AM190" i="126"/>
  <c r="I190" i="126"/>
  <c r="I193" i="126"/>
  <c r="AJ193" i="126" s="1"/>
  <c r="AM193" i="126"/>
  <c r="P188" i="126"/>
  <c r="AN188" i="126"/>
  <c r="AM421" i="126"/>
  <c r="I421" i="126"/>
  <c r="AJ421" i="126" s="1"/>
  <c r="AL17" i="126"/>
  <c r="I21" i="126"/>
  <c r="AM21" i="126"/>
  <c r="X27" i="126"/>
  <c r="H59" i="126"/>
  <c r="F59" i="126" s="1"/>
  <c r="AO59" i="126"/>
  <c r="T63" i="126"/>
  <c r="T62" i="126" s="1"/>
  <c r="AN62" i="126" s="1"/>
  <c r="AP107" i="126"/>
  <c r="AG107" i="126"/>
  <c r="AN117" i="126"/>
  <c r="AG138" i="126"/>
  <c r="AP138" i="126"/>
  <c r="AN142" i="126"/>
  <c r="AO160" i="126"/>
  <c r="AO168" i="126"/>
  <c r="H168" i="126"/>
  <c r="AO170" i="126"/>
  <c r="H170" i="126"/>
  <c r="AO172" i="126"/>
  <c r="H172" i="126"/>
  <c r="P179" i="126"/>
  <c r="AM179" i="126" s="1"/>
  <c r="S178" i="126"/>
  <c r="AM271" i="126"/>
  <c r="I271" i="126"/>
  <c r="AJ271" i="126" s="1"/>
  <c r="AM277" i="126"/>
  <c r="I277" i="126"/>
  <c r="AN162" i="126"/>
  <c r="P162" i="126"/>
  <c r="U182" i="126"/>
  <c r="U177" i="126"/>
  <c r="U176" i="126" s="1"/>
  <c r="P18" i="126"/>
  <c r="I22" i="126"/>
  <c r="H22" i="126" s="1"/>
  <c r="AI22" i="126" s="1"/>
  <c r="W30" i="126"/>
  <c r="AO30" i="126" s="1"/>
  <c r="D47" i="126"/>
  <c r="D28" i="126" s="1"/>
  <c r="D27" i="126" s="1"/>
  <c r="AB88" i="126"/>
  <c r="AB87" i="126" s="1"/>
  <c r="AB86" i="126" s="1"/>
  <c r="AO96" i="126"/>
  <c r="M109" i="126"/>
  <c r="AL109" i="126" s="1"/>
  <c r="AO112" i="126"/>
  <c r="H151" i="126"/>
  <c r="AI151" i="126" s="1"/>
  <c r="AO151" i="126"/>
  <c r="Y177" i="126"/>
  <c r="Y176" i="126" s="1"/>
  <c r="Y182" i="126"/>
  <c r="AN359" i="126"/>
  <c r="P359" i="126"/>
  <c r="I359" i="126" s="1"/>
  <c r="H394" i="126"/>
  <c r="F394" i="126" s="1"/>
  <c r="AO394" i="126"/>
  <c r="AP671" i="126"/>
  <c r="W671" i="126"/>
  <c r="H671" i="126" s="1"/>
  <c r="AH671" i="126" s="1"/>
  <c r="AN934" i="126"/>
  <c r="P934" i="126"/>
  <c r="AO1082" i="126"/>
  <c r="W1081" i="126"/>
  <c r="AO1081" i="126" s="1"/>
  <c r="K29" i="126"/>
  <c r="AA48" i="126"/>
  <c r="AA47" i="126" s="1"/>
  <c r="AJ73" i="126"/>
  <c r="AN73" i="126"/>
  <c r="AK82" i="126"/>
  <c r="AM82" i="126"/>
  <c r="AN97" i="126"/>
  <c r="AB119" i="126"/>
  <c r="AB118" i="126" s="1"/>
  <c r="AB183" i="126"/>
  <c r="AB182" i="126" s="1"/>
  <c r="AN193" i="126"/>
  <c r="T197" i="126"/>
  <c r="D176" i="126"/>
  <c r="AM225" i="126"/>
  <c r="T232" i="126"/>
  <c r="T231" i="126" s="1"/>
  <c r="O231" i="126"/>
  <c r="AO236" i="126"/>
  <c r="AN237" i="126"/>
  <c r="AL238" i="126"/>
  <c r="P239" i="126"/>
  <c r="AM239" i="126" s="1"/>
  <c r="AN242" i="126"/>
  <c r="AB230" i="126"/>
  <c r="AB229" i="126" s="1"/>
  <c r="W251" i="126"/>
  <c r="L251" i="126"/>
  <c r="AK251" i="126" s="1"/>
  <c r="AK254" i="126"/>
  <c r="V250" i="126"/>
  <c r="V248" i="126" s="1"/>
  <c r="V241" i="126" s="1"/>
  <c r="Z250" i="126"/>
  <c r="Z248" i="126" s="1"/>
  <c r="AO259" i="126"/>
  <c r="P273" i="126"/>
  <c r="I273" i="126" s="1"/>
  <c r="AN277" i="126"/>
  <c r="T287" i="126"/>
  <c r="AK292" i="126"/>
  <c r="H305" i="126"/>
  <c r="AO311" i="126"/>
  <c r="H313" i="126"/>
  <c r="F313" i="126" s="1"/>
  <c r="AO315" i="126"/>
  <c r="H320" i="126"/>
  <c r="F327" i="126"/>
  <c r="E327" i="126" s="1"/>
  <c r="H329" i="126"/>
  <c r="F329" i="126" s="1"/>
  <c r="G333" i="126"/>
  <c r="AL344" i="126"/>
  <c r="P347" i="126"/>
  <c r="AB367" i="126"/>
  <c r="AB363" i="126" s="1"/>
  <c r="AB352" i="126" s="1"/>
  <c r="H388" i="126"/>
  <c r="AI388" i="126" s="1"/>
  <c r="AK434" i="126"/>
  <c r="AM526" i="126"/>
  <c r="I526" i="126"/>
  <c r="AN588" i="126"/>
  <c r="T587" i="126"/>
  <c r="AN587" i="126" s="1"/>
  <c r="AK709" i="126"/>
  <c r="J708" i="126"/>
  <c r="S708" i="126"/>
  <c r="AL709" i="126"/>
  <c r="I1073" i="126"/>
  <c r="AJ1073" i="126" s="1"/>
  <c r="AM1073" i="126"/>
  <c r="Z281" i="126"/>
  <c r="AN351" i="126"/>
  <c r="P351" i="126"/>
  <c r="I351" i="126" s="1"/>
  <c r="AM403" i="126"/>
  <c r="AO435" i="126"/>
  <c r="W434" i="126"/>
  <c r="AO434" i="126" s="1"/>
  <c r="AO914" i="126"/>
  <c r="H914" i="126"/>
  <c r="F914" i="126" s="1"/>
  <c r="AL1081" i="126"/>
  <c r="M1079" i="126"/>
  <c r="AK19" i="126"/>
  <c r="T19" i="126"/>
  <c r="AN19" i="126" s="1"/>
  <c r="N29" i="126"/>
  <c r="Z29" i="126"/>
  <c r="AD29" i="126"/>
  <c r="M30" i="126"/>
  <c r="P42" i="126"/>
  <c r="AM42" i="126" s="1"/>
  <c r="AK45" i="126"/>
  <c r="U47" i="126"/>
  <c r="U28" i="126" s="1"/>
  <c r="U27" i="126" s="1"/>
  <c r="W63" i="126"/>
  <c r="AO63" i="126" s="1"/>
  <c r="AN64" i="126"/>
  <c r="AK73" i="126"/>
  <c r="AK77" i="126"/>
  <c r="AJ82" i="126"/>
  <c r="AL82" i="126"/>
  <c r="H85" i="126"/>
  <c r="AI85" i="126" s="1"/>
  <c r="U88" i="126"/>
  <c r="U87" i="126" s="1"/>
  <c r="U86" i="126" s="1"/>
  <c r="AK92" i="126"/>
  <c r="T92" i="126"/>
  <c r="AN92" i="126" s="1"/>
  <c r="P96" i="126"/>
  <c r="I96" i="126" s="1"/>
  <c r="I95" i="126" s="1"/>
  <c r="AL105" i="126"/>
  <c r="AK109" i="126"/>
  <c r="AN114" i="126"/>
  <c r="AN116" i="126"/>
  <c r="K118" i="126"/>
  <c r="Z119" i="126"/>
  <c r="Z118" i="126" s="1"/>
  <c r="S131" i="126"/>
  <c r="P131" i="126" s="1"/>
  <c r="AM131" i="126" s="1"/>
  <c r="H133" i="126"/>
  <c r="F133" i="126" s="1"/>
  <c r="G133" i="126" s="1"/>
  <c r="H134" i="126"/>
  <c r="F134" i="126" s="1"/>
  <c r="G134" i="126" s="1"/>
  <c r="T159" i="126"/>
  <c r="AN159" i="126" s="1"/>
  <c r="H175" i="126"/>
  <c r="M178" i="126"/>
  <c r="M177" i="126" s="1"/>
  <c r="M176" i="126" s="1"/>
  <c r="P185" i="126"/>
  <c r="P187" i="126"/>
  <c r="I187" i="126" s="1"/>
  <c r="AJ187" i="126" s="1"/>
  <c r="P191" i="126"/>
  <c r="AM191" i="126" s="1"/>
  <c r="P201" i="126"/>
  <c r="I201" i="126" s="1"/>
  <c r="AJ201" i="126" s="1"/>
  <c r="P203" i="126"/>
  <c r="H217" i="126"/>
  <c r="F217" i="126" s="1"/>
  <c r="H221" i="126"/>
  <c r="AI221" i="126" s="1"/>
  <c r="F227" i="126"/>
  <c r="E227" i="126" s="1"/>
  <c r="AK238" i="126"/>
  <c r="AN240" i="126"/>
  <c r="AJ242" i="126"/>
  <c r="AK253" i="126"/>
  <c r="P255" i="126"/>
  <c r="I255" i="126" s="1"/>
  <c r="AJ255" i="126" s="1"/>
  <c r="P275" i="126"/>
  <c r="AD281" i="126"/>
  <c r="AN295" i="126"/>
  <c r="AO300" i="126"/>
  <c r="AO307" i="126"/>
  <c r="F315" i="126"/>
  <c r="E315" i="126" s="1"/>
  <c r="F316" i="126"/>
  <c r="H317" i="126"/>
  <c r="F317" i="126" s="1"/>
  <c r="AH317" i="126" s="1"/>
  <c r="AO319" i="126"/>
  <c r="H324" i="126"/>
  <c r="H331" i="126"/>
  <c r="F331" i="126" s="1"/>
  <c r="F338" i="126"/>
  <c r="E338" i="126" s="1"/>
  <c r="AN344" i="126"/>
  <c r="P344" i="126"/>
  <c r="AM344" i="126" s="1"/>
  <c r="P345" i="126"/>
  <c r="I345" i="126" s="1"/>
  <c r="AN349" i="126"/>
  <c r="P349" i="126"/>
  <c r="P350" i="126"/>
  <c r="AM350" i="126" s="1"/>
  <c r="AK374" i="126"/>
  <c r="AL374" i="126"/>
  <c r="N367" i="126"/>
  <c r="N363" i="126" s="1"/>
  <c r="N352" i="126" s="1"/>
  <c r="V367" i="126"/>
  <c r="V363" i="126" s="1"/>
  <c r="V352" i="126" s="1"/>
  <c r="L373" i="126"/>
  <c r="L367" i="126" s="1"/>
  <c r="AN387" i="126"/>
  <c r="W395" i="126"/>
  <c r="AO395" i="126" s="1"/>
  <c r="Z390" i="126"/>
  <c r="P446" i="126"/>
  <c r="AM446" i="126" s="1"/>
  <c r="AO460" i="126"/>
  <c r="W458" i="126"/>
  <c r="AO458" i="126" s="1"/>
  <c r="AN547" i="126"/>
  <c r="P550" i="126"/>
  <c r="AM550" i="126" s="1"/>
  <c r="T548" i="126"/>
  <c r="AN548" i="126" s="1"/>
  <c r="AI619" i="126"/>
  <c r="F619" i="126"/>
  <c r="AH619" i="126" s="1"/>
  <c r="AK635" i="126"/>
  <c r="J631" i="126"/>
  <c r="H642" i="126"/>
  <c r="F642" i="126" s="1"/>
  <c r="E642" i="126" s="1"/>
  <c r="AO642" i="126"/>
  <c r="AN681" i="126"/>
  <c r="T680" i="126"/>
  <c r="V726" i="126"/>
  <c r="AN815" i="126"/>
  <c r="P815" i="126"/>
  <c r="AM815" i="126" s="1"/>
  <c r="P816" i="126"/>
  <c r="AN816" i="126"/>
  <c r="P1001" i="126"/>
  <c r="I1001" i="126" s="1"/>
  <c r="AN1001" i="126"/>
  <c r="AN271" i="126"/>
  <c r="AO332" i="126"/>
  <c r="AN421" i="126"/>
  <c r="AO565" i="126"/>
  <c r="H565" i="126"/>
  <c r="F565" i="126" s="1"/>
  <c r="AN616" i="126"/>
  <c r="AO670" i="126"/>
  <c r="H670" i="126"/>
  <c r="AI670" i="126" s="1"/>
  <c r="AN818" i="126"/>
  <c r="P818" i="126"/>
  <c r="AM818" i="126" s="1"/>
  <c r="P850" i="126"/>
  <c r="I850" i="126" s="1"/>
  <c r="AN850" i="126"/>
  <c r="AO930" i="126"/>
  <c r="W929" i="126"/>
  <c r="AO929" i="126" s="1"/>
  <c r="I94" i="125"/>
  <c r="H94" i="125" s="1"/>
  <c r="AK17" i="126"/>
  <c r="AL19" i="126"/>
  <c r="T30" i="126"/>
  <c r="AN30" i="126" s="1"/>
  <c r="S31" i="126"/>
  <c r="P31" i="126" s="1"/>
  <c r="I31" i="126" s="1"/>
  <c r="S35" i="126"/>
  <c r="P35" i="126" s="1"/>
  <c r="AM35" i="126" s="1"/>
  <c r="P37" i="126"/>
  <c r="AM37" i="126" s="1"/>
  <c r="AK38" i="126"/>
  <c r="AC29" i="126"/>
  <c r="T38" i="126"/>
  <c r="AN38" i="126" s="1"/>
  <c r="I40" i="126"/>
  <c r="P44" i="126"/>
  <c r="AM44" i="126" s="1"/>
  <c r="AD47" i="126"/>
  <c r="T49" i="126"/>
  <c r="W52" i="126"/>
  <c r="AO52" i="126" s="1"/>
  <c r="AK67" i="126"/>
  <c r="AK68" i="126"/>
  <c r="AL73" i="126"/>
  <c r="W73" i="126"/>
  <c r="AO73" i="126" s="1"/>
  <c r="V88" i="126"/>
  <c r="V87" i="126" s="1"/>
  <c r="V86" i="126" s="1"/>
  <c r="O88" i="126"/>
  <c r="O87" i="126" s="1"/>
  <c r="O86" i="126" s="1"/>
  <c r="AA88" i="126"/>
  <c r="AA87" i="126" s="1"/>
  <c r="AA86" i="126" s="1"/>
  <c r="AL95" i="126"/>
  <c r="AN95" i="126"/>
  <c r="N102" i="126"/>
  <c r="N101" i="126" s="1"/>
  <c r="AO103" i="126"/>
  <c r="W105" i="126"/>
  <c r="AO105" i="126" s="1"/>
  <c r="AN112" i="126"/>
  <c r="N119" i="126"/>
  <c r="AK121" i="126"/>
  <c r="V118" i="126"/>
  <c r="AO145" i="126"/>
  <c r="AH146" i="126"/>
  <c r="AI147" i="126"/>
  <c r="O153" i="126"/>
  <c r="O152" i="126" s="1"/>
  <c r="AL157" i="126"/>
  <c r="Z153" i="126"/>
  <c r="Z152" i="126" s="1"/>
  <c r="AL197" i="126"/>
  <c r="AA183" i="126"/>
  <c r="AA182" i="126" s="1"/>
  <c r="P198" i="126"/>
  <c r="AM198" i="126" s="1"/>
  <c r="AM205" i="126"/>
  <c r="W210" i="126"/>
  <c r="AO210" i="126" s="1"/>
  <c r="AO211" i="126"/>
  <c r="H218" i="126"/>
  <c r="AI218" i="126" s="1"/>
  <c r="W232" i="126"/>
  <c r="AO232" i="126" s="1"/>
  <c r="I269" i="126"/>
  <c r="AJ269" i="126" s="1"/>
  <c r="I274" i="126"/>
  <c r="H280" i="126"/>
  <c r="F280" i="126" s="1"/>
  <c r="W282" i="126"/>
  <c r="AO282" i="126" s="1"/>
  <c r="V281" i="126"/>
  <c r="AL295" i="126"/>
  <c r="F300" i="126"/>
  <c r="F307" i="126"/>
  <c r="G307" i="126" s="1"/>
  <c r="F319" i="126"/>
  <c r="E319" i="126" s="1"/>
  <c r="H321" i="126"/>
  <c r="F321" i="126" s="1"/>
  <c r="H328" i="126"/>
  <c r="AN341" i="126"/>
  <c r="T340" i="126"/>
  <c r="AN340" i="126" s="1"/>
  <c r="I343" i="126"/>
  <c r="AN348" i="126"/>
  <c r="P348" i="126"/>
  <c r="AM348" i="126" s="1"/>
  <c r="AD352" i="126"/>
  <c r="AN366" i="126"/>
  <c r="T364" i="126"/>
  <c r="AN364" i="126" s="1"/>
  <c r="H372" i="126"/>
  <c r="H380" i="126"/>
  <c r="AO380" i="126"/>
  <c r="H397" i="126"/>
  <c r="AO397" i="126"/>
  <c r="AK403" i="126"/>
  <c r="AN403" i="126"/>
  <c r="AN415" i="126"/>
  <c r="T414" i="126"/>
  <c r="AN414" i="126" s="1"/>
  <c r="AN435" i="126"/>
  <c r="AN438" i="126"/>
  <c r="AO455" i="126"/>
  <c r="AN618" i="126"/>
  <c r="AO691" i="126"/>
  <c r="H691" i="126"/>
  <c r="AN752" i="126"/>
  <c r="P752" i="126"/>
  <c r="AM752" i="126" s="1"/>
  <c r="AN825" i="126"/>
  <c r="AN856" i="126"/>
  <c r="T855" i="126"/>
  <c r="AN855" i="126" s="1"/>
  <c r="H875" i="126"/>
  <c r="F875" i="126" s="1"/>
  <c r="AO875" i="126"/>
  <c r="D367" i="126"/>
  <c r="D363" i="126" s="1"/>
  <c r="D352" i="126" s="1"/>
  <c r="M373" i="126"/>
  <c r="M367" i="126" s="1"/>
  <c r="Q373" i="126"/>
  <c r="Q367" i="126" s="1"/>
  <c r="U373" i="126"/>
  <c r="U367" i="126" s="1"/>
  <c r="U363" i="126" s="1"/>
  <c r="U352" i="126" s="1"/>
  <c r="AK387" i="126"/>
  <c r="AM390" i="126"/>
  <c r="AL403" i="126"/>
  <c r="AM404" i="126"/>
  <c r="Y352" i="126"/>
  <c r="AD416" i="126"/>
  <c r="S432" i="126"/>
  <c r="P432" i="126" s="1"/>
  <c r="N430" i="126"/>
  <c r="AB430" i="126"/>
  <c r="AB416" i="126" s="1"/>
  <c r="W443" i="126"/>
  <c r="R452" i="126"/>
  <c r="AN488" i="126"/>
  <c r="T481" i="126"/>
  <c r="AN481" i="126" s="1"/>
  <c r="AL548" i="126"/>
  <c r="AO595" i="126"/>
  <c r="W594" i="126"/>
  <c r="AO594" i="126" s="1"/>
  <c r="H633" i="126"/>
  <c r="AI633" i="126" s="1"/>
  <c r="AO633" i="126"/>
  <c r="W634" i="126"/>
  <c r="AO634" i="126" s="1"/>
  <c r="AP634" i="126"/>
  <c r="H664" i="126"/>
  <c r="F664" i="126" s="1"/>
  <c r="AH664" i="126" s="1"/>
  <c r="AO664" i="126"/>
  <c r="AN666" i="126"/>
  <c r="T665" i="126"/>
  <c r="AN665" i="126" s="1"/>
  <c r="AP670" i="126"/>
  <c r="N680" i="126"/>
  <c r="AN683" i="126"/>
  <c r="AM703" i="126"/>
  <c r="I703" i="126"/>
  <c r="AJ703" i="126" s="1"/>
  <c r="AL708" i="126"/>
  <c r="AM715" i="126"/>
  <c r="I715" i="126"/>
  <c r="H715" i="126" s="1"/>
  <c r="AI715" i="126" s="1"/>
  <c r="AN739" i="126"/>
  <c r="T740" i="126"/>
  <c r="AN740" i="126" s="1"/>
  <c r="AK759" i="126"/>
  <c r="AD763" i="126"/>
  <c r="AN771" i="126"/>
  <c r="L841" i="126"/>
  <c r="L840" i="126" s="1"/>
  <c r="AO856" i="126"/>
  <c r="AI874" i="126"/>
  <c r="F874" i="126"/>
  <c r="E874" i="126" s="1"/>
  <c r="I957" i="126"/>
  <c r="AJ957" i="126" s="1"/>
  <c r="AN963" i="126"/>
  <c r="P963" i="126"/>
  <c r="AM966" i="126"/>
  <c r="AO980" i="126"/>
  <c r="W979" i="126"/>
  <c r="AO979" i="126" s="1"/>
  <c r="AN1051" i="126"/>
  <c r="P1051" i="126"/>
  <c r="AN1108" i="126"/>
  <c r="P1108" i="126"/>
  <c r="I1108" i="126" s="1"/>
  <c r="AO1114" i="126"/>
  <c r="H1114" i="126"/>
  <c r="AO1124" i="126"/>
  <c r="H1124" i="126"/>
  <c r="H1126" i="126"/>
  <c r="AI1126" i="126" s="1"/>
  <c r="AO1126" i="126"/>
  <c r="AL368" i="126"/>
  <c r="AA373" i="126"/>
  <c r="AA367" i="126" s="1"/>
  <c r="X373" i="126"/>
  <c r="X367" i="126" s="1"/>
  <c r="AJ390" i="126"/>
  <c r="AL390" i="126"/>
  <c r="AJ404" i="126"/>
  <c r="AL404" i="126"/>
  <c r="AN404" i="126"/>
  <c r="AK414" i="126"/>
  <c r="Q352" i="126"/>
  <c r="V416" i="126"/>
  <c r="U430" i="126"/>
  <c r="U416" i="126" s="1"/>
  <c r="AL434" i="126"/>
  <c r="AA430" i="126"/>
  <c r="AA416" i="126" s="1"/>
  <c r="P445" i="126"/>
  <c r="AM445" i="126" s="1"/>
  <c r="U500" i="126"/>
  <c r="U499" i="126" s="1"/>
  <c r="U531" i="126"/>
  <c r="U510" i="126" s="1"/>
  <c r="AD539" i="126"/>
  <c r="H559" i="126"/>
  <c r="F559" i="126" s="1"/>
  <c r="E559" i="126" s="1"/>
  <c r="AO559" i="126"/>
  <c r="F561" i="126"/>
  <c r="E561" i="126" s="1"/>
  <c r="AP561" i="126" s="1"/>
  <c r="H567" i="126"/>
  <c r="F567" i="126" s="1"/>
  <c r="E567" i="126" s="1"/>
  <c r="AO579" i="126"/>
  <c r="W577" i="126"/>
  <c r="AO577" i="126" s="1"/>
  <c r="AP580" i="126"/>
  <c r="V576" i="126"/>
  <c r="U593" i="126"/>
  <c r="U592" i="126" s="1"/>
  <c r="O593" i="126"/>
  <c r="O592" i="126" s="1"/>
  <c r="AL600" i="126"/>
  <c r="M599" i="126"/>
  <c r="AL599" i="126" s="1"/>
  <c r="W600" i="126"/>
  <c r="W599" i="126" s="1"/>
  <c r="AO599" i="126" s="1"/>
  <c r="AL605" i="126"/>
  <c r="AN614" i="126"/>
  <c r="X623" i="126"/>
  <c r="AN632" i="126"/>
  <c r="T631" i="126"/>
  <c r="AM631" i="126" s="1"/>
  <c r="Y623" i="126"/>
  <c r="H637" i="126"/>
  <c r="F637" i="126" s="1"/>
  <c r="G637" i="126" s="1"/>
  <c r="AO637" i="126"/>
  <c r="T643" i="126"/>
  <c r="AN643" i="126" s="1"/>
  <c r="AM645" i="126"/>
  <c r="AJ645" i="126"/>
  <c r="P665" i="126"/>
  <c r="AJ666" i="126"/>
  <c r="I665" i="126"/>
  <c r="O680" i="126"/>
  <c r="AP684" i="126"/>
  <c r="AG684" i="126"/>
  <c r="AO694" i="126"/>
  <c r="W693" i="126"/>
  <c r="AO693" i="126" s="1"/>
  <c r="AL699" i="126"/>
  <c r="AO703" i="126"/>
  <c r="W702" i="126"/>
  <c r="AO702" i="126" s="1"/>
  <c r="AN703" i="126"/>
  <c r="P711" i="126"/>
  <c r="AM711" i="126" s="1"/>
  <c r="I720" i="126"/>
  <c r="AJ720" i="126" s="1"/>
  <c r="N726" i="126"/>
  <c r="I735" i="126"/>
  <c r="AM735" i="126"/>
  <c r="U737" i="126"/>
  <c r="U726" i="126" s="1"/>
  <c r="AO739" i="126"/>
  <c r="P753" i="126"/>
  <c r="I753" i="126" s="1"/>
  <c r="H753" i="126" s="1"/>
  <c r="AN761" i="126"/>
  <c r="P761" i="126"/>
  <c r="AA765" i="126"/>
  <c r="AA764" i="126" s="1"/>
  <c r="AA763" i="126" s="1"/>
  <c r="K765" i="126"/>
  <c r="K764" i="126" s="1"/>
  <c r="P774" i="126"/>
  <c r="I774" i="126" s="1"/>
  <c r="H787" i="126"/>
  <c r="F787" i="126" s="1"/>
  <c r="AN829" i="126"/>
  <c r="K840" i="126"/>
  <c r="AN863" i="126"/>
  <c r="P863" i="126"/>
  <c r="AJ870" i="126"/>
  <c r="AN877" i="126"/>
  <c r="AK878" i="126"/>
  <c r="O896" i="126"/>
  <c r="H908" i="126"/>
  <c r="AO908" i="126"/>
  <c r="AO917" i="126"/>
  <c r="H917" i="126"/>
  <c r="T1016" i="126"/>
  <c r="P1016" i="126" s="1"/>
  <c r="P1014" i="126" s="1"/>
  <c r="U1014" i="126"/>
  <c r="W1085" i="126"/>
  <c r="AO1086" i="126"/>
  <c r="H1086" i="126"/>
  <c r="F1086" i="126" s="1"/>
  <c r="AL458" i="126"/>
  <c r="AN492" i="126"/>
  <c r="T491" i="126"/>
  <c r="AN491" i="126" s="1"/>
  <c r="V500" i="126"/>
  <c r="V499" i="126" s="1"/>
  <c r="AN501" i="126"/>
  <c r="AM523" i="126"/>
  <c r="I523" i="126"/>
  <c r="AJ523" i="126" s="1"/>
  <c r="W536" i="126"/>
  <c r="AO536" i="126" s="1"/>
  <c r="AO541" i="126"/>
  <c r="W540" i="126"/>
  <c r="AO540" i="126" s="1"/>
  <c r="T545" i="126"/>
  <c r="T544" i="126" s="1"/>
  <c r="AN544" i="126" s="1"/>
  <c r="AN546" i="126"/>
  <c r="J593" i="126"/>
  <c r="J592" i="126" s="1"/>
  <c r="AN610" i="126"/>
  <c r="AL618" i="126"/>
  <c r="AL635" i="126"/>
  <c r="H646" i="126"/>
  <c r="AO646" i="126"/>
  <c r="H656" i="126"/>
  <c r="F656" i="126" s="1"/>
  <c r="AO656" i="126"/>
  <c r="Z666" i="126"/>
  <c r="Z665" i="126" s="1"/>
  <c r="AM687" i="126"/>
  <c r="I687" i="126"/>
  <c r="H687" i="126" s="1"/>
  <c r="P685" i="126"/>
  <c r="AM685" i="126" s="1"/>
  <c r="AN700" i="126"/>
  <c r="AN716" i="126"/>
  <c r="P716" i="126"/>
  <c r="AL757" i="126"/>
  <c r="M756" i="126"/>
  <c r="S756" i="126"/>
  <c r="AO786" i="126"/>
  <c r="H786" i="126"/>
  <c r="AN813" i="126"/>
  <c r="P813" i="126"/>
  <c r="I813" i="126" s="1"/>
  <c r="H820" i="126"/>
  <c r="F820" i="126" s="1"/>
  <c r="AO820" i="126"/>
  <c r="AN830" i="126"/>
  <c r="F886" i="126"/>
  <c r="E886" i="126" s="1"/>
  <c r="AI886" i="126"/>
  <c r="AN937" i="126"/>
  <c r="P937" i="126"/>
  <c r="I937" i="126" s="1"/>
  <c r="AJ937" i="126" s="1"/>
  <c r="J452" i="126"/>
  <c r="J442" i="126" s="1"/>
  <c r="N452" i="126"/>
  <c r="P477" i="126"/>
  <c r="AM477" i="126" s="1"/>
  <c r="AK481" i="126"/>
  <c r="AL481" i="126"/>
  <c r="AK489" i="126"/>
  <c r="AK503" i="126"/>
  <c r="AO503" i="126"/>
  <c r="AL513" i="126"/>
  <c r="AD510" i="126"/>
  <c r="AA520" i="126"/>
  <c r="J531" i="126"/>
  <c r="H535" i="126"/>
  <c r="F535" i="126" s="1"/>
  <c r="AO572" i="126"/>
  <c r="AO573" i="126"/>
  <c r="AO574" i="126"/>
  <c r="AC576" i="126"/>
  <c r="AO582" i="126"/>
  <c r="AK584" i="126"/>
  <c r="AK587" i="126"/>
  <c r="P596" i="126"/>
  <c r="AM596" i="126" s="1"/>
  <c r="P602" i="126"/>
  <c r="P604" i="126"/>
  <c r="AM604" i="126" s="1"/>
  <c r="AK605" i="126"/>
  <c r="AN609" i="126"/>
  <c r="AO618" i="126"/>
  <c r="L643" i="126"/>
  <c r="AK643" i="126" s="1"/>
  <c r="AL645" i="126"/>
  <c r="AK666" i="126"/>
  <c r="AN685" i="126"/>
  <c r="I688" i="126"/>
  <c r="K692" i="126"/>
  <c r="AD693" i="126"/>
  <c r="AD692" i="126" s="1"/>
  <c r="AK696" i="126"/>
  <c r="AK699" i="126"/>
  <c r="P701" i="126"/>
  <c r="I701" i="126" s="1"/>
  <c r="H701" i="126" s="1"/>
  <c r="AK702" i="126"/>
  <c r="AB726" i="126"/>
  <c r="O726" i="126"/>
  <c r="AK740" i="126"/>
  <c r="AK768" i="126"/>
  <c r="P772" i="126"/>
  <c r="AB763" i="126"/>
  <c r="AC800" i="126"/>
  <c r="AK817" i="126"/>
  <c r="L821" i="126"/>
  <c r="AK822" i="126"/>
  <c r="AN828" i="126"/>
  <c r="P831" i="126"/>
  <c r="AM831" i="126" s="1"/>
  <c r="H883" i="126"/>
  <c r="F901" i="126"/>
  <c r="AH901" i="126" s="1"/>
  <c r="H910" i="126"/>
  <c r="H915" i="126"/>
  <c r="F915" i="126" s="1"/>
  <c r="H918" i="126"/>
  <c r="F918" i="126" s="1"/>
  <c r="Z919" i="126"/>
  <c r="AD919" i="126"/>
  <c r="AK929" i="126"/>
  <c r="P948" i="126"/>
  <c r="P998" i="126"/>
  <c r="I998" i="126" s="1"/>
  <c r="H998" i="126" s="1"/>
  <c r="AN998" i="126"/>
  <c r="AN1003" i="126"/>
  <c r="P1003" i="126"/>
  <c r="I1028" i="126"/>
  <c r="AJ1028" i="126" s="1"/>
  <c r="AO1057" i="126"/>
  <c r="P1058" i="126"/>
  <c r="AM1058" i="126" s="1"/>
  <c r="AN1058" i="126"/>
  <c r="AM1074" i="126"/>
  <c r="I1074" i="126"/>
  <c r="P1083" i="126"/>
  <c r="AM1083" i="126" s="1"/>
  <c r="AN1083" i="126"/>
  <c r="F1094" i="126"/>
  <c r="G1094" i="126" s="1"/>
  <c r="AI1094" i="126"/>
  <c r="P1106" i="126"/>
  <c r="I1106" i="126" s="1"/>
  <c r="T1105" i="126"/>
  <c r="AN1105" i="126" s="1"/>
  <c r="AI1113" i="126"/>
  <c r="F1113" i="126"/>
  <c r="I83" i="125" s="1"/>
  <c r="AN485" i="126"/>
  <c r="AM489" i="126"/>
  <c r="D499" i="126"/>
  <c r="AD500" i="126"/>
  <c r="AD499" i="126" s="1"/>
  <c r="AP505" i="126"/>
  <c r="AO507" i="126"/>
  <c r="D510" i="126"/>
  <c r="AL525" i="126"/>
  <c r="D593" i="126"/>
  <c r="D592" i="126" s="1"/>
  <c r="AN597" i="126"/>
  <c r="AK632" i="126"/>
  <c r="AM635" i="126"/>
  <c r="AN635" i="126"/>
  <c r="AK645" i="126"/>
  <c r="AN645" i="126"/>
  <c r="AP667" i="126"/>
  <c r="V680" i="126"/>
  <c r="AB680" i="126"/>
  <c r="AL685" i="126"/>
  <c r="O692" i="126"/>
  <c r="AL702" i="126"/>
  <c r="AN710" i="126"/>
  <c r="Z737" i="126"/>
  <c r="Z726" i="126" s="1"/>
  <c r="AN747" i="126"/>
  <c r="O765" i="126"/>
  <c r="O764" i="126" s="1"/>
  <c r="O763" i="126" s="1"/>
  <c r="AL770" i="126"/>
  <c r="Y765" i="126"/>
  <c r="W770" i="126"/>
  <c r="AO770" i="126" s="1"/>
  <c r="AO774" i="126"/>
  <c r="AC779" i="126"/>
  <c r="AK783" i="126"/>
  <c r="AL803" i="126"/>
  <c r="AB800" i="126"/>
  <c r="Z840" i="126"/>
  <c r="AO913" i="126"/>
  <c r="H913" i="126"/>
  <c r="F913" i="126" s="1"/>
  <c r="G913" i="126" s="1"/>
  <c r="D919" i="126"/>
  <c r="AN924" i="126"/>
  <c r="P924" i="126"/>
  <c r="AO942" i="126"/>
  <c r="W940" i="126"/>
  <c r="AO940" i="126" s="1"/>
  <c r="AN956" i="126"/>
  <c r="P956" i="126"/>
  <c r="AM986" i="126"/>
  <c r="AM993" i="126"/>
  <c r="I993" i="126"/>
  <c r="H993" i="126" s="1"/>
  <c r="P999" i="126"/>
  <c r="AN999" i="126"/>
  <c r="AN1024" i="126"/>
  <c r="P1024" i="126"/>
  <c r="AM1024" i="126" s="1"/>
  <c r="I1034" i="126"/>
  <c r="AJ1034" i="126" s="1"/>
  <c r="AK1057" i="126"/>
  <c r="J1052" i="126"/>
  <c r="AN1084" i="126"/>
  <c r="P1084" i="126"/>
  <c r="AM1112" i="126"/>
  <c r="P1111" i="126"/>
  <c r="AJ1111" i="126" s="1"/>
  <c r="AN780" i="126"/>
  <c r="K779" i="126"/>
  <c r="L792" i="126"/>
  <c r="AK843" i="126"/>
  <c r="AK855" i="126"/>
  <c r="AL855" i="126"/>
  <c r="AK857" i="126"/>
  <c r="AJ878" i="126"/>
  <c r="AL878" i="126"/>
  <c r="AN878" i="126"/>
  <c r="J896" i="126"/>
  <c r="N896" i="126"/>
  <c r="R896" i="126"/>
  <c r="AL904" i="126"/>
  <c r="AL942" i="126"/>
  <c r="AN950" i="126"/>
  <c r="P950" i="126"/>
  <c r="H954" i="126"/>
  <c r="AI954" i="126" s="1"/>
  <c r="AN959" i="126"/>
  <c r="T958" i="126"/>
  <c r="AN958" i="126" s="1"/>
  <c r="AO959" i="126"/>
  <c r="AN975" i="126"/>
  <c r="P975" i="126"/>
  <c r="AM975" i="126" s="1"/>
  <c r="P977" i="126"/>
  <c r="AM977" i="126" s="1"/>
  <c r="P978" i="126"/>
  <c r="AM978" i="126" s="1"/>
  <c r="AO987" i="126"/>
  <c r="AO989" i="126"/>
  <c r="AN1008" i="126"/>
  <c r="P1008" i="126"/>
  <c r="P1018" i="126"/>
  <c r="I1018" i="126" s="1"/>
  <c r="AO1021" i="126"/>
  <c r="W1020" i="126"/>
  <c r="AO1020" i="126" s="1"/>
  <c r="U1022" i="126"/>
  <c r="U1020" i="126" s="1"/>
  <c r="K1039" i="126"/>
  <c r="AB1039" i="126"/>
  <c r="AB919" i="126" s="1"/>
  <c r="M1052" i="126"/>
  <c r="P1060" i="126"/>
  <c r="I1060" i="126" s="1"/>
  <c r="AD1079" i="126"/>
  <c r="AM1104" i="126"/>
  <c r="AN984" i="126"/>
  <c r="P984" i="126"/>
  <c r="I984" i="126" s="1"/>
  <c r="AN1036" i="126"/>
  <c r="P1036" i="126"/>
  <c r="O1039" i="126"/>
  <c r="AN1055" i="126"/>
  <c r="P1055" i="126"/>
  <c r="AL1057" i="126"/>
  <c r="Q1079" i="126"/>
  <c r="V1079" i="126"/>
  <c r="P1082" i="126"/>
  <c r="I1082" i="126" s="1"/>
  <c r="T1081" i="126"/>
  <c r="AJ1115" i="126"/>
  <c r="P945" i="126"/>
  <c r="T951" i="126"/>
  <c r="AN951" i="126" s="1"/>
  <c r="AK958" i="126"/>
  <c r="AL979" i="126"/>
  <c r="P980" i="126"/>
  <c r="P991" i="126"/>
  <c r="I991" i="126" s="1"/>
  <c r="P992" i="126"/>
  <c r="AN1000" i="126"/>
  <c r="P1004" i="126"/>
  <c r="P1011" i="126"/>
  <c r="AL1022" i="126"/>
  <c r="AO1022" i="126"/>
  <c r="AM1027" i="126"/>
  <c r="P1033" i="126"/>
  <c r="I1033" i="126" s="1"/>
  <c r="P1037" i="126"/>
  <c r="U1039" i="126"/>
  <c r="P1045" i="126"/>
  <c r="AM1045" i="126" s="1"/>
  <c r="P1049" i="126"/>
  <c r="I1049" i="126" s="1"/>
  <c r="S1052" i="126"/>
  <c r="AK1081" i="126"/>
  <c r="N1079" i="126"/>
  <c r="AL1093" i="126"/>
  <c r="H1110" i="126"/>
  <c r="AK1112" i="126"/>
  <c r="N1111" i="126"/>
  <c r="R1111" i="126"/>
  <c r="R1123" i="126" s="1"/>
  <c r="V1111" i="126"/>
  <c r="AN1111" i="126" s="1"/>
  <c r="AL929" i="126"/>
  <c r="AL949" i="126"/>
  <c r="V995" i="126"/>
  <c r="T995" i="126" s="1"/>
  <c r="W1014" i="126"/>
  <c r="AO1016" i="126"/>
  <c r="AL1050" i="126"/>
  <c r="AL1063" i="126"/>
  <c r="AN1064" i="126"/>
  <c r="AK1092" i="126"/>
  <c r="W17" i="126"/>
  <c r="AO19" i="126"/>
  <c r="H58" i="126"/>
  <c r="AO58" i="126"/>
  <c r="AL67" i="126"/>
  <c r="M103" i="126"/>
  <c r="AL104" i="126"/>
  <c r="F137" i="126"/>
  <c r="AI137" i="126"/>
  <c r="AH257" i="126"/>
  <c r="AI257" i="126"/>
  <c r="AB28" i="126"/>
  <c r="AB27" i="126" s="1"/>
  <c r="AJ40" i="126"/>
  <c r="H40" i="126"/>
  <c r="P41" i="126"/>
  <c r="AM41" i="126" s="1"/>
  <c r="I46" i="126"/>
  <c r="AM46" i="126"/>
  <c r="P45" i="126"/>
  <c r="AN49" i="126"/>
  <c r="T48" i="126"/>
  <c r="F53" i="126"/>
  <c r="AI53" i="126"/>
  <c r="F57" i="126"/>
  <c r="AI57" i="126"/>
  <c r="P64" i="126"/>
  <c r="AC62" i="126"/>
  <c r="AL69" i="126"/>
  <c r="AL70" i="126"/>
  <c r="AO72" i="126"/>
  <c r="H72" i="126"/>
  <c r="AI80" i="126"/>
  <c r="F80" i="126"/>
  <c r="P94" i="126"/>
  <c r="AM94" i="126" s="1"/>
  <c r="AI99" i="126"/>
  <c r="F99" i="126"/>
  <c r="O101" i="126"/>
  <c r="P106" i="126"/>
  <c r="I106" i="126" s="1"/>
  <c r="S105" i="126"/>
  <c r="AM112" i="126"/>
  <c r="I112" i="126"/>
  <c r="AJ115" i="126"/>
  <c r="H115" i="126"/>
  <c r="AJ117" i="126"/>
  <c r="H117" i="126"/>
  <c r="AL30" i="126"/>
  <c r="AL36" i="126"/>
  <c r="P39" i="126"/>
  <c r="S38" i="126"/>
  <c r="AL50" i="126"/>
  <c r="M49" i="126"/>
  <c r="AI55" i="126"/>
  <c r="F55" i="126"/>
  <c r="AL91" i="126"/>
  <c r="AM114" i="126"/>
  <c r="I114" i="126"/>
  <c r="M14" i="125"/>
  <c r="M13" i="125" s="1"/>
  <c r="AM18" i="126"/>
  <c r="I33" i="126"/>
  <c r="AL34" i="126"/>
  <c r="I37" i="126"/>
  <c r="P43" i="126"/>
  <c r="AM43" i="126" s="1"/>
  <c r="AA28" i="126"/>
  <c r="K47" i="126"/>
  <c r="Z47" i="126"/>
  <c r="AL51" i="126"/>
  <c r="M63" i="126"/>
  <c r="H76" i="126"/>
  <c r="AO76" i="126"/>
  <c r="AM78" i="126"/>
  <c r="I78" i="126"/>
  <c r="P77" i="126"/>
  <c r="AL98" i="126"/>
  <c r="M97" i="126"/>
  <c r="S103" i="126"/>
  <c r="P104" i="126"/>
  <c r="W109" i="126"/>
  <c r="AO110" i="126"/>
  <c r="AL32" i="126"/>
  <c r="AI75" i="126"/>
  <c r="F75" i="126"/>
  <c r="AO84" i="126"/>
  <c r="W82" i="126"/>
  <c r="H84" i="126"/>
  <c r="H82" i="126" s="1"/>
  <c r="P110" i="126"/>
  <c r="I111" i="126"/>
  <c r="AM111" i="126"/>
  <c r="AM116" i="126"/>
  <c r="I116" i="126"/>
  <c r="AL121" i="126"/>
  <c r="M120" i="126"/>
  <c r="AJ23" i="126"/>
  <c r="H23" i="126"/>
  <c r="I24" i="126"/>
  <c r="AM24" i="126"/>
  <c r="O47" i="126"/>
  <c r="AI56" i="126"/>
  <c r="F56" i="126"/>
  <c r="AL65" i="126"/>
  <c r="AL66" i="126"/>
  <c r="AI79" i="126"/>
  <c r="F79" i="126"/>
  <c r="P90" i="126"/>
  <c r="S92" i="126"/>
  <c r="I100" i="126"/>
  <c r="AL100" i="126"/>
  <c r="I113" i="126"/>
  <c r="AM113" i="126"/>
  <c r="AN120" i="126"/>
  <c r="L30" i="125"/>
  <c r="AL40" i="126"/>
  <c r="AL44" i="126"/>
  <c r="AO90" i="126"/>
  <c r="AL129" i="126"/>
  <c r="AH134" i="126"/>
  <c r="P166" i="126"/>
  <c r="AN166" i="126"/>
  <c r="W245" i="126"/>
  <c r="Z244" i="126"/>
  <c r="AP252" i="126"/>
  <c r="S251" i="126"/>
  <c r="AP251" i="126" s="1"/>
  <c r="S258" i="126"/>
  <c r="L258" i="126"/>
  <c r="AK258" i="126" s="1"/>
  <c r="J256" i="126"/>
  <c r="S262" i="126"/>
  <c r="AM278" i="126"/>
  <c r="I278" i="126"/>
  <c r="AI280" i="126"/>
  <c r="F312" i="126"/>
  <c r="AI312" i="126"/>
  <c r="G327" i="126"/>
  <c r="AL355" i="126"/>
  <c r="H376" i="126"/>
  <c r="H374" i="126" s="1"/>
  <c r="W374" i="126"/>
  <c r="AO376" i="126"/>
  <c r="H399" i="126"/>
  <c r="AO399" i="126"/>
  <c r="I472" i="126"/>
  <c r="AM472" i="126"/>
  <c r="AM485" i="126"/>
  <c r="I485" i="126"/>
  <c r="AL502" i="126"/>
  <c r="M501" i="126"/>
  <c r="AL512" i="126"/>
  <c r="M511" i="126"/>
  <c r="T518" i="126"/>
  <c r="I519" i="126"/>
  <c r="AM519" i="126"/>
  <c r="AL522" i="126"/>
  <c r="M521" i="126"/>
  <c r="H527" i="126"/>
  <c r="AJ527" i="126"/>
  <c r="W532" i="126"/>
  <c r="P546" i="126"/>
  <c r="S545" i="126"/>
  <c r="AJ547" i="126"/>
  <c r="AO557" i="126"/>
  <c r="H557" i="126"/>
  <c r="AI560" i="126"/>
  <c r="F560" i="126"/>
  <c r="F573" i="126"/>
  <c r="AI573" i="126"/>
  <c r="F574" i="126"/>
  <c r="AI574" i="126"/>
  <c r="I585" i="126"/>
  <c r="AM585" i="126"/>
  <c r="J29" i="126"/>
  <c r="AL31" i="126"/>
  <c r="L32" i="126"/>
  <c r="AL33" i="126"/>
  <c r="L34" i="126"/>
  <c r="AK34" i="126" s="1"/>
  <c r="AL35" i="126"/>
  <c r="L36" i="126"/>
  <c r="AK36" i="126" s="1"/>
  <c r="AL37" i="126"/>
  <c r="I41" i="126"/>
  <c r="T45" i="126"/>
  <c r="AN45" i="126" s="1"/>
  <c r="S51" i="126"/>
  <c r="P51" i="126" s="1"/>
  <c r="AM51" i="126" s="1"/>
  <c r="AO56" i="126"/>
  <c r="AN63" i="126"/>
  <c r="AO64" i="126"/>
  <c r="S65" i="126"/>
  <c r="P65" i="126" s="1"/>
  <c r="AM65" i="126" s="1"/>
  <c r="L66" i="126"/>
  <c r="AK66" i="126" s="1"/>
  <c r="S67" i="126"/>
  <c r="P67" i="126" s="1"/>
  <c r="AM67" i="126" s="1"/>
  <c r="S69" i="126"/>
  <c r="P69" i="126" s="1"/>
  <c r="AM69" i="126" s="1"/>
  <c r="L70" i="126"/>
  <c r="AK70" i="126" s="1"/>
  <c r="H73" i="126"/>
  <c r="AI73" i="126" s="1"/>
  <c r="AO75" i="126"/>
  <c r="AN78" i="126"/>
  <c r="AO79" i="126"/>
  <c r="H81" i="126"/>
  <c r="M89" i="126"/>
  <c r="AL90" i="126"/>
  <c r="L91" i="126"/>
  <c r="L89" i="126" s="1"/>
  <c r="L88" i="126" s="1"/>
  <c r="M92" i="126"/>
  <c r="AL92" i="126" s="1"/>
  <c r="P93" i="126"/>
  <c r="I94" i="126"/>
  <c r="AO94" i="126"/>
  <c r="S98" i="126"/>
  <c r="K103" i="126"/>
  <c r="K102" i="126" s="1"/>
  <c r="L104" i="126"/>
  <c r="L103" i="126" s="1"/>
  <c r="L102" i="126" s="1"/>
  <c r="L101" i="126" s="1"/>
  <c r="K108" i="126"/>
  <c r="AK108" i="126" s="1"/>
  <c r="AN111" i="126"/>
  <c r="AN113" i="126"/>
  <c r="AM115" i="126"/>
  <c r="AM117" i="126"/>
  <c r="J119" i="126"/>
  <c r="S121" i="126"/>
  <c r="W122" i="126"/>
  <c r="AO122" i="126" s="1"/>
  <c r="S123" i="126"/>
  <c r="W124" i="126"/>
  <c r="M130" i="126"/>
  <c r="M128" i="126" s="1"/>
  <c r="W128" i="126"/>
  <c r="AO131" i="126"/>
  <c r="F135" i="126"/>
  <c r="AO135" i="126"/>
  <c r="AH138" i="126"/>
  <c r="AO140" i="126"/>
  <c r="W144" i="126"/>
  <c r="AP146" i="126"/>
  <c r="F149" i="126"/>
  <c r="AI164" i="126"/>
  <c r="F164" i="126"/>
  <c r="E165" i="126"/>
  <c r="N177" i="126"/>
  <c r="N176" i="126" s="1"/>
  <c r="T178" i="126"/>
  <c r="N182" i="126"/>
  <c r="V177" i="126"/>
  <c r="V176" i="126" s="1"/>
  <c r="V182" i="126"/>
  <c r="AK197" i="126"/>
  <c r="K183" i="126"/>
  <c r="X177" i="126"/>
  <c r="X176" i="126" s="1"/>
  <c r="X26" i="126" s="1"/>
  <c r="AM200" i="126"/>
  <c r="I200" i="126"/>
  <c r="AO206" i="126"/>
  <c r="H206" i="126"/>
  <c r="W204" i="126"/>
  <c r="AO204" i="126" s="1"/>
  <c r="AK225" i="126"/>
  <c r="AL225" i="126"/>
  <c r="U231" i="126"/>
  <c r="W238" i="126"/>
  <c r="AO238" i="126" s="1"/>
  <c r="AO240" i="126"/>
  <c r="H246" i="126"/>
  <c r="AO246" i="126"/>
  <c r="AK252" i="126"/>
  <c r="P254" i="126"/>
  <c r="AP257" i="126"/>
  <c r="K256" i="126"/>
  <c r="K250" i="126" s="1"/>
  <c r="K248" i="126" s="1"/>
  <c r="K241" i="126" s="1"/>
  <c r="H297" i="126"/>
  <c r="AO297" i="126"/>
  <c r="G315" i="126"/>
  <c r="AK341" i="126"/>
  <c r="P346" i="126"/>
  <c r="AN346" i="126"/>
  <c r="T342" i="126"/>
  <c r="H378" i="126"/>
  <c r="AO378" i="126"/>
  <c r="AI393" i="126"/>
  <c r="F393" i="126"/>
  <c r="K416" i="126"/>
  <c r="AN443" i="126"/>
  <c r="AJ22" i="126"/>
  <c r="AL42" i="126"/>
  <c r="AN51" i="126"/>
  <c r="AL93" i="126"/>
  <c r="AN121" i="126"/>
  <c r="S141" i="126"/>
  <c r="J140" i="126"/>
  <c r="L141" i="126"/>
  <c r="L140" i="126" s="1"/>
  <c r="L139" i="126" s="1"/>
  <c r="S155" i="126"/>
  <c r="AN180" i="126"/>
  <c r="P180" i="126"/>
  <c r="AM180" i="126" s="1"/>
  <c r="AC183" i="126"/>
  <c r="W247" i="126"/>
  <c r="AJ257" i="126"/>
  <c r="AL261" i="126"/>
  <c r="AH280" i="126"/>
  <c r="E280" i="126"/>
  <c r="AG280" i="126" s="1"/>
  <c r="AL365" i="126"/>
  <c r="M364" i="126"/>
  <c r="AO366" i="126"/>
  <c r="W364" i="126"/>
  <c r="AO407" i="126"/>
  <c r="H407" i="126"/>
  <c r="E478" i="126"/>
  <c r="G478" i="126"/>
  <c r="I515" i="126"/>
  <c r="AM515" i="126"/>
  <c r="AN524" i="126"/>
  <c r="P524" i="126"/>
  <c r="AA547" i="126"/>
  <c r="G559" i="126"/>
  <c r="F572" i="126"/>
  <c r="AI572" i="126"/>
  <c r="E575" i="126"/>
  <c r="G575" i="126"/>
  <c r="G91" i="125"/>
  <c r="AN18" i="126"/>
  <c r="AO21" i="126"/>
  <c r="AM23" i="126"/>
  <c r="AN24" i="126"/>
  <c r="S32" i="126"/>
  <c r="P32" i="126" s="1"/>
  <c r="AM32" i="126" s="1"/>
  <c r="S34" i="126"/>
  <c r="P34" i="126" s="1"/>
  <c r="AM34" i="126" s="1"/>
  <c r="S36" i="126"/>
  <c r="P36" i="126" s="1"/>
  <c r="AM36" i="126" s="1"/>
  <c r="AN46" i="126"/>
  <c r="W49" i="126"/>
  <c r="AC49" i="126"/>
  <c r="L50" i="126"/>
  <c r="L49" i="126" s="1"/>
  <c r="L48" i="126" s="1"/>
  <c r="F54" i="126"/>
  <c r="AO55" i="126"/>
  <c r="Z60" i="126"/>
  <c r="J62" i="126"/>
  <c r="AL64" i="126"/>
  <c r="L65" i="126"/>
  <c r="AK65" i="126" s="1"/>
  <c r="S66" i="126"/>
  <c r="P66" i="126" s="1"/>
  <c r="AM66" i="126" s="1"/>
  <c r="L69" i="126"/>
  <c r="AK69" i="126" s="1"/>
  <c r="S70" i="126"/>
  <c r="P70" i="126" s="1"/>
  <c r="AM70" i="126" s="1"/>
  <c r="P71" i="126"/>
  <c r="F74" i="126"/>
  <c r="T77" i="126"/>
  <c r="AN77" i="126" s="1"/>
  <c r="AA82" i="126"/>
  <c r="F83" i="126"/>
  <c r="AI83" i="126"/>
  <c r="J89" i="126"/>
  <c r="N89" i="126"/>
  <c r="N88" i="126" s="1"/>
  <c r="T89" i="126"/>
  <c r="S91" i="126"/>
  <c r="P91" i="126" s="1"/>
  <c r="AM91" i="126" s="1"/>
  <c r="AN93" i="126"/>
  <c r="W97" i="126"/>
  <c r="AO97" i="126" s="1"/>
  <c r="AC97" i="126"/>
  <c r="AC87" i="126" s="1"/>
  <c r="L98" i="126"/>
  <c r="L97" i="126" s="1"/>
  <c r="J102" i="126"/>
  <c r="T102" i="126"/>
  <c r="AA109" i="126"/>
  <c r="T125" i="126"/>
  <c r="T126" i="126"/>
  <c r="J127" i="126"/>
  <c r="T127" i="126"/>
  <c r="AN127" i="126" s="1"/>
  <c r="L129" i="126"/>
  <c r="S129" i="126"/>
  <c r="AK130" i="126"/>
  <c r="AI134" i="126"/>
  <c r="F136" i="126"/>
  <c r="G138" i="126"/>
  <c r="AI138" i="126"/>
  <c r="M141" i="126"/>
  <c r="N140" i="126"/>
  <c r="N139" i="126" s="1"/>
  <c r="N118" i="126" s="1"/>
  <c r="AM142" i="126"/>
  <c r="I142" i="126"/>
  <c r="Z150" i="126"/>
  <c r="W150" i="126" s="1"/>
  <c r="W143" i="126"/>
  <c r="AH147" i="126"/>
  <c r="G147" i="126"/>
  <c r="E147" i="126"/>
  <c r="D152" i="126"/>
  <c r="V152" i="126"/>
  <c r="K153" i="126"/>
  <c r="L154" i="126"/>
  <c r="L153" i="126" s="1"/>
  <c r="AD153" i="126"/>
  <c r="AD152" i="126" s="1"/>
  <c r="AO156" i="126"/>
  <c r="W155" i="126"/>
  <c r="K160" i="126"/>
  <c r="L161" i="126"/>
  <c r="L160" i="126" s="1"/>
  <c r="L159" i="126" s="1"/>
  <c r="L178" i="126"/>
  <c r="L177" i="126" s="1"/>
  <c r="L176" i="126" s="1"/>
  <c r="AK179" i="126"/>
  <c r="AM187" i="126"/>
  <c r="H194" i="126"/>
  <c r="AO194" i="126"/>
  <c r="H195" i="126"/>
  <c r="AO195" i="126"/>
  <c r="W203" i="126"/>
  <c r="AO203" i="126" s="1"/>
  <c r="H205" i="126"/>
  <c r="I204" i="126"/>
  <c r="AJ204" i="126" s="1"/>
  <c r="AJ205" i="126"/>
  <c r="AI207" i="126"/>
  <c r="F207" i="126"/>
  <c r="AN211" i="126"/>
  <c r="P211" i="126"/>
  <c r="AN212" i="126"/>
  <c r="P212" i="126"/>
  <c r="AN213" i="126"/>
  <c r="P213" i="126"/>
  <c r="F214" i="126"/>
  <c r="AO216" i="126"/>
  <c r="H216" i="126"/>
  <c r="AO220" i="126"/>
  <c r="H220" i="126"/>
  <c r="W223" i="126"/>
  <c r="AN224" i="126"/>
  <c r="AM224" i="126"/>
  <c r="G227" i="126"/>
  <c r="AK233" i="126"/>
  <c r="K232" i="126"/>
  <c r="K231" i="126" s="1"/>
  <c r="L234" i="126"/>
  <c r="L232" i="126" s="1"/>
  <c r="L231" i="126" s="1"/>
  <c r="AK236" i="126"/>
  <c r="AK242" i="126"/>
  <c r="AL242" i="126"/>
  <c r="T251" i="126"/>
  <c r="AN252" i="126"/>
  <c r="P253" i="126"/>
  <c r="AK255" i="126"/>
  <c r="AK257" i="126"/>
  <c r="N256" i="126"/>
  <c r="N250" i="126" s="1"/>
  <c r="N248" i="126" s="1"/>
  <c r="N241" i="126" s="1"/>
  <c r="N230" i="126" s="1"/>
  <c r="N229" i="126" s="1"/>
  <c r="P288" i="126"/>
  <c r="I288" i="126" s="1"/>
  <c r="E300" i="126"/>
  <c r="AH300" i="126"/>
  <c r="G300" i="126"/>
  <c r="H310" i="126"/>
  <c r="AO310" i="126"/>
  <c r="AH319" i="126"/>
  <c r="W336" i="126"/>
  <c r="AA291" i="126"/>
  <c r="W340" i="126"/>
  <c r="AO341" i="126"/>
  <c r="I362" i="126"/>
  <c r="AM362" i="126"/>
  <c r="W406" i="126"/>
  <c r="Z404" i="126"/>
  <c r="Z403" i="126" s="1"/>
  <c r="AO415" i="126"/>
  <c r="W414" i="126"/>
  <c r="AO414" i="126" s="1"/>
  <c r="P422" i="126"/>
  <c r="AN422" i="126"/>
  <c r="AN423" i="126"/>
  <c r="P423" i="126"/>
  <c r="W431" i="126"/>
  <c r="AO432" i="126"/>
  <c r="P436" i="126"/>
  <c r="AN436" i="126"/>
  <c r="T434" i="126"/>
  <c r="AN434" i="126" s="1"/>
  <c r="AO31" i="126"/>
  <c r="I64" i="126"/>
  <c r="AO99" i="126"/>
  <c r="AO137" i="126"/>
  <c r="W174" i="126"/>
  <c r="AA162" i="126"/>
  <c r="AJ184" i="126"/>
  <c r="E192" i="126"/>
  <c r="AM240" i="126"/>
  <c r="I240" i="126"/>
  <c r="AL354" i="126"/>
  <c r="M353" i="126"/>
  <c r="M38" i="126"/>
  <c r="AL38" i="126" s="1"/>
  <c r="J49" i="126"/>
  <c r="N49" i="126"/>
  <c r="N48" i="126" s="1"/>
  <c r="N47" i="126" s="1"/>
  <c r="N28" i="126" s="1"/>
  <c r="N27" i="126" s="1"/>
  <c r="S50" i="126"/>
  <c r="J97" i="126"/>
  <c r="N97" i="126"/>
  <c r="T110" i="126"/>
  <c r="F145" i="126"/>
  <c r="H148" i="126"/>
  <c r="AO148" i="126"/>
  <c r="AA142" i="126"/>
  <c r="M154" i="126"/>
  <c r="AN155" i="126"/>
  <c r="AA153" i="126"/>
  <c r="P156" i="126"/>
  <c r="I156" i="126" s="1"/>
  <c r="U153" i="126"/>
  <c r="U152" i="126" s="1"/>
  <c r="AN157" i="126"/>
  <c r="M161" i="126"/>
  <c r="AN160" i="126"/>
  <c r="H167" i="126"/>
  <c r="AO167" i="126"/>
  <c r="H169" i="126"/>
  <c r="AO169" i="126"/>
  <c r="H171" i="126"/>
  <c r="AO171" i="126"/>
  <c r="H173" i="126"/>
  <c r="AO173" i="126"/>
  <c r="S177" i="126"/>
  <c r="S176" i="126" s="1"/>
  <c r="AD177" i="126"/>
  <c r="AD176" i="126" s="1"/>
  <c r="AK183" i="126"/>
  <c r="J182" i="126"/>
  <c r="R177" i="126"/>
  <c r="R176" i="126" s="1"/>
  <c r="R182" i="126"/>
  <c r="Z187" i="126"/>
  <c r="W185" i="126"/>
  <c r="AO185" i="126" s="1"/>
  <c r="Z188" i="126"/>
  <c r="W202" i="126"/>
  <c r="AO202" i="126" s="1"/>
  <c r="AL204" i="126"/>
  <c r="AO214" i="126"/>
  <c r="AI217" i="126"/>
  <c r="AI224" i="126"/>
  <c r="F224" i="126"/>
  <c r="F226" i="126"/>
  <c r="AB225" i="126"/>
  <c r="AC231" i="126"/>
  <c r="M234" i="126"/>
  <c r="Q236" i="126"/>
  <c r="Q231" i="126" s="1"/>
  <c r="Q230" i="126" s="1"/>
  <c r="Q229" i="126" s="1"/>
  <c r="S237" i="126"/>
  <c r="O241" i="126"/>
  <c r="Z242" i="126"/>
  <c r="W243" i="126"/>
  <c r="P252" i="126"/>
  <c r="AN257" i="126"/>
  <c r="T256" i="126"/>
  <c r="AN256" i="126" s="1"/>
  <c r="AM257" i="126"/>
  <c r="AK259" i="126"/>
  <c r="AK260" i="126"/>
  <c r="AP260" i="126"/>
  <c r="P260" i="126"/>
  <c r="AM260" i="126" s="1"/>
  <c r="W304" i="126"/>
  <c r="H303" i="126"/>
  <c r="AO303" i="126"/>
  <c r="K339" i="126"/>
  <c r="AK342" i="126"/>
  <c r="AJ343" i="126"/>
  <c r="H343" i="126"/>
  <c r="AN354" i="126"/>
  <c r="AO356" i="126"/>
  <c r="W353" i="126"/>
  <c r="AK377" i="126"/>
  <c r="J373" i="126"/>
  <c r="F386" i="126"/>
  <c r="AC431" i="126"/>
  <c r="AI146" i="126"/>
  <c r="AN154" i="126"/>
  <c r="AN161" i="126"/>
  <c r="AI228" i="126"/>
  <c r="AN232" i="126"/>
  <c r="AM242" i="126"/>
  <c r="S261" i="126"/>
  <c r="AL263" i="126"/>
  <c r="AL265" i="126"/>
  <c r="AO267" i="126"/>
  <c r="H267" i="126"/>
  <c r="P270" i="126"/>
  <c r="AN270" i="126"/>
  <c r="AM272" i="126"/>
  <c r="I272" i="126"/>
  <c r="W275" i="126"/>
  <c r="AO275" i="126" s="1"/>
  <c r="Z268" i="126"/>
  <c r="W268" i="126" s="1"/>
  <c r="AO268" i="126" s="1"/>
  <c r="I279" i="126"/>
  <c r="AM279" i="126"/>
  <c r="J286" i="126"/>
  <c r="AL288" i="126"/>
  <c r="M289" i="126"/>
  <c r="O287" i="126"/>
  <c r="O286" i="126" s="1"/>
  <c r="O281" i="126" s="1"/>
  <c r="F293" i="126"/>
  <c r="AI293" i="126"/>
  <c r="H298" i="126"/>
  <c r="AO298" i="126"/>
  <c r="AH313" i="126"/>
  <c r="G313" i="126"/>
  <c r="E313" i="126"/>
  <c r="AH321" i="126"/>
  <c r="G321" i="126"/>
  <c r="E321" i="126"/>
  <c r="AH325" i="126"/>
  <c r="G325" i="126"/>
  <c r="E325" i="126"/>
  <c r="AH329" i="126"/>
  <c r="G329" i="126"/>
  <c r="E329" i="126"/>
  <c r="H337" i="126"/>
  <c r="AO337" i="126"/>
  <c r="P341" i="126"/>
  <c r="S340" i="126"/>
  <c r="S339" i="126" s="1"/>
  <c r="AC339" i="126"/>
  <c r="AA339" i="126"/>
  <c r="AM343" i="126"/>
  <c r="I350" i="126"/>
  <c r="AL350" i="126"/>
  <c r="P355" i="126"/>
  <c r="AM355" i="126" s="1"/>
  <c r="P358" i="126"/>
  <c r="T357" i="126"/>
  <c r="AN358" i="126"/>
  <c r="AN368" i="126"/>
  <c r="H369" i="126"/>
  <c r="W368" i="126"/>
  <c r="AO369" i="126"/>
  <c r="I373" i="126"/>
  <c r="AJ374" i="126"/>
  <c r="H392" i="126"/>
  <c r="AO392" i="126"/>
  <c r="H400" i="126"/>
  <c r="AO400" i="126"/>
  <c r="AK420" i="126"/>
  <c r="J417" i="126"/>
  <c r="N416" i="126"/>
  <c r="W420" i="126"/>
  <c r="I426" i="126"/>
  <c r="AM426" i="126"/>
  <c r="I439" i="126"/>
  <c r="AM439" i="126"/>
  <c r="AD441" i="126"/>
  <c r="M449" i="126"/>
  <c r="N443" i="126"/>
  <c r="P454" i="126"/>
  <c r="AN454" i="126"/>
  <c r="S130" i="126"/>
  <c r="AK131" i="126"/>
  <c r="J153" i="126"/>
  <c r="S154" i="126"/>
  <c r="S161" i="126"/>
  <c r="AG181" i="126"/>
  <c r="AI192" i="126"/>
  <c r="W198" i="126"/>
  <c r="P199" i="126"/>
  <c r="W201" i="126"/>
  <c r="AO201" i="126" s="1"/>
  <c r="H209" i="126"/>
  <c r="W215" i="126"/>
  <c r="H219" i="126"/>
  <c r="S233" i="126"/>
  <c r="S234" i="126"/>
  <c r="P234" i="126" s="1"/>
  <c r="AM234" i="126" s="1"/>
  <c r="S235" i="126"/>
  <c r="P235" i="126" s="1"/>
  <c r="AC248" i="126"/>
  <c r="AC241" i="126" s="1"/>
  <c r="M259" i="126"/>
  <c r="S259" i="126"/>
  <c r="AM268" i="126"/>
  <c r="AL283" i="126"/>
  <c r="T282" i="126"/>
  <c r="AO293" i="126"/>
  <c r="W292" i="126"/>
  <c r="H294" i="126"/>
  <c r="H299" i="126"/>
  <c r="AO299" i="126"/>
  <c r="F311" i="126"/>
  <c r="H314" i="126"/>
  <c r="AO314" i="126"/>
  <c r="H318" i="126"/>
  <c r="AO318" i="126"/>
  <c r="H322" i="126"/>
  <c r="AO322" i="126"/>
  <c r="H326" i="126"/>
  <c r="AO326" i="126"/>
  <c r="AI332" i="126"/>
  <c r="F332" i="126"/>
  <c r="AL341" i="126"/>
  <c r="M340" i="126"/>
  <c r="W348" i="126"/>
  <c r="AO348" i="126" s="1"/>
  <c r="AM351" i="126"/>
  <c r="AL357" i="126"/>
  <c r="AK357" i="126"/>
  <c r="AJ368" i="126"/>
  <c r="H370" i="126"/>
  <c r="AO370" i="126"/>
  <c r="F375" i="126"/>
  <c r="AN377" i="126"/>
  <c r="W382" i="126"/>
  <c r="AO382" i="126" s="1"/>
  <c r="H383" i="126"/>
  <c r="AO384" i="126"/>
  <c r="AN390" i="126"/>
  <c r="AO401" i="126"/>
  <c r="H401" i="126"/>
  <c r="D416" i="126"/>
  <c r="AL418" i="126"/>
  <c r="AL419" i="126"/>
  <c r="Z416" i="126"/>
  <c r="P424" i="126"/>
  <c r="AN424" i="126"/>
  <c r="AL432" i="126"/>
  <c r="M431" i="126"/>
  <c r="O430" i="126"/>
  <c r="O416" i="126" s="1"/>
  <c r="AM438" i="126"/>
  <c r="I438" i="126"/>
  <c r="J177" i="126"/>
  <c r="F208" i="126"/>
  <c r="F218" i="126"/>
  <c r="Z231" i="126"/>
  <c r="M258" i="126"/>
  <c r="L261" i="126"/>
  <c r="AK261" i="126" s="1"/>
  <c r="AL262" i="126"/>
  <c r="AL264" i="126"/>
  <c r="AL266" i="126"/>
  <c r="W271" i="126"/>
  <c r="AO271" i="126" s="1"/>
  <c r="I276" i="126"/>
  <c r="AM276" i="126"/>
  <c r="AM280" i="126"/>
  <c r="P284" i="126"/>
  <c r="AM284" i="126" s="1"/>
  <c r="T286" i="126"/>
  <c r="AN286" i="126" s="1"/>
  <c r="AN287" i="126"/>
  <c r="W287" i="126"/>
  <c r="AK288" i="126"/>
  <c r="L289" i="126"/>
  <c r="AK289" i="126" s="1"/>
  <c r="K287" i="126"/>
  <c r="K286" i="126" s="1"/>
  <c r="AN292" i="126"/>
  <c r="H296" i="126"/>
  <c r="W295" i="126"/>
  <c r="AO295" i="126" s="1"/>
  <c r="AO296" i="126"/>
  <c r="AH302" i="126"/>
  <c r="H306" i="126"/>
  <c r="AO306" i="126"/>
  <c r="AI313" i="126"/>
  <c r="AI321" i="126"/>
  <c r="AI325" i="126"/>
  <c r="AI329" i="126"/>
  <c r="G338" i="126"/>
  <c r="AL348" i="126"/>
  <c r="M342" i="126"/>
  <c r="AL342" i="126" s="1"/>
  <c r="AL356" i="126"/>
  <c r="AK356" i="126"/>
  <c r="J353" i="126"/>
  <c r="AO357" i="126"/>
  <c r="AK368" i="126"/>
  <c r="AM368" i="126"/>
  <c r="H371" i="126"/>
  <c r="AO371" i="126"/>
  <c r="AL377" i="126"/>
  <c r="W379" i="126"/>
  <c r="AM382" i="126"/>
  <c r="P373" i="126"/>
  <c r="AN382" i="126"/>
  <c r="T373" i="126"/>
  <c r="T367" i="126" s="1"/>
  <c r="AK382" i="126"/>
  <c r="F384" i="126"/>
  <c r="AI384" i="126"/>
  <c r="H389" i="126"/>
  <c r="W387" i="126"/>
  <c r="AO387" i="126" s="1"/>
  <c r="AO389" i="126"/>
  <c r="H396" i="126"/>
  <c r="AO396" i="126"/>
  <c r="H398" i="126"/>
  <c r="AO398" i="126"/>
  <c r="W410" i="126"/>
  <c r="H411" i="126"/>
  <c r="AO411" i="126"/>
  <c r="H412" i="126"/>
  <c r="AO412" i="126"/>
  <c r="H413" i="126"/>
  <c r="AO413" i="126"/>
  <c r="P427" i="126"/>
  <c r="AN427" i="126"/>
  <c r="I435" i="126"/>
  <c r="AM435" i="126"/>
  <c r="AC441" i="126"/>
  <c r="P448" i="126"/>
  <c r="S263" i="126"/>
  <c r="S264" i="126"/>
  <c r="S265" i="126"/>
  <c r="S266" i="126"/>
  <c r="AN268" i="126"/>
  <c r="AN280" i="126"/>
  <c r="S283" i="126"/>
  <c r="AK283" i="126"/>
  <c r="H308" i="126"/>
  <c r="S354" i="126"/>
  <c r="AK354" i="126"/>
  <c r="P360" i="126"/>
  <c r="I361" i="126"/>
  <c r="L365" i="126"/>
  <c r="L364" i="126" s="1"/>
  <c r="AK366" i="126"/>
  <c r="K373" i="126"/>
  <c r="K367" i="126" s="1"/>
  <c r="K363" i="126" s="1"/>
  <c r="K352" i="126" s="1"/>
  <c r="H381" i="126"/>
  <c r="H385" i="126"/>
  <c r="W408" i="126"/>
  <c r="S418" i="126"/>
  <c r="P419" i="126"/>
  <c r="AM419" i="126" s="1"/>
  <c r="L433" i="126"/>
  <c r="L431" i="126" s="1"/>
  <c r="L430" i="126" s="1"/>
  <c r="K443" i="126"/>
  <c r="L444" i="126"/>
  <c r="AK444" i="126" s="1"/>
  <c r="AL446" i="126"/>
  <c r="I446" i="126"/>
  <c r="T455" i="126"/>
  <c r="U452" i="126"/>
  <c r="AN456" i="126"/>
  <c r="P456" i="126"/>
  <c r="I465" i="126"/>
  <c r="AM465" i="126"/>
  <c r="AJ486" i="126"/>
  <c r="H486" i="126"/>
  <c r="AJ488" i="126"/>
  <c r="H488" i="126"/>
  <c r="F498" i="126"/>
  <c r="AC500" i="126"/>
  <c r="S503" i="126"/>
  <c r="P504" i="126"/>
  <c r="I504" i="126" s="1"/>
  <c r="K531" i="126"/>
  <c r="AK532" i="126"/>
  <c r="M536" i="126"/>
  <c r="AL536" i="126" s="1"/>
  <c r="AL537" i="126"/>
  <c r="AL545" i="126"/>
  <c r="M544" i="126"/>
  <c r="AL544" i="126" s="1"/>
  <c r="AC544" i="126"/>
  <c r="AC539" i="126" s="1"/>
  <c r="AO554" i="126"/>
  <c r="H554" i="126"/>
  <c r="AH563" i="126"/>
  <c r="G563" i="126"/>
  <c r="E563" i="126"/>
  <c r="AH565" i="126"/>
  <c r="G565" i="126"/>
  <c r="E565" i="126"/>
  <c r="G567" i="126"/>
  <c r="AH569" i="126"/>
  <c r="W591" i="126"/>
  <c r="AK262" i="126"/>
  <c r="AK263" i="126"/>
  <c r="AK264" i="126"/>
  <c r="AK265" i="126"/>
  <c r="AK266" i="126"/>
  <c r="W278" i="126"/>
  <c r="AO278" i="126" s="1"/>
  <c r="S290" i="126"/>
  <c r="P290" i="126" s="1"/>
  <c r="W335" i="126"/>
  <c r="J340" i="126"/>
  <c r="S365" i="126"/>
  <c r="S366" i="126"/>
  <c r="P366" i="126" s="1"/>
  <c r="W405" i="126"/>
  <c r="W409" i="126"/>
  <c r="P415" i="126"/>
  <c r="T425" i="126"/>
  <c r="T428" i="126"/>
  <c r="J431" i="126"/>
  <c r="T431" i="126"/>
  <c r="S433" i="126"/>
  <c r="P433" i="126" s="1"/>
  <c r="AM433" i="126" s="1"/>
  <c r="P437" i="126"/>
  <c r="P440" i="126"/>
  <c r="P444" i="126"/>
  <c r="I445" i="126"/>
  <c r="S449" i="126"/>
  <c r="L449" i="126"/>
  <c r="AK449" i="126" s="1"/>
  <c r="AL450" i="126"/>
  <c r="L451" i="126"/>
  <c r="AK451" i="126" s="1"/>
  <c r="S451" i="126"/>
  <c r="P451" i="126" s="1"/>
  <c r="AM451" i="126" s="1"/>
  <c r="AL452" i="126"/>
  <c r="AN457" i="126"/>
  <c r="P457" i="126"/>
  <c r="AN466" i="126"/>
  <c r="P466" i="126"/>
  <c r="AM474" i="126"/>
  <c r="I474" i="126"/>
  <c r="AJ475" i="126"/>
  <c r="H495" i="126"/>
  <c r="AO500" i="126"/>
  <c r="AB510" i="126"/>
  <c r="P516" i="126"/>
  <c r="AN516" i="126"/>
  <c r="AK522" i="126"/>
  <c r="AI528" i="126"/>
  <c r="AI530" i="126"/>
  <c r="AM533" i="126"/>
  <c r="P532" i="126"/>
  <c r="M540" i="126"/>
  <c r="AL541" i="126"/>
  <c r="P542" i="126"/>
  <c r="AM542" i="126" s="1"/>
  <c r="AK545" i="126"/>
  <c r="AJ549" i="126"/>
  <c r="H549" i="126"/>
  <c r="I550" i="126"/>
  <c r="AH551" i="126"/>
  <c r="G551" i="126"/>
  <c r="E551" i="126"/>
  <c r="AI552" i="126"/>
  <c r="F552" i="126"/>
  <c r="AO558" i="126"/>
  <c r="H558" i="126"/>
  <c r="L576" i="126"/>
  <c r="AN577" i="126"/>
  <c r="AD576" i="126"/>
  <c r="AL583" i="126"/>
  <c r="M582" i="126"/>
  <c r="O443" i="126"/>
  <c r="O442" i="126" s="1"/>
  <c r="O441" i="126" s="1"/>
  <c r="M444" i="126"/>
  <c r="L446" i="126"/>
  <c r="AK446" i="126" s="1"/>
  <c r="P467" i="126"/>
  <c r="AN467" i="126"/>
  <c r="AN469" i="126"/>
  <c r="T468" i="126"/>
  <c r="AN468" i="126" s="1"/>
  <c r="P469" i="126"/>
  <c r="P470" i="126"/>
  <c r="AN470" i="126"/>
  <c r="AN479" i="126"/>
  <c r="P479" i="126"/>
  <c r="AL493" i="126"/>
  <c r="M492" i="126"/>
  <c r="AL508" i="126"/>
  <c r="M507" i="126"/>
  <c r="AK511" i="126"/>
  <c r="J510" i="126"/>
  <c r="H534" i="126"/>
  <c r="AO545" i="126"/>
  <c r="AL578" i="126"/>
  <c r="M577" i="126"/>
  <c r="P579" i="126"/>
  <c r="AM579" i="126" s="1"/>
  <c r="AN474" i="126"/>
  <c r="AM483" i="126"/>
  <c r="AN512" i="126"/>
  <c r="AM527" i="126"/>
  <c r="AK533" i="126"/>
  <c r="AI551" i="126"/>
  <c r="AO552" i="126"/>
  <c r="AI563" i="126"/>
  <c r="AI565" i="126"/>
  <c r="AI567" i="126"/>
  <c r="AN578" i="126"/>
  <c r="AK583" i="126"/>
  <c r="AN613" i="126"/>
  <c r="P613" i="126"/>
  <c r="AJ616" i="126"/>
  <c r="H616" i="126"/>
  <c r="M624" i="126"/>
  <c r="AL625" i="126"/>
  <c r="AM626" i="126"/>
  <c r="I626" i="126"/>
  <c r="AM630" i="126"/>
  <c r="I630" i="126"/>
  <c r="E637" i="126"/>
  <c r="AI647" i="126"/>
  <c r="F647" i="126"/>
  <c r="H654" i="126"/>
  <c r="AO654" i="126"/>
  <c r="E656" i="126"/>
  <c r="AH656" i="126"/>
  <c r="G656" i="126"/>
  <c r="AI659" i="126"/>
  <c r="F659" i="126"/>
  <c r="AI662" i="126"/>
  <c r="F662" i="126"/>
  <c r="H668" i="126"/>
  <c r="AO668" i="126"/>
  <c r="H669" i="126"/>
  <c r="AO669" i="126"/>
  <c r="K680" i="126"/>
  <c r="AI687" i="126"/>
  <c r="F687" i="126"/>
  <c r="S450" i="126"/>
  <c r="AK450" i="126"/>
  <c r="T463" i="126"/>
  <c r="T464" i="126"/>
  <c r="AK468" i="126"/>
  <c r="T471" i="126"/>
  <c r="AN472" i="126"/>
  <c r="P473" i="126"/>
  <c r="P476" i="126"/>
  <c r="I477" i="126"/>
  <c r="AK482" i="126"/>
  <c r="P484" i="126"/>
  <c r="AM486" i="126"/>
  <c r="I487" i="126"/>
  <c r="J492" i="126"/>
  <c r="N492" i="126"/>
  <c r="N491" i="126" s="1"/>
  <c r="S493" i="126"/>
  <c r="P494" i="126"/>
  <c r="AA494" i="126"/>
  <c r="X496" i="126"/>
  <c r="AO498" i="126"/>
  <c r="J501" i="126"/>
  <c r="N501" i="126"/>
  <c r="N500" i="126" s="1"/>
  <c r="AO501" i="126"/>
  <c r="M503" i="126"/>
  <c r="AL503" i="126" s="1"/>
  <c r="AL504" i="126"/>
  <c r="J507" i="126"/>
  <c r="N507" i="126"/>
  <c r="N506" i="126" s="1"/>
  <c r="T507" i="126"/>
  <c r="S508" i="126"/>
  <c r="P509" i="126"/>
  <c r="AB509" i="126"/>
  <c r="AB506" i="126" s="1"/>
  <c r="S512" i="126"/>
  <c r="AK512" i="126"/>
  <c r="AK513" i="126"/>
  <c r="AN519" i="126"/>
  <c r="K521" i="126"/>
  <c r="K520" i="126" s="1"/>
  <c r="O521" i="126"/>
  <c r="O520" i="126" s="1"/>
  <c r="O510" i="126" s="1"/>
  <c r="W521" i="126"/>
  <c r="AC521" i="126"/>
  <c r="P522" i="126"/>
  <c r="W524" i="126"/>
  <c r="AO524" i="126" s="1"/>
  <c r="P525" i="126"/>
  <c r="AM525" i="126" s="1"/>
  <c r="I529" i="126"/>
  <c r="S532" i="126"/>
  <c r="AO535" i="126"/>
  <c r="S537" i="126"/>
  <c r="AO538" i="126"/>
  <c r="AG543" i="126"/>
  <c r="J544" i="126"/>
  <c r="AK544" i="126" s="1"/>
  <c r="AN545" i="126"/>
  <c r="AK546" i="126"/>
  <c r="AO546" i="126"/>
  <c r="AM547" i="126"/>
  <c r="H553" i="126"/>
  <c r="W555" i="126"/>
  <c r="W548" i="126" s="1"/>
  <c r="AO548" i="126" s="1"/>
  <c r="H556" i="126"/>
  <c r="AO560" i="126"/>
  <c r="H562" i="126"/>
  <c r="W571" i="126"/>
  <c r="J577" i="126"/>
  <c r="N577" i="126"/>
  <c r="S578" i="126"/>
  <c r="AK578" i="126"/>
  <c r="AL579" i="126"/>
  <c r="J582" i="126"/>
  <c r="N582" i="126"/>
  <c r="N581" i="126" s="1"/>
  <c r="S583" i="126"/>
  <c r="T584" i="126"/>
  <c r="AN584" i="126" s="1"/>
  <c r="AN585" i="126"/>
  <c r="P586" i="126"/>
  <c r="P584" i="126" s="1"/>
  <c r="P588" i="126"/>
  <c r="P589" i="126"/>
  <c r="W590" i="126"/>
  <c r="M594" i="126"/>
  <c r="AK595" i="126"/>
  <c r="AM607" i="126"/>
  <c r="I607" i="126"/>
  <c r="I614" i="126"/>
  <c r="AM614" i="126"/>
  <c r="W624" i="126"/>
  <c r="AO626" i="126"/>
  <c r="H672" i="126"/>
  <c r="AO672" i="126"/>
  <c r="AI675" i="126"/>
  <c r="F675" i="126"/>
  <c r="AM677" i="126"/>
  <c r="I677" i="126"/>
  <c r="AM682" i="126"/>
  <c r="W685" i="126"/>
  <c r="W680" i="126" s="1"/>
  <c r="H690" i="126"/>
  <c r="AO690" i="126"/>
  <c r="AL694" i="126"/>
  <c r="M693" i="126"/>
  <c r="P695" i="126"/>
  <c r="AM695" i="126" s="1"/>
  <c r="S447" i="126"/>
  <c r="P447" i="126" s="1"/>
  <c r="T459" i="126"/>
  <c r="T460" i="126"/>
  <c r="T461" i="126"/>
  <c r="T462" i="126"/>
  <c r="AN465" i="126"/>
  <c r="AL468" i="126"/>
  <c r="S482" i="126"/>
  <c r="AL482" i="126"/>
  <c r="AM488" i="126"/>
  <c r="L493" i="126"/>
  <c r="L492" i="126" s="1"/>
  <c r="L491" i="126" s="1"/>
  <c r="H496" i="126"/>
  <c r="W497" i="126"/>
  <c r="L502" i="126"/>
  <c r="L501" i="126" s="1"/>
  <c r="L500" i="126" s="1"/>
  <c r="L499" i="126" s="1"/>
  <c r="AK508" i="126"/>
  <c r="N511" i="126"/>
  <c r="V514" i="126"/>
  <c r="AN515" i="126"/>
  <c r="T517" i="126"/>
  <c r="T520" i="126"/>
  <c r="AN520" i="126" s="1"/>
  <c r="W523" i="126"/>
  <c r="AO523" i="126" s="1"/>
  <c r="AJ528" i="126"/>
  <c r="M533" i="126"/>
  <c r="AC536" i="126"/>
  <c r="L537" i="126"/>
  <c r="L536" i="126" s="1"/>
  <c r="L531" i="126" s="1"/>
  <c r="L510" i="126" s="1"/>
  <c r="H538" i="126"/>
  <c r="L541" i="126"/>
  <c r="L540" i="126" s="1"/>
  <c r="L539" i="126" s="1"/>
  <c r="AN541" i="126"/>
  <c r="AL546" i="126"/>
  <c r="AM549" i="126"/>
  <c r="AN550" i="126"/>
  <c r="W581" i="126"/>
  <c r="T594" i="126"/>
  <c r="P598" i="126"/>
  <c r="AK600" i="126"/>
  <c r="H634" i="126"/>
  <c r="AI636" i="126"/>
  <c r="F636" i="126"/>
  <c r="E648" i="126"/>
  <c r="AH648" i="126"/>
  <c r="G648" i="126"/>
  <c r="AA643" i="126"/>
  <c r="H655" i="126"/>
  <c r="AO655" i="126"/>
  <c r="AI658" i="126"/>
  <c r="F658" i="126"/>
  <c r="E660" i="126"/>
  <c r="AH660" i="126"/>
  <c r="G660" i="126"/>
  <c r="AI663" i="126"/>
  <c r="F663" i="126"/>
  <c r="P696" i="126"/>
  <c r="V458" i="126"/>
  <c r="AA483" i="126"/>
  <c r="Z491" i="126"/>
  <c r="Z441" i="126" s="1"/>
  <c r="S502" i="126"/>
  <c r="T503" i="126"/>
  <c r="T531" i="126"/>
  <c r="AA532" i="126"/>
  <c r="AA531" i="126" s="1"/>
  <c r="J540" i="126"/>
  <c r="N540" i="126"/>
  <c r="N539" i="126" s="1"/>
  <c r="S541" i="126"/>
  <c r="H564" i="126"/>
  <c r="H566" i="126"/>
  <c r="H568" i="126"/>
  <c r="H570" i="126"/>
  <c r="W589" i="126"/>
  <c r="S595" i="126"/>
  <c r="W597" i="126"/>
  <c r="AO597" i="126" s="1"/>
  <c r="T601" i="126"/>
  <c r="AM602" i="126"/>
  <c r="I602" i="126"/>
  <c r="I609" i="126"/>
  <c r="AM609" i="126"/>
  <c r="AA624" i="126"/>
  <c r="S643" i="126"/>
  <c r="P644" i="126"/>
  <c r="AH667" i="126"/>
  <c r="AI667" i="126"/>
  <c r="H679" i="126"/>
  <c r="F679" i="126" s="1"/>
  <c r="G698" i="126"/>
  <c r="E698" i="126"/>
  <c r="AE698" i="126" s="1"/>
  <c r="AE696" i="126" s="1"/>
  <c r="W699" i="126"/>
  <c r="AO700" i="126"/>
  <c r="AJ701" i="126"/>
  <c r="I604" i="126"/>
  <c r="P606" i="126"/>
  <c r="AN607" i="126"/>
  <c r="P608" i="126"/>
  <c r="I610" i="126"/>
  <c r="P611" i="126"/>
  <c r="P612" i="126"/>
  <c r="I615" i="126"/>
  <c r="AM616" i="126"/>
  <c r="I617" i="126"/>
  <c r="P620" i="126"/>
  <c r="P621" i="126"/>
  <c r="P622" i="126"/>
  <c r="J624" i="126"/>
  <c r="N624" i="126"/>
  <c r="T624" i="126"/>
  <c r="Z624" i="126"/>
  <c r="S625" i="126"/>
  <c r="AN626" i="126"/>
  <c r="P627" i="126"/>
  <c r="W628" i="126"/>
  <c r="AO628" i="126" s="1"/>
  <c r="W629" i="126"/>
  <c r="AO629" i="126" s="1"/>
  <c r="AN630" i="126"/>
  <c r="I631" i="126"/>
  <c r="M631" i="126"/>
  <c r="AL631" i="126" s="1"/>
  <c r="AJ635" i="126"/>
  <c r="AO636" i="126"/>
  <c r="H638" i="126"/>
  <c r="H639" i="126"/>
  <c r="H640" i="126"/>
  <c r="AO647" i="126"/>
  <c r="H649" i="126"/>
  <c r="W652" i="126"/>
  <c r="W645" i="126" s="1"/>
  <c r="H653" i="126"/>
  <c r="H657" i="126"/>
  <c r="AO659" i="126"/>
  <c r="H661" i="126"/>
  <c r="AO663" i="126"/>
  <c r="AL666" i="126"/>
  <c r="AH670" i="126"/>
  <c r="P676" i="126"/>
  <c r="AN677" i="126"/>
  <c r="P678" i="126"/>
  <c r="S681" i="126"/>
  <c r="S680" i="126" s="1"/>
  <c r="L682" i="126"/>
  <c r="L681" i="126" s="1"/>
  <c r="L680" i="126" s="1"/>
  <c r="H686" i="126"/>
  <c r="S694" i="126"/>
  <c r="I697" i="126"/>
  <c r="P700" i="126"/>
  <c r="AM701" i="126"/>
  <c r="I710" i="126"/>
  <c r="AM710" i="126"/>
  <c r="AG633" i="126"/>
  <c r="AI648" i="126"/>
  <c r="AI656" i="126"/>
  <c r="AO658" i="126"/>
  <c r="AI660" i="126"/>
  <c r="AO662" i="126"/>
  <c r="AP669" i="126"/>
  <c r="AA673" i="126"/>
  <c r="AO675" i="126"/>
  <c r="M682" i="126"/>
  <c r="P683" i="126"/>
  <c r="AJ687" i="126"/>
  <c r="AC693" i="126"/>
  <c r="L694" i="126"/>
  <c r="L693" i="126" s="1"/>
  <c r="L692" i="126" s="1"/>
  <c r="AN694" i="126"/>
  <c r="AM697" i="126"/>
  <c r="AA699" i="126"/>
  <c r="AA692" i="126" s="1"/>
  <c r="T704" i="126"/>
  <c r="AN725" i="126"/>
  <c r="P725" i="126"/>
  <c r="AM734" i="126"/>
  <c r="I734" i="126"/>
  <c r="T605" i="126"/>
  <c r="AN605" i="126" s="1"/>
  <c r="H618" i="126"/>
  <c r="AI618" i="126" s="1"/>
  <c r="W621" i="126"/>
  <c r="AO621" i="126" s="1"/>
  <c r="P628" i="126"/>
  <c r="P629" i="126"/>
  <c r="K631" i="126"/>
  <c r="Z632" i="126"/>
  <c r="M643" i="126"/>
  <c r="AL643" i="126" s="1"/>
  <c r="H651" i="126"/>
  <c r="J665" i="126"/>
  <c r="AK665" i="126" s="1"/>
  <c r="AO667" i="126"/>
  <c r="AP668" i="126"/>
  <c r="AP672" i="126"/>
  <c r="W674" i="126"/>
  <c r="Z685" i="126"/>
  <c r="Z680" i="126" s="1"/>
  <c r="J693" i="126"/>
  <c r="N693" i="126"/>
  <c r="N692" i="126" s="1"/>
  <c r="T696" i="126"/>
  <c r="AN696" i="126" s="1"/>
  <c r="AK706" i="126"/>
  <c r="L705" i="126"/>
  <c r="P707" i="126"/>
  <c r="AM707" i="126" s="1"/>
  <c r="AL739" i="126"/>
  <c r="M738" i="126"/>
  <c r="L625" i="126"/>
  <c r="L624" i="126" s="1"/>
  <c r="AK719" i="126"/>
  <c r="L718" i="126"/>
  <c r="L717" i="126" s="1"/>
  <c r="AK717" i="126" s="1"/>
  <c r="P723" i="126"/>
  <c r="T721" i="126"/>
  <c r="AN723" i="126"/>
  <c r="AN724" i="126"/>
  <c r="P724" i="126"/>
  <c r="P728" i="126"/>
  <c r="S727" i="126"/>
  <c r="AC737" i="126"/>
  <c r="S706" i="126"/>
  <c r="P712" i="126"/>
  <c r="S719" i="126"/>
  <c r="L727" i="126"/>
  <c r="AN734" i="126"/>
  <c r="P736" i="126"/>
  <c r="AN743" i="126"/>
  <c r="P743" i="126"/>
  <c r="P746" i="126"/>
  <c r="AN746" i="126"/>
  <c r="I747" i="126"/>
  <c r="I748" i="126"/>
  <c r="AM748" i="126"/>
  <c r="M705" i="126"/>
  <c r="AL705" i="126" s="1"/>
  <c r="W705" i="126"/>
  <c r="AO705" i="126" s="1"/>
  <c r="P713" i="126"/>
  <c r="I714" i="126"/>
  <c r="M718" i="126"/>
  <c r="W718" i="126"/>
  <c r="P722" i="126"/>
  <c r="M727" i="126"/>
  <c r="W727" i="126"/>
  <c r="P731" i="126"/>
  <c r="T733" i="126"/>
  <c r="S739" i="126"/>
  <c r="P742" i="126"/>
  <c r="AN742" i="126"/>
  <c r="I750" i="126"/>
  <c r="AM750" i="126"/>
  <c r="J738" i="126"/>
  <c r="AN741" i="126"/>
  <c r="P741" i="126"/>
  <c r="W747" i="126"/>
  <c r="AN783" i="126"/>
  <c r="T779" i="126"/>
  <c r="AN779" i="126" s="1"/>
  <c r="T732" i="126"/>
  <c r="AO738" i="126"/>
  <c r="AN738" i="126"/>
  <c r="L739" i="126"/>
  <c r="L738" i="126" s="1"/>
  <c r="L737" i="126" s="1"/>
  <c r="P744" i="126"/>
  <c r="AN744" i="126"/>
  <c r="AM757" i="126"/>
  <c r="I757" i="126"/>
  <c r="M767" i="126"/>
  <c r="N766" i="126"/>
  <c r="N765" i="126" s="1"/>
  <c r="N764" i="126" s="1"/>
  <c r="AM771" i="126"/>
  <c r="I771" i="126"/>
  <c r="T773" i="126"/>
  <c r="H776" i="126"/>
  <c r="AJ776" i="126"/>
  <c r="S780" i="126"/>
  <c r="S779" i="126" s="1"/>
  <c r="P781" i="126"/>
  <c r="AI787" i="126"/>
  <c r="AM790" i="126"/>
  <c r="AM793" i="126"/>
  <c r="AK794" i="126"/>
  <c r="J792" i="126"/>
  <c r="P796" i="126"/>
  <c r="T794" i="126"/>
  <c r="AN794" i="126" s="1"/>
  <c r="AN796" i="126"/>
  <c r="AN799" i="126"/>
  <c r="P799" i="126"/>
  <c r="K801" i="126"/>
  <c r="K800" i="126" s="1"/>
  <c r="L802" i="126"/>
  <c r="L801" i="126" s="1"/>
  <c r="L800" i="126" s="1"/>
  <c r="AN807" i="126"/>
  <c r="P807" i="126"/>
  <c r="AO822" i="126"/>
  <c r="I853" i="126"/>
  <c r="AM853" i="126"/>
  <c r="AN866" i="126"/>
  <c r="P866" i="126"/>
  <c r="AC867" i="126"/>
  <c r="W898" i="126"/>
  <c r="AA897" i="126"/>
  <c r="L896" i="126"/>
  <c r="AK904" i="126"/>
  <c r="AM904" i="126"/>
  <c r="P896" i="126"/>
  <c r="AN904" i="126"/>
  <c r="T896" i="126"/>
  <c r="P745" i="126"/>
  <c r="I755" i="126"/>
  <c r="AL759" i="126"/>
  <c r="AC766" i="126"/>
  <c r="AM775" i="126"/>
  <c r="I775" i="126"/>
  <c r="AN775" i="126"/>
  <c r="AM776" i="126"/>
  <c r="AN777" i="126"/>
  <c r="P777" i="126"/>
  <c r="M781" i="126"/>
  <c r="F786" i="126"/>
  <c r="AI786" i="126"/>
  <c r="H790" i="126"/>
  <c r="W791" i="126"/>
  <c r="AO791" i="126" s="1"/>
  <c r="Z783" i="126"/>
  <c r="Z779" i="126" s="1"/>
  <c r="Z763" i="126" s="1"/>
  <c r="AN797" i="126"/>
  <c r="P797" i="126"/>
  <c r="M802" i="126"/>
  <c r="AM806" i="126"/>
  <c r="I806" i="126"/>
  <c r="T808" i="126"/>
  <c r="V803" i="126"/>
  <c r="V801" i="126" s="1"/>
  <c r="V800" i="126" s="1"/>
  <c r="T809" i="126"/>
  <c r="AM839" i="126"/>
  <c r="I839" i="126"/>
  <c r="AM850" i="126"/>
  <c r="W864" i="126"/>
  <c r="AO864" i="126" s="1"/>
  <c r="AA857" i="126"/>
  <c r="AM753" i="126"/>
  <c r="AN754" i="126"/>
  <c r="P754" i="126"/>
  <c r="AN755" i="126"/>
  <c r="P760" i="126"/>
  <c r="AN760" i="126"/>
  <c r="T762" i="126"/>
  <c r="T759" i="126" s="1"/>
  <c r="T756" i="126" s="1"/>
  <c r="U759" i="126"/>
  <c r="U756" i="126" s="1"/>
  <c r="Q768" i="126"/>
  <c r="S768" i="126" s="1"/>
  <c r="L767" i="126"/>
  <c r="L766" i="126" s="1"/>
  <c r="L765" i="126" s="1"/>
  <c r="L764" i="126" s="1"/>
  <c r="S767" i="126"/>
  <c r="J766" i="126"/>
  <c r="P784" i="126"/>
  <c r="AN784" i="126"/>
  <c r="F789" i="126"/>
  <c r="AI789" i="126"/>
  <c r="AN793" i="126"/>
  <c r="T805" i="126"/>
  <c r="AM816" i="126"/>
  <c r="I816" i="126"/>
  <c r="P827" i="126"/>
  <c r="T826" i="126"/>
  <c r="AN826" i="126" s="1"/>
  <c r="P837" i="126"/>
  <c r="AN837" i="126"/>
  <c r="AN865" i="126"/>
  <c r="P865" i="126"/>
  <c r="T857" i="126"/>
  <c r="AN857" i="126" s="1"/>
  <c r="I752" i="126"/>
  <c r="K756" i="126"/>
  <c r="AK756" i="126" s="1"/>
  <c r="O756" i="126"/>
  <c r="AL758" i="126"/>
  <c r="AA756" i="126"/>
  <c r="P769" i="126"/>
  <c r="U770" i="126"/>
  <c r="U765" i="126" s="1"/>
  <c r="U764" i="126" s="1"/>
  <c r="U763" i="126" s="1"/>
  <c r="I772" i="126"/>
  <c r="AM772" i="126"/>
  <c r="P778" i="126"/>
  <c r="AN778" i="126"/>
  <c r="AI788" i="126"/>
  <c r="AO790" i="126"/>
  <c r="AL794" i="126"/>
  <c r="AO794" i="126"/>
  <c r="P798" i="126"/>
  <c r="AN798" i="126"/>
  <c r="P812" i="126"/>
  <c r="AN812" i="126"/>
  <c r="V940" i="126"/>
  <c r="T973" i="126"/>
  <c r="U971" i="126"/>
  <c r="T989" i="126"/>
  <c r="T987" i="126" s="1"/>
  <c r="V987" i="126"/>
  <c r="AK757" i="126"/>
  <c r="P758" i="126"/>
  <c r="AM758" i="126" s="1"/>
  <c r="L781" i="126"/>
  <c r="L780" i="126" s="1"/>
  <c r="AN790" i="126"/>
  <c r="M793" i="126"/>
  <c r="AK793" i="126"/>
  <c r="AN802" i="126"/>
  <c r="T811" i="126"/>
  <c r="P822" i="126"/>
  <c r="S821" i="126"/>
  <c r="AD841" i="126"/>
  <c r="AD840" i="126" s="1"/>
  <c r="AM852" i="126"/>
  <c r="I852" i="126"/>
  <c r="AN852" i="126"/>
  <c r="AM859" i="126"/>
  <c r="I859" i="126"/>
  <c r="AN862" i="126"/>
  <c r="P862" i="126"/>
  <c r="AN870" i="126"/>
  <c r="H879" i="126"/>
  <c r="AO879" i="126"/>
  <c r="E906" i="126"/>
  <c r="AH906" i="126"/>
  <c r="G906" i="126"/>
  <c r="P953" i="126"/>
  <c r="AN953" i="126"/>
  <c r="J801" i="126"/>
  <c r="N801" i="126"/>
  <c r="N800" i="126" s="1"/>
  <c r="Z801" i="126"/>
  <c r="S802" i="126"/>
  <c r="P810" i="126"/>
  <c r="AL817" i="126"/>
  <c r="AN819" i="126"/>
  <c r="P819" i="126"/>
  <c r="T817" i="126"/>
  <c r="AN817" i="126" s="1"/>
  <c r="M821" i="126"/>
  <c r="AL821" i="126" s="1"/>
  <c r="AL822" i="126"/>
  <c r="AL823" i="126"/>
  <c r="W823" i="126"/>
  <c r="AO823" i="126" s="1"/>
  <c r="AL826" i="126"/>
  <c r="I828" i="126"/>
  <c r="AM828" i="126"/>
  <c r="P834" i="126"/>
  <c r="AN834" i="126"/>
  <c r="I835" i="126"/>
  <c r="AL842" i="126"/>
  <c r="AO903" i="126"/>
  <c r="H903" i="126"/>
  <c r="P941" i="126"/>
  <c r="W949" i="126"/>
  <c r="AO950" i="126"/>
  <c r="I982" i="126"/>
  <c r="AM982" i="126"/>
  <c r="AK823" i="126"/>
  <c r="I830" i="126"/>
  <c r="AM830" i="126"/>
  <c r="P832" i="126"/>
  <c r="AN832" i="126"/>
  <c r="P845" i="126"/>
  <c r="AN845" i="126"/>
  <c r="P847" i="126"/>
  <c r="AN847" i="126"/>
  <c r="T849" i="126"/>
  <c r="AO858" i="126"/>
  <c r="P860" i="126"/>
  <c r="AN860" i="126"/>
  <c r="AM861" i="126"/>
  <c r="I861" i="126"/>
  <c r="T868" i="126"/>
  <c r="AK870" i="126"/>
  <c r="J869" i="126"/>
  <c r="N869" i="126"/>
  <c r="AL870" i="126"/>
  <c r="P876" i="126"/>
  <c r="AN876" i="126"/>
  <c r="W881" i="126"/>
  <c r="Z878" i="126"/>
  <c r="W907" i="126"/>
  <c r="P951" i="126"/>
  <c r="T949" i="126"/>
  <c r="AN949" i="126" s="1"/>
  <c r="P814" i="126"/>
  <c r="AA817" i="126"/>
  <c r="AA800" i="126" s="1"/>
  <c r="W819" i="126"/>
  <c r="AO819" i="126" s="1"/>
  <c r="K821" i="126"/>
  <c r="AK821" i="126" s="1"/>
  <c r="I825" i="126"/>
  <c r="I829" i="126"/>
  <c r="I831" i="126"/>
  <c r="T836" i="126"/>
  <c r="P838" i="126"/>
  <c r="J841" i="126"/>
  <c r="N841" i="126"/>
  <c r="S842" i="126"/>
  <c r="AK842" i="126"/>
  <c r="P844" i="126"/>
  <c r="P846" i="126"/>
  <c r="P848" i="126"/>
  <c r="T851" i="126"/>
  <c r="P854" i="126"/>
  <c r="P856" i="126"/>
  <c r="I858" i="126"/>
  <c r="W862" i="126"/>
  <c r="AO862" i="126" s="1"/>
  <c r="P864" i="126"/>
  <c r="W866" i="126"/>
  <c r="AO866" i="126" s="1"/>
  <c r="W873" i="126"/>
  <c r="H880" i="126"/>
  <c r="AO880" i="126"/>
  <c r="AH886" i="126"/>
  <c r="G886" i="126"/>
  <c r="H890" i="126"/>
  <c r="AI892" i="126"/>
  <c r="H893" i="126"/>
  <c r="AO893" i="126"/>
  <c r="AJ897" i="126"/>
  <c r="AJ904" i="126"/>
  <c r="H916" i="126"/>
  <c r="AO916" i="126"/>
  <c r="G918" i="126"/>
  <c r="Q919" i="126"/>
  <c r="AM939" i="126"/>
  <c r="AK949" i="126"/>
  <c r="AN965" i="126"/>
  <c r="AM984" i="126"/>
  <c r="O987" i="126"/>
  <c r="M988" i="126"/>
  <c r="P833" i="126"/>
  <c r="W871" i="126"/>
  <c r="W872" i="126"/>
  <c r="AA870" i="126"/>
  <c r="W888" i="126"/>
  <c r="F891" i="126"/>
  <c r="AI891" i="126"/>
  <c r="AL897" i="126"/>
  <c r="M896" i="126"/>
  <c r="AN897" i="126"/>
  <c r="W900" i="126"/>
  <c r="AA904" i="126"/>
  <c r="W905" i="126"/>
  <c r="AO911" i="126"/>
  <c r="H911" i="126"/>
  <c r="AL920" i="126"/>
  <c r="I921" i="126"/>
  <c r="AM921" i="126"/>
  <c r="T922" i="126"/>
  <c r="T920" i="126" s="1"/>
  <c r="V920" i="126"/>
  <c r="AM923" i="126"/>
  <c r="I923" i="126"/>
  <c r="AN923" i="126"/>
  <c r="T926" i="126"/>
  <c r="H933" i="126"/>
  <c r="AJ933" i="126"/>
  <c r="H944" i="126"/>
  <c r="AJ944" i="126"/>
  <c r="AM965" i="126"/>
  <c r="I965" i="126"/>
  <c r="Z870" i="126"/>
  <c r="Z869" i="126" s="1"/>
  <c r="AH874" i="126"/>
  <c r="G874" i="126"/>
  <c r="W882" i="126"/>
  <c r="AA878" i="126"/>
  <c r="H887" i="126"/>
  <c r="AO887" i="126"/>
  <c r="AO889" i="126"/>
  <c r="H889" i="126"/>
  <c r="AH892" i="126"/>
  <c r="G892" i="126"/>
  <c r="E892" i="126"/>
  <c r="W899" i="126"/>
  <c r="AM928" i="126"/>
  <c r="I928" i="126"/>
  <c r="AN928" i="126"/>
  <c r="I930" i="126"/>
  <c r="AM930" i="126"/>
  <c r="T931" i="126"/>
  <c r="T929" i="126" s="1"/>
  <c r="V929" i="126"/>
  <c r="AM932" i="126"/>
  <c r="I932" i="126"/>
  <c r="AN932" i="126"/>
  <c r="AM933" i="126"/>
  <c r="AM936" i="126"/>
  <c r="I936" i="126"/>
  <c r="AN936" i="126"/>
  <c r="P943" i="126"/>
  <c r="T942" i="126"/>
  <c r="AN942" i="126" s="1"/>
  <c r="AN943" i="126"/>
  <c r="AM944" i="126"/>
  <c r="P947" i="126"/>
  <c r="AN947" i="126"/>
  <c r="I1011" i="126"/>
  <c r="AM1011" i="126"/>
  <c r="I877" i="126"/>
  <c r="H884" i="126"/>
  <c r="H895" i="126"/>
  <c r="AK897" i="126"/>
  <c r="H902" i="126"/>
  <c r="H909" i="126"/>
  <c r="AI918" i="126"/>
  <c r="AK920" i="126"/>
  <c r="AN921" i="126"/>
  <c r="AN930" i="126"/>
  <c r="M958" i="126"/>
  <c r="AL958" i="126" s="1"/>
  <c r="AL959" i="126"/>
  <c r="H962" i="126"/>
  <c r="AJ962" i="126"/>
  <c r="M970" i="126"/>
  <c r="N968" i="126"/>
  <c r="AL972" i="126"/>
  <c r="T981" i="126"/>
  <c r="U979" i="126"/>
  <c r="AM983" i="126"/>
  <c r="I983" i="126"/>
  <c r="AN983" i="126"/>
  <c r="P960" i="126"/>
  <c r="AN960" i="126"/>
  <c r="AM962" i="126"/>
  <c r="P969" i="126"/>
  <c r="AN972" i="126"/>
  <c r="P972" i="126"/>
  <c r="AM972" i="126" s="1"/>
  <c r="AL974" i="126"/>
  <c r="K987" i="126"/>
  <c r="L988" i="126"/>
  <c r="L987" i="126" s="1"/>
  <c r="P994" i="126"/>
  <c r="AN994" i="126"/>
  <c r="AN1016" i="126"/>
  <c r="AM1021" i="126"/>
  <c r="I1021" i="126"/>
  <c r="I1024" i="126"/>
  <c r="AO958" i="126"/>
  <c r="AK959" i="126"/>
  <c r="H966" i="126"/>
  <c r="AJ966" i="126"/>
  <c r="S970" i="126"/>
  <c r="L970" i="126"/>
  <c r="L968" i="126" s="1"/>
  <c r="J968" i="126"/>
  <c r="V971" i="126"/>
  <c r="AN974" i="126"/>
  <c r="P974" i="126"/>
  <c r="AM974" i="126" s="1"/>
  <c r="I977" i="126"/>
  <c r="AK979" i="126"/>
  <c r="H986" i="126"/>
  <c r="AJ986" i="126"/>
  <c r="P988" i="126"/>
  <c r="S987" i="126"/>
  <c r="P990" i="126"/>
  <c r="AN990" i="126"/>
  <c r="AM1018" i="126"/>
  <c r="AM997" i="126"/>
  <c r="I997" i="126"/>
  <c r="I1015" i="126"/>
  <c r="AM1015" i="126"/>
  <c r="V1014" i="126"/>
  <c r="AM1017" i="126"/>
  <c r="I1017" i="126"/>
  <c r="AN1017" i="126"/>
  <c r="AK1022" i="126"/>
  <c r="J1020" i="126"/>
  <c r="I1083" i="126"/>
  <c r="AI1098" i="126"/>
  <c r="F1098" i="126"/>
  <c r="S959" i="126"/>
  <c r="T961" i="126"/>
  <c r="P964" i="126"/>
  <c r="T967" i="126"/>
  <c r="P976" i="126"/>
  <c r="W978" i="126"/>
  <c r="V979" i="126"/>
  <c r="T996" i="126"/>
  <c r="AN997" i="126"/>
  <c r="AM1000" i="126"/>
  <c r="I1000" i="126"/>
  <c r="P1005" i="126"/>
  <c r="AN1005" i="126"/>
  <c r="AO1014" i="126"/>
  <c r="S1020" i="126"/>
  <c r="L1020" i="126"/>
  <c r="AK1021" i="126"/>
  <c r="P1029" i="126"/>
  <c r="AN1029" i="126"/>
  <c r="AC1039" i="126"/>
  <c r="T1056" i="126"/>
  <c r="V1053" i="126"/>
  <c r="V1052" i="126" s="1"/>
  <c r="AM991" i="126"/>
  <c r="AM1001" i="126"/>
  <c r="T1002" i="126"/>
  <c r="T1009" i="126"/>
  <c r="V1007" i="126"/>
  <c r="AM1013" i="126"/>
  <c r="I1013" i="126"/>
  <c r="AN1013" i="126"/>
  <c r="AN1021" i="126"/>
  <c r="AN1015" i="126"/>
  <c r="AN1031" i="126"/>
  <c r="P1031" i="126"/>
  <c r="H1033" i="126"/>
  <c r="AJ1033" i="126"/>
  <c r="S1041" i="126"/>
  <c r="J1040" i="126"/>
  <c r="L1041" i="126"/>
  <c r="L1040" i="126" s="1"/>
  <c r="L1039" i="126" s="1"/>
  <c r="I1044" i="126"/>
  <c r="AM1044" i="126"/>
  <c r="AN1063" i="126"/>
  <c r="P1006" i="126"/>
  <c r="T1010" i="126"/>
  <c r="P1012" i="126"/>
  <c r="AC1014" i="126"/>
  <c r="T1019" i="126"/>
  <c r="T1023" i="126"/>
  <c r="P1025" i="126"/>
  <c r="AM1032" i="126"/>
  <c r="I1032" i="126"/>
  <c r="AN1032" i="126"/>
  <c r="AM1033" i="126"/>
  <c r="T1035" i="126"/>
  <c r="AM1043" i="126"/>
  <c r="I1043" i="126"/>
  <c r="AN1043" i="126"/>
  <c r="P1047" i="126"/>
  <c r="AN1047" i="126"/>
  <c r="AK1053" i="126"/>
  <c r="K1052" i="126"/>
  <c r="AK1052" i="126" s="1"/>
  <c r="T1061" i="126"/>
  <c r="AM1067" i="126"/>
  <c r="I1067" i="126"/>
  <c r="T1026" i="126"/>
  <c r="H1027" i="126"/>
  <c r="AJ1027" i="126"/>
  <c r="AM1038" i="126"/>
  <c r="I1038" i="126"/>
  <c r="AN1038" i="126"/>
  <c r="M1041" i="126"/>
  <c r="N1040" i="126"/>
  <c r="N1039" i="126" s="1"/>
  <c r="AO1053" i="126"/>
  <c r="W1052" i="126"/>
  <c r="AO1052" i="126" s="1"/>
  <c r="I1054" i="126"/>
  <c r="T1046" i="126"/>
  <c r="AM1066" i="126"/>
  <c r="I1066" i="126"/>
  <c r="AM1082" i="126"/>
  <c r="AN1041" i="126"/>
  <c r="AL1053" i="126"/>
  <c r="AM1065" i="126"/>
  <c r="I1065" i="126"/>
  <c r="AM1069" i="126"/>
  <c r="I1069" i="126"/>
  <c r="AN1076" i="126"/>
  <c r="P1076" i="126"/>
  <c r="AN1077" i="126"/>
  <c r="P1077" i="126"/>
  <c r="AM1078" i="126"/>
  <c r="I1078" i="126"/>
  <c r="AN1078" i="126"/>
  <c r="AO1097" i="126"/>
  <c r="H1097" i="126"/>
  <c r="AO1104" i="126"/>
  <c r="H1104" i="126"/>
  <c r="W1042" i="126"/>
  <c r="T1050" i="126"/>
  <c r="T1057" i="126"/>
  <c r="AN1057" i="126" s="1"/>
  <c r="AM1062" i="126"/>
  <c r="I1062" i="126"/>
  <c r="AN1062" i="126"/>
  <c r="AM1064" i="126"/>
  <c r="I1064" i="126"/>
  <c r="AM1072" i="126"/>
  <c r="I1072" i="126"/>
  <c r="H1074" i="126"/>
  <c r="AJ1074" i="126"/>
  <c r="AO1080" i="126"/>
  <c r="AI1089" i="126"/>
  <c r="P1109" i="126"/>
  <c r="AN1109" i="126"/>
  <c r="J1079" i="126"/>
  <c r="AK1079" i="126" s="1"/>
  <c r="AH1087" i="126"/>
  <c r="P1092" i="126"/>
  <c r="AJ1092" i="126" s="1"/>
  <c r="AM1093" i="126"/>
  <c r="AN1093" i="126"/>
  <c r="T1092" i="126"/>
  <c r="AN1092" i="126" s="1"/>
  <c r="AP1095" i="126"/>
  <c r="E1120" i="126"/>
  <c r="AH1120" i="126"/>
  <c r="G1120" i="126"/>
  <c r="W1073" i="126"/>
  <c r="AO1073" i="126" s="1"/>
  <c r="P1075" i="126"/>
  <c r="P1080" i="126"/>
  <c r="AN1085" i="126"/>
  <c r="AI1086" i="126"/>
  <c r="AJ1093" i="126"/>
  <c r="AN1102" i="126"/>
  <c r="P1102" i="126"/>
  <c r="E1113" i="126"/>
  <c r="AH1113" i="126"/>
  <c r="G1113" i="126"/>
  <c r="H1090" i="126"/>
  <c r="AO1090" i="126"/>
  <c r="H1091" i="126"/>
  <c r="AO1091" i="126"/>
  <c r="AK1093" i="126"/>
  <c r="W1093" i="126"/>
  <c r="E1099" i="126"/>
  <c r="AH1099" i="126"/>
  <c r="AM1101" i="126"/>
  <c r="I1101" i="126"/>
  <c r="P1103" i="126"/>
  <c r="AN1103" i="126"/>
  <c r="E1122" i="126"/>
  <c r="AH1122" i="126"/>
  <c r="G1122" i="126"/>
  <c r="AC1096" i="126"/>
  <c r="W1112" i="126"/>
  <c r="Z1111" i="126"/>
  <c r="W1111" i="126" s="1"/>
  <c r="AO1111" i="126" s="1"/>
  <c r="AK1115" i="126"/>
  <c r="J1111" i="126"/>
  <c r="F1126" i="126"/>
  <c r="AI1087" i="126"/>
  <c r="AO1094" i="126"/>
  <c r="AI1099" i="126"/>
  <c r="P1105" i="126"/>
  <c r="F1110" i="126"/>
  <c r="AI1110" i="126"/>
  <c r="AJ1112" i="126"/>
  <c r="F1116" i="126"/>
  <c r="AI1116" i="126"/>
  <c r="E1119" i="126"/>
  <c r="AH1119" i="126"/>
  <c r="E1121" i="126"/>
  <c r="AH1121" i="126"/>
  <c r="F1124" i="126"/>
  <c r="AI1124" i="126"/>
  <c r="F1127" i="126"/>
  <c r="AI1127" i="126"/>
  <c r="AO1106" i="126"/>
  <c r="W1105" i="126"/>
  <c r="AO1105" i="126" s="1"/>
  <c r="AN1115" i="126"/>
  <c r="F1117" i="126"/>
  <c r="AI1117" i="126"/>
  <c r="AN1104" i="126"/>
  <c r="AN1106" i="126"/>
  <c r="W1118" i="126"/>
  <c r="W1125" i="126"/>
  <c r="AI1119" i="126"/>
  <c r="AI1120" i="126"/>
  <c r="AI1121" i="126"/>
  <c r="AI1122" i="126"/>
  <c r="I685" i="126" l="1"/>
  <c r="AJ685" i="126" s="1"/>
  <c r="Z510" i="126"/>
  <c r="AK680" i="126"/>
  <c r="I1107" i="126"/>
  <c r="I955" i="126"/>
  <c r="AM157" i="126"/>
  <c r="H52" i="126"/>
  <c r="AO1115" i="126"/>
  <c r="AO803" i="126"/>
  <c r="AA919" i="126"/>
  <c r="F938" i="126"/>
  <c r="AI938" i="126"/>
  <c r="AH1088" i="126"/>
  <c r="H1028" i="126"/>
  <c r="AM1060" i="126"/>
  <c r="AM1071" i="126"/>
  <c r="H1034" i="126"/>
  <c r="I978" i="126"/>
  <c r="AM952" i="126"/>
  <c r="H937" i="126"/>
  <c r="AI937" i="126" s="1"/>
  <c r="F885" i="126"/>
  <c r="V623" i="126"/>
  <c r="AJ804" i="126"/>
  <c r="AN896" i="126"/>
  <c r="H720" i="126"/>
  <c r="F715" i="126"/>
  <c r="N510" i="126"/>
  <c r="K442" i="126"/>
  <c r="K441" i="126" s="1"/>
  <c r="I429" i="126"/>
  <c r="G302" i="126"/>
  <c r="AO292" i="126"/>
  <c r="AM158" i="126"/>
  <c r="G192" i="126"/>
  <c r="AH133" i="126"/>
  <c r="G319" i="126"/>
  <c r="P95" i="126"/>
  <c r="AM95" i="126" s="1"/>
  <c r="I1048" i="126"/>
  <c r="I1030" i="126"/>
  <c r="AJ1030" i="126" s="1"/>
  <c r="AO1085" i="126"/>
  <c r="AM938" i="126"/>
  <c r="AN204" i="126"/>
  <c r="AH228" i="126"/>
  <c r="Z576" i="126"/>
  <c r="AM1105" i="126"/>
  <c r="AI1088" i="126"/>
  <c r="G1088" i="126"/>
  <c r="E1087" i="126"/>
  <c r="I1070" i="126"/>
  <c r="H1059" i="126"/>
  <c r="AM954" i="126"/>
  <c r="W840" i="126"/>
  <c r="AO840" i="126" s="1"/>
  <c r="F912" i="126"/>
  <c r="G912" i="126" s="1"/>
  <c r="E901" i="126"/>
  <c r="AM824" i="126"/>
  <c r="AO843" i="126"/>
  <c r="W783" i="126"/>
  <c r="W779" i="126" s="1"/>
  <c r="AO779" i="126" s="1"/>
  <c r="AM774" i="126"/>
  <c r="AI785" i="126"/>
  <c r="AJ715" i="126"/>
  <c r="I695" i="126"/>
  <c r="H695" i="126" s="1"/>
  <c r="G561" i="126"/>
  <c r="AL373" i="126"/>
  <c r="AI391" i="126"/>
  <c r="W547" i="126"/>
  <c r="AO547" i="126" s="1"/>
  <c r="H96" i="126"/>
  <c r="AI302" i="126"/>
  <c r="I158" i="126"/>
  <c r="AJ158" i="126" s="1"/>
  <c r="AP1088" i="126"/>
  <c r="F954" i="126"/>
  <c r="AM998" i="126"/>
  <c r="Z631" i="126"/>
  <c r="AL182" i="126"/>
  <c r="K28" i="126"/>
  <c r="K27" i="126" s="1"/>
  <c r="I791" i="126"/>
  <c r="I729" i="126"/>
  <c r="G228" i="126"/>
  <c r="AK599" i="126"/>
  <c r="W88" i="126"/>
  <c r="F490" i="126"/>
  <c r="H489" i="126"/>
  <c r="AI490" i="126"/>
  <c r="I1058" i="126"/>
  <c r="H957" i="126"/>
  <c r="N763" i="126"/>
  <c r="AI664" i="126"/>
  <c r="H641" i="126"/>
  <c r="AM603" i="126"/>
  <c r="AA510" i="126"/>
  <c r="E664" i="126"/>
  <c r="G642" i="126"/>
  <c r="AJ490" i="126"/>
  <c r="AI301" i="126"/>
  <c r="AM373" i="126"/>
  <c r="F402" i="126"/>
  <c r="F388" i="126"/>
  <c r="P342" i="126"/>
  <c r="AM342" i="126" s="1"/>
  <c r="E134" i="126"/>
  <c r="AH559" i="126"/>
  <c r="AI61" i="126"/>
  <c r="F334" i="126"/>
  <c r="E334" i="126" s="1"/>
  <c r="AO89" i="126"/>
  <c r="E61" i="126"/>
  <c r="AL1111" i="126"/>
  <c r="AM795" i="126"/>
  <c r="AO759" i="126"/>
  <c r="F650" i="126"/>
  <c r="G650" i="126" s="1"/>
  <c r="G301" i="126"/>
  <c r="AM22" i="126"/>
  <c r="W666" i="126"/>
  <c r="AH642" i="126"/>
  <c r="W390" i="126"/>
  <c r="O230" i="126"/>
  <c r="O229" i="126" s="1"/>
  <c r="AM359" i="126"/>
  <c r="AH163" i="126"/>
  <c r="G61" i="126"/>
  <c r="F22" i="126"/>
  <c r="AH22" i="126" s="1"/>
  <c r="I927" i="126"/>
  <c r="H927" i="126" s="1"/>
  <c r="L593" i="126"/>
  <c r="L592" i="126" s="1"/>
  <c r="AK592" i="126" s="1"/>
  <c r="AH301" i="126"/>
  <c r="P17" i="126"/>
  <c r="AM1106" i="126"/>
  <c r="AJ993" i="126"/>
  <c r="G901" i="126"/>
  <c r="AI671" i="126"/>
  <c r="AM937" i="126"/>
  <c r="AI875" i="126"/>
  <c r="AH913" i="126"/>
  <c r="I751" i="126"/>
  <c r="H751" i="126" s="1"/>
  <c r="F689" i="126"/>
  <c r="AO671" i="126"/>
  <c r="W635" i="126"/>
  <c r="AO635" i="126" s="1"/>
  <c r="H603" i="126"/>
  <c r="F603" i="126" s="1"/>
  <c r="I489" i="126"/>
  <c r="AJ489" i="126" s="1"/>
  <c r="AI559" i="126"/>
  <c r="AM475" i="126"/>
  <c r="L416" i="126"/>
  <c r="AP301" i="126"/>
  <c r="AI165" i="126"/>
  <c r="AH165" i="126"/>
  <c r="I68" i="126"/>
  <c r="AJ68" i="126" s="1"/>
  <c r="AL1052" i="126"/>
  <c r="I985" i="126"/>
  <c r="AJ530" i="126"/>
  <c r="Z367" i="126"/>
  <c r="Z363" i="126" s="1"/>
  <c r="Z352" i="126" s="1"/>
  <c r="P709" i="126"/>
  <c r="I709" i="126" s="1"/>
  <c r="R230" i="126"/>
  <c r="R229" i="126" s="1"/>
  <c r="I935" i="126"/>
  <c r="H935" i="126" s="1"/>
  <c r="T708" i="126"/>
  <c r="V28" i="126"/>
  <c r="V27" i="126" s="1"/>
  <c r="AM665" i="126"/>
  <c r="K510" i="126"/>
  <c r="G1119" i="126"/>
  <c r="I89" i="125"/>
  <c r="T843" i="126"/>
  <c r="AN843" i="126" s="1"/>
  <c r="AK802" i="126"/>
  <c r="I260" i="126"/>
  <c r="AJ260" i="126" s="1"/>
  <c r="AB623" i="126"/>
  <c r="AN987" i="126"/>
  <c r="P434" i="126"/>
  <c r="AM434" i="126" s="1"/>
  <c r="H791" i="126"/>
  <c r="F791" i="126" s="1"/>
  <c r="AN631" i="126"/>
  <c r="AK452" i="126"/>
  <c r="H795" i="126"/>
  <c r="AJ795" i="126"/>
  <c r="AO645" i="126"/>
  <c r="W643" i="126"/>
  <c r="AO643" i="126" s="1"/>
  <c r="AM946" i="126"/>
  <c r="I946" i="126"/>
  <c r="I1068" i="126"/>
  <c r="AM1049" i="126"/>
  <c r="I818" i="126"/>
  <c r="I749" i="126"/>
  <c r="AJ749" i="126" s="1"/>
  <c r="AH633" i="126"/>
  <c r="AN531" i="126"/>
  <c r="AI569" i="126"/>
  <c r="AH338" i="126"/>
  <c r="H421" i="126"/>
  <c r="AL367" i="126"/>
  <c r="E317" i="126"/>
  <c r="I198" i="126"/>
  <c r="AJ198" i="126" s="1"/>
  <c r="G163" i="126"/>
  <c r="E133" i="126"/>
  <c r="AH227" i="126"/>
  <c r="AK161" i="126"/>
  <c r="AM96" i="126"/>
  <c r="AJ96" i="126"/>
  <c r="I18" i="126"/>
  <c r="W231" i="126"/>
  <c r="AO231" i="126" s="1"/>
  <c r="AL1079" i="126"/>
  <c r="AM19" i="126"/>
  <c r="AJ935" i="126"/>
  <c r="AI894" i="126"/>
  <c r="F894" i="126"/>
  <c r="AO513" i="126"/>
  <c r="W511" i="126"/>
  <c r="AO511" i="126" s="1"/>
  <c r="AP228" i="126"/>
  <c r="AN929" i="126"/>
  <c r="AK1111" i="126"/>
  <c r="AM1108" i="126"/>
  <c r="AH1094" i="126"/>
  <c r="P1057" i="126"/>
  <c r="AK987" i="126"/>
  <c r="O919" i="126"/>
  <c r="AI820" i="126"/>
  <c r="AJ791" i="126"/>
  <c r="U623" i="126"/>
  <c r="AJ631" i="126"/>
  <c r="AK493" i="126"/>
  <c r="AK521" i="126"/>
  <c r="AG561" i="126"/>
  <c r="P548" i="126"/>
  <c r="AM548" i="126" s="1"/>
  <c r="E569" i="126"/>
  <c r="AI317" i="126"/>
  <c r="AM273" i="126"/>
  <c r="G317" i="126"/>
  <c r="AI163" i="126"/>
  <c r="AI133" i="126"/>
  <c r="F85" i="126"/>
  <c r="I37" i="125"/>
  <c r="H37" i="125" s="1"/>
  <c r="G37" i="125" s="1"/>
  <c r="AK896" i="126"/>
  <c r="T737" i="126"/>
  <c r="AN737" i="126" s="1"/>
  <c r="Y26" i="126"/>
  <c r="I35" i="126"/>
  <c r="I132" i="126"/>
  <c r="T139" i="126"/>
  <c r="AN139" i="126" s="1"/>
  <c r="AN140" i="126"/>
  <c r="AI323" i="126"/>
  <c r="F323" i="126"/>
  <c r="AM202" i="126"/>
  <c r="I202" i="126"/>
  <c r="AJ202" i="126" s="1"/>
  <c r="AM1059" i="126"/>
  <c r="AI913" i="126"/>
  <c r="AJ938" i="126"/>
  <c r="AJ927" i="126"/>
  <c r="AD623" i="126"/>
  <c r="AM804" i="126"/>
  <c r="H632" i="126"/>
  <c r="AB499" i="126"/>
  <c r="AB1100" i="126" s="1"/>
  <c r="AB1089" i="126" s="1"/>
  <c r="AH637" i="126"/>
  <c r="AH307" i="126"/>
  <c r="M108" i="126"/>
  <c r="AL108" i="126" s="1"/>
  <c r="AM201" i="126"/>
  <c r="AP163" i="126"/>
  <c r="AL178" i="126"/>
  <c r="O28" i="126"/>
  <c r="O27" i="126" s="1"/>
  <c r="AI82" i="126"/>
  <c r="K763" i="126"/>
  <c r="K623" i="126" s="1"/>
  <c r="V230" i="126"/>
  <c r="V229" i="126" s="1"/>
  <c r="T17" i="126"/>
  <c r="AN17" i="126" s="1"/>
  <c r="AM925" i="126"/>
  <c r="I925" i="126"/>
  <c r="F309" i="126"/>
  <c r="AI309" i="126"/>
  <c r="AK682" i="126"/>
  <c r="AK541" i="126"/>
  <c r="P995" i="126"/>
  <c r="AN995" i="126"/>
  <c r="AL97" i="126"/>
  <c r="AA27" i="126"/>
  <c r="AM1004" i="126"/>
  <c r="I1004" i="126"/>
  <c r="AM945" i="126"/>
  <c r="I945" i="126"/>
  <c r="AN1081" i="126"/>
  <c r="T1079" i="126"/>
  <c r="AN1079" i="126" s="1"/>
  <c r="AM1036" i="126"/>
  <c r="I1036" i="126"/>
  <c r="I924" i="126"/>
  <c r="AM924" i="126"/>
  <c r="P1050" i="126"/>
  <c r="AM1050" i="126" s="1"/>
  <c r="I1051" i="126"/>
  <c r="E316" i="126"/>
  <c r="G316" i="126"/>
  <c r="AH316" i="126"/>
  <c r="E914" i="126"/>
  <c r="G914" i="126"/>
  <c r="AM1111" i="126"/>
  <c r="L919" i="126"/>
  <c r="AI914" i="126"/>
  <c r="AH914" i="126"/>
  <c r="E913" i="126"/>
  <c r="AG913" i="126" s="1"/>
  <c r="G619" i="126"/>
  <c r="G618" i="126" s="1"/>
  <c r="N499" i="126"/>
  <c r="AH567" i="126"/>
  <c r="AM345" i="126"/>
  <c r="H387" i="126"/>
  <c r="AI387" i="126" s="1"/>
  <c r="AO390" i="126"/>
  <c r="F221" i="126"/>
  <c r="AH221" i="126" s="1"/>
  <c r="I180" i="126"/>
  <c r="AH327" i="126"/>
  <c r="AM77" i="126"/>
  <c r="AK50" i="126"/>
  <c r="AM1055" i="126"/>
  <c r="I1055" i="126"/>
  <c r="AI917" i="126"/>
  <c r="F917" i="126"/>
  <c r="I863" i="126"/>
  <c r="AM863" i="126"/>
  <c r="AI1115" i="126"/>
  <c r="F1115" i="126"/>
  <c r="AI328" i="126"/>
  <c r="F328" i="126"/>
  <c r="I344" i="126"/>
  <c r="AI320" i="126"/>
  <c r="F320" i="126"/>
  <c r="F305" i="126"/>
  <c r="AI305" i="126"/>
  <c r="AM162" i="126"/>
  <c r="I162" i="126"/>
  <c r="AJ162" i="126" s="1"/>
  <c r="AI172" i="126"/>
  <c r="F172" i="126"/>
  <c r="AI168" i="126"/>
  <c r="F168" i="126"/>
  <c r="AJ21" i="126"/>
  <c r="H21" i="126"/>
  <c r="AM1051" i="126"/>
  <c r="P1081" i="126"/>
  <c r="AM1081" i="126" s="1"/>
  <c r="I1045" i="126"/>
  <c r="AJ1045" i="126" s="1"/>
  <c r="H1030" i="126"/>
  <c r="AJ998" i="126"/>
  <c r="AI915" i="126"/>
  <c r="W765" i="126"/>
  <c r="O623" i="126"/>
  <c r="AM813" i="126"/>
  <c r="AK792" i="126"/>
  <c r="AJ753" i="126"/>
  <c r="I711" i="126"/>
  <c r="L726" i="126"/>
  <c r="AI642" i="126"/>
  <c r="E619" i="126"/>
  <c r="AM584" i="126"/>
  <c r="G664" i="126"/>
  <c r="I596" i="126"/>
  <c r="H596" i="126" s="1"/>
  <c r="AI535" i="126"/>
  <c r="I579" i="126"/>
  <c r="AJ579" i="126" s="1"/>
  <c r="T539" i="126"/>
  <c r="AN539" i="126" s="1"/>
  <c r="AK531" i="126"/>
  <c r="AI331" i="126"/>
  <c r="H395" i="126"/>
  <c r="F395" i="126" s="1"/>
  <c r="I284" i="126"/>
  <c r="AJ284" i="126" s="1"/>
  <c r="AI394" i="126"/>
  <c r="AM255" i="126"/>
  <c r="P197" i="126"/>
  <c r="AM197" i="126" s="1"/>
  <c r="AK141" i="126"/>
  <c r="I186" i="126"/>
  <c r="I191" i="126"/>
  <c r="H191" i="126" s="1"/>
  <c r="AH315" i="126"/>
  <c r="H269" i="126"/>
  <c r="AK234" i="126"/>
  <c r="F151" i="126"/>
  <c r="AH151" i="126" s="1"/>
  <c r="I19" i="126"/>
  <c r="AJ19" i="126" s="1"/>
  <c r="AB177" i="126"/>
  <c r="I131" i="126"/>
  <c r="H131" i="126" s="1"/>
  <c r="AO82" i="126"/>
  <c r="W62" i="126"/>
  <c r="AO62" i="126" s="1"/>
  <c r="I179" i="126"/>
  <c r="I178" i="126" s="1"/>
  <c r="AK91" i="126"/>
  <c r="AI59" i="126"/>
  <c r="Z28" i="126"/>
  <c r="Z27" i="126" s="1"/>
  <c r="I42" i="126"/>
  <c r="W29" i="126"/>
  <c r="AK103" i="126"/>
  <c r="AM1037" i="126"/>
  <c r="I1037" i="126"/>
  <c r="AM992" i="126"/>
  <c r="I992" i="126"/>
  <c r="AM1008" i="126"/>
  <c r="I1008" i="126"/>
  <c r="AM956" i="126"/>
  <c r="I956" i="126"/>
  <c r="AJ956" i="126" s="1"/>
  <c r="AM1003" i="126"/>
  <c r="I1003" i="126"/>
  <c r="AM948" i="126"/>
  <c r="I948" i="126"/>
  <c r="AJ688" i="126"/>
  <c r="H688" i="126"/>
  <c r="AM716" i="126"/>
  <c r="I716" i="126"/>
  <c r="AM761" i="126"/>
  <c r="I761" i="126"/>
  <c r="AJ665" i="126"/>
  <c r="W452" i="126"/>
  <c r="AO452" i="126" s="1"/>
  <c r="AN680" i="126"/>
  <c r="AM349" i="126"/>
  <c r="I349" i="126"/>
  <c r="AM203" i="126"/>
  <c r="I203" i="126"/>
  <c r="AJ203" i="126" s="1"/>
  <c r="AM185" i="126"/>
  <c r="I185" i="126"/>
  <c r="AJ185" i="126" s="1"/>
  <c r="AK708" i="126"/>
  <c r="J705" i="126"/>
  <c r="AK705" i="126" s="1"/>
  <c r="P238" i="126"/>
  <c r="AM238" i="126" s="1"/>
  <c r="I239" i="126"/>
  <c r="T183" i="126"/>
  <c r="T177" i="126" s="1"/>
  <c r="AN197" i="126"/>
  <c r="H190" i="126"/>
  <c r="AJ190" i="126"/>
  <c r="AN153" i="126"/>
  <c r="AM980" i="126"/>
  <c r="I980" i="126"/>
  <c r="AM999" i="126"/>
  <c r="I999" i="126"/>
  <c r="AI646" i="126"/>
  <c r="F646" i="126"/>
  <c r="AI908" i="126"/>
  <c r="F908" i="126"/>
  <c r="AJ735" i="126"/>
  <c r="H735" i="126"/>
  <c r="AM275" i="126"/>
  <c r="I275" i="126"/>
  <c r="AI175" i="126"/>
  <c r="F175" i="126"/>
  <c r="H526" i="126"/>
  <c r="AJ526" i="126"/>
  <c r="AM934" i="126"/>
  <c r="I934" i="126"/>
  <c r="H1085" i="126"/>
  <c r="AI1085" i="126" s="1"/>
  <c r="T1014" i="126"/>
  <c r="AN1014" i="126" s="1"/>
  <c r="N919" i="126"/>
  <c r="W632" i="126"/>
  <c r="N442" i="126"/>
  <c r="E307" i="126"/>
  <c r="AG307" i="126" s="1"/>
  <c r="AL176" i="126"/>
  <c r="AK97" i="126"/>
  <c r="I525" i="126"/>
  <c r="AJ525" i="126" s="1"/>
  <c r="F910" i="126"/>
  <c r="AI910" i="126"/>
  <c r="AM963" i="126"/>
  <c r="I963" i="126"/>
  <c r="AI380" i="126"/>
  <c r="F380" i="126"/>
  <c r="AI324" i="126"/>
  <c r="F324" i="126"/>
  <c r="E1094" i="126"/>
  <c r="AP1094" i="126" s="1"/>
  <c r="I975" i="126"/>
  <c r="H975" i="126" s="1"/>
  <c r="I972" i="126"/>
  <c r="H972" i="126" s="1"/>
  <c r="I815" i="126"/>
  <c r="AM896" i="126"/>
  <c r="AK739" i="126"/>
  <c r="H703" i="126"/>
  <c r="AI703" i="126" s="1"/>
  <c r="AI637" i="126"/>
  <c r="F618" i="126"/>
  <c r="AH618" i="126" s="1"/>
  <c r="AO600" i="126"/>
  <c r="AH561" i="126"/>
  <c r="AK433" i="126"/>
  <c r="AN373" i="126"/>
  <c r="I348" i="126"/>
  <c r="H348" i="126" s="1"/>
  <c r="AA177" i="126"/>
  <c r="AA176" i="126" s="1"/>
  <c r="D26" i="126"/>
  <c r="D25" i="126" s="1"/>
  <c r="D16" i="126" s="1"/>
  <c r="D15" i="126" s="1"/>
  <c r="AK98" i="126"/>
  <c r="N87" i="126"/>
  <c r="N86" i="126" s="1"/>
  <c r="T581" i="126"/>
  <c r="AN581" i="126" s="1"/>
  <c r="H255" i="126"/>
  <c r="AH255" i="126" s="1"/>
  <c r="H193" i="126"/>
  <c r="F193" i="126" s="1"/>
  <c r="I43" i="126"/>
  <c r="H43" i="126" s="1"/>
  <c r="G94" i="125"/>
  <c r="T152" i="126"/>
  <c r="I44" i="126"/>
  <c r="H44" i="126" s="1"/>
  <c r="I67" i="126"/>
  <c r="H991" i="126"/>
  <c r="AJ991" i="126"/>
  <c r="AM950" i="126"/>
  <c r="I950" i="126"/>
  <c r="AM1084" i="126"/>
  <c r="I1084" i="126"/>
  <c r="G83" i="125"/>
  <c r="H83" i="125"/>
  <c r="E918" i="126"/>
  <c r="AH918" i="126"/>
  <c r="AI883" i="126"/>
  <c r="F883" i="126"/>
  <c r="AI1114" i="126"/>
  <c r="F1114" i="126"/>
  <c r="AO443" i="126"/>
  <c r="AI691" i="126"/>
  <c r="F691" i="126"/>
  <c r="AI397" i="126"/>
  <c r="F397" i="126"/>
  <c r="AI372" i="126"/>
  <c r="F372" i="126"/>
  <c r="AJ274" i="126"/>
  <c r="H274" i="126"/>
  <c r="W102" i="126"/>
  <c r="AO102" i="126" s="1"/>
  <c r="AD28" i="126"/>
  <c r="AD27" i="126" s="1"/>
  <c r="AD26" i="126" s="1"/>
  <c r="W1079" i="126"/>
  <c r="AO1079" i="126" s="1"/>
  <c r="AM347" i="126"/>
  <c r="I347" i="126"/>
  <c r="AO251" i="126"/>
  <c r="W250" i="126"/>
  <c r="AJ277" i="126"/>
  <c r="H277" i="126"/>
  <c r="AI170" i="126"/>
  <c r="F170" i="126"/>
  <c r="I188" i="126"/>
  <c r="AJ188" i="126" s="1"/>
  <c r="AM188" i="126"/>
  <c r="F632" i="126"/>
  <c r="S353" i="126"/>
  <c r="P354" i="126"/>
  <c r="S282" i="126"/>
  <c r="P283" i="126"/>
  <c r="AP265" i="126"/>
  <c r="P265" i="126"/>
  <c r="AL128" i="126"/>
  <c r="M127" i="126"/>
  <c r="AL127" i="126" s="1"/>
  <c r="P583" i="126"/>
  <c r="S582" i="126"/>
  <c r="AP264" i="126"/>
  <c r="P264" i="126"/>
  <c r="P1041" i="126"/>
  <c r="I1041" i="126" s="1"/>
  <c r="S1040" i="126"/>
  <c r="P970" i="126"/>
  <c r="AM970" i="126" s="1"/>
  <c r="S968" i="126"/>
  <c r="P595" i="126"/>
  <c r="S594" i="126"/>
  <c r="P502" i="126"/>
  <c r="S501" i="126"/>
  <c r="P578" i="126"/>
  <c r="S577" i="126"/>
  <c r="P508" i="126"/>
  <c r="S507" i="126"/>
  <c r="P449" i="126"/>
  <c r="AM449" i="126" s="1"/>
  <c r="AP263" i="126"/>
  <c r="P263" i="126"/>
  <c r="P50" i="126"/>
  <c r="S49" i="126"/>
  <c r="S48" i="126" s="1"/>
  <c r="AK231" i="126"/>
  <c r="P141" i="126"/>
  <c r="AM141" i="126" s="1"/>
  <c r="S140" i="126"/>
  <c r="S841" i="126"/>
  <c r="P842" i="126"/>
  <c r="S511" i="126"/>
  <c r="P512" i="126"/>
  <c r="P450" i="126"/>
  <c r="AP266" i="126"/>
  <c r="P266" i="126"/>
  <c r="D1123" i="126"/>
  <c r="D2" i="126"/>
  <c r="AE1099" i="126"/>
  <c r="AP1099" i="126"/>
  <c r="AG1099" i="126"/>
  <c r="AP1113" i="126"/>
  <c r="AG1113" i="126"/>
  <c r="AE1113" i="126"/>
  <c r="F1104" i="126"/>
  <c r="AI1104" i="126"/>
  <c r="H1043" i="126"/>
  <c r="AJ1043" i="126"/>
  <c r="AM1006" i="126"/>
  <c r="I1006" i="126"/>
  <c r="AK1040" i="126"/>
  <c r="J1039" i="126"/>
  <c r="AI998" i="126"/>
  <c r="F998" i="126"/>
  <c r="P981" i="126"/>
  <c r="AN981" i="126"/>
  <c r="T979" i="126"/>
  <c r="AN979" i="126" s="1"/>
  <c r="AI962" i="126"/>
  <c r="F962" i="126"/>
  <c r="F895" i="126"/>
  <c r="AI895" i="126"/>
  <c r="H928" i="126"/>
  <c r="AJ928" i="126"/>
  <c r="AI889" i="126"/>
  <c r="F889" i="126"/>
  <c r="AL896" i="126"/>
  <c r="AJ896" i="126"/>
  <c r="AO888" i="126"/>
  <c r="H888" i="126"/>
  <c r="AA869" i="126"/>
  <c r="AO871" i="126"/>
  <c r="W870" i="126"/>
  <c r="H871" i="126"/>
  <c r="I856" i="126"/>
  <c r="P855" i="126"/>
  <c r="AM855" i="126" s="1"/>
  <c r="AM856" i="126"/>
  <c r="AJ772" i="126"/>
  <c r="H772" i="126"/>
  <c r="G789" i="126"/>
  <c r="E789" i="126"/>
  <c r="AH789" i="126"/>
  <c r="AL802" i="126"/>
  <c r="M801" i="126"/>
  <c r="AM799" i="126"/>
  <c r="I799" i="126"/>
  <c r="G787" i="126"/>
  <c r="E787" i="126"/>
  <c r="AH787" i="126"/>
  <c r="H757" i="126"/>
  <c r="AJ757" i="126"/>
  <c r="AI753" i="126"/>
  <c r="F753" i="126"/>
  <c r="I743" i="126"/>
  <c r="AM743" i="126"/>
  <c r="I728" i="126"/>
  <c r="AM728" i="126"/>
  <c r="AK693" i="126"/>
  <c r="J692" i="126"/>
  <c r="AK692" i="126" s="1"/>
  <c r="I683" i="126"/>
  <c r="AM683" i="126"/>
  <c r="I700" i="126"/>
  <c r="AM700" i="126"/>
  <c r="P699" i="126"/>
  <c r="AM699" i="126" s="1"/>
  <c r="F649" i="126"/>
  <c r="AI649" i="126"/>
  <c r="I622" i="126"/>
  <c r="AM622" i="126"/>
  <c r="AM612" i="126"/>
  <c r="I612" i="126"/>
  <c r="AI568" i="126"/>
  <c r="F568" i="126"/>
  <c r="AG648" i="126"/>
  <c r="AP648" i="126"/>
  <c r="AM447" i="126"/>
  <c r="I447" i="126"/>
  <c r="AJ677" i="126"/>
  <c r="H677" i="126"/>
  <c r="P541" i="126"/>
  <c r="S540" i="126"/>
  <c r="AK507" i="126"/>
  <c r="J506" i="126"/>
  <c r="AK506" i="126" s="1"/>
  <c r="AM484" i="126"/>
  <c r="I484" i="126"/>
  <c r="AG664" i="126"/>
  <c r="AP664" i="126"/>
  <c r="AG637" i="126"/>
  <c r="AP637" i="126"/>
  <c r="AJ626" i="126"/>
  <c r="H626" i="126"/>
  <c r="AM613" i="126"/>
  <c r="I613" i="126"/>
  <c r="M506" i="126"/>
  <c r="AL506" i="126" s="1"/>
  <c r="AL507" i="126"/>
  <c r="I479" i="126"/>
  <c r="AM479" i="126"/>
  <c r="M581" i="126"/>
  <c r="AL581" i="126" s="1"/>
  <c r="AL582" i="126"/>
  <c r="S443" i="126"/>
  <c r="AM290" i="126"/>
  <c r="I290" i="126"/>
  <c r="AP567" i="126"/>
  <c r="AG567" i="126"/>
  <c r="AM360" i="126"/>
  <c r="I360" i="126"/>
  <c r="H379" i="126"/>
  <c r="H377" i="126" s="1"/>
  <c r="AO379" i="126"/>
  <c r="AI306" i="126"/>
  <c r="F306" i="126"/>
  <c r="AJ276" i="126"/>
  <c r="H276" i="126"/>
  <c r="H438" i="126"/>
  <c r="AJ438" i="126"/>
  <c r="AJ439" i="126"/>
  <c r="H439" i="126"/>
  <c r="L48" i="125"/>
  <c r="AL289" i="126"/>
  <c r="I289" i="126"/>
  <c r="AI267" i="126"/>
  <c r="F267" i="126"/>
  <c r="AC430" i="126"/>
  <c r="G221" i="126"/>
  <c r="W187" i="126"/>
  <c r="Z189" i="126"/>
  <c r="AI148" i="126"/>
  <c r="F148" i="126"/>
  <c r="AE192" i="126"/>
  <c r="AP192" i="126"/>
  <c r="AG192" i="126"/>
  <c r="H174" i="126"/>
  <c r="AO174" i="126"/>
  <c r="AM211" i="126"/>
  <c r="I211" i="126"/>
  <c r="P210" i="126"/>
  <c r="AM210" i="126" s="1"/>
  <c r="AJ142" i="126"/>
  <c r="G83" i="126"/>
  <c r="AH83" i="126"/>
  <c r="E83" i="126"/>
  <c r="AH74" i="126"/>
  <c r="G74" i="126"/>
  <c r="F73" i="126"/>
  <c r="E74" i="126"/>
  <c r="W60" i="126"/>
  <c r="AC48" i="126"/>
  <c r="M363" i="126"/>
  <c r="AL363" i="126" s="1"/>
  <c r="AL364" i="126"/>
  <c r="J139" i="126"/>
  <c r="AK139" i="126" s="1"/>
  <c r="AK140" i="126"/>
  <c r="I346" i="126"/>
  <c r="AM346" i="126"/>
  <c r="AI269" i="126"/>
  <c r="F269" i="126"/>
  <c r="AI246" i="126"/>
  <c r="F246" i="126"/>
  <c r="H200" i="126"/>
  <c r="AJ200" i="126"/>
  <c r="AH560" i="126"/>
  <c r="G560" i="126"/>
  <c r="E560" i="126"/>
  <c r="AM546" i="126"/>
  <c r="I546" i="126"/>
  <c r="AL521" i="126"/>
  <c r="M520" i="126"/>
  <c r="AL520" i="126" s="1"/>
  <c r="G1110" i="126"/>
  <c r="E1110" i="126"/>
  <c r="AH1110" i="126"/>
  <c r="E1126" i="126"/>
  <c r="AH1126" i="126"/>
  <c r="G1126" i="126"/>
  <c r="AO1112" i="126"/>
  <c r="H1112" i="126"/>
  <c r="AE1122" i="126"/>
  <c r="AP1122" i="126"/>
  <c r="AG1122" i="126"/>
  <c r="AI1074" i="126"/>
  <c r="F1074" i="126"/>
  <c r="AM1057" i="126"/>
  <c r="AJ1070" i="126"/>
  <c r="AI1028" i="126"/>
  <c r="F1028" i="126"/>
  <c r="AJ975" i="126"/>
  <c r="AM990" i="126"/>
  <c r="I990" i="126"/>
  <c r="AJ977" i="126"/>
  <c r="H977" i="126"/>
  <c r="AH954" i="126"/>
  <c r="E954" i="126"/>
  <c r="G954" i="126"/>
  <c r="I960" i="126"/>
  <c r="AM960" i="126"/>
  <c r="F909" i="126"/>
  <c r="AI909" i="126"/>
  <c r="AP892" i="126"/>
  <c r="AG892" i="126"/>
  <c r="F933" i="126"/>
  <c r="AI933" i="126"/>
  <c r="AI911" i="126"/>
  <c r="F911" i="126"/>
  <c r="AI893" i="126"/>
  <c r="F893" i="126"/>
  <c r="AM844" i="126"/>
  <c r="I844" i="126"/>
  <c r="AJ829" i="126"/>
  <c r="H829" i="126"/>
  <c r="AN868" i="126"/>
  <c r="T867" i="126"/>
  <c r="AN867" i="126" s="1"/>
  <c r="I845" i="126"/>
  <c r="AM845" i="126"/>
  <c r="AO949" i="126"/>
  <c r="AP901" i="126"/>
  <c r="AG901" i="126"/>
  <c r="J800" i="126"/>
  <c r="AK800" i="126" s="1"/>
  <c r="AK801" i="126"/>
  <c r="AM827" i="126"/>
  <c r="I827" i="126"/>
  <c r="P826" i="126"/>
  <c r="AM826" i="126" s="1"/>
  <c r="AJ813" i="126"/>
  <c r="H813" i="126"/>
  <c r="AI795" i="126"/>
  <c r="F795" i="126"/>
  <c r="P808" i="126"/>
  <c r="AN808" i="126"/>
  <c r="AA896" i="126"/>
  <c r="AK738" i="126"/>
  <c r="J737" i="126"/>
  <c r="AM742" i="126"/>
  <c r="I742" i="126"/>
  <c r="AJ714" i="126"/>
  <c r="H714" i="126"/>
  <c r="H747" i="126"/>
  <c r="AJ747" i="126"/>
  <c r="AC726" i="126"/>
  <c r="AI651" i="126"/>
  <c r="F651" i="126"/>
  <c r="AK718" i="126"/>
  <c r="AN624" i="126"/>
  <c r="I611" i="126"/>
  <c r="AM611" i="126"/>
  <c r="E636" i="126"/>
  <c r="AH636" i="126"/>
  <c r="G636" i="126"/>
  <c r="AO581" i="126"/>
  <c r="AN461" i="126"/>
  <c r="P461" i="126"/>
  <c r="F556" i="126"/>
  <c r="AI556" i="126"/>
  <c r="P521" i="126"/>
  <c r="AM522" i="126"/>
  <c r="AA491" i="126"/>
  <c r="AM473" i="126"/>
  <c r="I473" i="126"/>
  <c r="AH662" i="126"/>
  <c r="G662" i="126"/>
  <c r="E662" i="126"/>
  <c r="AG642" i="126"/>
  <c r="AP642" i="126"/>
  <c r="AL624" i="126"/>
  <c r="W593" i="126"/>
  <c r="AL492" i="126"/>
  <c r="M491" i="126"/>
  <c r="AL491" i="126" s="1"/>
  <c r="I469" i="126"/>
  <c r="P468" i="126"/>
  <c r="AM468" i="126" s="1"/>
  <c r="AM469" i="126"/>
  <c r="AI475" i="126"/>
  <c r="F475" i="126"/>
  <c r="P365" i="126"/>
  <c r="S364" i="126"/>
  <c r="AP569" i="126"/>
  <c r="AG569" i="126"/>
  <c r="AJ465" i="126"/>
  <c r="H465" i="126"/>
  <c r="AO410" i="126"/>
  <c r="H410" i="126"/>
  <c r="F398" i="126"/>
  <c r="AI398" i="126"/>
  <c r="E384" i="126"/>
  <c r="AH384" i="126"/>
  <c r="G384" i="126"/>
  <c r="AJ345" i="126"/>
  <c r="H345" i="126"/>
  <c r="AP302" i="126"/>
  <c r="AG302" i="126"/>
  <c r="AO287" i="126"/>
  <c r="AL258" i="126"/>
  <c r="M256" i="126"/>
  <c r="AH208" i="126"/>
  <c r="E208" i="126"/>
  <c r="G208" i="126"/>
  <c r="AI421" i="126"/>
  <c r="F421" i="126"/>
  <c r="I419" i="126"/>
  <c r="AJ351" i="126"/>
  <c r="H351" i="126"/>
  <c r="AI322" i="126"/>
  <c r="F322" i="126"/>
  <c r="AI314" i="126"/>
  <c r="F314" i="126"/>
  <c r="AN282" i="126"/>
  <c r="H268" i="126"/>
  <c r="AL259" i="126"/>
  <c r="P233" i="126"/>
  <c r="S232" i="126"/>
  <c r="AJ156" i="126"/>
  <c r="H156" i="126"/>
  <c r="I155" i="126"/>
  <c r="P130" i="126"/>
  <c r="AM130" i="126" s="1"/>
  <c r="I449" i="126"/>
  <c r="AL449" i="126"/>
  <c r="AJ426" i="126"/>
  <c r="H426" i="126"/>
  <c r="AK417" i="126"/>
  <c r="E394" i="126"/>
  <c r="AH394" i="126"/>
  <c r="G394" i="126"/>
  <c r="AO368" i="126"/>
  <c r="P367" i="126"/>
  <c r="AM367" i="126" s="1"/>
  <c r="AJ350" i="126"/>
  <c r="H350" i="126"/>
  <c r="AI337" i="126"/>
  <c r="F337" i="126"/>
  <c r="AP325" i="126"/>
  <c r="AG325" i="126"/>
  <c r="G293" i="126"/>
  <c r="E293" i="126"/>
  <c r="AH293" i="126"/>
  <c r="AO353" i="126"/>
  <c r="F343" i="126"/>
  <c r="AI343" i="126"/>
  <c r="AO304" i="126"/>
  <c r="H304" i="126"/>
  <c r="L42" i="125"/>
  <c r="AL234" i="126"/>
  <c r="I234" i="126"/>
  <c r="M232" i="126"/>
  <c r="AK232" i="126"/>
  <c r="Z184" i="126"/>
  <c r="F173" i="126"/>
  <c r="AI173" i="126"/>
  <c r="AI169" i="126"/>
  <c r="F169" i="126"/>
  <c r="W142" i="126"/>
  <c r="E145" i="126"/>
  <c r="AH145" i="126"/>
  <c r="G145" i="126"/>
  <c r="AG133" i="126"/>
  <c r="AP133" i="126"/>
  <c r="AN110" i="126"/>
  <c r="T109" i="126"/>
  <c r="H240" i="126"/>
  <c r="AJ240" i="126"/>
  <c r="AJ31" i="126"/>
  <c r="H31" i="126"/>
  <c r="AO406" i="126"/>
  <c r="H406" i="126"/>
  <c r="AO340" i="126"/>
  <c r="AI310" i="126"/>
  <c r="F310" i="126"/>
  <c r="AP227" i="126"/>
  <c r="AG227" i="126"/>
  <c r="AO223" i="126"/>
  <c r="H223" i="126"/>
  <c r="AI216" i="126"/>
  <c r="F216" i="126"/>
  <c r="AA108" i="126"/>
  <c r="J88" i="126"/>
  <c r="AK89" i="126"/>
  <c r="AM71" i="126"/>
  <c r="I71" i="126"/>
  <c r="AO49" i="126"/>
  <c r="W48" i="126"/>
  <c r="H247" i="126"/>
  <c r="AO247" i="126"/>
  <c r="AC182" i="126"/>
  <c r="W377" i="126"/>
  <c r="AO377" i="126" s="1"/>
  <c r="I254" i="126"/>
  <c r="AM254" i="126"/>
  <c r="K182" i="126"/>
  <c r="AK182" i="126" s="1"/>
  <c r="K177" i="126"/>
  <c r="K176" i="126" s="1"/>
  <c r="AN178" i="126"/>
  <c r="E149" i="126"/>
  <c r="AH149" i="126"/>
  <c r="G149" i="126"/>
  <c r="AH135" i="126"/>
  <c r="G135" i="126"/>
  <c r="E135" i="126"/>
  <c r="H106" i="126"/>
  <c r="I105" i="126"/>
  <c r="AJ106" i="126"/>
  <c r="AC86" i="126"/>
  <c r="AJ43" i="126"/>
  <c r="L30" i="126"/>
  <c r="E574" i="126"/>
  <c r="AH574" i="126"/>
  <c r="G574" i="126"/>
  <c r="W531" i="126"/>
  <c r="AO531" i="126" s="1"/>
  <c r="AO532" i="126"/>
  <c r="AI527" i="126"/>
  <c r="F527" i="126"/>
  <c r="AN518" i="126"/>
  <c r="P518" i="126"/>
  <c r="AJ472" i="126"/>
  <c r="H472" i="126"/>
  <c r="E312" i="126"/>
  <c r="G312" i="126"/>
  <c r="AH312" i="126"/>
  <c r="AP262" i="126"/>
  <c r="P262" i="126"/>
  <c r="AP258" i="126"/>
  <c r="P258" i="126"/>
  <c r="I258" i="126" s="1"/>
  <c r="I166" i="126"/>
  <c r="AM166" i="126"/>
  <c r="AJ113" i="126"/>
  <c r="H113" i="126"/>
  <c r="I66" i="126"/>
  <c r="AH56" i="126"/>
  <c r="G56" i="126"/>
  <c r="E56" i="126"/>
  <c r="AJ24" i="126"/>
  <c r="H24" i="126"/>
  <c r="L256" i="126"/>
  <c r="L250" i="126" s="1"/>
  <c r="L248" i="126" s="1"/>
  <c r="L241" i="126" s="1"/>
  <c r="L230" i="126" s="1"/>
  <c r="L229" i="126" s="1"/>
  <c r="M119" i="126"/>
  <c r="AL120" i="126"/>
  <c r="W108" i="126"/>
  <c r="AO109" i="126"/>
  <c r="I77" i="126"/>
  <c r="AJ77" i="126" s="1"/>
  <c r="AJ78" i="126"/>
  <c r="H78" i="126"/>
  <c r="AK32" i="126"/>
  <c r="E22" i="126"/>
  <c r="H114" i="126"/>
  <c r="AJ114" i="126"/>
  <c r="AM39" i="126"/>
  <c r="P38" i="126"/>
  <c r="AM38" i="126" s="1"/>
  <c r="M29" i="126"/>
  <c r="AM106" i="126"/>
  <c r="P105" i="126"/>
  <c r="AM105" i="126" s="1"/>
  <c r="I69" i="126"/>
  <c r="AI52" i="126"/>
  <c r="F52" i="126"/>
  <c r="S30" i="126"/>
  <c r="E137" i="126"/>
  <c r="AH137" i="126"/>
  <c r="G137" i="126"/>
  <c r="H67" i="126"/>
  <c r="AJ67" i="126"/>
  <c r="E1127" i="126"/>
  <c r="AH1127" i="126"/>
  <c r="G1127" i="126"/>
  <c r="G1116" i="126"/>
  <c r="E1116" i="126"/>
  <c r="AH1116" i="126"/>
  <c r="I86" i="125"/>
  <c r="AM1075" i="126"/>
  <c r="I1075" i="126"/>
  <c r="AN1046" i="126"/>
  <c r="P1046" i="126"/>
  <c r="T1042" i="126"/>
  <c r="F1027" i="126"/>
  <c r="AI1027" i="126"/>
  <c r="P1019" i="126"/>
  <c r="AN1019" i="126"/>
  <c r="P1009" i="126"/>
  <c r="AN1009" i="126"/>
  <c r="F966" i="126"/>
  <c r="AI966" i="126"/>
  <c r="H965" i="126"/>
  <c r="AJ965" i="126"/>
  <c r="AH938" i="126"/>
  <c r="G938" i="126"/>
  <c r="E938" i="126"/>
  <c r="AP886" i="126"/>
  <c r="AG886" i="126"/>
  <c r="AM846" i="126"/>
  <c r="I846" i="126"/>
  <c r="N840" i="126"/>
  <c r="AL840" i="126" s="1"/>
  <c r="AL841" i="126"/>
  <c r="AJ831" i="126"/>
  <c r="H831" i="126"/>
  <c r="AM814" i="126"/>
  <c r="I814" i="126"/>
  <c r="AO907" i="126"/>
  <c r="H907" i="126"/>
  <c r="I876" i="126"/>
  <c r="AM876" i="126"/>
  <c r="P869" i="126"/>
  <c r="I860" i="126"/>
  <c r="AM860" i="126"/>
  <c r="AJ830" i="126"/>
  <c r="H830" i="126"/>
  <c r="I834" i="126"/>
  <c r="AM834" i="126"/>
  <c r="AM819" i="126"/>
  <c r="I819" i="126"/>
  <c r="P817" i="126"/>
  <c r="AM817" i="126" s="1"/>
  <c r="AP906" i="126"/>
  <c r="AG906" i="126"/>
  <c r="H859" i="126"/>
  <c r="AJ859" i="126"/>
  <c r="L779" i="126"/>
  <c r="AK779" i="126" s="1"/>
  <c r="AK780" i="126"/>
  <c r="P767" i="126"/>
  <c r="S766" i="126"/>
  <c r="S765" i="126" s="1"/>
  <c r="S764" i="126" s="1"/>
  <c r="S763" i="126" s="1"/>
  <c r="AM777" i="126"/>
  <c r="I777" i="126"/>
  <c r="AJ751" i="126"/>
  <c r="I807" i="126"/>
  <c r="AM807" i="126"/>
  <c r="I796" i="126"/>
  <c r="AM796" i="126"/>
  <c r="H771" i="126"/>
  <c r="AJ771" i="126"/>
  <c r="AL756" i="126"/>
  <c r="AO747" i="126"/>
  <c r="W740" i="126"/>
  <c r="AN733" i="126"/>
  <c r="P733" i="126"/>
  <c r="AL718" i="126"/>
  <c r="M717" i="126"/>
  <c r="AL717" i="126" s="1"/>
  <c r="AJ748" i="126"/>
  <c r="H748" i="126"/>
  <c r="H734" i="126"/>
  <c r="AJ734" i="126"/>
  <c r="W673" i="126"/>
  <c r="AA665" i="126"/>
  <c r="AJ710" i="126"/>
  <c r="H710" i="126"/>
  <c r="I678" i="126"/>
  <c r="AM678" i="126"/>
  <c r="F657" i="126"/>
  <c r="AI657" i="126"/>
  <c r="F640" i="126"/>
  <c r="AI640" i="126"/>
  <c r="F701" i="126"/>
  <c r="AI701" i="126"/>
  <c r="AI603" i="126"/>
  <c r="T500" i="126"/>
  <c r="AN503" i="126"/>
  <c r="AH658" i="126"/>
  <c r="G658" i="126"/>
  <c r="E658" i="126"/>
  <c r="AK631" i="126"/>
  <c r="AI538" i="126"/>
  <c r="F538" i="126"/>
  <c r="I533" i="126"/>
  <c r="AL533" i="126"/>
  <c r="M532" i="126"/>
  <c r="P462" i="126"/>
  <c r="AN462" i="126"/>
  <c r="M692" i="126"/>
  <c r="AL692" i="126" s="1"/>
  <c r="AL693" i="126"/>
  <c r="P587" i="126"/>
  <c r="AM587" i="126" s="1"/>
  <c r="AM588" i="126"/>
  <c r="I588" i="126"/>
  <c r="AO571" i="126"/>
  <c r="H571" i="126"/>
  <c r="AM509" i="126"/>
  <c r="I509" i="126"/>
  <c r="AM476" i="126"/>
  <c r="I476" i="126"/>
  <c r="AH687" i="126"/>
  <c r="E687" i="126"/>
  <c r="G687" i="126"/>
  <c r="AK510" i="126"/>
  <c r="AM470" i="126"/>
  <c r="I470" i="126"/>
  <c r="AJ550" i="126"/>
  <c r="H550" i="126"/>
  <c r="AL540" i="126"/>
  <c r="M539" i="126"/>
  <c r="AL539" i="126" s="1"/>
  <c r="AM532" i="126"/>
  <c r="AI495" i="126"/>
  <c r="F495" i="126"/>
  <c r="AM466" i="126"/>
  <c r="I466" i="126"/>
  <c r="V452" i="126"/>
  <c r="P425" i="126"/>
  <c r="AN425" i="126"/>
  <c r="AM366" i="126"/>
  <c r="I366" i="126"/>
  <c r="AC499" i="126"/>
  <c r="AM456" i="126"/>
  <c r="I456" i="126"/>
  <c r="F385" i="126"/>
  <c r="AI385" i="126"/>
  <c r="F308" i="126"/>
  <c r="AI308" i="126"/>
  <c r="I451" i="126"/>
  <c r="S431" i="126"/>
  <c r="S430" i="126" s="1"/>
  <c r="F413" i="126"/>
  <c r="AI413" i="126"/>
  <c r="F411" i="126"/>
  <c r="AI411" i="126"/>
  <c r="AI396" i="126"/>
  <c r="F396" i="126"/>
  <c r="AI371" i="126"/>
  <c r="F371" i="126"/>
  <c r="AP338" i="126"/>
  <c r="AG338" i="126"/>
  <c r="AH218" i="126"/>
  <c r="E218" i="126"/>
  <c r="G218" i="126"/>
  <c r="AH388" i="126"/>
  <c r="G388" i="126"/>
  <c r="E388" i="126"/>
  <c r="AA363" i="126"/>
  <c r="G332" i="126"/>
  <c r="AH332" i="126"/>
  <c r="E332" i="126"/>
  <c r="AI299" i="126"/>
  <c r="F299" i="126"/>
  <c r="P259" i="126"/>
  <c r="AM259" i="126" s="1"/>
  <c r="AP259" i="126"/>
  <c r="F209" i="126"/>
  <c r="AI209" i="126"/>
  <c r="N441" i="126"/>
  <c r="AI392" i="126"/>
  <c r="F392" i="126"/>
  <c r="AJ373" i="126"/>
  <c r="I367" i="126"/>
  <c r="AN367" i="126"/>
  <c r="T363" i="126"/>
  <c r="AN363" i="126" s="1"/>
  <c r="AN357" i="126"/>
  <c r="T356" i="126"/>
  <c r="AP321" i="126"/>
  <c r="AG321" i="126"/>
  <c r="I252" i="126"/>
  <c r="AM252" i="126"/>
  <c r="P251" i="126"/>
  <c r="F225" i="126"/>
  <c r="AH225" i="126" s="1"/>
  <c r="AH226" i="126"/>
  <c r="G226" i="126"/>
  <c r="G225" i="126" s="1"/>
  <c r="E226" i="126"/>
  <c r="AL154" i="126"/>
  <c r="M153" i="126"/>
  <c r="I436" i="126"/>
  <c r="AM436" i="126"/>
  <c r="AJ362" i="126"/>
  <c r="H362" i="126"/>
  <c r="AP300" i="126"/>
  <c r="AG300" i="126"/>
  <c r="I253" i="126"/>
  <c r="AM253" i="126"/>
  <c r="K230" i="126"/>
  <c r="K229" i="126" s="1"/>
  <c r="AM213" i="126"/>
  <c r="I213" i="126"/>
  <c r="F195" i="126"/>
  <c r="AI195" i="126"/>
  <c r="AJ186" i="126"/>
  <c r="H186" i="126"/>
  <c r="AJ504" i="126"/>
  <c r="H504" i="126"/>
  <c r="I503" i="126"/>
  <c r="AJ191" i="126"/>
  <c r="AP315" i="126"/>
  <c r="AG315" i="126"/>
  <c r="S256" i="126"/>
  <c r="AP256" i="126" s="1"/>
  <c r="AI206" i="126"/>
  <c r="F206" i="126"/>
  <c r="AJ180" i="126"/>
  <c r="H180" i="126"/>
  <c r="G164" i="126"/>
  <c r="AH164" i="126"/>
  <c r="E164" i="126"/>
  <c r="H144" i="126"/>
  <c r="AO144" i="126"/>
  <c r="AL130" i="126"/>
  <c r="P98" i="126"/>
  <c r="S97" i="126"/>
  <c r="P92" i="126"/>
  <c r="AM92" i="126" s="1"/>
  <c r="AM93" i="126"/>
  <c r="AL89" i="126"/>
  <c r="M88" i="126"/>
  <c r="F399" i="126"/>
  <c r="AI399" i="126"/>
  <c r="P89" i="126"/>
  <c r="AM90" i="126"/>
  <c r="F96" i="126"/>
  <c r="H95" i="126"/>
  <c r="AI95" i="126" s="1"/>
  <c r="AI96" i="126"/>
  <c r="AI76" i="126"/>
  <c r="F76" i="126"/>
  <c r="AP61" i="126"/>
  <c r="AG61" i="126"/>
  <c r="AH59" i="126"/>
  <c r="G59" i="126"/>
  <c r="E59" i="126"/>
  <c r="AJ37" i="126"/>
  <c r="H37" i="126"/>
  <c r="AJ33" i="126"/>
  <c r="H33" i="126"/>
  <c r="AM17" i="126"/>
  <c r="M5" i="125"/>
  <c r="M92" i="125"/>
  <c r="AL49" i="126"/>
  <c r="M48" i="126"/>
  <c r="F115" i="126"/>
  <c r="AI115" i="126"/>
  <c r="L63" i="126"/>
  <c r="E53" i="126"/>
  <c r="AH53" i="126"/>
  <c r="G53" i="126"/>
  <c r="AJ46" i="126"/>
  <c r="I45" i="126"/>
  <c r="AJ45" i="126" s="1"/>
  <c r="H46" i="126"/>
  <c r="AL103" i="126"/>
  <c r="M102" i="126"/>
  <c r="I90" i="126"/>
  <c r="F58" i="126"/>
  <c r="AI58" i="126"/>
  <c r="E1096" i="126"/>
  <c r="AG1096" i="126" s="1"/>
  <c r="L66" i="125"/>
  <c r="H1101" i="126"/>
  <c r="AJ1101" i="126"/>
  <c r="W1092" i="126"/>
  <c r="AO1092" i="126" s="1"/>
  <c r="AO1093" i="126"/>
  <c r="F1091" i="126"/>
  <c r="AI1091" i="126"/>
  <c r="AE1087" i="126"/>
  <c r="AP1087" i="126"/>
  <c r="AG1087" i="126"/>
  <c r="AM1077" i="126"/>
  <c r="I1077" i="126"/>
  <c r="H1065" i="126"/>
  <c r="AJ1065" i="126"/>
  <c r="H1045" i="126"/>
  <c r="M1040" i="126"/>
  <c r="AL1041" i="126"/>
  <c r="AJ1044" i="126"/>
  <c r="H1044" i="126"/>
  <c r="H1013" i="126"/>
  <c r="AJ1013" i="126"/>
  <c r="P959" i="126"/>
  <c r="S958" i="126"/>
  <c r="F986" i="126"/>
  <c r="AI986" i="126"/>
  <c r="AJ1024" i="126"/>
  <c r="H1024" i="126"/>
  <c r="H983" i="126"/>
  <c r="AJ983" i="126"/>
  <c r="F884" i="126"/>
  <c r="AI884" i="126"/>
  <c r="AP874" i="126"/>
  <c r="AG874" i="126"/>
  <c r="F944" i="126"/>
  <c r="AI944" i="126"/>
  <c r="AI927" i="126"/>
  <c r="F927" i="126"/>
  <c r="H921" i="126"/>
  <c r="AJ921" i="126"/>
  <c r="AM833" i="126"/>
  <c r="I833" i="126"/>
  <c r="AI916" i="126"/>
  <c r="F916" i="126"/>
  <c r="AM864" i="126"/>
  <c r="I864" i="126"/>
  <c r="AM854" i="126"/>
  <c r="I854" i="126"/>
  <c r="AK841" i="126"/>
  <c r="J840" i="126"/>
  <c r="AK840" i="126" s="1"/>
  <c r="AJ818" i="126"/>
  <c r="I817" i="126"/>
  <c r="H818" i="126"/>
  <c r="H861" i="126"/>
  <c r="AJ861" i="126"/>
  <c r="AJ982" i="126"/>
  <c r="H982" i="126"/>
  <c r="F903" i="126"/>
  <c r="AI903" i="126"/>
  <c r="T841" i="126"/>
  <c r="AM810" i="126"/>
  <c r="I810" i="126"/>
  <c r="W878" i="126"/>
  <c r="AO878" i="126" s="1"/>
  <c r="H852" i="126"/>
  <c r="AJ852" i="126"/>
  <c r="AM822" i="126"/>
  <c r="I822" i="126"/>
  <c r="AL793" i="126"/>
  <c r="I793" i="126"/>
  <c r="M792" i="126"/>
  <c r="AL792" i="126" s="1"/>
  <c r="P973" i="126"/>
  <c r="AN973" i="126"/>
  <c r="G788" i="126"/>
  <c r="E788" i="126"/>
  <c r="AH788" i="126"/>
  <c r="I837" i="126"/>
  <c r="AM837" i="126"/>
  <c r="I760" i="126"/>
  <c r="AM760" i="126"/>
  <c r="H850" i="126"/>
  <c r="AJ850" i="126"/>
  <c r="P809" i="126"/>
  <c r="AN809" i="126"/>
  <c r="AM797" i="126"/>
  <c r="I797" i="126"/>
  <c r="G786" i="126"/>
  <c r="E786" i="126"/>
  <c r="AH786" i="126"/>
  <c r="AO756" i="126"/>
  <c r="F776" i="126"/>
  <c r="AI776" i="126"/>
  <c r="I741" i="126"/>
  <c r="AM741" i="126"/>
  <c r="P740" i="126"/>
  <c r="AM740" i="126" s="1"/>
  <c r="M737" i="126"/>
  <c r="AL737" i="126" s="1"/>
  <c r="AL738" i="126"/>
  <c r="AH689" i="126"/>
  <c r="E689" i="126"/>
  <c r="AM629" i="126"/>
  <c r="I629" i="126"/>
  <c r="I621" i="126"/>
  <c r="AM621" i="126"/>
  <c r="I606" i="126"/>
  <c r="P605" i="126"/>
  <c r="AM605" i="126" s="1"/>
  <c r="AM606" i="126"/>
  <c r="G679" i="126"/>
  <c r="E679" i="126"/>
  <c r="AJ602" i="126"/>
  <c r="H602" i="126"/>
  <c r="AI566" i="126"/>
  <c r="F566" i="126"/>
  <c r="AM696" i="126"/>
  <c r="AK625" i="126"/>
  <c r="AI690" i="126"/>
  <c r="F690" i="126"/>
  <c r="AI672" i="126"/>
  <c r="AH672" i="126"/>
  <c r="AJ607" i="126"/>
  <c r="H607" i="126"/>
  <c r="AL594" i="126"/>
  <c r="M593" i="126"/>
  <c r="AM586" i="126"/>
  <c r="I586" i="126"/>
  <c r="F562" i="126"/>
  <c r="AI562" i="126"/>
  <c r="F654" i="126"/>
  <c r="AI654" i="126"/>
  <c r="M576" i="126"/>
  <c r="AL577" i="126"/>
  <c r="AI534" i="126"/>
  <c r="F534" i="126"/>
  <c r="AM467" i="126"/>
  <c r="I467" i="126"/>
  <c r="G552" i="126"/>
  <c r="AH552" i="126"/>
  <c r="E552" i="126"/>
  <c r="I548" i="126"/>
  <c r="W494" i="126"/>
  <c r="AM444" i="126"/>
  <c r="AO591" i="126"/>
  <c r="H591" i="126"/>
  <c r="AI488" i="126"/>
  <c r="F488" i="126"/>
  <c r="AO1125" i="126"/>
  <c r="H1125" i="126"/>
  <c r="G1124" i="126"/>
  <c r="E1124" i="126"/>
  <c r="AH1124" i="126"/>
  <c r="I93" i="125"/>
  <c r="AE1119" i="126"/>
  <c r="AP1119" i="126"/>
  <c r="AG1119" i="126"/>
  <c r="AJ1108" i="126"/>
  <c r="H1108" i="126"/>
  <c r="AG1094" i="126"/>
  <c r="AM1092" i="126"/>
  <c r="H1072" i="126"/>
  <c r="AJ1072" i="126"/>
  <c r="P1063" i="126"/>
  <c r="AM1063" i="126" s="1"/>
  <c r="H1062" i="126"/>
  <c r="AJ1062" i="126"/>
  <c r="AN1050" i="126"/>
  <c r="AI1097" i="126"/>
  <c r="F1097" i="126"/>
  <c r="H1093" i="126"/>
  <c r="H1073" i="126"/>
  <c r="H1082" i="126"/>
  <c r="I1081" i="126"/>
  <c r="AJ1082" i="126"/>
  <c r="F1059" i="126"/>
  <c r="AI1059" i="126"/>
  <c r="H1054" i="126"/>
  <c r="AJ1054" i="126"/>
  <c r="P1026" i="126"/>
  <c r="AN1026" i="126"/>
  <c r="AN1061" i="126"/>
  <c r="P1061" i="126"/>
  <c r="I1047" i="126"/>
  <c r="AM1047" i="126"/>
  <c r="AM1025" i="126"/>
  <c r="I1025" i="126"/>
  <c r="AM1012" i="126"/>
  <c r="I1012" i="126"/>
  <c r="AK1041" i="126"/>
  <c r="AI1033" i="126"/>
  <c r="F1033" i="126"/>
  <c r="AN1002" i="126"/>
  <c r="P1002" i="126"/>
  <c r="I1005" i="126"/>
  <c r="AM1005" i="126"/>
  <c r="AO978" i="126"/>
  <c r="W968" i="126"/>
  <c r="AO968" i="126" s="1"/>
  <c r="P967" i="126"/>
  <c r="AN967" i="126"/>
  <c r="G1098" i="126"/>
  <c r="AH1098" i="126"/>
  <c r="E1098" i="126"/>
  <c r="H1015" i="126"/>
  <c r="AJ1015" i="126"/>
  <c r="AK968" i="126"/>
  <c r="AK970" i="126"/>
  <c r="H1021" i="126"/>
  <c r="AJ1021" i="126"/>
  <c r="AM1016" i="126"/>
  <c r="I1016" i="126"/>
  <c r="I1014" i="126" s="1"/>
  <c r="AJ1014" i="126" s="1"/>
  <c r="I994" i="126"/>
  <c r="AM994" i="126"/>
  <c r="AK988" i="126"/>
  <c r="I974" i="126"/>
  <c r="AM969" i="126"/>
  <c r="I969" i="126"/>
  <c r="I995" i="126"/>
  <c r="AJ995" i="126" s="1"/>
  <c r="AM995" i="126"/>
  <c r="F902" i="126"/>
  <c r="AI902" i="126"/>
  <c r="AJ877" i="126"/>
  <c r="H877" i="126"/>
  <c r="H930" i="126"/>
  <c r="AJ930" i="126"/>
  <c r="AN920" i="126"/>
  <c r="H882" i="126"/>
  <c r="AO882" i="126"/>
  <c r="Z868" i="126"/>
  <c r="Z867" i="126" s="1"/>
  <c r="H952" i="126"/>
  <c r="AJ952" i="126"/>
  <c r="H923" i="126"/>
  <c r="AJ923" i="126"/>
  <c r="AN922" i="126"/>
  <c r="P922" i="126"/>
  <c r="W904" i="126"/>
  <c r="AO904" i="126" s="1"/>
  <c r="AO905" i="126"/>
  <c r="H905" i="126"/>
  <c r="H900" i="126"/>
  <c r="AO900" i="126"/>
  <c r="H872" i="126"/>
  <c r="AO872" i="126"/>
  <c r="H984" i="126"/>
  <c r="AJ984" i="126"/>
  <c r="H956" i="126"/>
  <c r="AI956" i="126" s="1"/>
  <c r="AI957" i="126"/>
  <c r="F957" i="126"/>
  <c r="H873" i="126"/>
  <c r="AO873" i="126"/>
  <c r="AN851" i="126"/>
  <c r="P851" i="126"/>
  <c r="AM838" i="126"/>
  <c r="I838" i="126"/>
  <c r="AJ825" i="126"/>
  <c r="H825" i="126"/>
  <c r="H881" i="126"/>
  <c r="AO881" i="126"/>
  <c r="AL869" i="126"/>
  <c r="N868" i="126"/>
  <c r="W857" i="126"/>
  <c r="AO857" i="126" s="1"/>
  <c r="I847" i="126"/>
  <c r="AM847" i="126"/>
  <c r="I832" i="126"/>
  <c r="AM832" i="126"/>
  <c r="T940" i="126"/>
  <c r="AN940" i="126" s="1"/>
  <c r="AH915" i="126"/>
  <c r="G915" i="126"/>
  <c r="E915" i="126"/>
  <c r="H835" i="126"/>
  <c r="AJ835" i="126"/>
  <c r="AJ828" i="126"/>
  <c r="H828" i="126"/>
  <c r="E820" i="126"/>
  <c r="AH820" i="126"/>
  <c r="G820" i="126"/>
  <c r="I40" i="125"/>
  <c r="W817" i="126"/>
  <c r="P802" i="126"/>
  <c r="S801" i="126"/>
  <c r="S800" i="126" s="1"/>
  <c r="P794" i="126"/>
  <c r="AM953" i="126"/>
  <c r="I953" i="126"/>
  <c r="AM862" i="126"/>
  <c r="I862" i="126"/>
  <c r="AN811" i="126"/>
  <c r="P811" i="126"/>
  <c r="AN989" i="126"/>
  <c r="P989" i="126"/>
  <c r="AJ774" i="126"/>
  <c r="H774" i="126"/>
  <c r="I769" i="126"/>
  <c r="AM769" i="126"/>
  <c r="W764" i="126"/>
  <c r="AO765" i="126"/>
  <c r="I758" i="126"/>
  <c r="H752" i="126"/>
  <c r="AJ752" i="126"/>
  <c r="H816" i="126"/>
  <c r="AJ816" i="126"/>
  <c r="G785" i="126"/>
  <c r="E785" i="126"/>
  <c r="AH785" i="126"/>
  <c r="P768" i="126"/>
  <c r="P762" i="126"/>
  <c r="P759" i="126" s="1"/>
  <c r="AN762" i="126"/>
  <c r="AI804" i="126"/>
  <c r="F804" i="126"/>
  <c r="M780" i="126"/>
  <c r="AL781" i="126"/>
  <c r="I781" i="126"/>
  <c r="AJ755" i="126"/>
  <c r="H755" i="126"/>
  <c r="AM745" i="126"/>
  <c r="I745" i="126"/>
  <c r="AM866" i="126"/>
  <c r="I866" i="126"/>
  <c r="W821" i="126"/>
  <c r="AO821" i="126" s="1"/>
  <c r="AM781" i="126"/>
  <c r="P780" i="126"/>
  <c r="I744" i="126"/>
  <c r="AM744" i="126"/>
  <c r="AN732" i="126"/>
  <c r="P732" i="126"/>
  <c r="T730" i="126"/>
  <c r="P739" i="126"/>
  <c r="S738" i="126"/>
  <c r="AM731" i="126"/>
  <c r="I731" i="126"/>
  <c r="P721" i="126"/>
  <c r="AM721" i="126" s="1"/>
  <c r="AM722" i="126"/>
  <c r="I722" i="126"/>
  <c r="AM713" i="126"/>
  <c r="I713" i="126"/>
  <c r="I712" i="126"/>
  <c r="AM712" i="126"/>
  <c r="AK727" i="126"/>
  <c r="T718" i="126"/>
  <c r="AN721" i="126"/>
  <c r="AM628" i="126"/>
  <c r="I628" i="126"/>
  <c r="AM725" i="126"/>
  <c r="I725" i="126"/>
  <c r="I707" i="126"/>
  <c r="AC692" i="126"/>
  <c r="AL682" i="126"/>
  <c r="I682" i="126"/>
  <c r="M681" i="126"/>
  <c r="AJ695" i="126"/>
  <c r="I676" i="126"/>
  <c r="AM676" i="126"/>
  <c r="F661" i="126"/>
  <c r="AI661" i="126"/>
  <c r="AO652" i="126"/>
  <c r="H652" i="126"/>
  <c r="F638" i="126"/>
  <c r="AI638" i="126"/>
  <c r="AM620" i="126"/>
  <c r="I620" i="126"/>
  <c r="H610" i="126"/>
  <c r="AJ610" i="126"/>
  <c r="H604" i="126"/>
  <c r="AJ604" i="126"/>
  <c r="AK694" i="126"/>
  <c r="I644" i="126"/>
  <c r="P643" i="126"/>
  <c r="AM643" i="126" s="1"/>
  <c r="AM644" i="126"/>
  <c r="AJ609" i="126"/>
  <c r="H609" i="126"/>
  <c r="AO589" i="126"/>
  <c r="W587" i="126"/>
  <c r="AO587" i="126" s="1"/>
  <c r="AI564" i="126"/>
  <c r="F564" i="126"/>
  <c r="H635" i="126"/>
  <c r="AI635" i="126" s="1"/>
  <c r="W631" i="126"/>
  <c r="AO631" i="126" s="1"/>
  <c r="AC531" i="126"/>
  <c r="P517" i="126"/>
  <c r="AN517" i="126"/>
  <c r="AO497" i="126"/>
  <c r="H497" i="126"/>
  <c r="AN460" i="126"/>
  <c r="P460" i="126"/>
  <c r="AO685" i="126"/>
  <c r="E675" i="126"/>
  <c r="AH675" i="126"/>
  <c r="G675" i="126"/>
  <c r="AO624" i="126"/>
  <c r="AO590" i="126"/>
  <c r="H590" i="126"/>
  <c r="AK582" i="126"/>
  <c r="J581" i="126"/>
  <c r="AK581" i="126" s="1"/>
  <c r="N576" i="126"/>
  <c r="AO555" i="126"/>
  <c r="H555" i="126"/>
  <c r="AK537" i="126"/>
  <c r="AJ529" i="126"/>
  <c r="H529" i="126"/>
  <c r="AC520" i="126"/>
  <c r="T506" i="126"/>
  <c r="AN506" i="126" s="1"/>
  <c r="AN507" i="126"/>
  <c r="J500" i="126"/>
  <c r="AK501" i="126"/>
  <c r="AM494" i="126"/>
  <c r="I494" i="126"/>
  <c r="AJ487" i="126"/>
  <c r="H487" i="126"/>
  <c r="AN463" i="126"/>
  <c r="P463" i="126"/>
  <c r="AK681" i="126"/>
  <c r="AI669" i="126"/>
  <c r="AH669" i="126"/>
  <c r="E647" i="126"/>
  <c r="AH647" i="126"/>
  <c r="G647" i="126"/>
  <c r="F616" i="126"/>
  <c r="AI616" i="126"/>
  <c r="W544" i="126"/>
  <c r="AL444" i="126"/>
  <c r="I444" i="126"/>
  <c r="M443" i="126"/>
  <c r="T576" i="126"/>
  <c r="AN576" i="126" s="1"/>
  <c r="AI549" i="126"/>
  <c r="F549" i="126"/>
  <c r="AM516" i="126"/>
  <c r="I516" i="126"/>
  <c r="H474" i="126"/>
  <c r="AJ474" i="126"/>
  <c r="AM457" i="126"/>
  <c r="I457" i="126"/>
  <c r="AM440" i="126"/>
  <c r="I440" i="126"/>
  <c r="AK431" i="126"/>
  <c r="J430" i="126"/>
  <c r="AK430" i="126" s="1"/>
  <c r="AO409" i="126"/>
  <c r="H409" i="126"/>
  <c r="AK340" i="126"/>
  <c r="J339" i="126"/>
  <c r="AK339" i="126" s="1"/>
  <c r="AP563" i="126"/>
  <c r="AG563" i="126"/>
  <c r="AK536" i="126"/>
  <c r="H525" i="126"/>
  <c r="AI525" i="126" s="1"/>
  <c r="E498" i="126"/>
  <c r="AH498" i="126"/>
  <c r="G498" i="126"/>
  <c r="AI489" i="126"/>
  <c r="L443" i="126"/>
  <c r="L442" i="126" s="1"/>
  <c r="L441" i="126" s="1"/>
  <c r="AO408" i="126"/>
  <c r="H408" i="126"/>
  <c r="L363" i="126"/>
  <c r="L352" i="126" s="1"/>
  <c r="AK364" i="126"/>
  <c r="AM448" i="126"/>
  <c r="I448" i="126"/>
  <c r="AJ435" i="126"/>
  <c r="H435" i="126"/>
  <c r="I427" i="126"/>
  <c r="AM427" i="126"/>
  <c r="F412" i="126"/>
  <c r="AI412" i="126"/>
  <c r="AJ348" i="126"/>
  <c r="G331" i="126"/>
  <c r="E331" i="126"/>
  <c r="AH331" i="126"/>
  <c r="F296" i="126"/>
  <c r="H295" i="126"/>
  <c r="AI295" i="126" s="1"/>
  <c r="AI296" i="126"/>
  <c r="K281" i="126"/>
  <c r="L287" i="126"/>
  <c r="AP280" i="126"/>
  <c r="J176" i="126"/>
  <c r="AK176" i="126" s="1"/>
  <c r="E402" i="126"/>
  <c r="AH402" i="126"/>
  <c r="G402" i="126"/>
  <c r="AI395" i="126"/>
  <c r="AH375" i="126"/>
  <c r="G375" i="126"/>
  <c r="E375" i="126"/>
  <c r="AL340" i="126"/>
  <c r="M339" i="126"/>
  <c r="AL339" i="126" s="1"/>
  <c r="E311" i="126"/>
  <c r="AH311" i="126"/>
  <c r="G311" i="126"/>
  <c r="F294" i="126"/>
  <c r="F292" i="126" s="1"/>
  <c r="AI294" i="126"/>
  <c r="AI219" i="126"/>
  <c r="F219" i="126"/>
  <c r="AM199" i="126"/>
  <c r="I199" i="126"/>
  <c r="P154" i="126"/>
  <c r="S153" i="126"/>
  <c r="I433" i="126"/>
  <c r="AO420" i="126"/>
  <c r="W417" i="126"/>
  <c r="F369" i="126"/>
  <c r="AI369" i="126"/>
  <c r="H368" i="126"/>
  <c r="AP329" i="126"/>
  <c r="AG329" i="126"/>
  <c r="AP313" i="126"/>
  <c r="AG313" i="126"/>
  <c r="F298" i="126"/>
  <c r="AI298" i="126"/>
  <c r="H292" i="126"/>
  <c r="AI292" i="126" s="1"/>
  <c r="M287" i="126"/>
  <c r="I270" i="126"/>
  <c r="AM270" i="126"/>
  <c r="AH391" i="126"/>
  <c r="G391" i="126"/>
  <c r="E391" i="126"/>
  <c r="AH386" i="126"/>
  <c r="G386" i="126"/>
  <c r="E386" i="126"/>
  <c r="I342" i="126"/>
  <c r="AO243" i="126"/>
  <c r="W242" i="126"/>
  <c r="H243" i="126"/>
  <c r="AC230" i="126"/>
  <c r="G224" i="126"/>
  <c r="AH224" i="126"/>
  <c r="E224" i="126"/>
  <c r="G217" i="126"/>
  <c r="AH217" i="126"/>
  <c r="E217" i="126"/>
  <c r="I197" i="126"/>
  <c r="W188" i="126"/>
  <c r="AL161" i="126"/>
  <c r="M160" i="126"/>
  <c r="AL353" i="126"/>
  <c r="H202" i="126"/>
  <c r="AA159" i="126"/>
  <c r="W430" i="126"/>
  <c r="AO430" i="126" s="1"/>
  <c r="AO431" i="126"/>
  <c r="T420" i="126"/>
  <c r="H359" i="126"/>
  <c r="AJ359" i="126"/>
  <c r="AA286" i="126"/>
  <c r="W291" i="126"/>
  <c r="W286" i="126" s="1"/>
  <c r="S287" i="126"/>
  <c r="H271" i="126"/>
  <c r="T250" i="126"/>
  <c r="AN251" i="126"/>
  <c r="AM212" i="126"/>
  <c r="I212" i="126"/>
  <c r="G207" i="126"/>
  <c r="AH207" i="126"/>
  <c r="E207" i="126"/>
  <c r="H204" i="126"/>
  <c r="F205" i="126"/>
  <c r="AI205" i="126"/>
  <c r="F194" i="126"/>
  <c r="AI194" i="126"/>
  <c r="AC177" i="126"/>
  <c r="K159" i="126"/>
  <c r="AK159" i="126" s="1"/>
  <c r="AK160" i="126"/>
  <c r="L152" i="126"/>
  <c r="AP147" i="126"/>
  <c r="AG147" i="126"/>
  <c r="H143" i="126"/>
  <c r="AO143" i="126"/>
  <c r="E136" i="126"/>
  <c r="G136" i="126"/>
  <c r="AH136" i="126"/>
  <c r="P129" i="126"/>
  <c r="S128" i="126"/>
  <c r="AN126" i="126"/>
  <c r="P126" i="126"/>
  <c r="AN102" i="126"/>
  <c r="G85" i="126"/>
  <c r="AH85" i="126"/>
  <c r="E85" i="126"/>
  <c r="AH54" i="126"/>
  <c r="G54" i="126"/>
  <c r="E54" i="126"/>
  <c r="E572" i="126"/>
  <c r="AH572" i="126"/>
  <c r="G572" i="126"/>
  <c r="AA544" i="126"/>
  <c r="AA539" i="126" s="1"/>
  <c r="AJ515" i="126"/>
  <c r="H515" i="126"/>
  <c r="AO364" i="126"/>
  <c r="E393" i="126"/>
  <c r="AH393" i="126"/>
  <c r="G393" i="126"/>
  <c r="AN342" i="126"/>
  <c r="T339" i="126"/>
  <c r="AN339" i="126" s="1"/>
  <c r="F297" i="126"/>
  <c r="AI297" i="126"/>
  <c r="W162" i="126"/>
  <c r="AA139" i="126"/>
  <c r="AO124" i="126"/>
  <c r="W119" i="126"/>
  <c r="S120" i="126"/>
  <c r="P121" i="126"/>
  <c r="L87" i="126"/>
  <c r="L86" i="126" s="1"/>
  <c r="AI81" i="126"/>
  <c r="F81" i="126"/>
  <c r="AJ41" i="126"/>
  <c r="H41" i="126"/>
  <c r="AJ585" i="126"/>
  <c r="H585" i="126"/>
  <c r="F557" i="126"/>
  <c r="AI557" i="126"/>
  <c r="H523" i="126"/>
  <c r="H485" i="126"/>
  <c r="AJ485" i="126"/>
  <c r="AO374" i="126"/>
  <c r="I355" i="126"/>
  <c r="W244" i="126"/>
  <c r="H185" i="126"/>
  <c r="AB176" i="126"/>
  <c r="AJ111" i="126"/>
  <c r="H111" i="126"/>
  <c r="I110" i="126"/>
  <c r="AH75" i="126"/>
  <c r="G75" i="126"/>
  <c r="E75" i="126"/>
  <c r="H179" i="126"/>
  <c r="AJ179" i="126"/>
  <c r="AM104" i="126"/>
  <c r="P103" i="126"/>
  <c r="W87" i="126"/>
  <c r="AO88" i="126"/>
  <c r="I51" i="126"/>
  <c r="I34" i="126"/>
  <c r="AO29" i="126"/>
  <c r="AJ18" i="126"/>
  <c r="H18" i="126"/>
  <c r="AH55" i="126"/>
  <c r="E55" i="126"/>
  <c r="G55" i="126"/>
  <c r="I36" i="126"/>
  <c r="F117" i="126"/>
  <c r="AI117" i="126"/>
  <c r="AJ112" i="126"/>
  <c r="H112" i="126"/>
  <c r="I70" i="126"/>
  <c r="S63" i="126"/>
  <c r="E57" i="126"/>
  <c r="AH57" i="126"/>
  <c r="G57" i="126"/>
  <c r="AM45" i="126"/>
  <c r="AM31" i="126"/>
  <c r="P30" i="126"/>
  <c r="AO17" i="126"/>
  <c r="AE1121" i="126"/>
  <c r="AP1121" i="126"/>
  <c r="AG1121" i="126"/>
  <c r="I1109" i="126"/>
  <c r="AM1109" i="126"/>
  <c r="H1068" i="126"/>
  <c r="AJ1068" i="126"/>
  <c r="H1071" i="126"/>
  <c r="AJ1071" i="126"/>
  <c r="AI1034" i="126"/>
  <c r="F1034" i="126"/>
  <c r="AI1030" i="126"/>
  <c r="F1030" i="126"/>
  <c r="H1001" i="126"/>
  <c r="AJ1001" i="126"/>
  <c r="I1029" i="126"/>
  <c r="AM1029" i="126"/>
  <c r="AM976" i="126"/>
  <c r="I976" i="126"/>
  <c r="P961" i="126"/>
  <c r="AN961" i="126"/>
  <c r="H1017" i="126"/>
  <c r="AJ1017" i="126"/>
  <c r="V968" i="126"/>
  <c r="M968" i="126"/>
  <c r="AL968" i="126" s="1"/>
  <c r="AL970" i="126"/>
  <c r="AJ1011" i="126"/>
  <c r="H1011" i="126"/>
  <c r="AM865" i="126"/>
  <c r="I865" i="126"/>
  <c r="I784" i="126"/>
  <c r="AM784" i="126"/>
  <c r="P783" i="126"/>
  <c r="AM783" i="126" s="1"/>
  <c r="H775" i="126"/>
  <c r="AJ775" i="126"/>
  <c r="AL727" i="126"/>
  <c r="AI686" i="126"/>
  <c r="F686" i="126"/>
  <c r="H685" i="126"/>
  <c r="AI685" i="126" s="1"/>
  <c r="AE1120" i="126"/>
  <c r="AP1120" i="126"/>
  <c r="AG1120" i="126"/>
  <c r="AH715" i="126"/>
  <c r="E715" i="126"/>
  <c r="G715" i="126"/>
  <c r="H697" i="126"/>
  <c r="I696" i="126"/>
  <c r="AJ696" i="126" s="1"/>
  <c r="AJ697" i="126"/>
  <c r="AI653" i="126"/>
  <c r="F653" i="126"/>
  <c r="F639" i="126"/>
  <c r="AI639" i="126"/>
  <c r="I627" i="126"/>
  <c r="AM627" i="126"/>
  <c r="AJ617" i="126"/>
  <c r="H617" i="126"/>
  <c r="AK540" i="126"/>
  <c r="J539" i="126"/>
  <c r="AK539" i="126" s="1"/>
  <c r="AI634" i="126"/>
  <c r="AH634" i="126"/>
  <c r="P597" i="126"/>
  <c r="AM597" i="126" s="1"/>
  <c r="AM598" i="126"/>
  <c r="I598" i="126"/>
  <c r="T514" i="126"/>
  <c r="V513" i="126"/>
  <c r="AK492" i="126"/>
  <c r="J491" i="126"/>
  <c r="AK491" i="126" s="1"/>
  <c r="AN464" i="126"/>
  <c r="P464" i="126"/>
  <c r="AI668" i="126"/>
  <c r="AH668" i="126"/>
  <c r="AJ630" i="126"/>
  <c r="H630" i="126"/>
  <c r="AC592" i="126"/>
  <c r="G528" i="126"/>
  <c r="AH528" i="126"/>
  <c r="E528" i="126"/>
  <c r="AK502" i="126"/>
  <c r="AN431" i="126"/>
  <c r="T430" i="126"/>
  <c r="AN430" i="126" s="1"/>
  <c r="P414" i="126"/>
  <c r="AM414" i="126" s="1"/>
  <c r="AM415" i="126"/>
  <c r="I415" i="126"/>
  <c r="F554" i="126"/>
  <c r="AI554" i="126"/>
  <c r="AM504" i="126"/>
  <c r="P503" i="126"/>
  <c r="AM503" i="126" s="1"/>
  <c r="S417" i="126"/>
  <c r="P418" i="126"/>
  <c r="AM432" i="126"/>
  <c r="P431" i="126"/>
  <c r="I432" i="126"/>
  <c r="AM358" i="126"/>
  <c r="I358" i="126"/>
  <c r="P357" i="126"/>
  <c r="AO1118" i="126"/>
  <c r="H1118" i="126"/>
  <c r="G1117" i="126"/>
  <c r="E1117" i="126"/>
  <c r="AH1117" i="126"/>
  <c r="I87" i="125"/>
  <c r="AJ1106" i="126"/>
  <c r="I1105" i="126"/>
  <c r="AJ1105" i="126" s="1"/>
  <c r="H1106" i="126"/>
  <c r="I1103" i="126"/>
  <c r="AM1103" i="126"/>
  <c r="F1090" i="126"/>
  <c r="AI1090" i="126"/>
  <c r="AM1102" i="126"/>
  <c r="I1102" i="126"/>
  <c r="G1086" i="126"/>
  <c r="AH1086" i="126"/>
  <c r="E1086" i="126"/>
  <c r="AM1080" i="126"/>
  <c r="I1080" i="126"/>
  <c r="H1064" i="126"/>
  <c r="AJ1064" i="126"/>
  <c r="W1040" i="126"/>
  <c r="AO1042" i="126"/>
  <c r="H1078" i="126"/>
  <c r="AJ1078" i="126"/>
  <c r="AM1076" i="126"/>
  <c r="I1076" i="126"/>
  <c r="H1069" i="126"/>
  <c r="AJ1069" i="126"/>
  <c r="H1066" i="126"/>
  <c r="AJ1066" i="126"/>
  <c r="AJ1058" i="126"/>
  <c r="H1058" i="126"/>
  <c r="I1057" i="126"/>
  <c r="AJ1057" i="126" s="1"/>
  <c r="H1038" i="126"/>
  <c r="AJ1038" i="126"/>
  <c r="H1067" i="126"/>
  <c r="AJ1067" i="126"/>
  <c r="H1060" i="126"/>
  <c r="AJ1060" i="126"/>
  <c r="P1035" i="126"/>
  <c r="AN1035" i="126"/>
  <c r="H1032" i="126"/>
  <c r="AJ1032" i="126"/>
  <c r="T1022" i="126"/>
  <c r="P1023" i="126"/>
  <c r="AN1023" i="126"/>
  <c r="P1010" i="126"/>
  <c r="AN1010" i="126"/>
  <c r="AM1031" i="126"/>
  <c r="I1031" i="126"/>
  <c r="T1007" i="126"/>
  <c r="P1056" i="126"/>
  <c r="AN1056" i="126"/>
  <c r="T1053" i="126"/>
  <c r="H1000" i="126"/>
  <c r="AJ1000" i="126"/>
  <c r="AN996" i="126"/>
  <c r="P996" i="126"/>
  <c r="AJ978" i="126"/>
  <c r="H978" i="126"/>
  <c r="AM964" i="126"/>
  <c r="I964" i="126"/>
  <c r="AJ1083" i="126"/>
  <c r="H1083" i="126"/>
  <c r="AK1020" i="126"/>
  <c r="AJ997" i="126"/>
  <c r="H997" i="126"/>
  <c r="H1018" i="126"/>
  <c r="AJ1018" i="126"/>
  <c r="AM988" i="126"/>
  <c r="H1049" i="126"/>
  <c r="AJ1049" i="126"/>
  <c r="AI993" i="126"/>
  <c r="F993" i="126"/>
  <c r="K919" i="126"/>
  <c r="AC919" i="126"/>
  <c r="I947" i="126"/>
  <c r="AM947" i="126"/>
  <c r="AM943" i="126"/>
  <c r="I943" i="126"/>
  <c r="P942" i="126"/>
  <c r="AM942" i="126" s="1"/>
  <c r="H936" i="126"/>
  <c r="AJ936" i="126"/>
  <c r="H932" i="126"/>
  <c r="AJ932" i="126"/>
  <c r="AN931" i="126"/>
  <c r="P931" i="126"/>
  <c r="H899" i="126"/>
  <c r="AO899" i="126"/>
  <c r="AI887" i="126"/>
  <c r="F887" i="126"/>
  <c r="P857" i="126"/>
  <c r="AM857" i="126" s="1"/>
  <c r="F937" i="126"/>
  <c r="P926" i="126"/>
  <c r="AN926" i="126"/>
  <c r="G891" i="126"/>
  <c r="E891" i="126"/>
  <c r="AH891" i="126"/>
  <c r="E875" i="126"/>
  <c r="AH875" i="126"/>
  <c r="G875" i="126"/>
  <c r="AL988" i="126"/>
  <c r="I988" i="126"/>
  <c r="M987" i="126"/>
  <c r="AL987" i="126" s="1"/>
  <c r="AJ939" i="126"/>
  <c r="H939" i="126"/>
  <c r="F890" i="126"/>
  <c r="AI890" i="126"/>
  <c r="AI880" i="126"/>
  <c r="F880" i="126"/>
  <c r="H858" i="126"/>
  <c r="AJ858" i="126"/>
  <c r="AM848" i="126"/>
  <c r="I848" i="126"/>
  <c r="AN836" i="126"/>
  <c r="P836" i="126"/>
  <c r="P823" i="126" s="1"/>
  <c r="AJ815" i="126"/>
  <c r="H815" i="126"/>
  <c r="AM951" i="126"/>
  <c r="I951" i="126"/>
  <c r="P949" i="126"/>
  <c r="AM949" i="126" s="1"/>
  <c r="G885" i="126"/>
  <c r="E885" i="126"/>
  <c r="AH885" i="126"/>
  <c r="J868" i="126"/>
  <c r="AK869" i="126"/>
  <c r="P849" i="126"/>
  <c r="AN849" i="126"/>
  <c r="AM941" i="126"/>
  <c r="I941" i="126"/>
  <c r="AH912" i="126"/>
  <c r="AJ824" i="126"/>
  <c r="H824" i="126"/>
  <c r="AO801" i="126"/>
  <c r="Z800" i="126"/>
  <c r="F879" i="126"/>
  <c r="AI879" i="126"/>
  <c r="AK781" i="126"/>
  <c r="U968" i="126"/>
  <c r="U919" i="126" s="1"/>
  <c r="T971" i="126"/>
  <c r="AM812" i="126"/>
  <c r="I812" i="126"/>
  <c r="I798" i="126"/>
  <c r="AM798" i="126"/>
  <c r="AO783" i="126"/>
  <c r="I778" i="126"/>
  <c r="AM778" i="126"/>
  <c r="AN756" i="126"/>
  <c r="T823" i="126"/>
  <c r="T803" i="126"/>
  <c r="P805" i="126"/>
  <c r="AN805" i="126"/>
  <c r="AK766" i="126"/>
  <c r="J765" i="126"/>
  <c r="AK767" i="126"/>
  <c r="AN759" i="126"/>
  <c r="AM754" i="126"/>
  <c r="I754" i="126"/>
  <c r="H839" i="126"/>
  <c r="AJ839" i="126"/>
  <c r="AJ806" i="126"/>
  <c r="H806" i="126"/>
  <c r="F790" i="126"/>
  <c r="AI790" i="126"/>
  <c r="AC765" i="126"/>
  <c r="H898" i="126"/>
  <c r="W897" i="126"/>
  <c r="AO898" i="126"/>
  <c r="H853" i="126"/>
  <c r="AJ853" i="126"/>
  <c r="T792" i="126"/>
  <c r="AN792" i="126" s="1"/>
  <c r="T770" i="126"/>
  <c r="P773" i="126"/>
  <c r="AN773" i="126"/>
  <c r="M766" i="126"/>
  <c r="AL767" i="126"/>
  <c r="I708" i="126"/>
  <c r="H709" i="126"/>
  <c r="AJ709" i="126"/>
  <c r="AJ750" i="126"/>
  <c r="H750" i="126"/>
  <c r="AO727" i="126"/>
  <c r="W717" i="126"/>
  <c r="AO717" i="126" s="1"/>
  <c r="AO718" i="126"/>
  <c r="AJ711" i="126"/>
  <c r="H711" i="126"/>
  <c r="I746" i="126"/>
  <c r="AM746" i="126"/>
  <c r="AM736" i="126"/>
  <c r="I736" i="126"/>
  <c r="P719" i="126"/>
  <c r="S718" i="126"/>
  <c r="P706" i="126"/>
  <c r="S705" i="126"/>
  <c r="I724" i="126"/>
  <c r="AM724" i="126"/>
  <c r="AM723" i="126"/>
  <c r="I723" i="126"/>
  <c r="AI720" i="126"/>
  <c r="F720" i="126"/>
  <c r="AO674" i="126"/>
  <c r="H674" i="126"/>
  <c r="P625" i="126"/>
  <c r="S624" i="126"/>
  <c r="AN704" i="126"/>
  <c r="P704" i="126"/>
  <c r="T702" i="126"/>
  <c r="AN702" i="126" s="1"/>
  <c r="P694" i="126"/>
  <c r="S693" i="126"/>
  <c r="S692" i="126" s="1"/>
  <c r="AI641" i="126"/>
  <c r="F641" i="126"/>
  <c r="AK624" i="126"/>
  <c r="E618" i="126"/>
  <c r="AP619" i="126"/>
  <c r="AG619" i="126"/>
  <c r="AJ615" i="126"/>
  <c r="H615" i="126"/>
  <c r="I608" i="126"/>
  <c r="AM608" i="126"/>
  <c r="W692" i="126"/>
  <c r="AO692" i="126" s="1"/>
  <c r="AO699" i="126"/>
  <c r="H666" i="126"/>
  <c r="T600" i="126"/>
  <c r="AN601" i="126"/>
  <c r="P601" i="126"/>
  <c r="AI570" i="126"/>
  <c r="F570" i="126"/>
  <c r="W483" i="126"/>
  <c r="AA481" i="126"/>
  <c r="E663" i="126"/>
  <c r="AH663" i="126"/>
  <c r="G663" i="126"/>
  <c r="AG660" i="126"/>
  <c r="AP660" i="126"/>
  <c r="F655" i="126"/>
  <c r="AI655" i="126"/>
  <c r="AN594" i="126"/>
  <c r="AI496" i="126"/>
  <c r="F496" i="126"/>
  <c r="P482" i="126"/>
  <c r="S481" i="126"/>
  <c r="AN459" i="126"/>
  <c r="P459" i="126"/>
  <c r="T458" i="126"/>
  <c r="AN458" i="126" s="1"/>
  <c r="P681" i="126"/>
  <c r="AO680" i="126"/>
  <c r="AJ614" i="126"/>
  <c r="H614" i="126"/>
  <c r="AM589" i="126"/>
  <c r="I589" i="126"/>
  <c r="AK577" i="126"/>
  <c r="F553" i="126"/>
  <c r="AI553" i="126"/>
  <c r="I542" i="126"/>
  <c r="S536" i="126"/>
  <c r="P537" i="126"/>
  <c r="W520" i="126"/>
  <c r="AO521" i="126"/>
  <c r="P493" i="126"/>
  <c r="S492" i="126"/>
  <c r="AJ477" i="126"/>
  <c r="H477" i="126"/>
  <c r="AN471" i="126"/>
  <c r="P471" i="126"/>
  <c r="T693" i="126"/>
  <c r="AO666" i="126"/>
  <c r="W665" i="126"/>
  <c r="E659" i="126"/>
  <c r="AH659" i="126"/>
  <c r="G659" i="126"/>
  <c r="AG656" i="126"/>
  <c r="AP656" i="126"/>
  <c r="AJ596" i="126"/>
  <c r="E535" i="126"/>
  <c r="AH535" i="126"/>
  <c r="G535" i="126"/>
  <c r="AK520" i="126"/>
  <c r="F558" i="126"/>
  <c r="AI558" i="126"/>
  <c r="AP551" i="126"/>
  <c r="AG551" i="126"/>
  <c r="AH530" i="126"/>
  <c r="E530" i="126"/>
  <c r="G530" i="126"/>
  <c r="AJ445" i="126"/>
  <c r="H445" i="126"/>
  <c r="AM437" i="126"/>
  <c r="I437" i="126"/>
  <c r="P428" i="126"/>
  <c r="P420" i="126" s="1"/>
  <c r="AN428" i="126"/>
  <c r="AO405" i="126"/>
  <c r="H405" i="126"/>
  <c r="W404" i="126"/>
  <c r="AO335" i="126"/>
  <c r="H335" i="126"/>
  <c r="AP565" i="126"/>
  <c r="AG565" i="126"/>
  <c r="F489" i="126"/>
  <c r="AH490" i="126"/>
  <c r="G490" i="126"/>
  <c r="E490" i="126"/>
  <c r="AI486" i="126"/>
  <c r="F486" i="126"/>
  <c r="P455" i="126"/>
  <c r="AN455" i="126"/>
  <c r="AJ446" i="126"/>
  <c r="H446" i="126"/>
  <c r="F381" i="126"/>
  <c r="AI381" i="126"/>
  <c r="AJ361" i="126"/>
  <c r="H361" i="126"/>
  <c r="AJ429" i="126"/>
  <c r="H429" i="126"/>
  <c r="AI389" i="126"/>
  <c r="F389" i="126"/>
  <c r="F387" i="126" s="1"/>
  <c r="AK353" i="126"/>
  <c r="AJ273" i="126"/>
  <c r="H273" i="126"/>
  <c r="AL431" i="126"/>
  <c r="M430" i="126"/>
  <c r="I424" i="126"/>
  <c r="AM424" i="126"/>
  <c r="AI401" i="126"/>
  <c r="F401" i="126"/>
  <c r="F383" i="126"/>
  <c r="AI383" i="126"/>
  <c r="H382" i="126"/>
  <c r="AI382" i="126" s="1"/>
  <c r="AI374" i="126"/>
  <c r="F370" i="126"/>
  <c r="AI370" i="126"/>
  <c r="AK365" i="126"/>
  <c r="AI326" i="126"/>
  <c r="F326" i="126"/>
  <c r="AI318" i="126"/>
  <c r="F318" i="126"/>
  <c r="AJ288" i="126"/>
  <c r="H288" i="126"/>
  <c r="I287" i="126"/>
  <c r="AM235" i="126"/>
  <c r="I235" i="126"/>
  <c r="AO215" i="126"/>
  <c r="H215" i="126"/>
  <c r="AO198" i="126"/>
  <c r="W197" i="126"/>
  <c r="AO197" i="126" s="1"/>
  <c r="P161" i="126"/>
  <c r="I161" i="126" s="1"/>
  <c r="S160" i="126"/>
  <c r="J152" i="126"/>
  <c r="AK153" i="126"/>
  <c r="I454" i="126"/>
  <c r="AM454" i="126"/>
  <c r="F400" i="126"/>
  <c r="AI400" i="126"/>
  <c r="AM341" i="126"/>
  <c r="I341" i="126"/>
  <c r="P340" i="126"/>
  <c r="AP317" i="126"/>
  <c r="AG317" i="126"/>
  <c r="AC281" i="126"/>
  <c r="AJ279" i="126"/>
  <c r="H279" i="126"/>
  <c r="H272" i="126"/>
  <c r="AJ272" i="126"/>
  <c r="AP261" i="126"/>
  <c r="P261" i="126"/>
  <c r="AK373" i="126"/>
  <c r="J367" i="126"/>
  <c r="F303" i="126"/>
  <c r="AI303" i="126"/>
  <c r="W330" i="126"/>
  <c r="Z241" i="126"/>
  <c r="P237" i="126"/>
  <c r="S236" i="126"/>
  <c r="H203" i="126"/>
  <c r="H201" i="126"/>
  <c r="AI171" i="126"/>
  <c r="F171" i="126"/>
  <c r="AI167" i="126"/>
  <c r="F167" i="126"/>
  <c r="P155" i="126"/>
  <c r="AM155" i="126" s="1"/>
  <c r="AM156" i="126"/>
  <c r="AP134" i="126"/>
  <c r="AG134" i="126"/>
  <c r="AK49" i="126"/>
  <c r="J48" i="126"/>
  <c r="H64" i="126"/>
  <c r="AJ64" i="126"/>
  <c r="AM423" i="126"/>
  <c r="I423" i="126"/>
  <c r="I422" i="126"/>
  <c r="AM422" i="126"/>
  <c r="W342" i="126"/>
  <c r="AO342" i="126" s="1"/>
  <c r="AO336" i="126"/>
  <c r="H336" i="126"/>
  <c r="AP319" i="126"/>
  <c r="AG319" i="126"/>
  <c r="AM288" i="126"/>
  <c r="P287" i="126"/>
  <c r="AI220" i="126"/>
  <c r="F220" i="126"/>
  <c r="E214" i="126"/>
  <c r="AH214" i="126"/>
  <c r="G214" i="126"/>
  <c r="AK178" i="126"/>
  <c r="W153" i="126"/>
  <c r="AO155" i="126"/>
  <c r="AO150" i="126"/>
  <c r="H150" i="126"/>
  <c r="M140" i="126"/>
  <c r="AL141" i="126"/>
  <c r="AK129" i="126"/>
  <c r="L128" i="126"/>
  <c r="T124" i="126"/>
  <c r="AN125" i="126"/>
  <c r="P125" i="126"/>
  <c r="AK102" i="126"/>
  <c r="J101" i="126"/>
  <c r="T88" i="126"/>
  <c r="AN89" i="126"/>
  <c r="AP559" i="126"/>
  <c r="AG559" i="126"/>
  <c r="AM524" i="126"/>
  <c r="I524" i="126"/>
  <c r="AI407" i="126"/>
  <c r="F407" i="126"/>
  <c r="AI378" i="126"/>
  <c r="F378" i="126"/>
  <c r="AN231" i="126"/>
  <c r="U230" i="126"/>
  <c r="U229" i="126" s="1"/>
  <c r="P183" i="126"/>
  <c r="AP165" i="126"/>
  <c r="AG165" i="126"/>
  <c r="AK154" i="126"/>
  <c r="AO128" i="126"/>
  <c r="W127" i="126"/>
  <c r="AO127" i="126" s="1"/>
  <c r="P123" i="126"/>
  <c r="S122" i="126"/>
  <c r="AK119" i="126"/>
  <c r="K101" i="126"/>
  <c r="H94" i="126"/>
  <c r="AJ94" i="126"/>
  <c r="I39" i="126"/>
  <c r="E573" i="126"/>
  <c r="AH573" i="126"/>
  <c r="G573" i="126"/>
  <c r="P545" i="126"/>
  <c r="S544" i="126"/>
  <c r="I522" i="126"/>
  <c r="AJ519" i="126"/>
  <c r="H519" i="126"/>
  <c r="AL511" i="126"/>
  <c r="AL501" i="126"/>
  <c r="M500" i="126"/>
  <c r="AI376" i="126"/>
  <c r="F376" i="126"/>
  <c r="G334" i="126"/>
  <c r="AP327" i="126"/>
  <c r="AG327" i="126"/>
  <c r="H278" i="126"/>
  <c r="AJ278" i="126"/>
  <c r="AK256" i="126"/>
  <c r="J250" i="126"/>
  <c r="AO245" i="126"/>
  <c r="H245" i="126"/>
  <c r="AL177" i="126"/>
  <c r="H68" i="126"/>
  <c r="AN152" i="126"/>
  <c r="AK104" i="126"/>
  <c r="AJ100" i="126"/>
  <c r="H100" i="126"/>
  <c r="S89" i="126"/>
  <c r="AH79" i="126"/>
  <c r="G79" i="126"/>
  <c r="E79" i="126"/>
  <c r="I65" i="126"/>
  <c r="F23" i="126"/>
  <c r="AI23" i="126"/>
  <c r="H116" i="126"/>
  <c r="AJ116" i="126"/>
  <c r="P109" i="126"/>
  <c r="AM110" i="126"/>
  <c r="F84" i="126"/>
  <c r="F82" i="126" s="1"/>
  <c r="AI84" i="126"/>
  <c r="I32" i="126"/>
  <c r="P178" i="126"/>
  <c r="S102" i="126"/>
  <c r="AL63" i="126"/>
  <c r="M62" i="126"/>
  <c r="AL62" i="126" s="1"/>
  <c r="AJ42" i="126"/>
  <c r="H42" i="126"/>
  <c r="I91" i="126"/>
  <c r="G99" i="126"/>
  <c r="AH99" i="126"/>
  <c r="E99" i="126"/>
  <c r="I93" i="126"/>
  <c r="E80" i="126"/>
  <c r="AH80" i="126"/>
  <c r="G80" i="126"/>
  <c r="F72" i="126"/>
  <c r="AI72" i="126"/>
  <c r="AM64" i="126"/>
  <c r="P63" i="126"/>
  <c r="AN48" i="126"/>
  <c r="T47" i="126"/>
  <c r="AN47" i="126" s="1"/>
  <c r="F40" i="126"/>
  <c r="AI40" i="126"/>
  <c r="T29" i="126"/>
  <c r="I104" i="126"/>
  <c r="AM709" i="126" l="1"/>
  <c r="O26" i="126"/>
  <c r="H955" i="126"/>
  <c r="AJ955" i="126"/>
  <c r="H1107" i="126"/>
  <c r="AJ1107" i="126"/>
  <c r="AP913" i="126"/>
  <c r="AI632" i="126"/>
  <c r="AK593" i="126"/>
  <c r="I1063" i="126"/>
  <c r="AH334" i="126"/>
  <c r="AP307" i="126"/>
  <c r="E912" i="126"/>
  <c r="AP912" i="126" s="1"/>
  <c r="I17" i="126"/>
  <c r="AJ17" i="126" s="1"/>
  <c r="AI791" i="126"/>
  <c r="AE1094" i="126"/>
  <c r="G22" i="126"/>
  <c r="H547" i="126"/>
  <c r="W442" i="126"/>
  <c r="AO442" i="126" s="1"/>
  <c r="H1048" i="126"/>
  <c r="AJ1048" i="126"/>
  <c r="H198" i="126"/>
  <c r="AJ342" i="126"/>
  <c r="H1070" i="126"/>
  <c r="AJ729" i="126"/>
  <c r="H729" i="126"/>
  <c r="I157" i="126"/>
  <c r="AJ157" i="126" s="1"/>
  <c r="H158" i="126"/>
  <c r="O25" i="126"/>
  <c r="O16" i="126" s="1"/>
  <c r="O15" i="126" s="1"/>
  <c r="O2" i="126" s="1"/>
  <c r="J118" i="126"/>
  <c r="AJ95" i="126"/>
  <c r="AB26" i="126"/>
  <c r="AJ548" i="126"/>
  <c r="I20" i="125"/>
  <c r="H749" i="126"/>
  <c r="H260" i="126"/>
  <c r="AD1097" i="126"/>
  <c r="AD1093" i="126" s="1"/>
  <c r="AD1092" i="126" s="1"/>
  <c r="AD25" i="126" s="1"/>
  <c r="AD16" i="126" s="1"/>
  <c r="AD15" i="126" s="1"/>
  <c r="AD1123" i="126" s="1"/>
  <c r="P708" i="126"/>
  <c r="AM708" i="126" s="1"/>
  <c r="H985" i="126"/>
  <c r="AJ985" i="126"/>
  <c r="AH650" i="126"/>
  <c r="E650" i="126"/>
  <c r="AK177" i="126"/>
  <c r="AJ972" i="126"/>
  <c r="E151" i="126"/>
  <c r="AG151" i="126" s="1"/>
  <c r="I434" i="126"/>
  <c r="AJ434" i="126" s="1"/>
  <c r="H89" i="125"/>
  <c r="I88" i="125"/>
  <c r="G89" i="125"/>
  <c r="AN708" i="126"/>
  <c r="T705" i="126"/>
  <c r="AN705" i="126" s="1"/>
  <c r="L763" i="126"/>
  <c r="L623" i="126" s="1"/>
  <c r="W339" i="126"/>
  <c r="AO339" i="126" s="1"/>
  <c r="I259" i="126"/>
  <c r="AH309" i="126"/>
  <c r="G309" i="126"/>
  <c r="E309" i="126"/>
  <c r="E894" i="126"/>
  <c r="AH894" i="126"/>
  <c r="G894" i="126"/>
  <c r="AJ925" i="126"/>
  <c r="H925" i="126"/>
  <c r="E323" i="126"/>
  <c r="G323" i="126"/>
  <c r="AH323" i="126"/>
  <c r="H132" i="126"/>
  <c r="AJ132" i="126"/>
  <c r="AM1014" i="126"/>
  <c r="H35" i="126"/>
  <c r="AJ35" i="126"/>
  <c r="F935" i="126"/>
  <c r="AI935" i="126"/>
  <c r="H946" i="126"/>
  <c r="AJ946" i="126"/>
  <c r="H548" i="126"/>
  <c r="AI548" i="126" s="1"/>
  <c r="F390" i="126"/>
  <c r="AM420" i="126"/>
  <c r="AI377" i="126"/>
  <c r="H373" i="126"/>
  <c r="I84" i="125"/>
  <c r="AH1114" i="126"/>
  <c r="G1114" i="126"/>
  <c r="E1114" i="126"/>
  <c r="H934" i="126"/>
  <c r="AJ934" i="126"/>
  <c r="AH646" i="126"/>
  <c r="E646" i="126"/>
  <c r="G646" i="126"/>
  <c r="G305" i="126"/>
  <c r="E305" i="126"/>
  <c r="AH305" i="126"/>
  <c r="G1115" i="126"/>
  <c r="E1115" i="126"/>
  <c r="AH1115" i="126"/>
  <c r="AJ1004" i="126"/>
  <c r="H1004" i="126"/>
  <c r="E372" i="126"/>
  <c r="G372" i="126"/>
  <c r="AH372" i="126"/>
  <c r="F735" i="126"/>
  <c r="AI735" i="126"/>
  <c r="AJ980" i="126"/>
  <c r="H980" i="126"/>
  <c r="AI190" i="126"/>
  <c r="F190" i="126"/>
  <c r="S250" i="126"/>
  <c r="T452" i="126"/>
  <c r="AO632" i="126"/>
  <c r="F277" i="126"/>
  <c r="AI277" i="126"/>
  <c r="H347" i="126"/>
  <c r="AJ347" i="126"/>
  <c r="AG918" i="126"/>
  <c r="AP918" i="126"/>
  <c r="H1084" i="126"/>
  <c r="AJ1084" i="126"/>
  <c r="AI688" i="126"/>
  <c r="F688" i="126"/>
  <c r="H1003" i="126"/>
  <c r="AJ1003" i="126"/>
  <c r="H1008" i="126"/>
  <c r="AJ1008" i="126"/>
  <c r="AJ1037" i="126"/>
  <c r="H1037" i="126"/>
  <c r="AJ924" i="126"/>
  <c r="H924" i="126"/>
  <c r="AJ131" i="126"/>
  <c r="AI193" i="126"/>
  <c r="I141" i="126"/>
  <c r="H141" i="126" s="1"/>
  <c r="H390" i="126"/>
  <c r="AI390" i="126" s="1"/>
  <c r="F703" i="126"/>
  <c r="P1079" i="126"/>
  <c r="AM1079" i="126" s="1"/>
  <c r="AK443" i="126"/>
  <c r="I970" i="126"/>
  <c r="AI255" i="126"/>
  <c r="H284" i="126"/>
  <c r="AI284" i="126" s="1"/>
  <c r="AJ44" i="126"/>
  <c r="H579" i="126"/>
  <c r="G151" i="126"/>
  <c r="E221" i="126"/>
  <c r="AP221" i="126" s="1"/>
  <c r="F274" i="126"/>
  <c r="AI274" i="126"/>
  <c r="E397" i="126"/>
  <c r="AH397" i="126"/>
  <c r="AH883" i="126"/>
  <c r="G883" i="126"/>
  <c r="E883" i="126"/>
  <c r="AI991" i="126"/>
  <c r="F991" i="126"/>
  <c r="G910" i="126"/>
  <c r="AH910" i="126"/>
  <c r="E910" i="126"/>
  <c r="AJ275" i="126"/>
  <c r="H275" i="126"/>
  <c r="E908" i="126"/>
  <c r="AH908" i="126"/>
  <c r="G908" i="126"/>
  <c r="H999" i="126"/>
  <c r="AJ999" i="126"/>
  <c r="T182" i="126"/>
  <c r="AN182" i="126" s="1"/>
  <c r="AN183" i="126"/>
  <c r="E328" i="126"/>
  <c r="G328" i="126"/>
  <c r="AH328" i="126"/>
  <c r="AJ1055" i="126"/>
  <c r="H1055" i="126"/>
  <c r="AG914" i="126"/>
  <c r="AP914" i="126"/>
  <c r="I1050" i="126"/>
  <c r="AJ1050" i="126" s="1"/>
  <c r="H1051" i="126"/>
  <c r="AJ1051" i="126"/>
  <c r="H1036" i="126"/>
  <c r="AJ1036" i="126"/>
  <c r="H945" i="126"/>
  <c r="AJ945" i="126"/>
  <c r="E691" i="126"/>
  <c r="AH691" i="126"/>
  <c r="AH175" i="126"/>
  <c r="E175" i="126"/>
  <c r="H761" i="126"/>
  <c r="AJ761" i="126"/>
  <c r="AH917" i="126"/>
  <c r="G917" i="126"/>
  <c r="E917" i="126"/>
  <c r="AJ708" i="126"/>
  <c r="W373" i="126"/>
  <c r="AO373" i="126" s="1"/>
  <c r="AP1096" i="126"/>
  <c r="AJ503" i="126"/>
  <c r="G380" i="126"/>
  <c r="AH380" i="126"/>
  <c r="E380" i="126"/>
  <c r="E168" i="126"/>
  <c r="AH168" i="126"/>
  <c r="E320" i="126"/>
  <c r="AH320" i="126"/>
  <c r="G320" i="126"/>
  <c r="AG316" i="126"/>
  <c r="AP316" i="126"/>
  <c r="P940" i="126"/>
  <c r="AM940" i="126" s="1"/>
  <c r="AJ367" i="126"/>
  <c r="N26" i="126"/>
  <c r="AJ105" i="126"/>
  <c r="E170" i="126"/>
  <c r="AH170" i="126"/>
  <c r="W248" i="126"/>
  <c r="AO248" i="126" s="1"/>
  <c r="AO250" i="126"/>
  <c r="AJ950" i="126"/>
  <c r="H950" i="126"/>
  <c r="E324" i="126"/>
  <c r="G324" i="126"/>
  <c r="AH324" i="126"/>
  <c r="AJ963" i="126"/>
  <c r="H963" i="126"/>
  <c r="F526" i="126"/>
  <c r="AI526" i="126"/>
  <c r="H239" i="126"/>
  <c r="I238" i="126"/>
  <c r="AJ238" i="126" s="1"/>
  <c r="AJ239" i="126"/>
  <c r="AJ349" i="126"/>
  <c r="H349" i="126"/>
  <c r="H342" i="126" s="1"/>
  <c r="AI342" i="126" s="1"/>
  <c r="AJ716" i="126"/>
  <c r="H716" i="126"/>
  <c r="H708" i="126" s="1"/>
  <c r="AI708" i="126" s="1"/>
  <c r="H948" i="126"/>
  <c r="AJ948" i="126"/>
  <c r="AJ992" i="126"/>
  <c r="H992" i="126"/>
  <c r="AI21" i="126"/>
  <c r="F21" i="126"/>
  <c r="H19" i="126"/>
  <c r="AI19" i="126" s="1"/>
  <c r="E172" i="126"/>
  <c r="AH172" i="126"/>
  <c r="AJ344" i="126"/>
  <c r="H344" i="126"/>
  <c r="AJ863" i="126"/>
  <c r="H863" i="126"/>
  <c r="AH82" i="126"/>
  <c r="AM823" i="126"/>
  <c r="P821" i="126"/>
  <c r="AJ161" i="126"/>
  <c r="H161" i="126"/>
  <c r="I160" i="126"/>
  <c r="AH387" i="126"/>
  <c r="E387" i="126"/>
  <c r="AO286" i="126"/>
  <c r="E292" i="126"/>
  <c r="AH292" i="126"/>
  <c r="AB1085" i="126"/>
  <c r="F1089" i="126"/>
  <c r="E72" i="126"/>
  <c r="AH72" i="126"/>
  <c r="G72" i="126"/>
  <c r="AJ32" i="126"/>
  <c r="H32" i="126"/>
  <c r="L127" i="126"/>
  <c r="AK128" i="126"/>
  <c r="P286" i="126"/>
  <c r="AM287" i="126"/>
  <c r="AM261" i="126"/>
  <c r="I261" i="126"/>
  <c r="P339" i="126"/>
  <c r="AM339" i="126" s="1"/>
  <c r="AM340" i="126"/>
  <c r="AN693" i="126"/>
  <c r="T692" i="126"/>
  <c r="P600" i="126"/>
  <c r="AM601" i="126"/>
  <c r="I601" i="126"/>
  <c r="AH720" i="126"/>
  <c r="G720" i="126"/>
  <c r="E720" i="126"/>
  <c r="I849" i="126"/>
  <c r="AM849" i="126"/>
  <c r="AH887" i="126"/>
  <c r="G887" i="126"/>
  <c r="E887" i="126"/>
  <c r="AN1022" i="126"/>
  <c r="T1020" i="126"/>
  <c r="AN1020" i="126" s="1"/>
  <c r="AI1001" i="126"/>
  <c r="F1001" i="126"/>
  <c r="AJ51" i="126"/>
  <c r="H51" i="126"/>
  <c r="AI185" i="126"/>
  <c r="F185" i="126"/>
  <c r="I126" i="126"/>
  <c r="AM126" i="126"/>
  <c r="AL287" i="126"/>
  <c r="M286" i="126"/>
  <c r="AH219" i="126"/>
  <c r="E219" i="126"/>
  <c r="G219" i="126"/>
  <c r="AO544" i="126"/>
  <c r="W539" i="126"/>
  <c r="AO539" i="126" s="1"/>
  <c r="AI610" i="126"/>
  <c r="F610" i="126"/>
  <c r="AH661" i="126"/>
  <c r="G661" i="126"/>
  <c r="E661" i="126"/>
  <c r="H707" i="126"/>
  <c r="AJ707" i="126"/>
  <c r="H731" i="126"/>
  <c r="AJ731" i="126"/>
  <c r="AM739" i="126"/>
  <c r="P738" i="126"/>
  <c r="I739" i="126"/>
  <c r="I780" i="126"/>
  <c r="H781" i="126"/>
  <c r="AJ781" i="126"/>
  <c r="AM768" i="126"/>
  <c r="I768" i="126"/>
  <c r="AG785" i="126"/>
  <c r="AP785" i="126"/>
  <c r="AJ758" i="126"/>
  <c r="H758" i="126"/>
  <c r="AJ769" i="126"/>
  <c r="H769" i="126"/>
  <c r="AM989" i="126"/>
  <c r="I989" i="126"/>
  <c r="I987" i="126" s="1"/>
  <c r="AJ862" i="126"/>
  <c r="H862" i="126"/>
  <c r="AM794" i="126"/>
  <c r="P792" i="126"/>
  <c r="AM792" i="126" s="1"/>
  <c r="K40" i="125"/>
  <c r="H40" i="125"/>
  <c r="G40" i="125" s="1"/>
  <c r="J40" i="125"/>
  <c r="AI828" i="126"/>
  <c r="F828" i="126"/>
  <c r="AP915" i="126"/>
  <c r="AG915" i="126"/>
  <c r="AI881" i="126"/>
  <c r="F881" i="126"/>
  <c r="AI877" i="126"/>
  <c r="F877" i="126"/>
  <c r="AJ969" i="126"/>
  <c r="H969" i="126"/>
  <c r="I1002" i="126"/>
  <c r="AM1002" i="126"/>
  <c r="AJ1047" i="126"/>
  <c r="H1047" i="126"/>
  <c r="AM1026" i="126"/>
  <c r="I1026" i="126"/>
  <c r="AI1082" i="126"/>
  <c r="F1082" i="126"/>
  <c r="AI1062" i="126"/>
  <c r="F1062" i="126"/>
  <c r="H93" i="125"/>
  <c r="G93" i="125"/>
  <c r="AI1125" i="126"/>
  <c r="F1125" i="126"/>
  <c r="AI591" i="126"/>
  <c r="F591" i="126"/>
  <c r="AO494" i="126"/>
  <c r="W491" i="126"/>
  <c r="AO491" i="126" s="1"/>
  <c r="E654" i="126"/>
  <c r="AH654" i="126"/>
  <c r="G654" i="126"/>
  <c r="AJ586" i="126"/>
  <c r="H586" i="126"/>
  <c r="H584" i="126" s="1"/>
  <c r="AI607" i="126"/>
  <c r="F607" i="126"/>
  <c r="E690" i="126"/>
  <c r="AH690" i="126"/>
  <c r="G566" i="126"/>
  <c r="AH566" i="126"/>
  <c r="E566" i="126"/>
  <c r="I605" i="126"/>
  <c r="AJ605" i="126" s="1"/>
  <c r="AJ606" i="126"/>
  <c r="H606" i="126"/>
  <c r="AM809" i="126"/>
  <c r="I809" i="126"/>
  <c r="AM759" i="126"/>
  <c r="P756" i="126"/>
  <c r="AM756" i="126" s="1"/>
  <c r="AJ837" i="126"/>
  <c r="H837" i="126"/>
  <c r="G903" i="126"/>
  <c r="E903" i="126"/>
  <c r="AH903" i="126"/>
  <c r="AI861" i="126"/>
  <c r="F861" i="126"/>
  <c r="AJ864" i="126"/>
  <c r="H864" i="126"/>
  <c r="AH916" i="126"/>
  <c r="G916" i="126"/>
  <c r="E916" i="126"/>
  <c r="AJ833" i="126"/>
  <c r="H833" i="126"/>
  <c r="AI983" i="126"/>
  <c r="F983" i="126"/>
  <c r="AH986" i="126"/>
  <c r="E986" i="126"/>
  <c r="G986" i="126"/>
  <c r="AI1013" i="126"/>
  <c r="F1013" i="126"/>
  <c r="AL1040" i="126"/>
  <c r="M1039" i="126"/>
  <c r="AL1039" i="126" s="1"/>
  <c r="AH1091" i="126"/>
  <c r="G1091" i="126"/>
  <c r="E1091" i="126"/>
  <c r="AI1101" i="126"/>
  <c r="F1101" i="126"/>
  <c r="F46" i="126"/>
  <c r="AI46" i="126"/>
  <c r="H45" i="126"/>
  <c r="AI45" i="126" s="1"/>
  <c r="M47" i="126"/>
  <c r="AL47" i="126" s="1"/>
  <c r="AL48" i="126"/>
  <c r="AI37" i="126"/>
  <c r="F37" i="126"/>
  <c r="E76" i="126"/>
  <c r="AH76" i="126"/>
  <c r="G76" i="126"/>
  <c r="P88" i="126"/>
  <c r="AM89" i="126"/>
  <c r="AM98" i="126"/>
  <c r="P97" i="126"/>
  <c r="AM97" i="126" s="1"/>
  <c r="I98" i="126"/>
  <c r="AI144" i="126"/>
  <c r="F144" i="126"/>
  <c r="AI180" i="126"/>
  <c r="F180" i="126"/>
  <c r="AJ252" i="126"/>
  <c r="I251" i="126"/>
  <c r="H252" i="126"/>
  <c r="AH299" i="126"/>
  <c r="G299" i="126"/>
  <c r="E299" i="126"/>
  <c r="AA352" i="126"/>
  <c r="AH413" i="126"/>
  <c r="G413" i="126"/>
  <c r="E413" i="126"/>
  <c r="E308" i="126"/>
  <c r="G308" i="126"/>
  <c r="AH308" i="126"/>
  <c r="H366" i="126"/>
  <c r="AJ366" i="126"/>
  <c r="V442" i="126"/>
  <c r="G640" i="126"/>
  <c r="E640" i="126"/>
  <c r="AH640" i="126"/>
  <c r="AJ678" i="126"/>
  <c r="H678" i="126"/>
  <c r="AI748" i="126"/>
  <c r="F748" i="126"/>
  <c r="I733" i="126"/>
  <c r="AM733" i="126"/>
  <c r="AJ796" i="126"/>
  <c r="H796" i="126"/>
  <c r="I794" i="126"/>
  <c r="AJ794" i="126" s="1"/>
  <c r="P766" i="126"/>
  <c r="AM767" i="126"/>
  <c r="AI859" i="126"/>
  <c r="F859" i="126"/>
  <c r="H814" i="126"/>
  <c r="AJ814" i="126"/>
  <c r="AM1019" i="126"/>
  <c r="I1019" i="126"/>
  <c r="AP137" i="126"/>
  <c r="AG137" i="126"/>
  <c r="AL29" i="126"/>
  <c r="AI114" i="126"/>
  <c r="F114" i="126"/>
  <c r="AE22" i="126"/>
  <c r="AP22" i="126"/>
  <c r="AG22" i="126"/>
  <c r="AL119" i="126"/>
  <c r="F44" i="126"/>
  <c r="AI44" i="126"/>
  <c r="AM262" i="126"/>
  <c r="I262" i="126"/>
  <c r="AG312" i="126"/>
  <c r="AP312" i="126"/>
  <c r="AP574" i="126"/>
  <c r="AG574" i="126"/>
  <c r="AI106" i="126"/>
  <c r="F106" i="126"/>
  <c r="H105" i="126"/>
  <c r="AI105" i="126" s="1"/>
  <c r="T176" i="126"/>
  <c r="AN176" i="126" s="1"/>
  <c r="AN177" i="126"/>
  <c r="AI247" i="126"/>
  <c r="F247" i="126"/>
  <c r="AJ71" i="126"/>
  <c r="H71" i="126"/>
  <c r="AA101" i="126"/>
  <c r="AI31" i="126"/>
  <c r="F31" i="126"/>
  <c r="AP145" i="126"/>
  <c r="AG145" i="126"/>
  <c r="AH169" i="126"/>
  <c r="E169" i="126"/>
  <c r="W184" i="126"/>
  <c r="Z183" i="126"/>
  <c r="AG394" i="126"/>
  <c r="AP394" i="126"/>
  <c r="AI426" i="126"/>
  <c r="F426" i="126"/>
  <c r="AJ259" i="126"/>
  <c r="H259" i="126"/>
  <c r="AH314" i="126"/>
  <c r="G314" i="126"/>
  <c r="E314" i="126"/>
  <c r="F351" i="126"/>
  <c r="AI351" i="126"/>
  <c r="G421" i="126"/>
  <c r="AH421" i="126"/>
  <c r="E421" i="126"/>
  <c r="AP208" i="126"/>
  <c r="AG208" i="126"/>
  <c r="AE208" i="126"/>
  <c r="AJ258" i="126"/>
  <c r="H258" i="126"/>
  <c r="F410" i="126"/>
  <c r="AI410" i="126"/>
  <c r="AH475" i="126"/>
  <c r="E475" i="126"/>
  <c r="G475" i="126"/>
  <c r="E556" i="126"/>
  <c r="AH556" i="126"/>
  <c r="G556" i="126"/>
  <c r="AP636" i="126"/>
  <c r="AG636" i="126"/>
  <c r="AI747" i="126"/>
  <c r="F747" i="126"/>
  <c r="G795" i="126"/>
  <c r="AH795" i="126"/>
  <c r="E795" i="126"/>
  <c r="AI829" i="126"/>
  <c r="F829" i="126"/>
  <c r="G911" i="126"/>
  <c r="AH911" i="126"/>
  <c r="E911" i="126"/>
  <c r="G1074" i="126"/>
  <c r="E1074" i="126"/>
  <c r="AH1074" i="126"/>
  <c r="H546" i="126"/>
  <c r="AJ546" i="126"/>
  <c r="AJ346" i="126"/>
  <c r="H346" i="126"/>
  <c r="AJ211" i="126"/>
  <c r="H211" i="126"/>
  <c r="I210" i="126"/>
  <c r="AJ210" i="126" s="1"/>
  <c r="AE221" i="126"/>
  <c r="AI438" i="126"/>
  <c r="F438" i="126"/>
  <c r="J441" i="126"/>
  <c r="AK441" i="126" s="1"/>
  <c r="H484" i="126"/>
  <c r="AJ484" i="126"/>
  <c r="S539" i="126"/>
  <c r="AJ447" i="126"/>
  <c r="H447" i="126"/>
  <c r="G568" i="126"/>
  <c r="AH568" i="126"/>
  <c r="E568" i="126"/>
  <c r="AJ683" i="126"/>
  <c r="H683" i="126"/>
  <c r="E753" i="126"/>
  <c r="AH753" i="126"/>
  <c r="G753" i="126"/>
  <c r="AJ799" i="126"/>
  <c r="H799" i="126"/>
  <c r="AI772" i="126"/>
  <c r="F772" i="126"/>
  <c r="H856" i="126"/>
  <c r="AJ856" i="126"/>
  <c r="I855" i="126"/>
  <c r="AJ855" i="126" s="1"/>
  <c r="AI928" i="126"/>
  <c r="F928" i="126"/>
  <c r="AH998" i="126"/>
  <c r="E998" i="126"/>
  <c r="G998" i="126"/>
  <c r="AJ1006" i="126"/>
  <c r="H1006" i="126"/>
  <c r="AI1043" i="126"/>
  <c r="F1043" i="126"/>
  <c r="AM450" i="126"/>
  <c r="I450" i="126"/>
  <c r="I443" i="126" s="1"/>
  <c r="AM842" i="126"/>
  <c r="I842" i="126"/>
  <c r="AM50" i="126"/>
  <c r="P49" i="126"/>
  <c r="I50" i="126"/>
  <c r="P507" i="126"/>
  <c r="AM508" i="126"/>
  <c r="I508" i="126"/>
  <c r="S593" i="126"/>
  <c r="AM264" i="126"/>
  <c r="I264" i="126"/>
  <c r="P582" i="126"/>
  <c r="AM583" i="126"/>
  <c r="I583" i="126"/>
  <c r="G632" i="126"/>
  <c r="E632" i="126"/>
  <c r="AH632" i="126"/>
  <c r="F245" i="126"/>
  <c r="AI245" i="126"/>
  <c r="I521" i="126"/>
  <c r="AJ522" i="126"/>
  <c r="H522" i="126"/>
  <c r="AH318" i="126"/>
  <c r="G318" i="126"/>
  <c r="E318" i="126"/>
  <c r="AL430" i="126"/>
  <c r="M416" i="126"/>
  <c r="AL416" i="126" s="1"/>
  <c r="AJ542" i="126"/>
  <c r="H542" i="126"/>
  <c r="E496" i="126"/>
  <c r="G496" i="126"/>
  <c r="AH496" i="126"/>
  <c r="AO483" i="126"/>
  <c r="H483" i="126"/>
  <c r="W481" i="126"/>
  <c r="AG618" i="126"/>
  <c r="AP618" i="126"/>
  <c r="AM694" i="126"/>
  <c r="P693" i="126"/>
  <c r="I694" i="126"/>
  <c r="S717" i="126"/>
  <c r="AI1060" i="126"/>
  <c r="F1060" i="126"/>
  <c r="AJ1102" i="126"/>
  <c r="H1102" i="126"/>
  <c r="H87" i="125"/>
  <c r="G87" i="125"/>
  <c r="AI617" i="126"/>
  <c r="F617" i="126"/>
  <c r="E117" i="126"/>
  <c r="AH117" i="126"/>
  <c r="G117" i="126"/>
  <c r="AJ110" i="126"/>
  <c r="I109" i="126"/>
  <c r="AI143" i="126"/>
  <c r="F143" i="126"/>
  <c r="AE207" i="126"/>
  <c r="AP207" i="126"/>
  <c r="AG207" i="126"/>
  <c r="S286" i="126"/>
  <c r="S281" i="126" s="1"/>
  <c r="F202" i="126"/>
  <c r="AI202" i="126"/>
  <c r="AJ427" i="126"/>
  <c r="H427" i="126"/>
  <c r="AP498" i="126"/>
  <c r="AG498" i="126"/>
  <c r="AI873" i="126"/>
  <c r="F873" i="126"/>
  <c r="AE99" i="126"/>
  <c r="AG99" i="126"/>
  <c r="AP99" i="126"/>
  <c r="AJ65" i="126"/>
  <c r="H65" i="126"/>
  <c r="AP573" i="126"/>
  <c r="AG573" i="126"/>
  <c r="AI429" i="126"/>
  <c r="F429" i="126"/>
  <c r="W510" i="126"/>
  <c r="AO510" i="126" s="1"/>
  <c r="AO520" i="126"/>
  <c r="AC764" i="126"/>
  <c r="AM805" i="126"/>
  <c r="I805" i="126"/>
  <c r="P803" i="126"/>
  <c r="AM803" i="126" s="1"/>
  <c r="H941" i="126"/>
  <c r="AJ941" i="126"/>
  <c r="AI858" i="126"/>
  <c r="F858" i="126"/>
  <c r="AP875" i="126"/>
  <c r="AG875" i="126"/>
  <c r="AI932" i="126"/>
  <c r="F932" i="126"/>
  <c r="AM996" i="126"/>
  <c r="I996" i="126"/>
  <c r="AI1066" i="126"/>
  <c r="F1066" i="126"/>
  <c r="AJ1080" i="126"/>
  <c r="H1080" i="126"/>
  <c r="I1079" i="126"/>
  <c r="AJ1103" i="126"/>
  <c r="H1103" i="126"/>
  <c r="H1105" i="126"/>
  <c r="AI1105" i="126" s="1"/>
  <c r="F1106" i="126"/>
  <c r="AI1106" i="126"/>
  <c r="AJ432" i="126"/>
  <c r="H432" i="126"/>
  <c r="I431" i="126"/>
  <c r="AI112" i="126"/>
  <c r="F112" i="126"/>
  <c r="F111" i="126"/>
  <c r="H110" i="126"/>
  <c r="AI111" i="126"/>
  <c r="AO119" i="126"/>
  <c r="F359" i="126"/>
  <c r="AI359" i="126"/>
  <c r="AG331" i="126"/>
  <c r="AP331" i="126"/>
  <c r="H448" i="126"/>
  <c r="AJ448" i="126"/>
  <c r="AI408" i="126"/>
  <c r="F408" i="126"/>
  <c r="AI474" i="126"/>
  <c r="F474" i="126"/>
  <c r="AL443" i="126"/>
  <c r="M442" i="126"/>
  <c r="AI487" i="126"/>
  <c r="F487" i="126"/>
  <c r="L45" i="125"/>
  <c r="AC510" i="126"/>
  <c r="AG675" i="126"/>
  <c r="AP675" i="126"/>
  <c r="AI497" i="126"/>
  <c r="F497" i="126"/>
  <c r="H620" i="126"/>
  <c r="AJ620" i="126"/>
  <c r="G638" i="126"/>
  <c r="E638" i="126"/>
  <c r="AH638" i="126"/>
  <c r="AI652" i="126"/>
  <c r="F652" i="126"/>
  <c r="AI695" i="126"/>
  <c r="F695" i="126"/>
  <c r="AJ725" i="126"/>
  <c r="H725" i="126"/>
  <c r="H712" i="126"/>
  <c r="AJ712" i="126"/>
  <c r="H722" i="126"/>
  <c r="I721" i="126"/>
  <c r="AJ721" i="126" s="1"/>
  <c r="AJ722" i="126"/>
  <c r="T727" i="126"/>
  <c r="AN730" i="126"/>
  <c r="AJ744" i="126"/>
  <c r="H744" i="126"/>
  <c r="AJ866" i="126"/>
  <c r="H866" i="126"/>
  <c r="F755" i="126"/>
  <c r="AI755" i="126"/>
  <c r="AI816" i="126"/>
  <c r="F816" i="126"/>
  <c r="AJ832" i="126"/>
  <c r="H832" i="126"/>
  <c r="N867" i="126"/>
  <c r="AL867" i="126" s="1"/>
  <c r="AL868" i="126"/>
  <c r="AI825" i="126"/>
  <c r="F825" i="126"/>
  <c r="I851" i="126"/>
  <c r="AM851" i="126"/>
  <c r="G957" i="126"/>
  <c r="E957" i="126"/>
  <c r="F956" i="126"/>
  <c r="AH957" i="126"/>
  <c r="F984" i="126"/>
  <c r="AI984" i="126"/>
  <c r="AI900" i="126"/>
  <c r="F900" i="126"/>
  <c r="M919" i="126"/>
  <c r="AL919" i="126" s="1"/>
  <c r="AI923" i="126"/>
  <c r="F923" i="126"/>
  <c r="AJ1012" i="126"/>
  <c r="H1012" i="126"/>
  <c r="AM1061" i="126"/>
  <c r="I1061" i="126"/>
  <c r="AH1059" i="126"/>
  <c r="E1059" i="126"/>
  <c r="G1059" i="126"/>
  <c r="AI1073" i="126"/>
  <c r="F1073" i="126"/>
  <c r="AI1108" i="126"/>
  <c r="F1108" i="126"/>
  <c r="AJ467" i="126"/>
  <c r="H467" i="126"/>
  <c r="S531" i="126"/>
  <c r="AP689" i="126"/>
  <c r="AG689" i="126"/>
  <c r="AH776" i="126"/>
  <c r="E776" i="126"/>
  <c r="G776" i="126"/>
  <c r="AJ797" i="126"/>
  <c r="H797" i="126"/>
  <c r="AJ760" i="126"/>
  <c r="H760" i="126"/>
  <c r="AM973" i="126"/>
  <c r="I973" i="126"/>
  <c r="AJ822" i="126"/>
  <c r="H822" i="126"/>
  <c r="AI852" i="126"/>
  <c r="F852" i="126"/>
  <c r="AI982" i="126"/>
  <c r="F982" i="126"/>
  <c r="AI818" i="126"/>
  <c r="F818" i="126"/>
  <c r="AI1024" i="126"/>
  <c r="F1024" i="126"/>
  <c r="AI1044" i="126"/>
  <c r="F1044" i="126"/>
  <c r="AJ1041" i="126"/>
  <c r="H1041" i="126"/>
  <c r="AI1065" i="126"/>
  <c r="F1065" i="126"/>
  <c r="L65" i="125"/>
  <c r="H66" i="125"/>
  <c r="E58" i="126"/>
  <c r="AH58" i="126"/>
  <c r="G58" i="126"/>
  <c r="AG53" i="126"/>
  <c r="AP53" i="126"/>
  <c r="E115" i="126"/>
  <c r="G115" i="126"/>
  <c r="AH115" i="126"/>
  <c r="E96" i="126"/>
  <c r="AH96" i="126"/>
  <c r="F95" i="126"/>
  <c r="AH95" i="126" s="1"/>
  <c r="G96" i="126"/>
  <c r="G95" i="126" s="1"/>
  <c r="AP164" i="126"/>
  <c r="AG164" i="126"/>
  <c r="AI504" i="126"/>
  <c r="F504" i="126"/>
  <c r="H503" i="126"/>
  <c r="AI503" i="126" s="1"/>
  <c r="AJ436" i="126"/>
  <c r="H436" i="126"/>
  <c r="AH392" i="126"/>
  <c r="G392" i="126"/>
  <c r="E392" i="126"/>
  <c r="AH209" i="126"/>
  <c r="E209" i="126"/>
  <c r="G209" i="126"/>
  <c r="AH371" i="126"/>
  <c r="G371" i="126"/>
  <c r="E371" i="126"/>
  <c r="AJ466" i="126"/>
  <c r="H466" i="126"/>
  <c r="F550" i="126"/>
  <c r="AI550" i="126"/>
  <c r="H476" i="126"/>
  <c r="AJ476" i="126"/>
  <c r="AI571" i="126"/>
  <c r="F571" i="126"/>
  <c r="AJ533" i="126"/>
  <c r="H533" i="126"/>
  <c r="I532" i="126"/>
  <c r="AP658" i="126"/>
  <c r="AG658" i="126"/>
  <c r="T499" i="126"/>
  <c r="AN499" i="126" s="1"/>
  <c r="AN500" i="126"/>
  <c r="AH701" i="126"/>
  <c r="E701" i="126"/>
  <c r="G701" i="126"/>
  <c r="AI710" i="126"/>
  <c r="F710" i="126"/>
  <c r="H673" i="126"/>
  <c r="AO673" i="126"/>
  <c r="AJ777" i="126"/>
  <c r="H777" i="126"/>
  <c r="AJ834" i="126"/>
  <c r="H834" i="126"/>
  <c r="AJ860" i="126"/>
  <c r="H860" i="126"/>
  <c r="I869" i="126"/>
  <c r="AJ876" i="126"/>
  <c r="H876" i="126"/>
  <c r="AH966" i="126"/>
  <c r="E966" i="126"/>
  <c r="G966" i="126"/>
  <c r="AH1027" i="126"/>
  <c r="E1027" i="126"/>
  <c r="G1027" i="126"/>
  <c r="AJ1075" i="126"/>
  <c r="H1075" i="126"/>
  <c r="AG1116" i="126"/>
  <c r="AE1116" i="126"/>
  <c r="AP1116" i="126"/>
  <c r="AE1127" i="126"/>
  <c r="AP1127" i="126"/>
  <c r="AG1127" i="126"/>
  <c r="F67" i="126"/>
  <c r="AI67" i="126"/>
  <c r="S29" i="126"/>
  <c r="AJ69" i="126"/>
  <c r="H69" i="126"/>
  <c r="H20" i="125"/>
  <c r="G20" i="125" s="1"/>
  <c r="K20" i="125"/>
  <c r="J20" i="125"/>
  <c r="AJ66" i="126"/>
  <c r="H66" i="126"/>
  <c r="AJ166" i="126"/>
  <c r="H166" i="126"/>
  <c r="F472" i="126"/>
  <c r="AI472" i="126"/>
  <c r="AH527" i="126"/>
  <c r="E527" i="126"/>
  <c r="G527" i="126"/>
  <c r="AI547" i="126"/>
  <c r="F547" i="126"/>
  <c r="L29" i="126"/>
  <c r="AK30" i="126"/>
  <c r="AP135" i="126"/>
  <c r="AG135" i="126"/>
  <c r="AJ254" i="126"/>
  <c r="H254" i="126"/>
  <c r="L25" i="125"/>
  <c r="L24" i="125"/>
  <c r="F223" i="126"/>
  <c r="AI223" i="126"/>
  <c r="AH310" i="126"/>
  <c r="G310" i="126"/>
  <c r="E310" i="126"/>
  <c r="F406" i="126"/>
  <c r="AI406" i="126"/>
  <c r="AO142" i="126"/>
  <c r="W139" i="126"/>
  <c r="AO139" i="126" s="1"/>
  <c r="E343" i="126"/>
  <c r="AH343" i="126"/>
  <c r="G343" i="126"/>
  <c r="AI350" i="126"/>
  <c r="F350" i="126"/>
  <c r="S231" i="126"/>
  <c r="F268" i="126"/>
  <c r="AI268" i="126"/>
  <c r="F345" i="126"/>
  <c r="AI345" i="126"/>
  <c r="AG384" i="126"/>
  <c r="AP384" i="126"/>
  <c r="W592" i="126"/>
  <c r="AO592" i="126" s="1"/>
  <c r="AO593" i="126"/>
  <c r="AJ473" i="126"/>
  <c r="H473" i="126"/>
  <c r="AM461" i="126"/>
  <c r="I461" i="126"/>
  <c r="AH651" i="126"/>
  <c r="E651" i="126"/>
  <c r="G651" i="126"/>
  <c r="AI714" i="126"/>
  <c r="F714" i="126"/>
  <c r="AK737" i="126"/>
  <c r="J726" i="126"/>
  <c r="AJ845" i="126"/>
  <c r="H845" i="126"/>
  <c r="AH893" i="126"/>
  <c r="G893" i="126"/>
  <c r="E893" i="126"/>
  <c r="AI972" i="126"/>
  <c r="F972" i="126"/>
  <c r="AP954" i="126"/>
  <c r="AG954" i="126"/>
  <c r="H990" i="126"/>
  <c r="AJ990" i="126"/>
  <c r="AI1112" i="126"/>
  <c r="F1112" i="126"/>
  <c r="H1111" i="126"/>
  <c r="AI1111" i="126" s="1"/>
  <c r="AE1126" i="126"/>
  <c r="AP1126" i="126"/>
  <c r="AG1126" i="126"/>
  <c r="AP151" i="126"/>
  <c r="G269" i="126"/>
  <c r="AH269" i="126"/>
  <c r="E269" i="126"/>
  <c r="AC47" i="126"/>
  <c r="AP74" i="126"/>
  <c r="AG74" i="126"/>
  <c r="W189" i="126"/>
  <c r="Z196" i="126"/>
  <c r="AI260" i="126"/>
  <c r="AH260" i="126"/>
  <c r="AI439" i="126"/>
  <c r="F439" i="126"/>
  <c r="AI276" i="126"/>
  <c r="F276" i="126"/>
  <c r="H360" i="126"/>
  <c r="AJ360" i="126"/>
  <c r="AJ290" i="126"/>
  <c r="H290" i="126"/>
  <c r="AI626" i="126"/>
  <c r="F626" i="126"/>
  <c r="H645" i="126"/>
  <c r="AI645" i="126" s="1"/>
  <c r="AM541" i="126"/>
  <c r="P540" i="126"/>
  <c r="I541" i="126"/>
  <c r="AJ622" i="126"/>
  <c r="H622" i="126"/>
  <c r="AI871" i="126"/>
  <c r="H870" i="126"/>
  <c r="F871" i="126"/>
  <c r="AA868" i="126"/>
  <c r="G889" i="126"/>
  <c r="AH889" i="126"/>
  <c r="E889" i="126"/>
  <c r="AM266" i="126"/>
  <c r="I266" i="126"/>
  <c r="S840" i="126"/>
  <c r="P140" i="126"/>
  <c r="I140" i="126" s="1"/>
  <c r="S139" i="126"/>
  <c r="AM263" i="126"/>
  <c r="I263" i="126"/>
  <c r="S500" i="126"/>
  <c r="AM595" i="126"/>
  <c r="P594" i="126"/>
  <c r="I595" i="126"/>
  <c r="S1039" i="126"/>
  <c r="S919" i="126" s="1"/>
  <c r="AM354" i="126"/>
  <c r="I354" i="126"/>
  <c r="H631" i="126"/>
  <c r="AI631" i="126" s="1"/>
  <c r="AI68" i="126"/>
  <c r="F68" i="126"/>
  <c r="AH376" i="126"/>
  <c r="G376" i="126"/>
  <c r="G374" i="126" s="1"/>
  <c r="E376" i="126"/>
  <c r="F336" i="126"/>
  <c r="AI336" i="126"/>
  <c r="AK48" i="126"/>
  <c r="J47" i="126"/>
  <c r="I237" i="126"/>
  <c r="P236" i="126"/>
  <c r="AM236" i="126" s="1"/>
  <c r="AM237" i="126"/>
  <c r="AI272" i="126"/>
  <c r="F272" i="126"/>
  <c r="AJ454" i="126"/>
  <c r="H454" i="126"/>
  <c r="E486" i="126"/>
  <c r="G486" i="126"/>
  <c r="AH486" i="126"/>
  <c r="P458" i="126"/>
  <c r="AM458" i="126" s="1"/>
  <c r="AM459" i="126"/>
  <c r="I459" i="126"/>
  <c r="AI615" i="126"/>
  <c r="F615" i="126"/>
  <c r="AG885" i="126"/>
  <c r="AP885" i="126"/>
  <c r="F1018" i="126"/>
  <c r="AI1018" i="126"/>
  <c r="P1007" i="126"/>
  <c r="AN1007" i="126"/>
  <c r="I1035" i="126"/>
  <c r="AM1035" i="126"/>
  <c r="AI1038" i="126"/>
  <c r="F1038" i="126"/>
  <c r="AJ1076" i="126"/>
  <c r="H1076" i="126"/>
  <c r="AI1118" i="126"/>
  <c r="F1118" i="126"/>
  <c r="P29" i="126"/>
  <c r="AM30" i="126"/>
  <c r="AH81" i="126"/>
  <c r="E81" i="126"/>
  <c r="G81" i="126"/>
  <c r="AP393" i="126"/>
  <c r="AG393" i="126"/>
  <c r="AH194" i="126"/>
  <c r="G194" i="126"/>
  <c r="E194" i="126"/>
  <c r="AP375" i="126"/>
  <c r="AG375" i="126"/>
  <c r="AM517" i="126"/>
  <c r="I517" i="126"/>
  <c r="AM63" i="126"/>
  <c r="P62" i="126"/>
  <c r="AJ91" i="126"/>
  <c r="H91" i="126"/>
  <c r="P124" i="126"/>
  <c r="AM124" i="126" s="1"/>
  <c r="AM125" i="126"/>
  <c r="I125" i="126"/>
  <c r="AO153" i="126"/>
  <c r="AJ422" i="126"/>
  <c r="H422" i="126"/>
  <c r="AI201" i="126"/>
  <c r="F201" i="126"/>
  <c r="AI279" i="126"/>
  <c r="F279" i="126"/>
  <c r="AJ341" i="126"/>
  <c r="H341" i="126"/>
  <c r="I340" i="126"/>
  <c r="AI445" i="126"/>
  <c r="F445" i="126"/>
  <c r="AP659" i="126"/>
  <c r="AG659" i="126"/>
  <c r="S491" i="126"/>
  <c r="H589" i="126"/>
  <c r="AJ589" i="126"/>
  <c r="P624" i="126"/>
  <c r="AM625" i="126"/>
  <c r="I625" i="126"/>
  <c r="G703" i="126"/>
  <c r="AH703" i="126"/>
  <c r="E703" i="126"/>
  <c r="AJ746" i="126"/>
  <c r="H746" i="126"/>
  <c r="F853" i="126"/>
  <c r="AI853" i="126"/>
  <c r="AI839" i="126"/>
  <c r="F839" i="126"/>
  <c r="T1052" i="126"/>
  <c r="AN1052" i="126" s="1"/>
  <c r="AN1053" i="126"/>
  <c r="AM1010" i="126"/>
  <c r="I1010" i="126"/>
  <c r="AE1086" i="126"/>
  <c r="AP1086" i="126"/>
  <c r="AG1086" i="126"/>
  <c r="AG528" i="126"/>
  <c r="AP528" i="126"/>
  <c r="G639" i="126"/>
  <c r="E639" i="126"/>
  <c r="AH639" i="126"/>
  <c r="M726" i="126"/>
  <c r="AL726" i="126" s="1"/>
  <c r="AJ976" i="126"/>
  <c r="H976" i="126"/>
  <c r="G1030" i="126"/>
  <c r="AH1030" i="126"/>
  <c r="E1030" i="126"/>
  <c r="AG57" i="126"/>
  <c r="AP57" i="126"/>
  <c r="AJ36" i="126"/>
  <c r="H36" i="126"/>
  <c r="AJ178" i="126"/>
  <c r="AO244" i="126"/>
  <c r="H244" i="126"/>
  <c r="I584" i="126"/>
  <c r="AJ584" i="126" s="1"/>
  <c r="AO162" i="126"/>
  <c r="H162" i="126"/>
  <c r="W159" i="126"/>
  <c r="AO159" i="126" s="1"/>
  <c r="AP572" i="126"/>
  <c r="AG572" i="126"/>
  <c r="AO291" i="126"/>
  <c r="H291" i="126"/>
  <c r="AI198" i="126"/>
  <c r="H197" i="126"/>
  <c r="AI197" i="126" s="1"/>
  <c r="F198" i="126"/>
  <c r="AC229" i="126"/>
  <c r="AO417" i="126"/>
  <c r="W416" i="126"/>
  <c r="AO416" i="126" s="1"/>
  <c r="AM154" i="126"/>
  <c r="P153" i="126"/>
  <c r="AN29" i="126"/>
  <c r="T28" i="126"/>
  <c r="E40" i="126"/>
  <c r="AH40" i="126"/>
  <c r="G40" i="126"/>
  <c r="AI42" i="126"/>
  <c r="F42" i="126"/>
  <c r="S101" i="126"/>
  <c r="E84" i="126"/>
  <c r="G84" i="126"/>
  <c r="G82" i="126" s="1"/>
  <c r="AH84" i="126"/>
  <c r="AI116" i="126"/>
  <c r="F116" i="126"/>
  <c r="E23" i="126"/>
  <c r="AH23" i="126"/>
  <c r="G23" i="126"/>
  <c r="I21" i="125"/>
  <c r="S88" i="126"/>
  <c r="S248" i="126"/>
  <c r="AI278" i="126"/>
  <c r="F278" i="126"/>
  <c r="AL500" i="126"/>
  <c r="M499" i="126"/>
  <c r="AL499" i="126" s="1"/>
  <c r="F519" i="126"/>
  <c r="AI519" i="126"/>
  <c r="P544" i="126"/>
  <c r="AM544" i="126" s="1"/>
  <c r="AM545" i="126"/>
  <c r="I545" i="126"/>
  <c r="I38" i="126"/>
  <c r="AJ38" i="126" s="1"/>
  <c r="H39" i="126"/>
  <c r="AJ39" i="126"/>
  <c r="AM123" i="126"/>
  <c r="P122" i="126"/>
  <c r="AM122" i="126" s="1"/>
  <c r="I123" i="126"/>
  <c r="AH378" i="126"/>
  <c r="G378" i="126"/>
  <c r="E378" i="126"/>
  <c r="AN88" i="126"/>
  <c r="T87" i="126"/>
  <c r="G220" i="126"/>
  <c r="AH220" i="126"/>
  <c r="E220" i="126"/>
  <c r="AJ423" i="126"/>
  <c r="H423" i="126"/>
  <c r="AI64" i="126"/>
  <c r="F64" i="126"/>
  <c r="AI203" i="126"/>
  <c r="F203" i="126"/>
  <c r="AH303" i="126"/>
  <c r="G303" i="126"/>
  <c r="E303" i="126"/>
  <c r="AH400" i="126"/>
  <c r="G400" i="126"/>
  <c r="E400" i="126"/>
  <c r="AH326" i="126"/>
  <c r="G326" i="126"/>
  <c r="E326" i="126"/>
  <c r="AH370" i="126"/>
  <c r="G370" i="126"/>
  <c r="E370" i="126"/>
  <c r="Z230" i="126"/>
  <c r="Z229" i="126" s="1"/>
  <c r="E381" i="126"/>
  <c r="G381" i="126"/>
  <c r="AH381" i="126"/>
  <c r="AP490" i="126"/>
  <c r="E489" i="126"/>
  <c r="AG490" i="126"/>
  <c r="AE490" i="126"/>
  <c r="AE489" i="126" s="1"/>
  <c r="W403" i="126"/>
  <c r="AO403" i="126" s="1"/>
  <c r="AO404" i="126"/>
  <c r="AM428" i="126"/>
  <c r="I428" i="126"/>
  <c r="G558" i="126"/>
  <c r="E558" i="126"/>
  <c r="AH558" i="126"/>
  <c r="AP535" i="126"/>
  <c r="AG535" i="126"/>
  <c r="AO665" i="126"/>
  <c r="P492" i="126"/>
  <c r="AM493" i="126"/>
  <c r="I493" i="126"/>
  <c r="AM537" i="126"/>
  <c r="P536" i="126"/>
  <c r="I537" i="126"/>
  <c r="E553" i="126"/>
  <c r="AH553" i="126"/>
  <c r="G553" i="126"/>
  <c r="AM681" i="126"/>
  <c r="P680" i="126"/>
  <c r="AM680" i="126" s="1"/>
  <c r="AP663" i="126"/>
  <c r="AG663" i="126"/>
  <c r="G570" i="126"/>
  <c r="AH570" i="126"/>
  <c r="E570" i="126"/>
  <c r="T599" i="126"/>
  <c r="AN600" i="126"/>
  <c r="I704" i="126"/>
  <c r="AM704" i="126"/>
  <c r="P702" i="126"/>
  <c r="AM702" i="126" s="1"/>
  <c r="AJ724" i="126"/>
  <c r="H724" i="126"/>
  <c r="H736" i="126"/>
  <c r="AJ736" i="126"/>
  <c r="AI711" i="126"/>
  <c r="F711" i="126"/>
  <c r="AL766" i="126"/>
  <c r="M765" i="126"/>
  <c r="AN770" i="126"/>
  <c r="T765" i="126"/>
  <c r="AI806" i="126"/>
  <c r="F806" i="126"/>
  <c r="AJ754" i="126"/>
  <c r="H754" i="126"/>
  <c r="AK765" i="126"/>
  <c r="J764" i="126"/>
  <c r="AN803" i="126"/>
  <c r="T801" i="126"/>
  <c r="P971" i="126"/>
  <c r="AN971" i="126"/>
  <c r="T968" i="126"/>
  <c r="AH879" i="126"/>
  <c r="G879" i="126"/>
  <c r="E879" i="126"/>
  <c r="AK868" i="126"/>
  <c r="J867" i="126"/>
  <c r="AK867" i="126" s="1"/>
  <c r="AH880" i="126"/>
  <c r="G880" i="126"/>
  <c r="E880" i="126"/>
  <c r="AI939" i="126"/>
  <c r="F939" i="126"/>
  <c r="I926" i="126"/>
  <c r="AM926" i="126"/>
  <c r="AH937" i="126"/>
  <c r="E937" i="126"/>
  <c r="G937" i="126"/>
  <c r="AM931" i="126"/>
  <c r="I931" i="126"/>
  <c r="P929" i="126"/>
  <c r="AM929" i="126" s="1"/>
  <c r="F1049" i="126"/>
  <c r="AI1049" i="126"/>
  <c r="AJ1031" i="126"/>
  <c r="H1031" i="126"/>
  <c r="AI1032" i="126"/>
  <c r="F1032" i="126"/>
  <c r="AI1067" i="126"/>
  <c r="F1067" i="126"/>
  <c r="AI1058" i="126"/>
  <c r="F1058" i="126"/>
  <c r="H1057" i="126"/>
  <c r="AI1057" i="126" s="1"/>
  <c r="AG1117" i="126"/>
  <c r="AE1117" i="126"/>
  <c r="AP1117" i="126"/>
  <c r="AM357" i="126"/>
  <c r="P356" i="126"/>
  <c r="AM356" i="126" s="1"/>
  <c r="P430" i="126"/>
  <c r="AM430" i="126" s="1"/>
  <c r="AM431" i="126"/>
  <c r="S416" i="126"/>
  <c r="G554" i="126"/>
  <c r="E554" i="126"/>
  <c r="AH554" i="126"/>
  <c r="AI630" i="126"/>
  <c r="F630" i="126"/>
  <c r="I464" i="126"/>
  <c r="AM464" i="126"/>
  <c r="V511" i="126"/>
  <c r="G653" i="126"/>
  <c r="AH653" i="126"/>
  <c r="E653" i="126"/>
  <c r="H696" i="126"/>
  <c r="AI696" i="126" s="1"/>
  <c r="AI697" i="126"/>
  <c r="F697" i="126"/>
  <c r="G686" i="126"/>
  <c r="AH686" i="126"/>
  <c r="F685" i="126"/>
  <c r="AH685" i="126" s="1"/>
  <c r="E686" i="126"/>
  <c r="AJ784" i="126"/>
  <c r="H784" i="126"/>
  <c r="I783" i="126"/>
  <c r="AJ783" i="126" s="1"/>
  <c r="AI1017" i="126"/>
  <c r="F1017" i="126"/>
  <c r="AJ1029" i="126"/>
  <c r="H1029" i="126"/>
  <c r="AI1071" i="126"/>
  <c r="F1071" i="126"/>
  <c r="AJ1109" i="126"/>
  <c r="H1109" i="126"/>
  <c r="S62" i="126"/>
  <c r="W86" i="126"/>
  <c r="AO86" i="126" s="1"/>
  <c r="AO87" i="126"/>
  <c r="G557" i="126"/>
  <c r="E557" i="126"/>
  <c r="AH557" i="126"/>
  <c r="AI41" i="126"/>
  <c r="F41" i="126"/>
  <c r="AE85" i="126"/>
  <c r="AP85" i="126"/>
  <c r="AG85" i="126"/>
  <c r="S127" i="126"/>
  <c r="AP136" i="126"/>
  <c r="AG136" i="126"/>
  <c r="AC176" i="126"/>
  <c r="AH205" i="126"/>
  <c r="G205" i="126"/>
  <c r="E205" i="126"/>
  <c r="AN250" i="126"/>
  <c r="T248" i="126"/>
  <c r="AA281" i="126"/>
  <c r="AN420" i="126"/>
  <c r="T417" i="126"/>
  <c r="M352" i="126"/>
  <c r="AL352" i="126" s="1"/>
  <c r="AO188" i="126"/>
  <c r="H188" i="126"/>
  <c r="AE224" i="126"/>
  <c r="AP224" i="126"/>
  <c r="AG224" i="126"/>
  <c r="F243" i="126"/>
  <c r="H242" i="126"/>
  <c r="AI243" i="126"/>
  <c r="AP386" i="126"/>
  <c r="AG386" i="126"/>
  <c r="AP391" i="126"/>
  <c r="AG391" i="126"/>
  <c r="H367" i="126"/>
  <c r="AI368" i="126"/>
  <c r="AJ199" i="126"/>
  <c r="H199" i="126"/>
  <c r="AH412" i="126"/>
  <c r="G412" i="126"/>
  <c r="E412" i="126"/>
  <c r="AI435" i="126"/>
  <c r="F435" i="126"/>
  <c r="AJ457" i="126"/>
  <c r="H457" i="126"/>
  <c r="AJ516" i="126"/>
  <c r="H516" i="126"/>
  <c r="E549" i="126"/>
  <c r="AH549" i="126"/>
  <c r="G549" i="126"/>
  <c r="AJ444" i="126"/>
  <c r="H444" i="126"/>
  <c r="AH616" i="126"/>
  <c r="E616" i="126"/>
  <c r="G616" i="126"/>
  <c r="AP647" i="126"/>
  <c r="AG647" i="126"/>
  <c r="AK500" i="126"/>
  <c r="J499" i="126"/>
  <c r="AK499" i="126" s="1"/>
  <c r="AI555" i="126"/>
  <c r="F555" i="126"/>
  <c r="F548" i="126" s="1"/>
  <c r="G564" i="126"/>
  <c r="AH564" i="126"/>
  <c r="E564" i="126"/>
  <c r="F609" i="126"/>
  <c r="AI609" i="126"/>
  <c r="AI604" i="126"/>
  <c r="F604" i="126"/>
  <c r="AJ676" i="126"/>
  <c r="H676" i="126"/>
  <c r="M680" i="126"/>
  <c r="AL681" i="126"/>
  <c r="AN718" i="126"/>
  <c r="T717" i="126"/>
  <c r="AN717" i="126" s="1"/>
  <c r="P730" i="126"/>
  <c r="AM732" i="126"/>
  <c r="I732" i="126"/>
  <c r="I730" i="126" s="1"/>
  <c r="AM780" i="126"/>
  <c r="P779" i="126"/>
  <c r="AM779" i="126" s="1"/>
  <c r="AL780" i="126"/>
  <c r="M779" i="126"/>
  <c r="AL779" i="126" s="1"/>
  <c r="AH791" i="126"/>
  <c r="G791" i="126"/>
  <c r="E791" i="126"/>
  <c r="W763" i="126"/>
  <c r="AO763" i="126" s="1"/>
  <c r="AO764" i="126"/>
  <c r="AI774" i="126"/>
  <c r="F774" i="126"/>
  <c r="I811" i="126"/>
  <c r="AM811" i="126"/>
  <c r="H953" i="126"/>
  <c r="AJ953" i="126"/>
  <c r="AM802" i="126"/>
  <c r="P801" i="126"/>
  <c r="AI905" i="126"/>
  <c r="F905" i="126"/>
  <c r="H904" i="126"/>
  <c r="AI904" i="126" s="1"/>
  <c r="AM922" i="126"/>
  <c r="I922" i="126"/>
  <c r="P920" i="126"/>
  <c r="AI882" i="126"/>
  <c r="F882" i="126"/>
  <c r="AJ994" i="126"/>
  <c r="H994" i="126"/>
  <c r="AI1015" i="126"/>
  <c r="F1015" i="126"/>
  <c r="AH1033" i="126"/>
  <c r="E1033" i="126"/>
  <c r="G1033" i="126"/>
  <c r="H1092" i="126"/>
  <c r="AI1092" i="126" s="1"/>
  <c r="AI1093" i="126"/>
  <c r="AG1124" i="126"/>
  <c r="AE1124" i="126"/>
  <c r="AP1124" i="126"/>
  <c r="E488" i="126"/>
  <c r="AH488" i="126"/>
  <c r="G488" i="126"/>
  <c r="AG552" i="126"/>
  <c r="AP552" i="126"/>
  <c r="AL576" i="126"/>
  <c r="AL593" i="126"/>
  <c r="M592" i="126"/>
  <c r="AL592" i="126" s="1"/>
  <c r="AI602" i="126"/>
  <c r="F602" i="126"/>
  <c r="H621" i="126"/>
  <c r="AJ621" i="126"/>
  <c r="AI850" i="126"/>
  <c r="F850" i="126"/>
  <c r="AG788" i="126"/>
  <c r="AP788" i="126"/>
  <c r="T840" i="126"/>
  <c r="AN840" i="126" s="1"/>
  <c r="AN841" i="126"/>
  <c r="AJ817" i="126"/>
  <c r="H854" i="126"/>
  <c r="AJ854" i="126"/>
  <c r="AI921" i="126"/>
  <c r="F921" i="126"/>
  <c r="AH944" i="126"/>
  <c r="E944" i="126"/>
  <c r="G944" i="126"/>
  <c r="E884" i="126"/>
  <c r="G884" i="126"/>
  <c r="AH884" i="126"/>
  <c r="AM959" i="126"/>
  <c r="P958" i="126"/>
  <c r="AM958" i="126" s="1"/>
  <c r="I959" i="126"/>
  <c r="AI1045" i="126"/>
  <c r="F1045" i="126"/>
  <c r="AJ1077" i="126"/>
  <c r="H1077" i="126"/>
  <c r="AJ90" i="126"/>
  <c r="H90" i="126"/>
  <c r="I89" i="126"/>
  <c r="L62" i="126"/>
  <c r="AK63" i="126"/>
  <c r="AI33" i="126"/>
  <c r="F33" i="126"/>
  <c r="AH399" i="126"/>
  <c r="G399" i="126"/>
  <c r="E399" i="126"/>
  <c r="I130" i="126"/>
  <c r="G206" i="126"/>
  <c r="AH206" i="126"/>
  <c r="E206" i="126"/>
  <c r="AI191" i="126"/>
  <c r="F191" i="126"/>
  <c r="AH195" i="126"/>
  <c r="G195" i="126"/>
  <c r="E195" i="126"/>
  <c r="AI362" i="126"/>
  <c r="F362" i="126"/>
  <c r="AL153" i="126"/>
  <c r="E225" i="126"/>
  <c r="AG226" i="126"/>
  <c r="AP226" i="126"/>
  <c r="AM251" i="126"/>
  <c r="F284" i="126"/>
  <c r="AP332" i="126"/>
  <c r="AG332" i="126"/>
  <c r="AH411" i="126"/>
  <c r="G411" i="126"/>
  <c r="E411" i="126"/>
  <c r="AJ451" i="126"/>
  <c r="H451" i="126"/>
  <c r="E385" i="126"/>
  <c r="G385" i="126"/>
  <c r="AH385" i="126"/>
  <c r="AM462" i="126"/>
  <c r="I462" i="126"/>
  <c r="E538" i="126"/>
  <c r="AH538" i="126"/>
  <c r="G538" i="126"/>
  <c r="Z623" i="126"/>
  <c r="AH657" i="126"/>
  <c r="G657" i="126"/>
  <c r="E657" i="126"/>
  <c r="AO740" i="126"/>
  <c r="W737" i="126"/>
  <c r="AI771" i="126"/>
  <c r="F771" i="126"/>
  <c r="AJ807" i="126"/>
  <c r="H807" i="126"/>
  <c r="AJ819" i="126"/>
  <c r="H819" i="126"/>
  <c r="AI830" i="126"/>
  <c r="F830" i="126"/>
  <c r="AI907" i="126"/>
  <c r="F907" i="126"/>
  <c r="AI831" i="126"/>
  <c r="F831" i="126"/>
  <c r="AJ846" i="126"/>
  <c r="H846" i="126"/>
  <c r="AP938" i="126"/>
  <c r="AG938" i="126"/>
  <c r="AI965" i="126"/>
  <c r="F965" i="126"/>
  <c r="I1009" i="126"/>
  <c r="AM1009" i="126"/>
  <c r="AN1042" i="126"/>
  <c r="T1040" i="126"/>
  <c r="E52" i="126"/>
  <c r="AH52" i="126"/>
  <c r="G52" i="126"/>
  <c r="F78" i="126"/>
  <c r="H77" i="126"/>
  <c r="AI77" i="126" s="1"/>
  <c r="AI78" i="126"/>
  <c r="AO108" i="126"/>
  <c r="W101" i="126"/>
  <c r="F24" i="126"/>
  <c r="AI24" i="126"/>
  <c r="AP56" i="126"/>
  <c r="AG56" i="126"/>
  <c r="F113" i="126"/>
  <c r="AI113" i="126"/>
  <c r="AM258" i="126"/>
  <c r="P256" i="126"/>
  <c r="AM256" i="126" s="1"/>
  <c r="AI43" i="126"/>
  <c r="F43" i="126"/>
  <c r="AP149" i="126"/>
  <c r="AG149" i="126"/>
  <c r="AO48" i="126"/>
  <c r="W47" i="126"/>
  <c r="T108" i="126"/>
  <c r="AN109" i="126"/>
  <c r="AL232" i="126"/>
  <c r="M231" i="126"/>
  <c r="J416" i="126"/>
  <c r="AK416" i="126" s="1"/>
  <c r="AJ155" i="126"/>
  <c r="P232" i="126"/>
  <c r="AM233" i="126"/>
  <c r="I233" i="126"/>
  <c r="T281" i="126"/>
  <c r="AN281" i="126" s="1"/>
  <c r="AH322" i="126"/>
  <c r="G322" i="126"/>
  <c r="E322" i="126"/>
  <c r="AL256" i="126"/>
  <c r="M250" i="126"/>
  <c r="F465" i="126"/>
  <c r="AI465" i="126"/>
  <c r="S363" i="126"/>
  <c r="AI579" i="126"/>
  <c r="F579" i="126"/>
  <c r="I468" i="126"/>
  <c r="AJ468" i="126" s="1"/>
  <c r="AJ469" i="126"/>
  <c r="H469" i="126"/>
  <c r="AP662" i="126"/>
  <c r="AG662" i="126"/>
  <c r="AM521" i="126"/>
  <c r="P520" i="126"/>
  <c r="AM520" i="126" s="1"/>
  <c r="AJ611" i="126"/>
  <c r="H611" i="126"/>
  <c r="AI749" i="126"/>
  <c r="F749" i="126"/>
  <c r="I826" i="126"/>
  <c r="AJ826" i="126" s="1"/>
  <c r="H827" i="126"/>
  <c r="AJ827" i="126"/>
  <c r="AJ844" i="126"/>
  <c r="H844" i="126"/>
  <c r="I843" i="126"/>
  <c r="AI1070" i="126"/>
  <c r="F1070" i="126"/>
  <c r="AP560" i="126"/>
  <c r="AG560" i="126"/>
  <c r="AI200" i="126"/>
  <c r="F200" i="126"/>
  <c r="AH73" i="126"/>
  <c r="E73" i="126"/>
  <c r="AE83" i="126"/>
  <c r="E82" i="126"/>
  <c r="AP83" i="126"/>
  <c r="AG83" i="126"/>
  <c r="H142" i="126"/>
  <c r="AO187" i="126"/>
  <c r="H187" i="126"/>
  <c r="J281" i="126"/>
  <c r="AI379" i="126"/>
  <c r="F379" i="126"/>
  <c r="F377" i="126" s="1"/>
  <c r="AI677" i="126"/>
  <c r="F677" i="126"/>
  <c r="H612" i="126"/>
  <c r="AJ612" i="126"/>
  <c r="AJ700" i="126"/>
  <c r="I699" i="126"/>
  <c r="AJ699" i="126" s="1"/>
  <c r="H700" i="126"/>
  <c r="AJ728" i="126"/>
  <c r="H728" i="126"/>
  <c r="AG787" i="126"/>
  <c r="AP787" i="126"/>
  <c r="M800" i="126"/>
  <c r="AL800" i="126" s="1"/>
  <c r="AL801" i="126"/>
  <c r="AG789" i="126"/>
  <c r="AP789" i="126"/>
  <c r="AO870" i="126"/>
  <c r="W869" i="126"/>
  <c r="F888" i="126"/>
  <c r="AI888" i="126"/>
  <c r="V919" i="126"/>
  <c r="E895" i="126"/>
  <c r="AH895" i="126"/>
  <c r="G895" i="126"/>
  <c r="AK1039" i="126"/>
  <c r="J919" i="126"/>
  <c r="AK919" i="126" s="1"/>
  <c r="AH1104" i="126"/>
  <c r="G1104" i="126"/>
  <c r="E1104" i="126"/>
  <c r="I71" i="125"/>
  <c r="AM512" i="126"/>
  <c r="I512" i="126"/>
  <c r="O1123" i="126"/>
  <c r="P501" i="126"/>
  <c r="AM502" i="126"/>
  <c r="I502" i="126"/>
  <c r="AM1041" i="126"/>
  <c r="AM283" i="126"/>
  <c r="P282" i="126"/>
  <c r="I283" i="126"/>
  <c r="AJ93" i="126"/>
  <c r="H93" i="126"/>
  <c r="I92" i="126"/>
  <c r="AJ92" i="126" s="1"/>
  <c r="P108" i="126"/>
  <c r="AM108" i="126" s="1"/>
  <c r="AM109" i="126"/>
  <c r="AI94" i="126"/>
  <c r="F94" i="126"/>
  <c r="AJ141" i="126"/>
  <c r="AM161" i="126"/>
  <c r="P160" i="126"/>
  <c r="AI288" i="126"/>
  <c r="F288" i="126"/>
  <c r="G401" i="126"/>
  <c r="AH401" i="126"/>
  <c r="E401" i="126"/>
  <c r="AI335" i="126"/>
  <c r="F335" i="126"/>
  <c r="AP530" i="126"/>
  <c r="AG530" i="126"/>
  <c r="AI750" i="126"/>
  <c r="F750" i="126"/>
  <c r="AI898" i="126"/>
  <c r="H897" i="126"/>
  <c r="F898" i="126"/>
  <c r="H812" i="126"/>
  <c r="AJ812" i="126"/>
  <c r="AJ947" i="126"/>
  <c r="H947" i="126"/>
  <c r="AI1000" i="126"/>
  <c r="F1000" i="126"/>
  <c r="H1063" i="126"/>
  <c r="AJ1063" i="126"/>
  <c r="AP715" i="126"/>
  <c r="AG715" i="126"/>
  <c r="AM961" i="126"/>
  <c r="I961" i="126"/>
  <c r="AI1068" i="126"/>
  <c r="F1068" i="126"/>
  <c r="AJ70" i="126"/>
  <c r="H70" i="126"/>
  <c r="AP75" i="126"/>
  <c r="AG75" i="126"/>
  <c r="AI523" i="126"/>
  <c r="F523" i="126"/>
  <c r="S119" i="126"/>
  <c r="AJ197" i="126"/>
  <c r="I183" i="126"/>
  <c r="I177" i="126" s="1"/>
  <c r="AH369" i="126"/>
  <c r="G369" i="126"/>
  <c r="F368" i="126"/>
  <c r="E369" i="126"/>
  <c r="G294" i="126"/>
  <c r="G292" i="126" s="1"/>
  <c r="E294" i="126"/>
  <c r="AH294" i="126"/>
  <c r="G395" i="126"/>
  <c r="E395" i="126"/>
  <c r="AH395" i="126"/>
  <c r="F348" i="126"/>
  <c r="AI348" i="126"/>
  <c r="AJ104" i="126"/>
  <c r="I103" i="126"/>
  <c r="H104" i="126"/>
  <c r="AP334" i="126"/>
  <c r="AG334" i="126"/>
  <c r="P182" i="126"/>
  <c r="AM182" i="126" s="1"/>
  <c r="AM183" i="126"/>
  <c r="G407" i="126"/>
  <c r="E407" i="126"/>
  <c r="AH407" i="126"/>
  <c r="AI150" i="126"/>
  <c r="F150" i="126"/>
  <c r="AE214" i="126"/>
  <c r="AG214" i="126"/>
  <c r="AP214" i="126"/>
  <c r="I63" i="126"/>
  <c r="AH167" i="126"/>
  <c r="G167" i="126"/>
  <c r="E167" i="126"/>
  <c r="AJ235" i="126"/>
  <c r="H235" i="126"/>
  <c r="AN452" i="126"/>
  <c r="AH489" i="126"/>
  <c r="G489" i="126"/>
  <c r="I471" i="126"/>
  <c r="AM471" i="126"/>
  <c r="E655" i="126"/>
  <c r="AH655" i="126"/>
  <c r="G655" i="126"/>
  <c r="I719" i="126"/>
  <c r="AM719" i="126"/>
  <c r="P718" i="126"/>
  <c r="AM773" i="126"/>
  <c r="I773" i="126"/>
  <c r="P770" i="126"/>
  <c r="AM770" i="126" s="1"/>
  <c r="AH790" i="126"/>
  <c r="G790" i="126"/>
  <c r="E790" i="126"/>
  <c r="AI815" i="126"/>
  <c r="F815" i="126"/>
  <c r="H848" i="126"/>
  <c r="AJ848" i="126"/>
  <c r="G890" i="126"/>
  <c r="E890" i="126"/>
  <c r="AH890" i="126"/>
  <c r="H988" i="126"/>
  <c r="AJ988" i="126"/>
  <c r="I942" i="126"/>
  <c r="AJ942" i="126" s="1"/>
  <c r="H943" i="126"/>
  <c r="AJ943" i="126"/>
  <c r="AI997" i="126"/>
  <c r="F997" i="126"/>
  <c r="AJ964" i="126"/>
  <c r="H964" i="126"/>
  <c r="AO1040" i="126"/>
  <c r="W1039" i="126"/>
  <c r="AO1039" i="126" s="1"/>
  <c r="AM418" i="126"/>
  <c r="P417" i="126"/>
  <c r="I418" i="126"/>
  <c r="AJ598" i="126"/>
  <c r="H598" i="126"/>
  <c r="I597" i="126"/>
  <c r="AJ597" i="126" s="1"/>
  <c r="AG80" i="126"/>
  <c r="AP80" i="126"/>
  <c r="AM178" i="126"/>
  <c r="P177" i="126"/>
  <c r="F131" i="126"/>
  <c r="AI131" i="126"/>
  <c r="AP79" i="126"/>
  <c r="AG79" i="126"/>
  <c r="F100" i="126"/>
  <c r="AI100" i="126"/>
  <c r="J248" i="126"/>
  <c r="AK250" i="126"/>
  <c r="AH193" i="126"/>
  <c r="E193" i="126"/>
  <c r="AJ524" i="126"/>
  <c r="H524" i="126"/>
  <c r="AK101" i="126"/>
  <c r="AN124" i="126"/>
  <c r="T119" i="126"/>
  <c r="AL140" i="126"/>
  <c r="M139" i="126"/>
  <c r="AL139" i="126" s="1"/>
  <c r="K152" i="126"/>
  <c r="K26" i="126" s="1"/>
  <c r="K25" i="126" s="1"/>
  <c r="K16" i="126" s="1"/>
  <c r="K15" i="126" s="1"/>
  <c r="AH171" i="126"/>
  <c r="E171" i="126"/>
  <c r="AO330" i="126"/>
  <c r="H330" i="126"/>
  <c r="AK367" i="126"/>
  <c r="J363" i="126"/>
  <c r="S159" i="126"/>
  <c r="F215" i="126"/>
  <c r="AI215" i="126"/>
  <c r="AJ287" i="126"/>
  <c r="I286" i="126"/>
  <c r="E383" i="126"/>
  <c r="F382" i="126"/>
  <c r="AH383" i="126"/>
  <c r="G383" i="126"/>
  <c r="AJ424" i="126"/>
  <c r="H424" i="126"/>
  <c r="AI273" i="126"/>
  <c r="F273" i="126"/>
  <c r="AH389" i="126"/>
  <c r="G389" i="126"/>
  <c r="G387" i="126" s="1"/>
  <c r="E389" i="126"/>
  <c r="AI361" i="126"/>
  <c r="F361" i="126"/>
  <c r="F446" i="126"/>
  <c r="AI446" i="126"/>
  <c r="I455" i="126"/>
  <c r="AM455" i="126"/>
  <c r="AI405" i="126"/>
  <c r="F405" i="126"/>
  <c r="H404" i="126"/>
  <c r="AJ437" i="126"/>
  <c r="H437" i="126"/>
  <c r="F596" i="126"/>
  <c r="AI596" i="126"/>
  <c r="AI477" i="126"/>
  <c r="F477" i="126"/>
  <c r="J576" i="126"/>
  <c r="AK576" i="126" s="1"/>
  <c r="F614" i="126"/>
  <c r="AI614" i="126"/>
  <c r="AM482" i="126"/>
  <c r="P481" i="126"/>
  <c r="AM481" i="126" s="1"/>
  <c r="I482" i="126"/>
  <c r="AA441" i="126"/>
  <c r="F666" i="126"/>
  <c r="AI666" i="126"/>
  <c r="H665" i="126"/>
  <c r="AI665" i="126" s="1"/>
  <c r="AJ608" i="126"/>
  <c r="H608" i="126"/>
  <c r="G641" i="126"/>
  <c r="AH641" i="126"/>
  <c r="E641" i="126"/>
  <c r="AI674" i="126"/>
  <c r="F674" i="126"/>
  <c r="AJ723" i="126"/>
  <c r="H723" i="126"/>
  <c r="I706" i="126"/>
  <c r="AM706" i="126"/>
  <c r="P705" i="126"/>
  <c r="AM705" i="126" s="1"/>
  <c r="AI709" i="126"/>
  <c r="F709" i="126"/>
  <c r="I767" i="126"/>
  <c r="AO897" i="126"/>
  <c r="W896" i="126"/>
  <c r="AO896" i="126" s="1"/>
  <c r="T821" i="126"/>
  <c r="AN821" i="126" s="1"/>
  <c r="AN823" i="126"/>
  <c r="AJ778" i="126"/>
  <c r="H778" i="126"/>
  <c r="AJ798" i="126"/>
  <c r="H798" i="126"/>
  <c r="H878" i="126"/>
  <c r="AI878" i="126" s="1"/>
  <c r="AI824" i="126"/>
  <c r="F824" i="126"/>
  <c r="I949" i="126"/>
  <c r="AJ949" i="126" s="1"/>
  <c r="H951" i="126"/>
  <c r="AJ951" i="126"/>
  <c r="I836" i="126"/>
  <c r="I823" i="126" s="1"/>
  <c r="AJ823" i="126" s="1"/>
  <c r="AM836" i="126"/>
  <c r="I857" i="126"/>
  <c r="AJ857" i="126" s="1"/>
  <c r="AG891" i="126"/>
  <c r="AP891" i="126"/>
  <c r="AI899" i="126"/>
  <c r="F899" i="126"/>
  <c r="AI936" i="126"/>
  <c r="F936" i="126"/>
  <c r="G993" i="126"/>
  <c r="E993" i="126"/>
  <c r="AH993" i="126"/>
  <c r="P987" i="126"/>
  <c r="AM987" i="126" s="1"/>
  <c r="AI1083" i="126"/>
  <c r="F1083" i="126"/>
  <c r="F978" i="126"/>
  <c r="AI978" i="126"/>
  <c r="I1056" i="126"/>
  <c r="AM1056" i="126"/>
  <c r="P1053" i="126"/>
  <c r="AM1023" i="126"/>
  <c r="P1022" i="126"/>
  <c r="I1023" i="126"/>
  <c r="AI1069" i="126"/>
  <c r="F1069" i="126"/>
  <c r="AI1078" i="126"/>
  <c r="F1078" i="126"/>
  <c r="AI1064" i="126"/>
  <c r="F1064" i="126"/>
  <c r="AH1090" i="126"/>
  <c r="G1090" i="126"/>
  <c r="E1090" i="126"/>
  <c r="I357" i="126"/>
  <c r="H358" i="126"/>
  <c r="AJ358" i="126"/>
  <c r="AJ415" i="126"/>
  <c r="I414" i="126"/>
  <c r="H415" i="126"/>
  <c r="AN514" i="126"/>
  <c r="T513" i="126"/>
  <c r="P514" i="126"/>
  <c r="AJ627" i="126"/>
  <c r="H627" i="126"/>
  <c r="AI775" i="126"/>
  <c r="F775" i="126"/>
  <c r="AJ865" i="126"/>
  <c r="H865" i="126"/>
  <c r="AI1011" i="126"/>
  <c r="F1011" i="126"/>
  <c r="AJ970" i="126"/>
  <c r="H970" i="126"/>
  <c r="G1034" i="126"/>
  <c r="AH1034" i="126"/>
  <c r="E1034" i="126"/>
  <c r="AP55" i="126"/>
  <c r="AG55" i="126"/>
  <c r="F18" i="126"/>
  <c r="H17" i="126"/>
  <c r="AI18" i="126"/>
  <c r="AJ34" i="126"/>
  <c r="H34" i="126"/>
  <c r="P102" i="126"/>
  <c r="AM103" i="126"/>
  <c r="AI179" i="126"/>
  <c r="H178" i="126"/>
  <c r="F179" i="126"/>
  <c r="AJ355" i="126"/>
  <c r="H355" i="126"/>
  <c r="AI485" i="126"/>
  <c r="F485" i="126"/>
  <c r="F585" i="126"/>
  <c r="AI585" i="126"/>
  <c r="AM121" i="126"/>
  <c r="P120" i="126"/>
  <c r="I121" i="126"/>
  <c r="AA118" i="126"/>
  <c r="AH297" i="126"/>
  <c r="G297" i="126"/>
  <c r="E297" i="126"/>
  <c r="F515" i="126"/>
  <c r="AI515" i="126"/>
  <c r="AP54" i="126"/>
  <c r="AG54" i="126"/>
  <c r="AM129" i="126"/>
  <c r="P128" i="126"/>
  <c r="I129" i="126"/>
  <c r="AI204" i="126"/>
  <c r="F204" i="126"/>
  <c r="AJ212" i="126"/>
  <c r="H212" i="126"/>
  <c r="AI271" i="126"/>
  <c r="F271" i="126"/>
  <c r="M159" i="126"/>
  <c r="AL159" i="126" s="1"/>
  <c r="AL160" i="126"/>
  <c r="AE217" i="126"/>
  <c r="AP217" i="126"/>
  <c r="AG217" i="126"/>
  <c r="AO242" i="126"/>
  <c r="W241" i="126"/>
  <c r="AJ270" i="126"/>
  <c r="H270" i="126"/>
  <c r="AH298" i="126"/>
  <c r="G298" i="126"/>
  <c r="E298" i="126"/>
  <c r="AJ433" i="126"/>
  <c r="H433" i="126"/>
  <c r="AP311" i="126"/>
  <c r="AG311" i="126"/>
  <c r="F374" i="126"/>
  <c r="AG402" i="126"/>
  <c r="AP402" i="126"/>
  <c r="L286" i="126"/>
  <c r="AK287" i="126"/>
  <c r="AH296" i="126"/>
  <c r="G296" i="126"/>
  <c r="F295" i="126"/>
  <c r="E296" i="126"/>
  <c r="AI409" i="126"/>
  <c r="F409" i="126"/>
  <c r="AJ440" i="126"/>
  <c r="H440" i="126"/>
  <c r="AM463" i="126"/>
  <c r="I463" i="126"/>
  <c r="AJ494" i="126"/>
  <c r="H494" i="126"/>
  <c r="AI529" i="126"/>
  <c r="F529" i="126"/>
  <c r="AI590" i="126"/>
  <c r="F590" i="126"/>
  <c r="AM460" i="126"/>
  <c r="I460" i="126"/>
  <c r="I643" i="126"/>
  <c r="AJ643" i="126" s="1"/>
  <c r="AJ644" i="126"/>
  <c r="H644" i="126"/>
  <c r="N623" i="126"/>
  <c r="N25" i="126" s="1"/>
  <c r="N16" i="126" s="1"/>
  <c r="N15" i="126" s="1"/>
  <c r="AJ682" i="126"/>
  <c r="H682" i="126"/>
  <c r="I681" i="126"/>
  <c r="AJ628" i="126"/>
  <c r="H628" i="126"/>
  <c r="H713" i="126"/>
  <c r="AJ713" i="126"/>
  <c r="S737" i="126"/>
  <c r="AJ745" i="126"/>
  <c r="H745" i="126"/>
  <c r="G804" i="126"/>
  <c r="AH804" i="126"/>
  <c r="E804" i="126"/>
  <c r="AM762" i="126"/>
  <c r="I762" i="126"/>
  <c r="I759" i="126" s="1"/>
  <c r="AI752" i="126"/>
  <c r="F752" i="126"/>
  <c r="AO817" i="126"/>
  <c r="W800" i="126"/>
  <c r="AO800" i="126" s="1"/>
  <c r="AE820" i="126"/>
  <c r="AP820" i="126"/>
  <c r="AG820" i="126"/>
  <c r="AI835" i="126"/>
  <c r="F835" i="126"/>
  <c r="AJ847" i="126"/>
  <c r="H847" i="126"/>
  <c r="AJ838" i="126"/>
  <c r="H838" i="126"/>
  <c r="AI872" i="126"/>
  <c r="F872" i="126"/>
  <c r="AI952" i="126"/>
  <c r="F952" i="126"/>
  <c r="F930" i="126"/>
  <c r="AI930" i="126"/>
  <c r="E902" i="126"/>
  <c r="G902" i="126"/>
  <c r="AH902" i="126"/>
  <c r="AJ974" i="126"/>
  <c r="H974" i="126"/>
  <c r="AJ1016" i="126"/>
  <c r="H1016" i="126"/>
  <c r="AI1021" i="126"/>
  <c r="F1021" i="126"/>
  <c r="AE1098" i="126"/>
  <c r="AP1098" i="126"/>
  <c r="AG1098" i="126"/>
  <c r="AM967" i="126"/>
  <c r="I967" i="126"/>
  <c r="AJ1005" i="126"/>
  <c r="H1005" i="126"/>
  <c r="AJ1025" i="126"/>
  <c r="H1025" i="126"/>
  <c r="F1054" i="126"/>
  <c r="AI1054" i="126"/>
  <c r="H1081" i="126"/>
  <c r="AJ1081" i="126"/>
  <c r="G1097" i="126"/>
  <c r="G1093" i="126" s="1"/>
  <c r="E1097" i="126"/>
  <c r="AH1097" i="126"/>
  <c r="F1093" i="126"/>
  <c r="AI1072" i="126"/>
  <c r="F1072" i="126"/>
  <c r="P443" i="126"/>
  <c r="AH534" i="126"/>
  <c r="E534" i="126"/>
  <c r="G534" i="126"/>
  <c r="E562" i="126"/>
  <c r="AH562" i="126"/>
  <c r="G562" i="126"/>
  <c r="AJ629" i="126"/>
  <c r="H629" i="126"/>
  <c r="AJ741" i="126"/>
  <c r="H741" i="126"/>
  <c r="I740" i="126"/>
  <c r="AJ740" i="126" s="1"/>
  <c r="AG786" i="126"/>
  <c r="AP786" i="126"/>
  <c r="H793" i="126"/>
  <c r="AJ793" i="126"/>
  <c r="I792" i="126"/>
  <c r="H810" i="126"/>
  <c r="AJ810" i="126"/>
  <c r="G927" i="126"/>
  <c r="AH927" i="126"/>
  <c r="E927" i="126"/>
  <c r="M101" i="126"/>
  <c r="AL101" i="126" s="1"/>
  <c r="AL102" i="126"/>
  <c r="AB1092" i="126"/>
  <c r="F1100" i="126"/>
  <c r="AG59" i="126"/>
  <c r="AP59" i="126"/>
  <c r="AL88" i="126"/>
  <c r="M87" i="126"/>
  <c r="AI186" i="126"/>
  <c r="F186" i="126"/>
  <c r="AJ213" i="126"/>
  <c r="H213" i="126"/>
  <c r="AJ253" i="126"/>
  <c r="H253" i="126"/>
  <c r="I154" i="126"/>
  <c r="AN356" i="126"/>
  <c r="T353" i="126"/>
  <c r="AP388" i="126"/>
  <c r="AG388" i="126"/>
  <c r="AP218" i="126"/>
  <c r="AG218" i="126"/>
  <c r="AE218" i="126"/>
  <c r="AH396" i="126"/>
  <c r="E396" i="126"/>
  <c r="H456" i="126"/>
  <c r="AJ456" i="126"/>
  <c r="AM425" i="126"/>
  <c r="I425" i="126"/>
  <c r="AH495" i="126"/>
  <c r="E495" i="126"/>
  <c r="G495" i="126"/>
  <c r="AJ470" i="126"/>
  <c r="H470" i="126"/>
  <c r="AP687" i="126"/>
  <c r="AG687" i="126"/>
  <c r="AJ509" i="126"/>
  <c r="H588" i="126"/>
  <c r="I587" i="126"/>
  <c r="AJ587" i="126" s="1"/>
  <c r="AJ588" i="126"/>
  <c r="AL532" i="126"/>
  <c r="M531" i="126"/>
  <c r="AH603" i="126"/>
  <c r="E603" i="126"/>
  <c r="G603" i="126"/>
  <c r="AI734" i="126"/>
  <c r="F734" i="126"/>
  <c r="AI751" i="126"/>
  <c r="F751" i="126"/>
  <c r="AM869" i="126"/>
  <c r="P868" i="126"/>
  <c r="I1046" i="126"/>
  <c r="AM1046" i="126"/>
  <c r="P1042" i="126"/>
  <c r="AM1042" i="126" s="1"/>
  <c r="G86" i="125"/>
  <c r="H86" i="125"/>
  <c r="I85" i="125"/>
  <c r="I518" i="126"/>
  <c r="AM518" i="126"/>
  <c r="AK88" i="126"/>
  <c r="J87" i="126"/>
  <c r="G216" i="126"/>
  <c r="E216" i="126"/>
  <c r="AH216" i="126"/>
  <c r="I30" i="126"/>
  <c r="AI240" i="126"/>
  <c r="F240" i="126"/>
  <c r="AA152" i="126"/>
  <c r="AH173" i="126"/>
  <c r="E173" i="126"/>
  <c r="AJ234" i="126"/>
  <c r="H234" i="126"/>
  <c r="AI304" i="126"/>
  <c r="F304" i="126"/>
  <c r="AG293" i="126"/>
  <c r="AP293" i="126"/>
  <c r="AH337" i="126"/>
  <c r="G337" i="126"/>
  <c r="E337" i="126"/>
  <c r="AJ449" i="126"/>
  <c r="H449" i="126"/>
  <c r="F156" i="126"/>
  <c r="H155" i="126"/>
  <c r="AI156" i="126"/>
  <c r="AJ419" i="126"/>
  <c r="H419" i="126"/>
  <c r="AH398" i="126"/>
  <c r="E398" i="126"/>
  <c r="P364" i="126"/>
  <c r="AM365" i="126"/>
  <c r="I365" i="126"/>
  <c r="W576" i="126"/>
  <c r="AO576" i="126" s="1"/>
  <c r="F635" i="126"/>
  <c r="AH635" i="126" s="1"/>
  <c r="AJ742" i="126"/>
  <c r="H742" i="126"/>
  <c r="AM808" i="126"/>
  <c r="I808" i="126"/>
  <c r="AI813" i="126"/>
  <c r="F813" i="126"/>
  <c r="P843" i="126"/>
  <c r="AM843" i="126" s="1"/>
  <c r="AH933" i="126"/>
  <c r="E933" i="126"/>
  <c r="G933" i="126"/>
  <c r="E909" i="126"/>
  <c r="AH909" i="126"/>
  <c r="G909" i="126"/>
  <c r="AJ960" i="126"/>
  <c r="H960" i="126"/>
  <c r="F977" i="126"/>
  <c r="AI977" i="126"/>
  <c r="F975" i="126"/>
  <c r="AI975" i="126"/>
  <c r="G1028" i="126"/>
  <c r="AH1028" i="126"/>
  <c r="E1028" i="126"/>
  <c r="AG1110" i="126"/>
  <c r="AE1110" i="126"/>
  <c r="AP1110" i="126"/>
  <c r="AH246" i="126"/>
  <c r="G246" i="126"/>
  <c r="E246" i="126"/>
  <c r="AO60" i="126"/>
  <c r="H60" i="126"/>
  <c r="G73" i="126"/>
  <c r="AI174" i="126"/>
  <c r="F174" i="126"/>
  <c r="AH148" i="126"/>
  <c r="G148" i="126"/>
  <c r="E148" i="126"/>
  <c r="L50" i="125"/>
  <c r="AC416" i="126"/>
  <c r="G267" i="126"/>
  <c r="AH267" i="126"/>
  <c r="E267" i="126"/>
  <c r="AJ289" i="126"/>
  <c r="H289" i="126"/>
  <c r="H287" i="126" s="1"/>
  <c r="AH306" i="126"/>
  <c r="G306" i="126"/>
  <c r="E306" i="126"/>
  <c r="AK442" i="126"/>
  <c r="S442" i="126"/>
  <c r="AJ479" i="126"/>
  <c r="H479" i="126"/>
  <c r="H613" i="126"/>
  <c r="AJ613" i="126"/>
  <c r="AH649" i="126"/>
  <c r="G649" i="126"/>
  <c r="E649" i="126"/>
  <c r="AJ743" i="126"/>
  <c r="H743" i="126"/>
  <c r="AI757" i="126"/>
  <c r="F757" i="126"/>
  <c r="I802" i="126"/>
  <c r="AH962" i="126"/>
  <c r="E962" i="126"/>
  <c r="G962" i="126"/>
  <c r="AM981" i="126"/>
  <c r="I981" i="126"/>
  <c r="P979" i="126"/>
  <c r="AM979" i="126" s="1"/>
  <c r="S510" i="126"/>
  <c r="S506" i="126"/>
  <c r="AM578" i="126"/>
  <c r="P577" i="126"/>
  <c r="I578" i="126"/>
  <c r="S581" i="126"/>
  <c r="S576" i="126" s="1"/>
  <c r="AM265" i="126"/>
  <c r="I265" i="126"/>
  <c r="F1107" i="126" l="1"/>
  <c r="AI1107" i="126"/>
  <c r="AI955" i="126"/>
  <c r="F955" i="126"/>
  <c r="S441" i="126"/>
  <c r="P452" i="126"/>
  <c r="AM452" i="126" s="1"/>
  <c r="I420" i="126"/>
  <c r="AJ420" i="126" s="1"/>
  <c r="AJ286" i="126"/>
  <c r="AJ792" i="126"/>
  <c r="F729" i="126"/>
  <c r="AI729" i="126"/>
  <c r="AO101" i="126"/>
  <c r="AG912" i="126"/>
  <c r="F158" i="126"/>
  <c r="H157" i="126"/>
  <c r="AI157" i="126" s="1"/>
  <c r="AI158" i="126"/>
  <c r="AI1048" i="126"/>
  <c r="F1048" i="126"/>
  <c r="AP650" i="126"/>
  <c r="AG650" i="126"/>
  <c r="W281" i="126"/>
  <c r="AD2" i="126"/>
  <c r="F985" i="126"/>
  <c r="AI985" i="126"/>
  <c r="W367" i="126"/>
  <c r="AI367" i="126" s="1"/>
  <c r="H88" i="125"/>
  <c r="G88" i="125"/>
  <c r="G295" i="126"/>
  <c r="G935" i="126"/>
  <c r="AH935" i="126"/>
  <c r="E935" i="126"/>
  <c r="AP323" i="126"/>
  <c r="AG323" i="126"/>
  <c r="H857" i="126"/>
  <c r="AI857" i="126" s="1"/>
  <c r="AJ1079" i="126"/>
  <c r="AG221" i="126"/>
  <c r="F132" i="126"/>
  <c r="AI132" i="126"/>
  <c r="F925" i="126"/>
  <c r="AI925" i="126"/>
  <c r="AG894" i="126"/>
  <c r="AP894" i="126"/>
  <c r="AI946" i="126"/>
  <c r="F946" i="126"/>
  <c r="AI35" i="126"/>
  <c r="F35" i="126"/>
  <c r="AP309" i="126"/>
  <c r="AG309" i="126"/>
  <c r="M28" i="126"/>
  <c r="AL28" i="126" s="1"/>
  <c r="G390" i="126"/>
  <c r="AI584" i="126"/>
  <c r="AG172" i="126"/>
  <c r="AP172" i="126"/>
  <c r="F992" i="126"/>
  <c r="AI992" i="126"/>
  <c r="AI716" i="126"/>
  <c r="F716" i="126"/>
  <c r="E526" i="126"/>
  <c r="F525" i="126"/>
  <c r="G526" i="126"/>
  <c r="G525" i="126" s="1"/>
  <c r="AH526" i="126"/>
  <c r="AP380" i="126"/>
  <c r="AG380" i="126"/>
  <c r="AG175" i="126"/>
  <c r="AP175" i="126"/>
  <c r="AG908" i="126"/>
  <c r="AP908" i="126"/>
  <c r="AG883" i="126"/>
  <c r="AP883" i="126"/>
  <c r="AG397" i="126"/>
  <c r="AP397" i="126"/>
  <c r="F1037" i="126"/>
  <c r="AI1037" i="126"/>
  <c r="AH735" i="126"/>
  <c r="G735" i="126"/>
  <c r="E735" i="126"/>
  <c r="F1004" i="126"/>
  <c r="AI1004" i="126"/>
  <c r="AI934" i="126"/>
  <c r="F934" i="126"/>
  <c r="H84" i="125"/>
  <c r="G84" i="125"/>
  <c r="I82" i="125"/>
  <c r="H434" i="126"/>
  <c r="AI434" i="126" s="1"/>
  <c r="I940" i="126"/>
  <c r="AJ940" i="126" s="1"/>
  <c r="F344" i="126"/>
  <c r="AI344" i="126"/>
  <c r="F963" i="126"/>
  <c r="AI963" i="126"/>
  <c r="AG324" i="126"/>
  <c r="AP324" i="126"/>
  <c r="AG320" i="126"/>
  <c r="AP320" i="126"/>
  <c r="AI945" i="126"/>
  <c r="F945" i="126"/>
  <c r="F1051" i="126"/>
  <c r="H1050" i="126"/>
  <c r="AI1050" i="126" s="1"/>
  <c r="AI1051" i="126"/>
  <c r="AI1055" i="126"/>
  <c r="F1055" i="126"/>
  <c r="AG328" i="126"/>
  <c r="AP328" i="126"/>
  <c r="AI999" i="126"/>
  <c r="F999" i="126"/>
  <c r="AI275" i="126"/>
  <c r="F275" i="126"/>
  <c r="AI1003" i="126"/>
  <c r="F1003" i="126"/>
  <c r="AI1084" i="126"/>
  <c r="F1084" i="126"/>
  <c r="AI347" i="126"/>
  <c r="F347" i="126"/>
  <c r="F980" i="126"/>
  <c r="AI980" i="126"/>
  <c r="AP646" i="126"/>
  <c r="AG646" i="126"/>
  <c r="AG1114" i="126"/>
  <c r="AE1114" i="126"/>
  <c r="AP1114" i="126"/>
  <c r="AH390" i="126"/>
  <c r="G635" i="126"/>
  <c r="P841" i="126"/>
  <c r="G21" i="126"/>
  <c r="G19" i="126" s="1"/>
  <c r="AH21" i="126"/>
  <c r="I19" i="125"/>
  <c r="F19" i="126"/>
  <c r="E21" i="126"/>
  <c r="AI349" i="126"/>
  <c r="F349" i="126"/>
  <c r="AI239" i="126"/>
  <c r="F239" i="126"/>
  <c r="H238" i="126"/>
  <c r="AI238" i="126" s="1"/>
  <c r="F950" i="126"/>
  <c r="AI950" i="126"/>
  <c r="E991" i="126"/>
  <c r="AH991" i="126"/>
  <c r="G991" i="126"/>
  <c r="AH274" i="126"/>
  <c r="E274" i="126"/>
  <c r="G274" i="126"/>
  <c r="F924" i="126"/>
  <c r="AI924" i="126"/>
  <c r="AH688" i="126"/>
  <c r="G688" i="126"/>
  <c r="G685" i="126" s="1"/>
  <c r="E688" i="126"/>
  <c r="E685" i="126" s="1"/>
  <c r="AP305" i="126"/>
  <c r="AG305" i="126"/>
  <c r="AI373" i="126"/>
  <c r="P250" i="126"/>
  <c r="AM250" i="126" s="1"/>
  <c r="E390" i="126"/>
  <c r="AG390" i="126" s="1"/>
  <c r="AK152" i="126"/>
  <c r="W152" i="126"/>
  <c r="AO152" i="126" s="1"/>
  <c r="AJ987" i="126"/>
  <c r="F863" i="126"/>
  <c r="AI863" i="126"/>
  <c r="AI948" i="126"/>
  <c r="F948" i="126"/>
  <c r="AG170" i="126"/>
  <c r="AP170" i="126"/>
  <c r="AG168" i="126"/>
  <c r="AP168" i="126"/>
  <c r="AP917" i="126"/>
  <c r="AG917" i="126"/>
  <c r="AI761" i="126"/>
  <c r="F761" i="126"/>
  <c r="AP691" i="126"/>
  <c r="AG691" i="126"/>
  <c r="AI1036" i="126"/>
  <c r="F1036" i="126"/>
  <c r="AG910" i="126"/>
  <c r="AP910" i="126"/>
  <c r="AI1008" i="126"/>
  <c r="F1008" i="126"/>
  <c r="E277" i="126"/>
  <c r="G277" i="126"/>
  <c r="AH277" i="126"/>
  <c r="AH190" i="126"/>
  <c r="G190" i="126"/>
  <c r="E190" i="126"/>
  <c r="AG372" i="126"/>
  <c r="AP372" i="126"/>
  <c r="AP1115" i="126"/>
  <c r="AE1115" i="126"/>
  <c r="AG1115" i="126"/>
  <c r="AJ759" i="126"/>
  <c r="I756" i="126"/>
  <c r="AJ756" i="126" s="1"/>
  <c r="K1123" i="126"/>
  <c r="K2" i="126"/>
  <c r="N1123" i="126"/>
  <c r="N2" i="126"/>
  <c r="AJ730" i="126"/>
  <c r="I727" i="126"/>
  <c r="G757" i="126"/>
  <c r="AH757" i="126"/>
  <c r="E757" i="126"/>
  <c r="AG267" i="126"/>
  <c r="AE267" i="126"/>
  <c r="AP267" i="126"/>
  <c r="AP337" i="126"/>
  <c r="AG337" i="126"/>
  <c r="F988" i="126"/>
  <c r="AI988" i="126"/>
  <c r="L26" i="125"/>
  <c r="AP527" i="126"/>
  <c r="AG527" i="126"/>
  <c r="F834" i="126"/>
  <c r="AI834" i="126"/>
  <c r="AG96" i="126"/>
  <c r="E95" i="126"/>
  <c r="AP96" i="126"/>
  <c r="AP649" i="126"/>
  <c r="AG649" i="126"/>
  <c r="AH174" i="126"/>
  <c r="E174" i="126"/>
  <c r="AH156" i="126"/>
  <c r="E156" i="126"/>
  <c r="G156" i="126"/>
  <c r="G240" i="126"/>
  <c r="AH240" i="126"/>
  <c r="E240" i="126"/>
  <c r="F456" i="126"/>
  <c r="AI456" i="126"/>
  <c r="H967" i="126"/>
  <c r="AJ967" i="126"/>
  <c r="F847" i="126"/>
  <c r="AI847" i="126"/>
  <c r="S726" i="126"/>
  <c r="H460" i="126"/>
  <c r="AJ460" i="126"/>
  <c r="AH271" i="126"/>
  <c r="G271" i="126"/>
  <c r="E271" i="126"/>
  <c r="AI17" i="126"/>
  <c r="E1011" i="126"/>
  <c r="G1011" i="126"/>
  <c r="AH1011" i="126"/>
  <c r="H414" i="126"/>
  <c r="AJ414" i="126"/>
  <c r="E1069" i="126"/>
  <c r="AH1069" i="126"/>
  <c r="G1069" i="126"/>
  <c r="E824" i="126"/>
  <c r="G824" i="126"/>
  <c r="AH824" i="126"/>
  <c r="AJ767" i="126"/>
  <c r="H767" i="126"/>
  <c r="I766" i="126"/>
  <c r="AJ455" i="126"/>
  <c r="H455" i="126"/>
  <c r="E273" i="126"/>
  <c r="G273" i="126"/>
  <c r="AH273" i="126"/>
  <c r="G368" i="126"/>
  <c r="E750" i="126"/>
  <c r="G750" i="126"/>
  <c r="AH750" i="126"/>
  <c r="H462" i="126"/>
  <c r="AJ462" i="126"/>
  <c r="E284" i="126"/>
  <c r="G284" i="126"/>
  <c r="AH284" i="126"/>
  <c r="M152" i="126"/>
  <c r="AL152" i="126" s="1"/>
  <c r="AH1015" i="126"/>
  <c r="E1015" i="126"/>
  <c r="G1015" i="126"/>
  <c r="F444" i="126"/>
  <c r="AI444" i="126"/>
  <c r="AI457" i="126"/>
  <c r="F457" i="126"/>
  <c r="F199" i="126"/>
  <c r="AI199" i="126"/>
  <c r="AG557" i="126"/>
  <c r="AP557" i="126"/>
  <c r="F1109" i="126"/>
  <c r="AI1109" i="126"/>
  <c r="AJ464" i="126"/>
  <c r="H464" i="126"/>
  <c r="AG554" i="126"/>
  <c r="AP554" i="126"/>
  <c r="AP937" i="126"/>
  <c r="AG937" i="126"/>
  <c r="E939" i="126"/>
  <c r="AH939" i="126"/>
  <c r="G939" i="126"/>
  <c r="AG879" i="126"/>
  <c r="AP879" i="126"/>
  <c r="AN968" i="126"/>
  <c r="AI724" i="126"/>
  <c r="F724" i="126"/>
  <c r="AJ704" i="126"/>
  <c r="H704" i="126"/>
  <c r="I702" i="126"/>
  <c r="AJ702" i="126" s="1"/>
  <c r="AG553" i="126"/>
  <c r="AP553" i="126"/>
  <c r="AG489" i="126"/>
  <c r="AP489" i="126"/>
  <c r="AG381" i="126"/>
  <c r="AP381" i="126"/>
  <c r="AG303" i="126"/>
  <c r="AP303" i="126"/>
  <c r="AI423" i="126"/>
  <c r="F423" i="126"/>
  <c r="AP378" i="126"/>
  <c r="AG378" i="126"/>
  <c r="AI39" i="126"/>
  <c r="F39" i="126"/>
  <c r="H38" i="126"/>
  <c r="AI38" i="126" s="1"/>
  <c r="S241" i="126"/>
  <c r="S230" i="126" s="1"/>
  <c r="I176" i="126"/>
  <c r="AJ177" i="126"/>
  <c r="AH839" i="126"/>
  <c r="E839" i="126"/>
  <c r="G839" i="126"/>
  <c r="F746" i="126"/>
  <c r="AI746" i="126"/>
  <c r="AM624" i="126"/>
  <c r="E279" i="126"/>
  <c r="AH279" i="126"/>
  <c r="G279" i="126"/>
  <c r="I52" i="125"/>
  <c r="F91" i="126"/>
  <c r="AI91" i="126"/>
  <c r="H517" i="126"/>
  <c r="AJ517" i="126"/>
  <c r="AP194" i="126"/>
  <c r="AG194" i="126"/>
  <c r="AE194" i="126"/>
  <c r="F1076" i="126"/>
  <c r="AI1076" i="126"/>
  <c r="AJ354" i="126"/>
  <c r="H354" i="126"/>
  <c r="AI870" i="126"/>
  <c r="H869" i="126"/>
  <c r="AJ541" i="126"/>
  <c r="H541" i="126"/>
  <c r="I540" i="126"/>
  <c r="G626" i="126"/>
  <c r="AH626" i="126"/>
  <c r="E626" i="126"/>
  <c r="E439" i="126"/>
  <c r="G439" i="126"/>
  <c r="AH439" i="126"/>
  <c r="W196" i="126"/>
  <c r="G1112" i="126"/>
  <c r="AH1112" i="126"/>
  <c r="F1111" i="126"/>
  <c r="E1112" i="126"/>
  <c r="AP893" i="126"/>
  <c r="AG893" i="126"/>
  <c r="E345" i="126"/>
  <c r="AH345" i="126"/>
  <c r="G345" i="126"/>
  <c r="E547" i="126"/>
  <c r="G547" i="126"/>
  <c r="AH547" i="126"/>
  <c r="AP966" i="126"/>
  <c r="AG966" i="126"/>
  <c r="AJ869" i="126"/>
  <c r="I868" i="126"/>
  <c r="AI673" i="126"/>
  <c r="F673" i="126"/>
  <c r="F665" i="126" s="1"/>
  <c r="AP701" i="126"/>
  <c r="AG701" i="126"/>
  <c r="AI476" i="126"/>
  <c r="F476" i="126"/>
  <c r="AP209" i="126"/>
  <c r="AG209" i="126"/>
  <c r="AE209" i="126"/>
  <c r="E504" i="126"/>
  <c r="F503" i="126"/>
  <c r="AH504" i="126"/>
  <c r="G504" i="126"/>
  <c r="AG58" i="126"/>
  <c r="AP58" i="126"/>
  <c r="E1044" i="126"/>
  <c r="G1044" i="126"/>
  <c r="AH1044" i="126"/>
  <c r="E1024" i="126"/>
  <c r="G1024" i="126"/>
  <c r="AH1024" i="126"/>
  <c r="H973" i="126"/>
  <c r="AJ973" i="126"/>
  <c r="AP776" i="126"/>
  <c r="AG776" i="126"/>
  <c r="AP1059" i="126"/>
  <c r="AG1059" i="126"/>
  <c r="E900" i="126"/>
  <c r="AH900" i="126"/>
  <c r="G900" i="126"/>
  <c r="AH816" i="126"/>
  <c r="E816" i="126"/>
  <c r="G816" i="126"/>
  <c r="F866" i="126"/>
  <c r="AI866" i="126"/>
  <c r="H721" i="126"/>
  <c r="AI721" i="126" s="1"/>
  <c r="AI722" i="126"/>
  <c r="F722" i="126"/>
  <c r="AL442" i="126"/>
  <c r="M441" i="126"/>
  <c r="AL441" i="126" s="1"/>
  <c r="G408" i="126"/>
  <c r="AH408" i="126"/>
  <c r="E408" i="126"/>
  <c r="W118" i="126"/>
  <c r="AO118" i="126" s="1"/>
  <c r="AH111" i="126"/>
  <c r="E111" i="126"/>
  <c r="G111" i="126"/>
  <c r="F110" i="126"/>
  <c r="AI432" i="126"/>
  <c r="F432" i="126"/>
  <c r="H431" i="126"/>
  <c r="H1079" i="126"/>
  <c r="AI1079" i="126" s="1"/>
  <c r="AI1080" i="126"/>
  <c r="F1080" i="126"/>
  <c r="AJ996" i="126"/>
  <c r="H996" i="126"/>
  <c r="S152" i="126"/>
  <c r="E143" i="126"/>
  <c r="AH143" i="126"/>
  <c r="G143" i="126"/>
  <c r="G617" i="126"/>
  <c r="AH617" i="126"/>
  <c r="E617" i="126"/>
  <c r="AI1102" i="126"/>
  <c r="F1102" i="126"/>
  <c r="AI483" i="126"/>
  <c r="F483" i="126"/>
  <c r="AG496" i="126"/>
  <c r="AP496" i="126"/>
  <c r="F522" i="126"/>
  <c r="H521" i="126"/>
  <c r="AI522" i="126"/>
  <c r="AH245" i="126"/>
  <c r="E245" i="126"/>
  <c r="G245" i="126"/>
  <c r="AJ264" i="126"/>
  <c r="H264" i="126"/>
  <c r="AJ508" i="126"/>
  <c r="H508" i="126"/>
  <c r="I507" i="126"/>
  <c r="AM49" i="126"/>
  <c r="P48" i="126"/>
  <c r="AH1043" i="126"/>
  <c r="E1043" i="126"/>
  <c r="G1043" i="126"/>
  <c r="E772" i="126"/>
  <c r="G772" i="126"/>
  <c r="AH772" i="126"/>
  <c r="G829" i="126"/>
  <c r="AH829" i="126"/>
  <c r="E829" i="126"/>
  <c r="AH258" i="126"/>
  <c r="AI258" i="126"/>
  <c r="E426" i="126"/>
  <c r="AH426" i="126"/>
  <c r="G426" i="126"/>
  <c r="W363" i="126"/>
  <c r="AO184" i="126"/>
  <c r="W183" i="126"/>
  <c r="H184" i="126"/>
  <c r="AA26" i="126"/>
  <c r="E247" i="126"/>
  <c r="AH247" i="126"/>
  <c r="G247" i="126"/>
  <c r="AJ262" i="126"/>
  <c r="H262" i="126"/>
  <c r="F796" i="126"/>
  <c r="AI796" i="126"/>
  <c r="H794" i="126"/>
  <c r="AI794" i="126" s="1"/>
  <c r="E748" i="126"/>
  <c r="G748" i="126"/>
  <c r="AH748" i="126"/>
  <c r="AJ251" i="126"/>
  <c r="E144" i="126"/>
  <c r="AH144" i="126"/>
  <c r="G144" i="126"/>
  <c r="F45" i="126"/>
  <c r="AH45" i="126" s="1"/>
  <c r="G46" i="126"/>
  <c r="G45" i="126" s="1"/>
  <c r="E46" i="126"/>
  <c r="AH46" i="126"/>
  <c r="AH1013" i="126"/>
  <c r="E1013" i="126"/>
  <c r="G1013" i="126"/>
  <c r="AI864" i="126"/>
  <c r="F864" i="126"/>
  <c r="AG566" i="126"/>
  <c r="AP566" i="126"/>
  <c r="AG690" i="126"/>
  <c r="AP690" i="126"/>
  <c r="G1125" i="126"/>
  <c r="AH1125" i="126"/>
  <c r="E1125" i="126"/>
  <c r="AH1062" i="126"/>
  <c r="E1062" i="126"/>
  <c r="G1062" i="126"/>
  <c r="AJ1026" i="126"/>
  <c r="H1026" i="126"/>
  <c r="G877" i="126"/>
  <c r="AH877" i="126"/>
  <c r="E877" i="126"/>
  <c r="H739" i="126"/>
  <c r="AJ739" i="126"/>
  <c r="I738" i="126"/>
  <c r="AP661" i="126"/>
  <c r="AG661" i="126"/>
  <c r="AP219" i="126"/>
  <c r="AG219" i="126"/>
  <c r="AE219" i="126"/>
  <c r="AI51" i="126"/>
  <c r="F51" i="126"/>
  <c r="AM600" i="126"/>
  <c r="P599" i="126"/>
  <c r="AM599" i="126" s="1"/>
  <c r="AM286" i="126"/>
  <c r="F32" i="126"/>
  <c r="AI32" i="126"/>
  <c r="AG72" i="126"/>
  <c r="AP72" i="126"/>
  <c r="F161" i="126"/>
  <c r="AI161" i="126"/>
  <c r="H160" i="126"/>
  <c r="AH975" i="126"/>
  <c r="E975" i="126"/>
  <c r="G975" i="126"/>
  <c r="AH813" i="126"/>
  <c r="E813" i="126"/>
  <c r="G813" i="126"/>
  <c r="AJ365" i="126"/>
  <c r="H365" i="126"/>
  <c r="I364" i="126"/>
  <c r="AI155" i="126"/>
  <c r="F155" i="126"/>
  <c r="F234" i="126"/>
  <c r="AI234" i="126"/>
  <c r="AJ1046" i="126"/>
  <c r="H1046" i="126"/>
  <c r="I1042" i="126"/>
  <c r="G751" i="126"/>
  <c r="AH751" i="126"/>
  <c r="E751" i="126"/>
  <c r="AI470" i="126"/>
  <c r="F470" i="126"/>
  <c r="AH253" i="126"/>
  <c r="AI253" i="126"/>
  <c r="AM443" i="126"/>
  <c r="AI358" i="126"/>
  <c r="F358" i="126"/>
  <c r="H357" i="126"/>
  <c r="AM1022" i="126"/>
  <c r="P1020" i="126"/>
  <c r="AM1020" i="126" s="1"/>
  <c r="AH215" i="126"/>
  <c r="E215" i="126"/>
  <c r="G215" i="126"/>
  <c r="AP193" i="126"/>
  <c r="AG193" i="126"/>
  <c r="AE193" i="126"/>
  <c r="AI964" i="126"/>
  <c r="F964" i="126"/>
  <c r="AP790" i="126"/>
  <c r="AG790" i="126"/>
  <c r="AJ719" i="126"/>
  <c r="H719" i="126"/>
  <c r="I718" i="126"/>
  <c r="F104" i="126"/>
  <c r="AI104" i="126"/>
  <c r="H103" i="126"/>
  <c r="AH368" i="126"/>
  <c r="AI287" i="126"/>
  <c r="H286" i="126"/>
  <c r="AI286" i="126" s="1"/>
  <c r="AJ502" i="126"/>
  <c r="H502" i="126"/>
  <c r="I501" i="126"/>
  <c r="AO47" i="126"/>
  <c r="W28" i="126"/>
  <c r="G831" i="126"/>
  <c r="AH831" i="126"/>
  <c r="E831" i="126"/>
  <c r="AP195" i="126"/>
  <c r="AG195" i="126"/>
  <c r="AE195" i="126"/>
  <c r="I88" i="126"/>
  <c r="AJ89" i="126"/>
  <c r="AG884" i="126"/>
  <c r="AP884" i="126"/>
  <c r="AE488" i="126"/>
  <c r="AP488" i="126"/>
  <c r="AG488" i="126"/>
  <c r="AJ922" i="126"/>
  <c r="H922" i="126"/>
  <c r="I920" i="126"/>
  <c r="T416" i="126"/>
  <c r="AN416" i="126" s="1"/>
  <c r="AN417" i="126"/>
  <c r="G697" i="126"/>
  <c r="G696" i="126" s="1"/>
  <c r="AH697" i="126"/>
  <c r="E697" i="126"/>
  <c r="F696" i="126"/>
  <c r="G1058" i="126"/>
  <c r="E1058" i="126"/>
  <c r="F1057" i="126"/>
  <c r="AH1058" i="126"/>
  <c r="AN801" i="126"/>
  <c r="T800" i="126"/>
  <c r="AN800" i="126" s="1"/>
  <c r="G711" i="126"/>
  <c r="AH711" i="126"/>
  <c r="E711" i="126"/>
  <c r="AH377" i="126"/>
  <c r="E377" i="126"/>
  <c r="AH853" i="126"/>
  <c r="E853" i="126"/>
  <c r="G853" i="126"/>
  <c r="F845" i="126"/>
  <c r="AI845" i="126"/>
  <c r="H461" i="126"/>
  <c r="AJ461" i="126"/>
  <c r="AH223" i="126"/>
  <c r="E223" i="126"/>
  <c r="G223" i="126"/>
  <c r="AK29" i="126"/>
  <c r="F166" i="126"/>
  <c r="AI166" i="126"/>
  <c r="AJ265" i="126"/>
  <c r="H265" i="126"/>
  <c r="AP603" i="126"/>
  <c r="AG603" i="126"/>
  <c r="AI1081" i="126"/>
  <c r="F1081" i="126"/>
  <c r="AH930" i="126"/>
  <c r="E930" i="126"/>
  <c r="G930" i="126"/>
  <c r="G529" i="126"/>
  <c r="AH529" i="126"/>
  <c r="E529" i="126"/>
  <c r="AH409" i="126"/>
  <c r="E409" i="126"/>
  <c r="G409" i="126"/>
  <c r="AH204" i="126"/>
  <c r="E204" i="126"/>
  <c r="G204" i="126"/>
  <c r="G179" i="126"/>
  <c r="AH179" i="126"/>
  <c r="E179" i="126"/>
  <c r="F178" i="126"/>
  <c r="I514" i="126"/>
  <c r="AM514" i="126"/>
  <c r="P513" i="126"/>
  <c r="AP1090" i="126"/>
  <c r="AG1090" i="126"/>
  <c r="AE1090" i="126"/>
  <c r="AG993" i="126"/>
  <c r="AP993" i="126"/>
  <c r="I139" i="126"/>
  <c r="AJ140" i="126"/>
  <c r="G100" i="126"/>
  <c r="E100" i="126"/>
  <c r="AH100" i="126"/>
  <c r="AJ471" i="126"/>
  <c r="H471" i="126"/>
  <c r="AJ103" i="126"/>
  <c r="I102" i="126"/>
  <c r="AG294" i="126"/>
  <c r="AP294" i="126"/>
  <c r="AI1063" i="126"/>
  <c r="F1063" i="126"/>
  <c r="AI187" i="126"/>
  <c r="F187" i="126"/>
  <c r="E1070" i="126"/>
  <c r="AH1070" i="126"/>
  <c r="G1070" i="126"/>
  <c r="G749" i="126"/>
  <c r="AH749" i="126"/>
  <c r="E749" i="126"/>
  <c r="E579" i="126"/>
  <c r="AH579" i="126"/>
  <c r="G579" i="126"/>
  <c r="AP322" i="126"/>
  <c r="AG322" i="126"/>
  <c r="G43" i="126"/>
  <c r="AH43" i="126"/>
  <c r="E43" i="126"/>
  <c r="AJ1009" i="126"/>
  <c r="H1009" i="126"/>
  <c r="AG385" i="126"/>
  <c r="AP385" i="126"/>
  <c r="AP399" i="126"/>
  <c r="AG399" i="126"/>
  <c r="H89" i="126"/>
  <c r="AI90" i="126"/>
  <c r="F90" i="126"/>
  <c r="G1045" i="126"/>
  <c r="AH1045" i="126"/>
  <c r="E1045" i="126"/>
  <c r="AH850" i="126"/>
  <c r="G850" i="126"/>
  <c r="E850" i="126"/>
  <c r="E882" i="126"/>
  <c r="AH882" i="126"/>
  <c r="G882" i="126"/>
  <c r="AM801" i="126"/>
  <c r="P800" i="126"/>
  <c r="AM730" i="126"/>
  <c r="P727" i="126"/>
  <c r="AH548" i="126"/>
  <c r="E548" i="126"/>
  <c r="H493" i="126"/>
  <c r="AJ493" i="126"/>
  <c r="I492" i="126"/>
  <c r="AM577" i="126"/>
  <c r="S47" i="126"/>
  <c r="S28" i="126" s="1"/>
  <c r="S27" i="126" s="1"/>
  <c r="AI479" i="126"/>
  <c r="F479" i="126"/>
  <c r="F289" i="126"/>
  <c r="AI289" i="126"/>
  <c r="AP148" i="126"/>
  <c r="AG148" i="126"/>
  <c r="AP246" i="126"/>
  <c r="AG246" i="126"/>
  <c r="E977" i="126"/>
  <c r="AH977" i="126"/>
  <c r="G977" i="126"/>
  <c r="H808" i="126"/>
  <c r="AJ808" i="126"/>
  <c r="AM364" i="126"/>
  <c r="P363" i="126"/>
  <c r="AM363" i="126" s="1"/>
  <c r="AI449" i="126"/>
  <c r="F449" i="126"/>
  <c r="G304" i="126"/>
  <c r="AH304" i="126"/>
  <c r="E304" i="126"/>
  <c r="AG173" i="126"/>
  <c r="AP173" i="126"/>
  <c r="AJ518" i="126"/>
  <c r="H518" i="126"/>
  <c r="E734" i="126"/>
  <c r="G734" i="126"/>
  <c r="AH734" i="126"/>
  <c r="AP396" i="126"/>
  <c r="AG396" i="126"/>
  <c r="F213" i="126"/>
  <c r="AI213" i="126"/>
  <c r="M86" i="126"/>
  <c r="AL86" i="126" s="1"/>
  <c r="AL87" i="126"/>
  <c r="AH1100" i="126"/>
  <c r="E1100" i="126"/>
  <c r="G1100" i="126"/>
  <c r="G1092" i="126" s="1"/>
  <c r="I67" i="125"/>
  <c r="AI793" i="126"/>
  <c r="F793" i="126"/>
  <c r="F741" i="126"/>
  <c r="AI741" i="126"/>
  <c r="H740" i="126"/>
  <c r="AI740" i="126" s="1"/>
  <c r="AG534" i="126"/>
  <c r="AP534" i="126"/>
  <c r="E1072" i="126"/>
  <c r="AH1072" i="126"/>
  <c r="G1072" i="126"/>
  <c r="AG1097" i="126"/>
  <c r="AE1097" i="126"/>
  <c r="AE1093" i="126" s="1"/>
  <c r="AP1097" i="126"/>
  <c r="E1093" i="126"/>
  <c r="G1021" i="126"/>
  <c r="AH1021" i="126"/>
  <c r="E1021" i="126"/>
  <c r="E752" i="126"/>
  <c r="AH752" i="126"/>
  <c r="G752" i="126"/>
  <c r="AG804" i="126"/>
  <c r="AP804" i="126"/>
  <c r="AI745" i="126"/>
  <c r="F745" i="126"/>
  <c r="AJ681" i="126"/>
  <c r="I680" i="126"/>
  <c r="AJ680" i="126" s="1"/>
  <c r="F644" i="126"/>
  <c r="H643" i="126"/>
  <c r="AI643" i="126" s="1"/>
  <c r="AI644" i="126"/>
  <c r="F433" i="126"/>
  <c r="AI433" i="126"/>
  <c r="AO241" i="126"/>
  <c r="W230" i="126"/>
  <c r="F238" i="126"/>
  <c r="AG297" i="126"/>
  <c r="AP297" i="126"/>
  <c r="AI178" i="126"/>
  <c r="F34" i="126"/>
  <c r="AI34" i="126"/>
  <c r="I16" i="125"/>
  <c r="AH18" i="126"/>
  <c r="E18" i="126"/>
  <c r="F17" i="126"/>
  <c r="G18" i="126"/>
  <c r="AN513" i="126"/>
  <c r="T511" i="126"/>
  <c r="AM1053" i="126"/>
  <c r="P1052" i="126"/>
  <c r="AM1052" i="126" s="1"/>
  <c r="AH978" i="126"/>
  <c r="E978" i="126"/>
  <c r="G978" i="126"/>
  <c r="E709" i="126"/>
  <c r="AH709" i="126"/>
  <c r="AH674" i="126"/>
  <c r="E674" i="126"/>
  <c r="G674" i="126"/>
  <c r="H482" i="126"/>
  <c r="I481" i="126"/>
  <c r="AJ481" i="126" s="1"/>
  <c r="AJ482" i="126"/>
  <c r="AH614" i="126"/>
  <c r="G614" i="126"/>
  <c r="E614" i="126"/>
  <c r="AI404" i="126"/>
  <c r="H403" i="126"/>
  <c r="AI403" i="126" s="1"/>
  <c r="AP389" i="126"/>
  <c r="AG389" i="126"/>
  <c r="AI330" i="126"/>
  <c r="F330" i="126"/>
  <c r="AI524" i="126"/>
  <c r="F524" i="126"/>
  <c r="AM177" i="126"/>
  <c r="P176" i="126"/>
  <c r="AM176" i="126" s="1"/>
  <c r="AM417" i="126"/>
  <c r="P416" i="126"/>
  <c r="AM416" i="126" s="1"/>
  <c r="AH997" i="126"/>
  <c r="E997" i="126"/>
  <c r="G997" i="126"/>
  <c r="AG890" i="126"/>
  <c r="AP890" i="126"/>
  <c r="G815" i="126"/>
  <c r="AH815" i="126"/>
  <c r="E815" i="126"/>
  <c r="AM718" i="126"/>
  <c r="P717" i="126"/>
  <c r="AM717" i="126" s="1"/>
  <c r="AI235" i="126"/>
  <c r="F235" i="126"/>
  <c r="AG407" i="126"/>
  <c r="AE407" i="126"/>
  <c r="AP407" i="126"/>
  <c r="AG395" i="126"/>
  <c r="AP395" i="126"/>
  <c r="S118" i="126"/>
  <c r="F947" i="126"/>
  <c r="AI947" i="126"/>
  <c r="E898" i="126"/>
  <c r="AH898" i="126"/>
  <c r="G898" i="126"/>
  <c r="F897" i="126"/>
  <c r="AH335" i="126"/>
  <c r="E335" i="126"/>
  <c r="G335" i="126"/>
  <c r="AM160" i="126"/>
  <c r="P159" i="126"/>
  <c r="AM159" i="126" s="1"/>
  <c r="G94" i="126"/>
  <c r="AH94" i="126"/>
  <c r="E94" i="126"/>
  <c r="S352" i="126"/>
  <c r="P1040" i="126"/>
  <c r="AM501" i="126"/>
  <c r="P500" i="126"/>
  <c r="J71" i="125"/>
  <c r="H71" i="125"/>
  <c r="G71" i="125" s="1"/>
  <c r="K71" i="125"/>
  <c r="AG895" i="126"/>
  <c r="AP895" i="126"/>
  <c r="E379" i="126"/>
  <c r="AH379" i="126"/>
  <c r="G379" i="126"/>
  <c r="G377" i="126" s="1"/>
  <c r="AG82" i="126"/>
  <c r="AP82" i="126"/>
  <c r="G200" i="126"/>
  <c r="AH200" i="126"/>
  <c r="E200" i="126"/>
  <c r="AJ843" i="126"/>
  <c r="H468" i="126"/>
  <c r="AI468" i="126" s="1"/>
  <c r="AI469" i="126"/>
  <c r="F469" i="126"/>
  <c r="E465" i="126"/>
  <c r="AH465" i="126"/>
  <c r="G465" i="126"/>
  <c r="AH113" i="126"/>
  <c r="E113" i="126"/>
  <c r="G113" i="126"/>
  <c r="E24" i="126"/>
  <c r="G24" i="126"/>
  <c r="I22" i="125"/>
  <c r="AH24" i="126"/>
  <c r="AE52" i="126"/>
  <c r="AG52" i="126"/>
  <c r="AP52" i="126"/>
  <c r="T1039" i="126"/>
  <c r="AN1039" i="126" s="1"/>
  <c r="AN1040" i="126"/>
  <c r="AH965" i="126"/>
  <c r="E965" i="126"/>
  <c r="G965" i="126"/>
  <c r="AI846" i="126"/>
  <c r="F846" i="126"/>
  <c r="AH907" i="126"/>
  <c r="E907" i="126"/>
  <c r="G907" i="126"/>
  <c r="F819" i="126"/>
  <c r="AI819" i="126"/>
  <c r="G771" i="126"/>
  <c r="AH771" i="126"/>
  <c r="E771" i="126"/>
  <c r="AP657" i="126"/>
  <c r="AG657" i="126"/>
  <c r="AI451" i="126"/>
  <c r="F451" i="126"/>
  <c r="E362" i="126"/>
  <c r="AH362" i="126"/>
  <c r="G362" i="126"/>
  <c r="AP944" i="126"/>
  <c r="AG944" i="126"/>
  <c r="AI621" i="126"/>
  <c r="F621" i="126"/>
  <c r="AJ811" i="126"/>
  <c r="H811" i="126"/>
  <c r="AH609" i="126"/>
  <c r="G609" i="126"/>
  <c r="E609" i="126"/>
  <c r="AP616" i="126"/>
  <c r="AG616" i="126"/>
  <c r="AG549" i="126"/>
  <c r="AP549" i="126"/>
  <c r="AP412" i="126"/>
  <c r="AG412" i="126"/>
  <c r="AE412" i="126"/>
  <c r="AP205" i="126"/>
  <c r="AG205" i="126"/>
  <c r="AE205" i="126"/>
  <c r="G41" i="126"/>
  <c r="AH41" i="126"/>
  <c r="E41" i="126"/>
  <c r="F784" i="126"/>
  <c r="AI784" i="126"/>
  <c r="H783" i="126"/>
  <c r="AI783" i="126" s="1"/>
  <c r="G630" i="126"/>
  <c r="AH630" i="126"/>
  <c r="E630" i="126"/>
  <c r="E1067" i="126"/>
  <c r="AH1067" i="126"/>
  <c r="G1067" i="126"/>
  <c r="F1031" i="126"/>
  <c r="AI1031" i="126"/>
  <c r="AJ931" i="126"/>
  <c r="H931" i="126"/>
  <c r="I929" i="126"/>
  <c r="AJ929" i="126" s="1"/>
  <c r="F878" i="126"/>
  <c r="AH878" i="126" s="1"/>
  <c r="AK764" i="126"/>
  <c r="J763" i="126"/>
  <c r="AK763" i="126" s="1"/>
  <c r="E806" i="126"/>
  <c r="G806" i="126"/>
  <c r="AH806" i="126"/>
  <c r="AL765" i="126"/>
  <c r="M764" i="126"/>
  <c r="I536" i="126"/>
  <c r="I531" i="126" s="1"/>
  <c r="H537" i="126"/>
  <c r="AJ537" i="126"/>
  <c r="H428" i="126"/>
  <c r="AJ428" i="126"/>
  <c r="AP326" i="126"/>
  <c r="AG326" i="126"/>
  <c r="AP400" i="126"/>
  <c r="AG400" i="126"/>
  <c r="AH64" i="126"/>
  <c r="G64" i="126"/>
  <c r="E64" i="126"/>
  <c r="AN87" i="126"/>
  <c r="T86" i="126"/>
  <c r="AN86" i="126" s="1"/>
  <c r="E278" i="126"/>
  <c r="AH278" i="126"/>
  <c r="G278" i="126"/>
  <c r="S87" i="126"/>
  <c r="AE23" i="126"/>
  <c r="AG23" i="126"/>
  <c r="AP23" i="126"/>
  <c r="E42" i="126"/>
  <c r="G42" i="126"/>
  <c r="AH42" i="126"/>
  <c r="AG40" i="126"/>
  <c r="AE40" i="126"/>
  <c r="AP40" i="126"/>
  <c r="AM153" i="126"/>
  <c r="AI976" i="126"/>
  <c r="F976" i="126"/>
  <c r="AG639" i="126"/>
  <c r="AP639" i="126"/>
  <c r="H1010" i="126"/>
  <c r="AJ1010" i="126"/>
  <c r="I339" i="126"/>
  <c r="AJ339" i="126" s="1"/>
  <c r="AJ340" i="126"/>
  <c r="F422" i="126"/>
  <c r="AI422" i="126"/>
  <c r="H125" i="126"/>
  <c r="I124" i="126"/>
  <c r="AJ124" i="126" s="1"/>
  <c r="AJ125" i="126"/>
  <c r="AM29" i="126"/>
  <c r="AJ1035" i="126"/>
  <c r="H1035" i="126"/>
  <c r="AH1018" i="126"/>
  <c r="E1018" i="126"/>
  <c r="G1018" i="126"/>
  <c r="H459" i="126"/>
  <c r="I458" i="126"/>
  <c r="AJ458" i="126" s="1"/>
  <c r="AJ459" i="126"/>
  <c r="E272" i="126"/>
  <c r="AH272" i="126"/>
  <c r="G272" i="126"/>
  <c r="I236" i="126"/>
  <c r="AJ236" i="126" s="1"/>
  <c r="AJ237" i="126"/>
  <c r="H237" i="126"/>
  <c r="AH336" i="126"/>
  <c r="E336" i="126"/>
  <c r="G336" i="126"/>
  <c r="AH68" i="126"/>
  <c r="G68" i="126"/>
  <c r="E68" i="126"/>
  <c r="P353" i="126"/>
  <c r="AJ595" i="126"/>
  <c r="H595" i="126"/>
  <c r="I594" i="126"/>
  <c r="S499" i="126"/>
  <c r="AJ266" i="126"/>
  <c r="H266" i="126"/>
  <c r="AM540" i="126"/>
  <c r="P539" i="126"/>
  <c r="AM539" i="126" s="1"/>
  <c r="AI360" i="126"/>
  <c r="F360" i="126"/>
  <c r="AO189" i="126"/>
  <c r="H189" i="126"/>
  <c r="AK726" i="126"/>
  <c r="AI473" i="126"/>
  <c r="F473" i="126"/>
  <c r="E350" i="126"/>
  <c r="AH350" i="126"/>
  <c r="G350" i="126"/>
  <c r="AP343" i="126"/>
  <c r="AG343" i="126"/>
  <c r="F66" i="126"/>
  <c r="AI66" i="126"/>
  <c r="AP1027" i="126"/>
  <c r="AG1027" i="126"/>
  <c r="F860" i="126"/>
  <c r="AI860" i="126"/>
  <c r="AI777" i="126"/>
  <c r="F777" i="126"/>
  <c r="E710" i="126"/>
  <c r="G710" i="126"/>
  <c r="AH710" i="126"/>
  <c r="G571" i="126"/>
  <c r="AH571" i="126"/>
  <c r="E571" i="126"/>
  <c r="F436" i="126"/>
  <c r="AI436" i="126"/>
  <c r="G66" i="125"/>
  <c r="E982" i="126"/>
  <c r="AH982" i="126"/>
  <c r="G982" i="126"/>
  <c r="I821" i="126"/>
  <c r="AJ821" i="126" s="1"/>
  <c r="AI797" i="126"/>
  <c r="F797" i="126"/>
  <c r="AI467" i="126"/>
  <c r="F467" i="126"/>
  <c r="AH1073" i="126"/>
  <c r="E1073" i="126"/>
  <c r="G1073" i="126"/>
  <c r="AH923" i="126"/>
  <c r="E923" i="126"/>
  <c r="G923" i="126"/>
  <c r="G956" i="126"/>
  <c r="AH956" i="126"/>
  <c r="AJ851" i="126"/>
  <c r="H851" i="126"/>
  <c r="AN727" i="126"/>
  <c r="T726" i="126"/>
  <c r="AN726" i="126" s="1"/>
  <c r="AH695" i="126"/>
  <c r="G695" i="126"/>
  <c r="E695" i="126"/>
  <c r="AI620" i="126"/>
  <c r="F620" i="126"/>
  <c r="E112" i="126"/>
  <c r="G112" i="126"/>
  <c r="AH112" i="126"/>
  <c r="F1103" i="126"/>
  <c r="AI1103" i="126"/>
  <c r="AJ805" i="126"/>
  <c r="H805" i="126"/>
  <c r="I803" i="126"/>
  <c r="AJ803" i="126" s="1"/>
  <c r="E429" i="126"/>
  <c r="AH429" i="126"/>
  <c r="G429" i="126"/>
  <c r="AI65" i="126"/>
  <c r="F65" i="126"/>
  <c r="F542" i="126"/>
  <c r="AI542" i="126"/>
  <c r="AP318" i="126"/>
  <c r="AG318" i="126"/>
  <c r="AJ583" i="126"/>
  <c r="H583" i="126"/>
  <c r="I582" i="126"/>
  <c r="AJ450" i="126"/>
  <c r="H450" i="126"/>
  <c r="AP998" i="126"/>
  <c r="AG998" i="126"/>
  <c r="AI683" i="126"/>
  <c r="F683" i="126"/>
  <c r="G438" i="126"/>
  <c r="AH438" i="126"/>
  <c r="E438" i="126"/>
  <c r="AI546" i="126"/>
  <c r="H545" i="126"/>
  <c r="F546" i="126"/>
  <c r="AG911" i="126"/>
  <c r="AP911" i="126"/>
  <c r="AG556" i="126"/>
  <c r="AP556" i="126"/>
  <c r="AP169" i="126"/>
  <c r="AG169" i="126"/>
  <c r="E31" i="126"/>
  <c r="G31" i="126"/>
  <c r="AH31" i="126"/>
  <c r="G106" i="126"/>
  <c r="G105" i="126" s="1"/>
  <c r="F105" i="126"/>
  <c r="AH105" i="126" s="1"/>
  <c r="AH106" i="126"/>
  <c r="E106" i="126"/>
  <c r="M118" i="126"/>
  <c r="AL118" i="126" s="1"/>
  <c r="E114" i="126"/>
  <c r="AH114" i="126"/>
  <c r="G114" i="126"/>
  <c r="V441" i="126"/>
  <c r="AP299" i="126"/>
  <c r="AG299" i="126"/>
  <c r="AG76" i="126"/>
  <c r="AP76" i="126"/>
  <c r="E1101" i="126"/>
  <c r="AH1101" i="126"/>
  <c r="G1101" i="126"/>
  <c r="I68" i="125"/>
  <c r="H68" i="125" s="1"/>
  <c r="G68" i="125" s="1"/>
  <c r="AH983" i="126"/>
  <c r="E983" i="126"/>
  <c r="G983" i="126"/>
  <c r="AP916" i="126"/>
  <c r="AG916" i="126"/>
  <c r="AG903" i="126"/>
  <c r="AP903" i="126"/>
  <c r="H605" i="126"/>
  <c r="AI605" i="126" s="1"/>
  <c r="AI606" i="126"/>
  <c r="F606" i="126"/>
  <c r="G607" i="126"/>
  <c r="AH607" i="126"/>
  <c r="E607" i="126"/>
  <c r="H1002" i="126"/>
  <c r="AJ1002" i="126"/>
  <c r="AI862" i="126"/>
  <c r="F862" i="126"/>
  <c r="F769" i="126"/>
  <c r="AI769" i="126"/>
  <c r="AM738" i="126"/>
  <c r="P737" i="126"/>
  <c r="AM737" i="126" s="1"/>
  <c r="AI731" i="126"/>
  <c r="F731" i="126"/>
  <c r="H126" i="126"/>
  <c r="AJ126" i="126"/>
  <c r="AN692" i="126"/>
  <c r="AJ261" i="126"/>
  <c r="H261" i="126"/>
  <c r="AG292" i="126"/>
  <c r="AP292" i="126"/>
  <c r="AJ981" i="126"/>
  <c r="H981" i="126"/>
  <c r="I979" i="126"/>
  <c r="AJ979" i="126" s="1"/>
  <c r="AP1028" i="126"/>
  <c r="AG1028" i="126"/>
  <c r="F742" i="126"/>
  <c r="AI742" i="126"/>
  <c r="AG562" i="126"/>
  <c r="AP562" i="126"/>
  <c r="L281" i="126"/>
  <c r="AK281" i="126" s="1"/>
  <c r="AK286" i="126"/>
  <c r="P119" i="126"/>
  <c r="AM120" i="126"/>
  <c r="AJ1056" i="126"/>
  <c r="H1056" i="126"/>
  <c r="I1053" i="126"/>
  <c r="AP641" i="126"/>
  <c r="AG641" i="126"/>
  <c r="G477" i="126"/>
  <c r="AH477" i="126"/>
  <c r="E477" i="126"/>
  <c r="G361" i="126"/>
  <c r="AH361" i="126"/>
  <c r="E361" i="126"/>
  <c r="AG383" i="126"/>
  <c r="AP383" i="126"/>
  <c r="H773" i="126"/>
  <c r="AJ773" i="126"/>
  <c r="I770" i="126"/>
  <c r="AJ770" i="126" s="1"/>
  <c r="AP167" i="126"/>
  <c r="AG167" i="126"/>
  <c r="AH348" i="126"/>
  <c r="E348" i="126"/>
  <c r="G348" i="126"/>
  <c r="E1000" i="126"/>
  <c r="AH1000" i="126"/>
  <c r="AG401" i="126"/>
  <c r="AP401" i="126"/>
  <c r="AI141" i="126"/>
  <c r="H140" i="126"/>
  <c r="F141" i="126"/>
  <c r="AM282" i="126"/>
  <c r="P281" i="126"/>
  <c r="AM281" i="126" s="1"/>
  <c r="W868" i="126"/>
  <c r="AO869" i="126"/>
  <c r="AI611" i="126"/>
  <c r="F611" i="126"/>
  <c r="AL231" i="126"/>
  <c r="E830" i="126"/>
  <c r="G830" i="126"/>
  <c r="AH830" i="126"/>
  <c r="AO737" i="126"/>
  <c r="W726" i="126"/>
  <c r="AP538" i="126"/>
  <c r="AG538" i="126"/>
  <c r="AP411" i="126"/>
  <c r="AG411" i="126"/>
  <c r="AE411" i="126"/>
  <c r="AJ130" i="126"/>
  <c r="H130" i="126"/>
  <c r="AG791" i="126"/>
  <c r="AP791" i="126"/>
  <c r="AJ443" i="126"/>
  <c r="G243" i="126"/>
  <c r="E243" i="126"/>
  <c r="AH243" i="126"/>
  <c r="T241" i="126"/>
  <c r="AN248" i="126"/>
  <c r="AG686" i="126"/>
  <c r="AP686" i="126"/>
  <c r="AH1032" i="126"/>
  <c r="E1032" i="126"/>
  <c r="G1032" i="126"/>
  <c r="AH1049" i="126"/>
  <c r="E1049" i="126"/>
  <c r="G1049" i="126"/>
  <c r="AJ926" i="126"/>
  <c r="H926" i="126"/>
  <c r="F754" i="126"/>
  <c r="AI754" i="126"/>
  <c r="AH203" i="126"/>
  <c r="G203" i="126"/>
  <c r="E203" i="126"/>
  <c r="I122" i="126"/>
  <c r="AJ122" i="126" s="1"/>
  <c r="H123" i="126"/>
  <c r="AJ123" i="126"/>
  <c r="E198" i="126"/>
  <c r="F197" i="126"/>
  <c r="AH197" i="126" s="1"/>
  <c r="G198" i="126"/>
  <c r="AH198" i="126"/>
  <c r="AI162" i="126"/>
  <c r="F162" i="126"/>
  <c r="G445" i="126"/>
  <c r="AH445" i="126"/>
  <c r="E445" i="126"/>
  <c r="I1007" i="126"/>
  <c r="AM1007" i="126"/>
  <c r="G615" i="126"/>
  <c r="AH615" i="126"/>
  <c r="E615" i="126"/>
  <c r="F454" i="126"/>
  <c r="AI454" i="126"/>
  <c r="AI990" i="126"/>
  <c r="F990" i="126"/>
  <c r="G714" i="126"/>
  <c r="AH714" i="126"/>
  <c r="E714" i="126"/>
  <c r="AH67" i="126"/>
  <c r="G67" i="126"/>
  <c r="E67" i="126"/>
  <c r="AJ578" i="126"/>
  <c r="H578" i="126"/>
  <c r="I577" i="126"/>
  <c r="AI613" i="126"/>
  <c r="F613" i="126"/>
  <c r="AP933" i="126"/>
  <c r="AG933" i="126"/>
  <c r="AI419" i="126"/>
  <c r="F419" i="126"/>
  <c r="AG216" i="126"/>
  <c r="AE216" i="126"/>
  <c r="AP216" i="126"/>
  <c r="H425" i="126"/>
  <c r="AJ425" i="126"/>
  <c r="AN353" i="126"/>
  <c r="T352" i="126"/>
  <c r="AN352" i="126" s="1"/>
  <c r="AI1025" i="126"/>
  <c r="F1025" i="126"/>
  <c r="AI1016" i="126"/>
  <c r="F1016" i="126"/>
  <c r="F1014" i="126" s="1"/>
  <c r="E872" i="126"/>
  <c r="AH872" i="126"/>
  <c r="G872" i="126"/>
  <c r="H463" i="126"/>
  <c r="AJ463" i="126"/>
  <c r="E515" i="126"/>
  <c r="AH515" i="126"/>
  <c r="G515" i="126"/>
  <c r="AH485" i="126"/>
  <c r="G485" i="126"/>
  <c r="E485" i="126"/>
  <c r="AM102" i="126"/>
  <c r="P101" i="126"/>
  <c r="AG1034" i="126"/>
  <c r="AP1034" i="126"/>
  <c r="AH775" i="126"/>
  <c r="E775" i="126"/>
  <c r="G775" i="126"/>
  <c r="AJ357" i="126"/>
  <c r="I356" i="126"/>
  <c r="AJ356" i="126" s="1"/>
  <c r="E1064" i="126"/>
  <c r="AH1064" i="126"/>
  <c r="G1064" i="126"/>
  <c r="E899" i="126"/>
  <c r="AH899" i="126"/>
  <c r="G899" i="126"/>
  <c r="AJ836" i="126"/>
  <c r="H836" i="126"/>
  <c r="F798" i="126"/>
  <c r="AI798" i="126"/>
  <c r="G382" i="126"/>
  <c r="AP171" i="126"/>
  <c r="AG171" i="126"/>
  <c r="AH131" i="126"/>
  <c r="G131" i="126"/>
  <c r="E131" i="126"/>
  <c r="AJ418" i="126"/>
  <c r="H418" i="126"/>
  <c r="I417" i="126"/>
  <c r="AI943" i="126"/>
  <c r="F943" i="126"/>
  <c r="H942" i="126"/>
  <c r="AI942" i="126" s="1"/>
  <c r="AI848" i="126"/>
  <c r="F848" i="126"/>
  <c r="E1068" i="126"/>
  <c r="AH1068" i="126"/>
  <c r="G1068" i="126"/>
  <c r="AI812" i="126"/>
  <c r="F812" i="126"/>
  <c r="F728" i="126"/>
  <c r="AI728" i="126"/>
  <c r="W919" i="126"/>
  <c r="AO919" i="126" s="1"/>
  <c r="P231" i="126"/>
  <c r="AM232" i="126"/>
  <c r="AG206" i="126"/>
  <c r="AE206" i="126"/>
  <c r="AP206" i="126"/>
  <c r="F1029" i="126"/>
  <c r="AI1029" i="126"/>
  <c r="AP962" i="126"/>
  <c r="AG962" i="126"/>
  <c r="AJ802" i="126"/>
  <c r="H802" i="126"/>
  <c r="F743" i="126"/>
  <c r="AI743" i="126"/>
  <c r="AP306" i="126"/>
  <c r="AG306" i="126"/>
  <c r="F960" i="126"/>
  <c r="AI960" i="126"/>
  <c r="AG909" i="126"/>
  <c r="AP909" i="126"/>
  <c r="AP398" i="126"/>
  <c r="AG398" i="126"/>
  <c r="I29" i="126"/>
  <c r="AJ30" i="126"/>
  <c r="AK87" i="126"/>
  <c r="J86" i="126"/>
  <c r="AK86" i="126" s="1"/>
  <c r="G85" i="125"/>
  <c r="H85" i="125"/>
  <c r="I81" i="125"/>
  <c r="H81" i="125" s="1"/>
  <c r="AM868" i="126"/>
  <c r="P867" i="126"/>
  <c r="AM867" i="126" s="1"/>
  <c r="AL531" i="126"/>
  <c r="M510" i="126"/>
  <c r="AL510" i="126" s="1"/>
  <c r="H587" i="126"/>
  <c r="AI587" i="126" s="1"/>
  <c r="F588" i="126"/>
  <c r="AI588" i="126"/>
  <c r="AG495" i="126"/>
  <c r="AP495" i="126"/>
  <c r="AJ154" i="126"/>
  <c r="H154" i="126"/>
  <c r="I153" i="126"/>
  <c r="AP927" i="126"/>
  <c r="AG927" i="126"/>
  <c r="AI810" i="126"/>
  <c r="F810" i="126"/>
  <c r="AH1054" i="126"/>
  <c r="E1054" i="126"/>
  <c r="G1054" i="126"/>
  <c r="F1005" i="126"/>
  <c r="AI1005" i="126"/>
  <c r="AI974" i="126"/>
  <c r="F974" i="126"/>
  <c r="AG902" i="126"/>
  <c r="AP902" i="126"/>
  <c r="AH952" i="126"/>
  <c r="E952" i="126"/>
  <c r="G952" i="126"/>
  <c r="AI838" i="126"/>
  <c r="F838" i="126"/>
  <c r="AH835" i="126"/>
  <c r="G835" i="126"/>
  <c r="E835" i="126"/>
  <c r="AI713" i="126"/>
  <c r="F713" i="126"/>
  <c r="AI682" i="126"/>
  <c r="H681" i="126"/>
  <c r="F682" i="126"/>
  <c r="G590" i="126"/>
  <c r="AH590" i="126"/>
  <c r="E590" i="126"/>
  <c r="AI494" i="126"/>
  <c r="F494" i="126"/>
  <c r="F440" i="126"/>
  <c r="AI440" i="126"/>
  <c r="AG296" i="126"/>
  <c r="AP296" i="126"/>
  <c r="AH374" i="126"/>
  <c r="E374" i="126"/>
  <c r="F373" i="126"/>
  <c r="AH373" i="126" s="1"/>
  <c r="F270" i="126"/>
  <c r="AI270" i="126"/>
  <c r="F212" i="126"/>
  <c r="AI212" i="126"/>
  <c r="AJ129" i="126"/>
  <c r="H129" i="126"/>
  <c r="I128" i="126"/>
  <c r="I120" i="126"/>
  <c r="AJ121" i="126"/>
  <c r="H121" i="126"/>
  <c r="AI355" i="126"/>
  <c r="F355" i="126"/>
  <c r="AI970" i="126"/>
  <c r="F970" i="126"/>
  <c r="F865" i="126"/>
  <c r="AI865" i="126"/>
  <c r="AI627" i="126"/>
  <c r="F627" i="126"/>
  <c r="AH1078" i="126"/>
  <c r="E1078" i="126"/>
  <c r="G1078" i="126"/>
  <c r="I53" i="125"/>
  <c r="H1023" i="126"/>
  <c r="I1022" i="126"/>
  <c r="AJ1023" i="126"/>
  <c r="AH1083" i="126"/>
  <c r="E1083" i="126"/>
  <c r="G1083" i="126"/>
  <c r="AH936" i="126"/>
  <c r="E936" i="126"/>
  <c r="G936" i="126"/>
  <c r="AI951" i="126"/>
  <c r="F951" i="126"/>
  <c r="H949" i="126"/>
  <c r="AI949" i="126" s="1"/>
  <c r="F778" i="126"/>
  <c r="AI778" i="126"/>
  <c r="AJ706" i="126"/>
  <c r="H706" i="126"/>
  <c r="I705" i="126"/>
  <c r="AJ705" i="126" s="1"/>
  <c r="AI608" i="126"/>
  <c r="F608" i="126"/>
  <c r="E666" i="126"/>
  <c r="AH666" i="126"/>
  <c r="G666" i="126"/>
  <c r="AH596" i="126"/>
  <c r="G596" i="126"/>
  <c r="E596" i="126"/>
  <c r="AH405" i="126"/>
  <c r="E405" i="126"/>
  <c r="G405" i="126"/>
  <c r="F404" i="126"/>
  <c r="AH446" i="126"/>
  <c r="E446" i="126"/>
  <c r="G446" i="126"/>
  <c r="F424" i="126"/>
  <c r="AI424" i="126"/>
  <c r="AH382" i="126"/>
  <c r="E382" i="126"/>
  <c r="T118" i="126"/>
  <c r="AN118" i="126" s="1"/>
  <c r="AN119" i="126"/>
  <c r="AK248" i="126"/>
  <c r="J241" i="126"/>
  <c r="F598" i="126"/>
  <c r="H597" i="126"/>
  <c r="AI597" i="126" s="1"/>
  <c r="AI598" i="126"/>
  <c r="AG655" i="126"/>
  <c r="AP655" i="126"/>
  <c r="AJ63" i="126"/>
  <c r="I62" i="126"/>
  <c r="AJ62" i="126" s="1"/>
  <c r="AH150" i="126"/>
  <c r="E150" i="126"/>
  <c r="G150" i="126"/>
  <c r="AP369" i="126"/>
  <c r="AG369" i="126"/>
  <c r="E368" i="126"/>
  <c r="AJ183" i="126"/>
  <c r="I182" i="126"/>
  <c r="AJ182" i="126" s="1"/>
  <c r="G523" i="126"/>
  <c r="AH523" i="126"/>
  <c r="E523" i="126"/>
  <c r="F70" i="126"/>
  <c r="AI70" i="126"/>
  <c r="H961" i="126"/>
  <c r="AJ961" i="126"/>
  <c r="AI897" i="126"/>
  <c r="H896" i="126"/>
  <c r="AI896" i="126" s="1"/>
  <c r="G288" i="126"/>
  <c r="AH288" i="126"/>
  <c r="E288" i="126"/>
  <c r="F93" i="126"/>
  <c r="H92" i="126"/>
  <c r="AI92" i="126" s="1"/>
  <c r="AI93" i="126"/>
  <c r="AJ283" i="126"/>
  <c r="H283" i="126"/>
  <c r="I282" i="126"/>
  <c r="AJ512" i="126"/>
  <c r="H512" i="126"/>
  <c r="AP1104" i="126"/>
  <c r="AG1104" i="126"/>
  <c r="AE1104" i="126"/>
  <c r="AH888" i="126"/>
  <c r="E888" i="126"/>
  <c r="G888" i="126"/>
  <c r="AI700" i="126"/>
  <c r="H699" i="126"/>
  <c r="AI699" i="126" s="1"/>
  <c r="F700" i="126"/>
  <c r="AI612" i="126"/>
  <c r="F612" i="126"/>
  <c r="AI142" i="126"/>
  <c r="F142" i="126"/>
  <c r="AI844" i="126"/>
  <c r="F844" i="126"/>
  <c r="AI827" i="126"/>
  <c r="F827" i="126"/>
  <c r="H826" i="126"/>
  <c r="AI826" i="126" s="1"/>
  <c r="AL250" i="126"/>
  <c r="M248" i="126"/>
  <c r="AJ233" i="126"/>
  <c r="H233" i="126"/>
  <c r="I232" i="126"/>
  <c r="AN108" i="126"/>
  <c r="T101" i="126"/>
  <c r="AN101" i="126" s="1"/>
  <c r="AH78" i="126"/>
  <c r="G78" i="126"/>
  <c r="G77" i="126" s="1"/>
  <c r="E78" i="126"/>
  <c r="F77" i="126"/>
  <c r="AG225" i="126"/>
  <c r="AP225" i="126"/>
  <c r="E191" i="126"/>
  <c r="AH191" i="126"/>
  <c r="G191" i="126"/>
  <c r="L47" i="126"/>
  <c r="L28" i="126" s="1"/>
  <c r="L27" i="126" s="1"/>
  <c r="AK62" i="126"/>
  <c r="F1077" i="126"/>
  <c r="AI1077" i="126"/>
  <c r="AJ959" i="126"/>
  <c r="H959" i="126"/>
  <c r="I958" i="126"/>
  <c r="AJ958" i="126" s="1"/>
  <c r="AI854" i="126"/>
  <c r="F854" i="126"/>
  <c r="G602" i="126"/>
  <c r="AH602" i="126"/>
  <c r="E602" i="126"/>
  <c r="AP1033" i="126"/>
  <c r="AG1033" i="126"/>
  <c r="H1014" i="126"/>
  <c r="AI1014" i="126" s="1"/>
  <c r="F994" i="126"/>
  <c r="AI994" i="126"/>
  <c r="AM920" i="126"/>
  <c r="AH905" i="126"/>
  <c r="E905" i="126"/>
  <c r="F904" i="126"/>
  <c r="AH904" i="126" s="1"/>
  <c r="G905" i="126"/>
  <c r="E774" i="126"/>
  <c r="AH774" i="126"/>
  <c r="G774" i="126"/>
  <c r="AJ732" i="126"/>
  <c r="H732" i="126"/>
  <c r="AL680" i="126"/>
  <c r="AH604" i="126"/>
  <c r="G604" i="126"/>
  <c r="E604" i="126"/>
  <c r="AG564" i="126"/>
  <c r="AP564" i="126"/>
  <c r="G555" i="126"/>
  <c r="AH555" i="126"/>
  <c r="E555" i="126"/>
  <c r="AI516" i="126"/>
  <c r="F516" i="126"/>
  <c r="E435" i="126"/>
  <c r="AH435" i="126"/>
  <c r="G435" i="126"/>
  <c r="AI242" i="126"/>
  <c r="F242" i="126"/>
  <c r="E1071" i="126"/>
  <c r="AH1071" i="126"/>
  <c r="G1071" i="126"/>
  <c r="AH1017" i="126"/>
  <c r="E1017" i="126"/>
  <c r="G1017" i="126"/>
  <c r="AP653" i="126"/>
  <c r="AG653" i="126"/>
  <c r="V510" i="126"/>
  <c r="AP880" i="126"/>
  <c r="AG880" i="126"/>
  <c r="AM971" i="126"/>
  <c r="I971" i="126"/>
  <c r="P968" i="126"/>
  <c r="AM968" i="126" s="1"/>
  <c r="AI736" i="126"/>
  <c r="F736" i="126"/>
  <c r="AN599" i="126"/>
  <c r="T593" i="126"/>
  <c r="AM536" i="126"/>
  <c r="P531" i="126"/>
  <c r="AM531" i="126" s="1"/>
  <c r="AM492" i="126"/>
  <c r="P491" i="126"/>
  <c r="AM491" i="126" s="1"/>
  <c r="AP370" i="126"/>
  <c r="AG370" i="126"/>
  <c r="H63" i="126"/>
  <c r="AG220" i="126"/>
  <c r="AE220" i="126"/>
  <c r="AP220" i="126"/>
  <c r="AJ545" i="126"/>
  <c r="I544" i="126"/>
  <c r="AJ544" i="126" s="1"/>
  <c r="AH519" i="126"/>
  <c r="E519" i="126"/>
  <c r="G519" i="126"/>
  <c r="K21" i="125"/>
  <c r="J21" i="125"/>
  <c r="H21" i="125"/>
  <c r="G21" i="125" s="1"/>
  <c r="G116" i="126"/>
  <c r="AH116" i="126"/>
  <c r="E116" i="126"/>
  <c r="AG84" i="126"/>
  <c r="AP84" i="126"/>
  <c r="AE84" i="126"/>
  <c r="AE82" i="126" s="1"/>
  <c r="T27" i="126"/>
  <c r="AN28" i="126"/>
  <c r="F291" i="126"/>
  <c r="AI291" i="126"/>
  <c r="AI244" i="126"/>
  <c r="F244" i="126"/>
  <c r="F36" i="126"/>
  <c r="AI36" i="126"/>
  <c r="AP1030" i="126"/>
  <c r="AG1030" i="126"/>
  <c r="AG703" i="126"/>
  <c r="AP703" i="126"/>
  <c r="AE703" i="126"/>
  <c r="H625" i="126"/>
  <c r="I624" i="126"/>
  <c r="AJ625" i="126"/>
  <c r="AI589" i="126"/>
  <c r="F589" i="126"/>
  <c r="AI341" i="126"/>
  <c r="F341" i="126"/>
  <c r="H340" i="126"/>
  <c r="AH201" i="126"/>
  <c r="E201" i="126"/>
  <c r="G201" i="126"/>
  <c r="AM62" i="126"/>
  <c r="AP81" i="126"/>
  <c r="AE81" i="126"/>
  <c r="AG81" i="126"/>
  <c r="G1118" i="126"/>
  <c r="AH1118" i="126"/>
  <c r="E1118" i="126"/>
  <c r="AH1038" i="126"/>
  <c r="E1038" i="126"/>
  <c r="G1038" i="126"/>
  <c r="AG486" i="126"/>
  <c r="AP486" i="126"/>
  <c r="J28" i="126"/>
  <c r="AP376" i="126"/>
  <c r="AG376" i="126"/>
  <c r="AM594" i="126"/>
  <c r="P593" i="126"/>
  <c r="AJ263" i="126"/>
  <c r="H263" i="126"/>
  <c r="AM140" i="126"/>
  <c r="P139" i="126"/>
  <c r="AM139" i="126" s="1"/>
  <c r="AG889" i="126"/>
  <c r="AP889" i="126"/>
  <c r="AA867" i="126"/>
  <c r="AI622" i="126"/>
  <c r="F622" i="126"/>
  <c r="AI290" i="126"/>
  <c r="F290" i="126"/>
  <c r="E276" i="126"/>
  <c r="G276" i="126"/>
  <c r="AH276" i="126"/>
  <c r="L32" i="125"/>
  <c r="AC28" i="126"/>
  <c r="AH972" i="126"/>
  <c r="E972" i="126"/>
  <c r="G972" i="126"/>
  <c r="AP651" i="126"/>
  <c r="AG651" i="126"/>
  <c r="AH268" i="126"/>
  <c r="G268" i="126"/>
  <c r="E268" i="126"/>
  <c r="AH406" i="126"/>
  <c r="E406" i="126"/>
  <c r="G406" i="126"/>
  <c r="AH254" i="126"/>
  <c r="AI254" i="126"/>
  <c r="AH472" i="126"/>
  <c r="E472" i="126"/>
  <c r="G472" i="126"/>
  <c r="AI69" i="126"/>
  <c r="F69" i="126"/>
  <c r="AI1075" i="126"/>
  <c r="F1075" i="126"/>
  <c r="F876" i="126"/>
  <c r="AI876" i="126"/>
  <c r="AJ532" i="126"/>
  <c r="H532" i="126"/>
  <c r="E550" i="126"/>
  <c r="AH550" i="126"/>
  <c r="G550" i="126"/>
  <c r="AP371" i="126"/>
  <c r="AG371" i="126"/>
  <c r="AP392" i="126"/>
  <c r="AG392" i="126"/>
  <c r="AG115" i="126"/>
  <c r="AP115" i="126"/>
  <c r="AI1041" i="126"/>
  <c r="F1041" i="126"/>
  <c r="H817" i="126"/>
  <c r="AI817" i="126" s="1"/>
  <c r="AI822" i="126"/>
  <c r="F822" i="126"/>
  <c r="F760" i="126"/>
  <c r="AI760" i="126"/>
  <c r="AJ1061" i="126"/>
  <c r="H1061" i="126"/>
  <c r="AG957" i="126"/>
  <c r="E956" i="126"/>
  <c r="AP957" i="126"/>
  <c r="G825" i="126"/>
  <c r="AH825" i="126"/>
  <c r="E825" i="126"/>
  <c r="F832" i="126"/>
  <c r="AI832" i="126"/>
  <c r="F744" i="126"/>
  <c r="AI744" i="126"/>
  <c r="AI712" i="126"/>
  <c r="F712" i="126"/>
  <c r="AG638" i="126"/>
  <c r="AP638" i="126"/>
  <c r="G487" i="126"/>
  <c r="AH487" i="126"/>
  <c r="E487" i="126"/>
  <c r="AH474" i="126"/>
  <c r="E474" i="126"/>
  <c r="G474" i="126"/>
  <c r="E1066" i="126"/>
  <c r="AH1066" i="126"/>
  <c r="G1066" i="126"/>
  <c r="AH932" i="126"/>
  <c r="E932" i="126"/>
  <c r="G932" i="126"/>
  <c r="G858" i="126"/>
  <c r="AH858" i="126"/>
  <c r="E858" i="126"/>
  <c r="AI941" i="126"/>
  <c r="F941" i="126"/>
  <c r="E873" i="126"/>
  <c r="AH873" i="126"/>
  <c r="G873" i="126"/>
  <c r="F427" i="126"/>
  <c r="AI427" i="126"/>
  <c r="AH202" i="126"/>
  <c r="G202" i="126"/>
  <c r="E202" i="126"/>
  <c r="I108" i="126"/>
  <c r="AJ108" i="126" s="1"/>
  <c r="AJ109" i="126"/>
  <c r="AG117" i="126"/>
  <c r="AP117" i="126"/>
  <c r="AH1060" i="126"/>
  <c r="G1060" i="126"/>
  <c r="E1060" i="126"/>
  <c r="AJ694" i="126"/>
  <c r="H694" i="126"/>
  <c r="I693" i="126"/>
  <c r="AJ521" i="126"/>
  <c r="I520" i="126"/>
  <c r="AJ520" i="126" s="1"/>
  <c r="F631" i="126"/>
  <c r="AM507" i="126"/>
  <c r="P506" i="126"/>
  <c r="AM506" i="126" s="1"/>
  <c r="AJ842" i="126"/>
  <c r="H842" i="126"/>
  <c r="I841" i="126"/>
  <c r="AI1006" i="126"/>
  <c r="F1006" i="126"/>
  <c r="AI799" i="126"/>
  <c r="F799" i="126"/>
  <c r="AP753" i="126"/>
  <c r="AG753" i="126"/>
  <c r="AI447" i="126"/>
  <c r="F447" i="126"/>
  <c r="F346" i="126"/>
  <c r="AI346" i="126"/>
  <c r="AP795" i="126"/>
  <c r="AG795" i="126"/>
  <c r="AH747" i="126"/>
  <c r="G747" i="126"/>
  <c r="E747" i="126"/>
  <c r="E635" i="126"/>
  <c r="AH410" i="126"/>
  <c r="E410" i="126"/>
  <c r="G410" i="126"/>
  <c r="AP421" i="126"/>
  <c r="AG421" i="126"/>
  <c r="E351" i="126"/>
  <c r="AH351" i="126"/>
  <c r="G351" i="126"/>
  <c r="AI259" i="126"/>
  <c r="AH259" i="126"/>
  <c r="H30" i="126"/>
  <c r="AI71" i="126"/>
  <c r="F71" i="126"/>
  <c r="AI814" i="126"/>
  <c r="F814" i="126"/>
  <c r="AM766" i="126"/>
  <c r="P765" i="126"/>
  <c r="AG640" i="126"/>
  <c r="AP640" i="126"/>
  <c r="AG308" i="126"/>
  <c r="AP308" i="126"/>
  <c r="E180" i="126"/>
  <c r="G180" i="126"/>
  <c r="AH180" i="126"/>
  <c r="H98" i="126"/>
  <c r="I97" i="126"/>
  <c r="AJ97" i="126" s="1"/>
  <c r="AJ98" i="126"/>
  <c r="AM88" i="126"/>
  <c r="P87" i="126"/>
  <c r="E37" i="126"/>
  <c r="G37" i="126"/>
  <c r="AH37" i="126"/>
  <c r="AH861" i="126"/>
  <c r="E861" i="126"/>
  <c r="AH591" i="126"/>
  <c r="E591" i="126"/>
  <c r="E1082" i="126"/>
  <c r="AH1082" i="126"/>
  <c r="G1082" i="126"/>
  <c r="F1047" i="126"/>
  <c r="AI1047" i="126"/>
  <c r="AI969" i="126"/>
  <c r="F969" i="126"/>
  <c r="E881" i="126"/>
  <c r="AH881" i="126"/>
  <c r="G881" i="126"/>
  <c r="E828" i="126"/>
  <c r="G828" i="126"/>
  <c r="AH828" i="126"/>
  <c r="AI781" i="126"/>
  <c r="F781" i="126"/>
  <c r="H780" i="126"/>
  <c r="AL286" i="126"/>
  <c r="M281" i="126"/>
  <c r="AL281" i="126" s="1"/>
  <c r="G185" i="126"/>
  <c r="E185" i="126"/>
  <c r="AH185" i="126"/>
  <c r="E1001" i="126"/>
  <c r="AH1001" i="126"/>
  <c r="AP887" i="126"/>
  <c r="AG887" i="126"/>
  <c r="AJ849" i="126"/>
  <c r="H849" i="126"/>
  <c r="H601" i="126"/>
  <c r="I600" i="126"/>
  <c r="AJ601" i="126"/>
  <c r="L118" i="126"/>
  <c r="AK118" i="126" s="1"/>
  <c r="AK127" i="126"/>
  <c r="AH1089" i="126"/>
  <c r="G1089" i="126"/>
  <c r="G1085" i="126" s="1"/>
  <c r="E1089" i="126"/>
  <c r="F1085" i="126"/>
  <c r="AH1085" i="126" s="1"/>
  <c r="AG387" i="126"/>
  <c r="AP387" i="126"/>
  <c r="I34" i="125"/>
  <c r="F60" i="126"/>
  <c r="AI60" i="126"/>
  <c r="G186" i="126"/>
  <c r="AH186" i="126"/>
  <c r="E186" i="126"/>
  <c r="F629" i="126"/>
  <c r="AI629" i="126"/>
  <c r="AH1093" i="126"/>
  <c r="F1092" i="126"/>
  <c r="AH1092" i="126" s="1"/>
  <c r="AJ762" i="126"/>
  <c r="H762" i="126"/>
  <c r="H759" i="126" s="1"/>
  <c r="F628" i="126"/>
  <c r="AI628" i="126"/>
  <c r="AH295" i="126"/>
  <c r="E295" i="126"/>
  <c r="AG298" i="126"/>
  <c r="AP298" i="126"/>
  <c r="P127" i="126"/>
  <c r="AM127" i="126" s="1"/>
  <c r="AM128" i="126"/>
  <c r="AH585" i="126"/>
  <c r="E585" i="126"/>
  <c r="G585" i="126"/>
  <c r="F415" i="126"/>
  <c r="AI415" i="126"/>
  <c r="AI723" i="126"/>
  <c r="F723" i="126"/>
  <c r="F437" i="126"/>
  <c r="AI437" i="126"/>
  <c r="AK363" i="126"/>
  <c r="J352" i="126"/>
  <c r="AK352" i="126" s="1"/>
  <c r="G677" i="126"/>
  <c r="AH677" i="126"/>
  <c r="E677" i="126"/>
  <c r="AG73" i="126"/>
  <c r="AP73" i="126"/>
  <c r="AI807" i="126"/>
  <c r="F807" i="126"/>
  <c r="P248" i="126"/>
  <c r="G33" i="126"/>
  <c r="E33" i="126"/>
  <c r="AH33" i="126"/>
  <c r="AH921" i="126"/>
  <c r="E921" i="126"/>
  <c r="G921" i="126"/>
  <c r="AI953" i="126"/>
  <c r="F953" i="126"/>
  <c r="AI676" i="126"/>
  <c r="F676" i="126"/>
  <c r="F188" i="126"/>
  <c r="AI188" i="126"/>
  <c r="T764" i="126"/>
  <c r="AN765" i="126"/>
  <c r="AG570" i="126"/>
  <c r="AP570" i="126"/>
  <c r="AG558" i="126"/>
  <c r="AP558" i="126"/>
  <c r="E871" i="126"/>
  <c r="G871" i="126"/>
  <c r="AH871" i="126"/>
  <c r="F870" i="126"/>
  <c r="AP269" i="126"/>
  <c r="AG269" i="126"/>
  <c r="AP310" i="126"/>
  <c r="AG310" i="126"/>
  <c r="F533" i="126"/>
  <c r="AI533" i="126"/>
  <c r="F466" i="126"/>
  <c r="AI466" i="126"/>
  <c r="E1065" i="126"/>
  <c r="AH1065" i="126"/>
  <c r="G1065" i="126"/>
  <c r="G818" i="126"/>
  <c r="AH818" i="126"/>
  <c r="E818" i="126"/>
  <c r="F817" i="126"/>
  <c r="AH852" i="126"/>
  <c r="E852" i="126"/>
  <c r="G852" i="126"/>
  <c r="E1108" i="126"/>
  <c r="AH1108" i="126"/>
  <c r="G1108" i="126"/>
  <c r="I77" i="125"/>
  <c r="AI1012" i="126"/>
  <c r="F1012" i="126"/>
  <c r="AH984" i="126"/>
  <c r="E984" i="126"/>
  <c r="G984" i="126"/>
  <c r="AH755" i="126"/>
  <c r="G755" i="126"/>
  <c r="E755" i="126"/>
  <c r="AI725" i="126"/>
  <c r="F725" i="126"/>
  <c r="G652" i="126"/>
  <c r="G645" i="126" s="1"/>
  <c r="AH652" i="126"/>
  <c r="E652" i="126"/>
  <c r="E645" i="126" s="1"/>
  <c r="F645" i="126"/>
  <c r="AH645" i="126" s="1"/>
  <c r="G497" i="126"/>
  <c r="AH497" i="126"/>
  <c r="E497" i="126"/>
  <c r="AI448" i="126"/>
  <c r="F448" i="126"/>
  <c r="AH359" i="126"/>
  <c r="E359" i="126"/>
  <c r="G359" i="126"/>
  <c r="H109" i="126"/>
  <c r="AI110" i="126"/>
  <c r="I430" i="126"/>
  <c r="AJ430" i="126" s="1"/>
  <c r="AJ431" i="126"/>
  <c r="AH1106" i="126"/>
  <c r="G1106" i="126"/>
  <c r="E1106" i="126"/>
  <c r="F1105" i="126"/>
  <c r="AC763" i="126"/>
  <c r="L55" i="125"/>
  <c r="AM693" i="126"/>
  <c r="P692" i="126"/>
  <c r="AM692" i="126" s="1"/>
  <c r="AO481" i="126"/>
  <c r="W441" i="126"/>
  <c r="AO441" i="126" s="1"/>
  <c r="AG632" i="126"/>
  <c r="AE632" i="126"/>
  <c r="AP632" i="126"/>
  <c r="AM582" i="126"/>
  <c r="P581" i="126"/>
  <c r="AM581" i="126" s="1"/>
  <c r="S592" i="126"/>
  <c r="AJ50" i="126"/>
  <c r="H50" i="126"/>
  <c r="I49" i="126"/>
  <c r="P840" i="126"/>
  <c r="AM840" i="126" s="1"/>
  <c r="AM841" i="126"/>
  <c r="AH928" i="126"/>
  <c r="E928" i="126"/>
  <c r="G928" i="126"/>
  <c r="F856" i="126"/>
  <c r="H855" i="126"/>
  <c r="AI855" i="126" s="1"/>
  <c r="AI856" i="126"/>
  <c r="AG568" i="126"/>
  <c r="AP568" i="126"/>
  <c r="F484" i="126"/>
  <c r="AI484" i="126"/>
  <c r="F211" i="126"/>
  <c r="AI211" i="126"/>
  <c r="H210" i="126"/>
  <c r="AI210" i="126" s="1"/>
  <c r="AG1074" i="126"/>
  <c r="AE1074" i="126"/>
  <c r="AP1074" i="126"/>
  <c r="AP475" i="126"/>
  <c r="AG475" i="126"/>
  <c r="I256" i="126"/>
  <c r="AJ256" i="126" s="1"/>
  <c r="AP314" i="126"/>
  <c r="AG314" i="126"/>
  <c r="Z182" i="126"/>
  <c r="Z177" i="126"/>
  <c r="E44" i="126"/>
  <c r="AH44" i="126"/>
  <c r="G44" i="126"/>
  <c r="H1019" i="126"/>
  <c r="AJ1019" i="126"/>
  <c r="E859" i="126"/>
  <c r="AH859" i="126"/>
  <c r="G859" i="126"/>
  <c r="H733" i="126"/>
  <c r="AJ733" i="126"/>
  <c r="AI678" i="126"/>
  <c r="F678" i="126"/>
  <c r="AI366" i="126"/>
  <c r="F366" i="126"/>
  <c r="AP413" i="126"/>
  <c r="AG413" i="126"/>
  <c r="AE413" i="126"/>
  <c r="AH252" i="126"/>
  <c r="H251" i="126"/>
  <c r="AI252" i="126"/>
  <c r="AP1091" i="126"/>
  <c r="AG1091" i="126"/>
  <c r="AE1091" i="126"/>
  <c r="AP986" i="126"/>
  <c r="AG986" i="126"/>
  <c r="AI833" i="126"/>
  <c r="F833" i="126"/>
  <c r="F837" i="126"/>
  <c r="AI837" i="126"/>
  <c r="H809" i="126"/>
  <c r="AJ809" i="126"/>
  <c r="AI586" i="126"/>
  <c r="F586" i="126"/>
  <c r="AG654" i="126"/>
  <c r="AP654" i="126"/>
  <c r="AJ989" i="126"/>
  <c r="H989" i="126"/>
  <c r="H987" i="126" s="1"/>
  <c r="AI987" i="126" s="1"/>
  <c r="AI758" i="126"/>
  <c r="F758" i="126"/>
  <c r="AJ768" i="126"/>
  <c r="H768" i="126"/>
  <c r="AJ780" i="126"/>
  <c r="I779" i="126"/>
  <c r="AJ779" i="126" s="1"/>
  <c r="AI707" i="126"/>
  <c r="F707" i="126"/>
  <c r="AH610" i="126"/>
  <c r="G610" i="126"/>
  <c r="E610" i="126"/>
  <c r="AP720" i="126"/>
  <c r="AG720" i="126"/>
  <c r="AE720" i="126"/>
  <c r="AB1079" i="126"/>
  <c r="AO281" i="126"/>
  <c r="AJ160" i="126"/>
  <c r="I159" i="126"/>
  <c r="AJ159" i="126" s="1"/>
  <c r="AM821" i="126"/>
  <c r="G878" i="126" l="1"/>
  <c r="AH955" i="126"/>
  <c r="E955" i="126"/>
  <c r="G955" i="126"/>
  <c r="H940" i="126"/>
  <c r="E1107" i="126"/>
  <c r="I76" i="125"/>
  <c r="G1107" i="126"/>
  <c r="AH1107" i="126"/>
  <c r="AI940" i="126"/>
  <c r="E1048" i="126"/>
  <c r="AH1048" i="126"/>
  <c r="G1048" i="126"/>
  <c r="E158" i="126"/>
  <c r="G158" i="126"/>
  <c r="G157" i="126" s="1"/>
  <c r="F157" i="126"/>
  <c r="AH157" i="126" s="1"/>
  <c r="AH158" i="126"/>
  <c r="AH729" i="126"/>
  <c r="G729" i="126"/>
  <c r="E729" i="126"/>
  <c r="M27" i="126"/>
  <c r="AO367" i="126"/>
  <c r="G985" i="126"/>
  <c r="E985" i="126"/>
  <c r="AH985" i="126"/>
  <c r="AK47" i="126"/>
  <c r="AP390" i="126"/>
  <c r="AH946" i="126"/>
  <c r="G946" i="126"/>
  <c r="E946" i="126"/>
  <c r="E925" i="126"/>
  <c r="AH925" i="126"/>
  <c r="G925" i="126"/>
  <c r="AG935" i="126"/>
  <c r="AP935" i="126"/>
  <c r="G870" i="126"/>
  <c r="G548" i="126"/>
  <c r="F287" i="126"/>
  <c r="F286" i="126" s="1"/>
  <c r="F342" i="126"/>
  <c r="G342" i="126" s="1"/>
  <c r="F857" i="126"/>
  <c r="AH857" i="126" s="1"/>
  <c r="AH35" i="126"/>
  <c r="E35" i="126"/>
  <c r="G35" i="126"/>
  <c r="E878" i="126"/>
  <c r="AG878" i="126" s="1"/>
  <c r="F30" i="126"/>
  <c r="P152" i="126"/>
  <c r="AM152" i="126" s="1"/>
  <c r="AJ531" i="126"/>
  <c r="AH132" i="126"/>
  <c r="G132" i="126"/>
  <c r="E132" i="126"/>
  <c r="E980" i="126"/>
  <c r="AH980" i="126"/>
  <c r="G980" i="126"/>
  <c r="E1004" i="126"/>
  <c r="AH1004" i="126"/>
  <c r="G1004" i="126"/>
  <c r="L26" i="126"/>
  <c r="L25" i="126" s="1"/>
  <c r="L16" i="126" s="1"/>
  <c r="L15" i="126" s="1"/>
  <c r="L1123" i="126" s="1"/>
  <c r="J623" i="126"/>
  <c r="AK623" i="126" s="1"/>
  <c r="G373" i="126"/>
  <c r="AH238" i="126"/>
  <c r="AM800" i="126"/>
  <c r="AG190" i="126"/>
  <c r="AE190" i="126"/>
  <c r="AP190" i="126"/>
  <c r="AG274" i="126"/>
  <c r="AP274" i="126"/>
  <c r="AG991" i="126"/>
  <c r="AP991" i="126"/>
  <c r="G239" i="126"/>
  <c r="G238" i="126" s="1"/>
  <c r="AH239" i="126"/>
  <c r="E239" i="126"/>
  <c r="AP21" i="126"/>
  <c r="AG21" i="126"/>
  <c r="AE21" i="126"/>
  <c r="AE19" i="126" s="1"/>
  <c r="AH347" i="126"/>
  <c r="E347" i="126"/>
  <c r="G347" i="126"/>
  <c r="G1003" i="126"/>
  <c r="AH1003" i="126"/>
  <c r="E1003" i="126"/>
  <c r="G999" i="126"/>
  <c r="E999" i="126"/>
  <c r="AH999" i="126"/>
  <c r="G1055" i="126"/>
  <c r="AH1055" i="126"/>
  <c r="E1055" i="126"/>
  <c r="AH1051" i="126"/>
  <c r="F1050" i="126"/>
  <c r="E1051" i="126"/>
  <c r="G1051" i="126"/>
  <c r="G1050" i="126" s="1"/>
  <c r="G963" i="126"/>
  <c r="AH963" i="126"/>
  <c r="E963" i="126"/>
  <c r="AH934" i="126"/>
  <c r="E934" i="126"/>
  <c r="G934" i="126"/>
  <c r="AP735" i="126"/>
  <c r="AG735" i="126"/>
  <c r="AH1037" i="126"/>
  <c r="G1037" i="126"/>
  <c r="E1037" i="126"/>
  <c r="G716" i="126"/>
  <c r="AH716" i="126"/>
  <c r="E716" i="126"/>
  <c r="G904" i="126"/>
  <c r="H256" i="126"/>
  <c r="AH256" i="126" s="1"/>
  <c r="H792" i="126"/>
  <c r="AI792" i="126" s="1"/>
  <c r="AP277" i="126"/>
  <c r="AG277" i="126"/>
  <c r="AH863" i="126"/>
  <c r="E863" i="126"/>
  <c r="AH19" i="126"/>
  <c r="E19" i="126"/>
  <c r="E945" i="126"/>
  <c r="G945" i="126"/>
  <c r="AH945" i="126"/>
  <c r="H82" i="125"/>
  <c r="G82" i="125"/>
  <c r="G81" i="125" s="1"/>
  <c r="E525" i="126"/>
  <c r="AH525" i="126"/>
  <c r="G897" i="126"/>
  <c r="F708" i="126"/>
  <c r="E708" i="126" s="1"/>
  <c r="G1008" i="126"/>
  <c r="AH1008" i="126"/>
  <c r="E1008" i="126"/>
  <c r="E1036" i="126"/>
  <c r="G1036" i="126"/>
  <c r="AH1036" i="126"/>
  <c r="G761" i="126"/>
  <c r="AH761" i="126"/>
  <c r="E761" i="126"/>
  <c r="G948" i="126"/>
  <c r="AH948" i="126"/>
  <c r="E948" i="126"/>
  <c r="AP688" i="126"/>
  <c r="AG688" i="126"/>
  <c r="AH924" i="126"/>
  <c r="E924" i="126"/>
  <c r="G924" i="126"/>
  <c r="AH950" i="126"/>
  <c r="G950" i="126"/>
  <c r="E950" i="126"/>
  <c r="E349" i="126"/>
  <c r="AH349" i="126"/>
  <c r="G349" i="126"/>
  <c r="K19" i="125"/>
  <c r="K17" i="125" s="1"/>
  <c r="H19" i="125"/>
  <c r="J19" i="125"/>
  <c r="J17" i="125" s="1"/>
  <c r="I17" i="125"/>
  <c r="E1084" i="126"/>
  <c r="AH1084" i="126"/>
  <c r="G1084" i="126"/>
  <c r="AH275" i="126"/>
  <c r="G275" i="126"/>
  <c r="E275" i="126"/>
  <c r="G344" i="126"/>
  <c r="E344" i="126"/>
  <c r="AH344" i="126"/>
  <c r="AP526" i="126"/>
  <c r="AG526" i="126"/>
  <c r="G992" i="126"/>
  <c r="AH992" i="126"/>
  <c r="E992" i="126"/>
  <c r="AG645" i="126"/>
  <c r="AE645" i="126"/>
  <c r="AP645" i="126"/>
  <c r="AH1014" i="126"/>
  <c r="G1014" i="126"/>
  <c r="F768" i="126"/>
  <c r="AI768" i="126"/>
  <c r="AG44" i="126"/>
  <c r="AP44" i="126"/>
  <c r="AE44" i="126"/>
  <c r="AH484" i="126"/>
  <c r="G484" i="126"/>
  <c r="E484" i="126"/>
  <c r="AI109" i="126"/>
  <c r="H108" i="126"/>
  <c r="AI108" i="126" s="1"/>
  <c r="AP755" i="126"/>
  <c r="AG755" i="126"/>
  <c r="AE818" i="126"/>
  <c r="AE817" i="126" s="1"/>
  <c r="AG818" i="126"/>
  <c r="AP818" i="126"/>
  <c r="G814" i="126"/>
  <c r="AH814" i="126"/>
  <c r="E814" i="126"/>
  <c r="AI842" i="126"/>
  <c r="F842" i="126"/>
  <c r="AG873" i="126"/>
  <c r="AP873" i="126"/>
  <c r="AP825" i="126"/>
  <c r="AG825" i="126"/>
  <c r="AI532" i="126"/>
  <c r="F532" i="126"/>
  <c r="G1075" i="126"/>
  <c r="AH1075" i="126"/>
  <c r="E1075" i="126"/>
  <c r="AH342" i="126"/>
  <c r="AA623" i="126"/>
  <c r="AA25" i="126" s="1"/>
  <c r="AA16" i="126" s="1"/>
  <c r="AA15" i="126" s="1"/>
  <c r="AP1038" i="126"/>
  <c r="AG1038" i="126"/>
  <c r="H339" i="126"/>
  <c r="AI339" i="126" s="1"/>
  <c r="AI340" i="126"/>
  <c r="G244" i="126"/>
  <c r="AH244" i="126"/>
  <c r="E244" i="126"/>
  <c r="AP1017" i="126"/>
  <c r="AG1017" i="126"/>
  <c r="AP1071" i="126"/>
  <c r="AG1071" i="126"/>
  <c r="AE1071" i="126"/>
  <c r="G516" i="126"/>
  <c r="AH516" i="126"/>
  <c r="E516" i="126"/>
  <c r="AP604" i="126"/>
  <c r="AG604" i="126"/>
  <c r="AE604" i="126"/>
  <c r="E77" i="126"/>
  <c r="AH77" i="126"/>
  <c r="AH827" i="126"/>
  <c r="E827" i="126"/>
  <c r="G827" i="126"/>
  <c r="G826" i="126" s="1"/>
  <c r="F826" i="126"/>
  <c r="AH142" i="126"/>
  <c r="E142" i="126"/>
  <c r="G142" i="126"/>
  <c r="E700" i="126"/>
  <c r="AH700" i="126"/>
  <c r="G700" i="126"/>
  <c r="F699" i="126"/>
  <c r="AG888" i="126"/>
  <c r="AP888" i="126"/>
  <c r="AJ282" i="126"/>
  <c r="I281" i="126"/>
  <c r="AJ281" i="126" s="1"/>
  <c r="AG523" i="126"/>
  <c r="AE523" i="126"/>
  <c r="AP523" i="126"/>
  <c r="AK241" i="126"/>
  <c r="J230" i="126"/>
  <c r="AG382" i="126"/>
  <c r="AP382" i="126"/>
  <c r="G665" i="126"/>
  <c r="AH665" i="126"/>
  <c r="I49" i="125"/>
  <c r="AH778" i="126"/>
  <c r="E778" i="126"/>
  <c r="G778" i="126"/>
  <c r="G440" i="126"/>
  <c r="E440" i="126"/>
  <c r="AH440" i="126"/>
  <c r="E1005" i="126"/>
  <c r="AH1005" i="126"/>
  <c r="G1005" i="126"/>
  <c r="F154" i="126"/>
  <c r="AI154" i="126"/>
  <c r="H153" i="126"/>
  <c r="AH960" i="126"/>
  <c r="E960" i="126"/>
  <c r="G960" i="126"/>
  <c r="AH1029" i="126"/>
  <c r="E1029" i="126"/>
  <c r="G1029" i="126"/>
  <c r="AJ417" i="126"/>
  <c r="I416" i="126"/>
  <c r="AJ416" i="126" s="1"/>
  <c r="AG485" i="126"/>
  <c r="AP485" i="126"/>
  <c r="AJ577" i="126"/>
  <c r="E454" i="126"/>
  <c r="AH454" i="126"/>
  <c r="G454" i="126"/>
  <c r="G197" i="126"/>
  <c r="AI123" i="126"/>
  <c r="F123" i="126"/>
  <c r="H122" i="126"/>
  <c r="AI122" i="126" s="1"/>
  <c r="AG685" i="126"/>
  <c r="AE685" i="126"/>
  <c r="AP685" i="126"/>
  <c r="E141" i="126"/>
  <c r="F140" i="126"/>
  <c r="AH141" i="126"/>
  <c r="G141" i="126"/>
  <c r="AG348" i="126"/>
  <c r="AP348" i="126"/>
  <c r="AP477" i="126"/>
  <c r="AG477" i="126"/>
  <c r="G731" i="126"/>
  <c r="AH731" i="126"/>
  <c r="E731" i="126"/>
  <c r="AI1002" i="126"/>
  <c r="F1002" i="126"/>
  <c r="E606" i="126"/>
  <c r="G606" i="126"/>
  <c r="AH606" i="126"/>
  <c r="F605" i="126"/>
  <c r="AP983" i="126"/>
  <c r="AG983" i="126"/>
  <c r="AE106" i="126"/>
  <c r="AE105" i="126" s="1"/>
  <c r="E105" i="126"/>
  <c r="AG106" i="126"/>
  <c r="AP106" i="126"/>
  <c r="AH30" i="126"/>
  <c r="G30" i="126"/>
  <c r="H544" i="126"/>
  <c r="AI544" i="126" s="1"/>
  <c r="AI545" i="126"/>
  <c r="H582" i="126"/>
  <c r="AI583" i="126"/>
  <c r="F583" i="126"/>
  <c r="E1103" i="126"/>
  <c r="G1103" i="126"/>
  <c r="AH1103" i="126"/>
  <c r="E620" i="126"/>
  <c r="AH620" i="126"/>
  <c r="G620" i="126"/>
  <c r="AP923" i="126"/>
  <c r="AG923" i="126"/>
  <c r="AP982" i="126"/>
  <c r="AG982" i="126"/>
  <c r="E436" i="126"/>
  <c r="AH436" i="126"/>
  <c r="G436" i="126"/>
  <c r="G66" i="126"/>
  <c r="E66" i="126"/>
  <c r="AH66" i="126"/>
  <c r="AM353" i="126"/>
  <c r="P352" i="126"/>
  <c r="AM352" i="126" s="1"/>
  <c r="AG272" i="126"/>
  <c r="AP272" i="126"/>
  <c r="AH422" i="126"/>
  <c r="E422" i="126"/>
  <c r="G422" i="126"/>
  <c r="AI1010" i="126"/>
  <c r="F1010" i="126"/>
  <c r="H536" i="126"/>
  <c r="AJ536" i="126"/>
  <c r="AP1067" i="126"/>
  <c r="AG1067" i="126"/>
  <c r="AE1067" i="126"/>
  <c r="E784" i="126"/>
  <c r="F783" i="126"/>
  <c r="AH783" i="126" s="1"/>
  <c r="AH784" i="126"/>
  <c r="G784" i="126"/>
  <c r="G783" i="126" s="1"/>
  <c r="E451" i="126"/>
  <c r="G451" i="126"/>
  <c r="AH451" i="126"/>
  <c r="AP771" i="126"/>
  <c r="AG771" i="126"/>
  <c r="E819" i="126"/>
  <c r="AH819" i="126"/>
  <c r="G819" i="126"/>
  <c r="G817" i="126" s="1"/>
  <c r="G846" i="126"/>
  <c r="AH846" i="126"/>
  <c r="E846" i="126"/>
  <c r="AH947" i="126"/>
  <c r="E947" i="126"/>
  <c r="G947" i="126"/>
  <c r="G235" i="126"/>
  <c r="AH235" i="126"/>
  <c r="E235" i="126"/>
  <c r="AP815" i="126"/>
  <c r="AG815" i="126"/>
  <c r="G524" i="126"/>
  <c r="AH524" i="126"/>
  <c r="E524" i="126"/>
  <c r="AP614" i="126"/>
  <c r="AG614" i="126"/>
  <c r="AE614" i="126"/>
  <c r="AH644" i="126"/>
  <c r="G644" i="126"/>
  <c r="F643" i="126"/>
  <c r="E644" i="126"/>
  <c r="AG1021" i="126"/>
  <c r="AE1021" i="126"/>
  <c r="AP1021" i="126"/>
  <c r="AG1100" i="126"/>
  <c r="AE1100" i="126"/>
  <c r="AE1092" i="126" s="1"/>
  <c r="AP1100" i="126"/>
  <c r="E479" i="126"/>
  <c r="G479" i="126"/>
  <c r="AH479" i="126"/>
  <c r="AG548" i="126"/>
  <c r="AP548" i="126"/>
  <c r="AG882" i="126"/>
  <c r="AP882" i="126"/>
  <c r="AP1045" i="126"/>
  <c r="AG1045" i="126"/>
  <c r="AE43" i="126"/>
  <c r="AG43" i="126"/>
  <c r="AP43" i="126"/>
  <c r="AP749" i="126"/>
  <c r="AG749" i="126"/>
  <c r="E1063" i="126"/>
  <c r="AP1063" i="126" s="1"/>
  <c r="AH1063" i="126"/>
  <c r="G1063" i="126"/>
  <c r="AJ102" i="126"/>
  <c r="I101" i="126"/>
  <c r="AJ101" i="126" s="1"/>
  <c r="AJ139" i="126"/>
  <c r="AP529" i="126"/>
  <c r="AG529" i="126"/>
  <c r="AH166" i="126"/>
  <c r="E166" i="126"/>
  <c r="G166" i="126"/>
  <c r="AG223" i="126"/>
  <c r="AE223" i="126"/>
  <c r="AP223" i="126"/>
  <c r="AG1058" i="126"/>
  <c r="AP1058" i="126"/>
  <c r="AI103" i="126"/>
  <c r="H102" i="126"/>
  <c r="F719" i="126"/>
  <c r="AI719" i="126"/>
  <c r="H718" i="126"/>
  <c r="G964" i="126"/>
  <c r="AH964" i="126"/>
  <c r="E964" i="126"/>
  <c r="AJ1042" i="126"/>
  <c r="I1040" i="126"/>
  <c r="AH234" i="126"/>
  <c r="E234" i="126"/>
  <c r="G234" i="126"/>
  <c r="F365" i="126"/>
  <c r="H364" i="126"/>
  <c r="AI365" i="126"/>
  <c r="AI160" i="126"/>
  <c r="H159" i="126"/>
  <c r="AI159" i="126" s="1"/>
  <c r="AP877" i="126"/>
  <c r="AG877" i="126"/>
  <c r="AE1125" i="126"/>
  <c r="AG1125" i="126"/>
  <c r="AP1125" i="126"/>
  <c r="I250" i="126"/>
  <c r="AH262" i="126"/>
  <c r="AI262" i="126"/>
  <c r="AG247" i="126"/>
  <c r="AP247" i="126"/>
  <c r="W182" i="126"/>
  <c r="AO182" i="126" s="1"/>
  <c r="AO183" i="126"/>
  <c r="W177" i="126"/>
  <c r="AG772" i="126"/>
  <c r="AP772" i="126"/>
  <c r="H507" i="126"/>
  <c r="F508" i="126"/>
  <c r="AI508" i="126"/>
  <c r="AI521" i="126"/>
  <c r="H520" i="126"/>
  <c r="AI520" i="126" s="1"/>
  <c r="AH483" i="126"/>
  <c r="E483" i="126"/>
  <c r="G483" i="126"/>
  <c r="I47" i="125"/>
  <c r="AP617" i="126"/>
  <c r="AG617" i="126"/>
  <c r="AE408" i="126"/>
  <c r="AG408" i="126"/>
  <c r="AP408" i="126"/>
  <c r="G1111" i="126"/>
  <c r="H868" i="126"/>
  <c r="AI869" i="126"/>
  <c r="AI354" i="126"/>
  <c r="F354" i="126"/>
  <c r="E1076" i="126"/>
  <c r="AH1076" i="126"/>
  <c r="G1076" i="126"/>
  <c r="E724" i="126"/>
  <c r="G724" i="126"/>
  <c r="AH724" i="126"/>
  <c r="G457" i="126"/>
  <c r="AH457" i="126"/>
  <c r="E457" i="126"/>
  <c r="AH444" i="126"/>
  <c r="E444" i="126"/>
  <c r="G444" i="126"/>
  <c r="AG284" i="126"/>
  <c r="AE284" i="126"/>
  <c r="AP284" i="126"/>
  <c r="I452" i="126"/>
  <c r="AI414" i="126"/>
  <c r="F414" i="126"/>
  <c r="S623" i="126"/>
  <c r="AI967" i="126"/>
  <c r="F967" i="126"/>
  <c r="AH707" i="126"/>
  <c r="G707" i="126"/>
  <c r="E707" i="126"/>
  <c r="F989" i="126"/>
  <c r="AI989" i="126"/>
  <c r="H77" i="125"/>
  <c r="K77" i="125"/>
  <c r="AH953" i="126"/>
  <c r="E953" i="126"/>
  <c r="G953" i="126"/>
  <c r="G723" i="126"/>
  <c r="AH723" i="126"/>
  <c r="E723" i="126"/>
  <c r="G629" i="126"/>
  <c r="E629" i="126"/>
  <c r="AH629" i="126"/>
  <c r="AP1001" i="126"/>
  <c r="AG1001" i="126"/>
  <c r="H29" i="126"/>
  <c r="AI30" i="126"/>
  <c r="G631" i="126"/>
  <c r="AH631" i="126"/>
  <c r="F694" i="126"/>
  <c r="AI694" i="126"/>
  <c r="H693" i="126"/>
  <c r="I61" i="125"/>
  <c r="AG956" i="126"/>
  <c r="AE956" i="126"/>
  <c r="AP956" i="126"/>
  <c r="AB25" i="126"/>
  <c r="AB16" i="126" s="1"/>
  <c r="AB15" i="126" s="1"/>
  <c r="AB2" i="126" s="1"/>
  <c r="AP610" i="126"/>
  <c r="AG610" i="126"/>
  <c r="AE610" i="126"/>
  <c r="AH837" i="126"/>
  <c r="E837" i="126"/>
  <c r="G837" i="126"/>
  <c r="E678" i="126"/>
  <c r="G678" i="126"/>
  <c r="AH678" i="126"/>
  <c r="AI1019" i="126"/>
  <c r="F1019" i="126"/>
  <c r="AH856" i="126"/>
  <c r="G856" i="126"/>
  <c r="F855" i="126"/>
  <c r="E856" i="126"/>
  <c r="G1105" i="126"/>
  <c r="AH1105" i="126"/>
  <c r="E1105" i="126"/>
  <c r="AP852" i="126"/>
  <c r="AG852" i="126"/>
  <c r="AP1065" i="126"/>
  <c r="AG1065" i="126"/>
  <c r="AE1065" i="126"/>
  <c r="E533" i="126"/>
  <c r="AH533" i="126"/>
  <c r="G533" i="126"/>
  <c r="E870" i="126"/>
  <c r="AG871" i="126"/>
  <c r="AP871" i="126"/>
  <c r="AH188" i="126"/>
  <c r="G188" i="126"/>
  <c r="E188" i="126"/>
  <c r="AE33" i="126"/>
  <c r="AG33" i="126"/>
  <c r="AP33" i="126"/>
  <c r="E807" i="126"/>
  <c r="G807" i="126"/>
  <c r="AH807" i="126"/>
  <c r="AP677" i="126"/>
  <c r="AG677" i="126"/>
  <c r="AP585" i="126"/>
  <c r="AG585" i="126"/>
  <c r="AG186" i="126"/>
  <c r="AE186" i="126"/>
  <c r="AP186" i="126"/>
  <c r="G60" i="126"/>
  <c r="AH60" i="126"/>
  <c r="E60" i="126"/>
  <c r="AJ600" i="126"/>
  <c r="I599" i="126"/>
  <c r="AJ599" i="126" s="1"/>
  <c r="AP861" i="126"/>
  <c r="AG861" i="126"/>
  <c r="AE37" i="126"/>
  <c r="AG37" i="126"/>
  <c r="AP37" i="126"/>
  <c r="AG180" i="126"/>
  <c r="AE180" i="126"/>
  <c r="AP180" i="126"/>
  <c r="AG351" i="126"/>
  <c r="AP351" i="126"/>
  <c r="AG747" i="126"/>
  <c r="AP747" i="126"/>
  <c r="G1006" i="126"/>
  <c r="AH1006" i="126"/>
  <c r="E1006" i="126"/>
  <c r="AG202" i="126"/>
  <c r="AP202" i="126"/>
  <c r="AH427" i="126"/>
  <c r="E427" i="126"/>
  <c r="G427" i="126"/>
  <c r="AG858" i="126"/>
  <c r="AE858" i="126"/>
  <c r="AP858" i="126"/>
  <c r="AP932" i="126"/>
  <c r="AG932" i="126"/>
  <c r="AP1066" i="126"/>
  <c r="AG1066" i="126"/>
  <c r="AE1066" i="126"/>
  <c r="AP487" i="126"/>
  <c r="AG487" i="126"/>
  <c r="AH744" i="126"/>
  <c r="G744" i="126"/>
  <c r="E744" i="126"/>
  <c r="AI759" i="126"/>
  <c r="H756" i="126"/>
  <c r="AI756" i="126" s="1"/>
  <c r="AG472" i="126"/>
  <c r="AP472" i="126"/>
  <c r="AG268" i="126"/>
  <c r="AE268" i="126"/>
  <c r="AP268" i="126"/>
  <c r="AC27" i="126"/>
  <c r="AH622" i="126"/>
  <c r="E622" i="126"/>
  <c r="AH263" i="126"/>
  <c r="AI263" i="126"/>
  <c r="G341" i="126"/>
  <c r="F340" i="126"/>
  <c r="AH341" i="126"/>
  <c r="E341" i="126"/>
  <c r="AN27" i="126"/>
  <c r="AP116" i="126"/>
  <c r="AG116" i="126"/>
  <c r="AN593" i="126"/>
  <c r="T592" i="126"/>
  <c r="AN592" i="126" s="1"/>
  <c r="E242" i="126"/>
  <c r="G242" i="126"/>
  <c r="AH242" i="126"/>
  <c r="F732" i="126"/>
  <c r="AI732" i="126"/>
  <c r="AG905" i="126"/>
  <c r="E904" i="126"/>
  <c r="AP905" i="126"/>
  <c r="G854" i="126"/>
  <c r="E854" i="126"/>
  <c r="AH854" i="126"/>
  <c r="E1077" i="126"/>
  <c r="AH1077" i="126"/>
  <c r="G1077" i="126"/>
  <c r="I57" i="125"/>
  <c r="AP78" i="126"/>
  <c r="AG78" i="126"/>
  <c r="AL248" i="126"/>
  <c r="M241" i="126"/>
  <c r="AI512" i="126"/>
  <c r="F512" i="126"/>
  <c r="AI283" i="126"/>
  <c r="H282" i="126"/>
  <c r="F283" i="126"/>
  <c r="E93" i="126"/>
  <c r="F92" i="126"/>
  <c r="G93" i="126"/>
  <c r="AH93" i="126"/>
  <c r="AI961" i="126"/>
  <c r="F961" i="126"/>
  <c r="AG368" i="126"/>
  <c r="AP368" i="126"/>
  <c r="AG150" i="126"/>
  <c r="AP150" i="126"/>
  <c r="AG446" i="126"/>
  <c r="AE446" i="126"/>
  <c r="AP446" i="126"/>
  <c r="AG405" i="126"/>
  <c r="AE405" i="126"/>
  <c r="AP405" i="126"/>
  <c r="AG666" i="126"/>
  <c r="AE666" i="126"/>
  <c r="AP666" i="126"/>
  <c r="F706" i="126"/>
  <c r="AI706" i="126"/>
  <c r="H705" i="126"/>
  <c r="AI705" i="126" s="1"/>
  <c r="AJ1022" i="126"/>
  <c r="I1020" i="126"/>
  <c r="AJ1020" i="126" s="1"/>
  <c r="AG1078" i="126"/>
  <c r="AE1078" i="126"/>
  <c r="AP1078" i="126"/>
  <c r="E355" i="126"/>
  <c r="AH355" i="126"/>
  <c r="G355" i="126"/>
  <c r="I119" i="126"/>
  <c r="AJ120" i="126"/>
  <c r="AH270" i="126"/>
  <c r="E270" i="126"/>
  <c r="G270" i="126"/>
  <c r="G494" i="126"/>
  <c r="AH494" i="126"/>
  <c r="E494" i="126"/>
  <c r="G713" i="126"/>
  <c r="AH713" i="126"/>
  <c r="E713" i="126"/>
  <c r="AG952" i="126"/>
  <c r="AP952" i="126"/>
  <c r="E974" i="126"/>
  <c r="AH974" i="126"/>
  <c r="G974" i="126"/>
  <c r="AH588" i="126"/>
  <c r="G588" i="126"/>
  <c r="E588" i="126"/>
  <c r="F587" i="126"/>
  <c r="AH587" i="126" s="1"/>
  <c r="AH743" i="126"/>
  <c r="G743" i="126"/>
  <c r="E743" i="126"/>
  <c r="AM231" i="126"/>
  <c r="AH728" i="126"/>
  <c r="E728" i="126"/>
  <c r="G728" i="126"/>
  <c r="AI418" i="126"/>
  <c r="F418" i="126"/>
  <c r="AG515" i="126"/>
  <c r="AP515" i="126"/>
  <c r="G1025" i="126"/>
  <c r="AH1025" i="126"/>
  <c r="E1025" i="126"/>
  <c r="AI578" i="126"/>
  <c r="H577" i="126"/>
  <c r="F578" i="126"/>
  <c r="AH990" i="126"/>
  <c r="E990" i="126"/>
  <c r="G990" i="126"/>
  <c r="AP615" i="126"/>
  <c r="AG615" i="126"/>
  <c r="AJ1007" i="126"/>
  <c r="H1007" i="126"/>
  <c r="G162" i="126"/>
  <c r="AH162" i="126"/>
  <c r="E162" i="126"/>
  <c r="AP1032" i="126"/>
  <c r="AG1032" i="126"/>
  <c r="AG243" i="126"/>
  <c r="AP243" i="126"/>
  <c r="E611" i="126"/>
  <c r="AH611" i="126"/>
  <c r="G611" i="126"/>
  <c r="W867" i="126"/>
  <c r="AO867" i="126" s="1"/>
  <c r="AO868" i="126"/>
  <c r="AI140" i="126"/>
  <c r="H139" i="126"/>
  <c r="AI139" i="126" s="1"/>
  <c r="AP361" i="126"/>
  <c r="AG361" i="126"/>
  <c r="AP607" i="126"/>
  <c r="AG607" i="126"/>
  <c r="AG1101" i="126"/>
  <c r="AP1101" i="126"/>
  <c r="E683" i="126"/>
  <c r="AH683" i="126"/>
  <c r="G683" i="126"/>
  <c r="AI450" i="126"/>
  <c r="F450" i="126"/>
  <c r="F443" i="126" s="1"/>
  <c r="AH542" i="126"/>
  <c r="G542" i="126"/>
  <c r="E542" i="126"/>
  <c r="AI805" i="126"/>
  <c r="F805" i="126"/>
  <c r="H803" i="126"/>
  <c r="AI803" i="126" s="1"/>
  <c r="G467" i="126"/>
  <c r="AH467" i="126"/>
  <c r="E467" i="126"/>
  <c r="AG571" i="126"/>
  <c r="AP571" i="126"/>
  <c r="G360" i="126"/>
  <c r="E360" i="126"/>
  <c r="AH360" i="126"/>
  <c r="AH266" i="126"/>
  <c r="AI266" i="126"/>
  <c r="AJ594" i="126"/>
  <c r="AE68" i="126"/>
  <c r="AG68" i="126"/>
  <c r="AP68" i="126"/>
  <c r="AG336" i="126"/>
  <c r="AP336" i="126"/>
  <c r="AP1018" i="126"/>
  <c r="AG1018" i="126"/>
  <c r="H124" i="126"/>
  <c r="AI124" i="126" s="1"/>
  <c r="AI125" i="126"/>
  <c r="F125" i="126"/>
  <c r="AG42" i="126"/>
  <c r="AP42" i="126"/>
  <c r="AE42" i="126"/>
  <c r="AG278" i="126"/>
  <c r="AP278" i="126"/>
  <c r="F63" i="126"/>
  <c r="AI428" i="126"/>
  <c r="F428" i="126"/>
  <c r="AL764" i="126"/>
  <c r="M763" i="126"/>
  <c r="AP806" i="126"/>
  <c r="AG806" i="126"/>
  <c r="E1031" i="126"/>
  <c r="AH1031" i="126"/>
  <c r="G1031" i="126"/>
  <c r="AG41" i="126"/>
  <c r="AE41" i="126"/>
  <c r="AP41" i="126"/>
  <c r="AE204" i="126"/>
  <c r="AH621" i="126"/>
  <c r="E621" i="126"/>
  <c r="G621" i="126"/>
  <c r="AG24" i="126"/>
  <c r="AE24" i="126"/>
  <c r="AP24" i="126"/>
  <c r="AG465" i="126"/>
  <c r="AP465" i="126"/>
  <c r="AG379" i="126"/>
  <c r="AP379" i="126"/>
  <c r="AM1040" i="126"/>
  <c r="P1039" i="126"/>
  <c r="AM1039" i="126" s="1"/>
  <c r="AG335" i="126"/>
  <c r="AP335" i="126"/>
  <c r="AI482" i="126"/>
  <c r="H481" i="126"/>
  <c r="AI481" i="126" s="1"/>
  <c r="F482" i="126"/>
  <c r="AH708" i="126"/>
  <c r="G17" i="126"/>
  <c r="H16" i="125"/>
  <c r="J16" i="125"/>
  <c r="I15" i="125"/>
  <c r="K16" i="125"/>
  <c r="E433" i="126"/>
  <c r="AH433" i="126"/>
  <c r="G433" i="126"/>
  <c r="AP1072" i="126"/>
  <c r="AG1072" i="126"/>
  <c r="AE1072" i="126"/>
  <c r="E213" i="126"/>
  <c r="AH213" i="126"/>
  <c r="G213" i="126"/>
  <c r="AP977" i="126"/>
  <c r="AG977" i="126"/>
  <c r="AJ492" i="126"/>
  <c r="I491" i="126"/>
  <c r="AJ491" i="126" s="1"/>
  <c r="AP850" i="126"/>
  <c r="AG850" i="126"/>
  <c r="AI89" i="126"/>
  <c r="H88" i="126"/>
  <c r="AP1070" i="126"/>
  <c r="AG1070" i="126"/>
  <c r="AE1070" i="126"/>
  <c r="AE100" i="126"/>
  <c r="AG100" i="126"/>
  <c r="AP100" i="126"/>
  <c r="AJ514" i="126"/>
  <c r="I513" i="126"/>
  <c r="H514" i="126"/>
  <c r="AG930" i="126"/>
  <c r="AE930" i="126"/>
  <c r="AP930" i="126"/>
  <c r="AH265" i="126"/>
  <c r="AI265" i="126"/>
  <c r="AH845" i="126"/>
  <c r="E845" i="126"/>
  <c r="G845" i="126"/>
  <c r="AG377" i="126"/>
  <c r="AP377" i="126"/>
  <c r="AJ920" i="126"/>
  <c r="I500" i="126"/>
  <c r="AJ501" i="126"/>
  <c r="AP751" i="126"/>
  <c r="AG751" i="126"/>
  <c r="AI1046" i="126"/>
  <c r="F1046" i="126"/>
  <c r="H1042" i="126"/>
  <c r="G155" i="126"/>
  <c r="AH155" i="126"/>
  <c r="E155" i="126"/>
  <c r="I737" i="126"/>
  <c r="AJ737" i="126" s="1"/>
  <c r="AJ738" i="126"/>
  <c r="AG46" i="126"/>
  <c r="AP46" i="126"/>
  <c r="AE46" i="126"/>
  <c r="E45" i="126"/>
  <c r="AH796" i="126"/>
  <c r="E796" i="126"/>
  <c r="G796" i="126"/>
  <c r="F794" i="126"/>
  <c r="AH794" i="126" s="1"/>
  <c r="AM48" i="126"/>
  <c r="P47" i="126"/>
  <c r="AG245" i="126"/>
  <c r="AP245" i="126"/>
  <c r="AH522" i="126"/>
  <c r="E522" i="126"/>
  <c r="G522" i="126"/>
  <c r="F521" i="126"/>
  <c r="AG143" i="126"/>
  <c r="AP143" i="126"/>
  <c r="AI996" i="126"/>
  <c r="F996" i="126"/>
  <c r="H995" i="126"/>
  <c r="AI995" i="126" s="1"/>
  <c r="AH110" i="126"/>
  <c r="F109" i="126"/>
  <c r="G722" i="126"/>
  <c r="AH722" i="126"/>
  <c r="E722" i="126"/>
  <c r="F721" i="126"/>
  <c r="AH721" i="126" s="1"/>
  <c r="E866" i="126"/>
  <c r="AH866" i="126"/>
  <c r="G866" i="126"/>
  <c r="AG1044" i="126"/>
  <c r="AP1044" i="126"/>
  <c r="AJ868" i="126"/>
  <c r="I867" i="126"/>
  <c r="AJ867" i="126" s="1"/>
  <c r="AG547" i="126"/>
  <c r="AE547" i="126"/>
  <c r="AP547" i="126"/>
  <c r="AG1112" i="126"/>
  <c r="AE1112" i="126"/>
  <c r="AP1112" i="126"/>
  <c r="AG439" i="126"/>
  <c r="AP439" i="126"/>
  <c r="AJ540" i="126"/>
  <c r="I539" i="126"/>
  <c r="AJ539" i="126" s="1"/>
  <c r="I353" i="126"/>
  <c r="AI517" i="126"/>
  <c r="F517" i="126"/>
  <c r="J52" i="125"/>
  <c r="K52" i="125"/>
  <c r="H52" i="125"/>
  <c r="G52" i="125" s="1"/>
  <c r="AE279" i="126"/>
  <c r="AP279" i="126"/>
  <c r="AG279" i="126"/>
  <c r="AH746" i="126"/>
  <c r="E746" i="126"/>
  <c r="G746" i="126"/>
  <c r="AP939" i="126"/>
  <c r="AG939" i="126"/>
  <c r="AG750" i="126"/>
  <c r="AP750" i="126"/>
  <c r="AG273" i="126"/>
  <c r="AP273" i="126"/>
  <c r="AJ766" i="126"/>
  <c r="I765" i="126"/>
  <c r="AG174" i="126"/>
  <c r="AP174" i="126"/>
  <c r="AH834" i="126"/>
  <c r="E834" i="126"/>
  <c r="G834" i="126"/>
  <c r="AG757" i="126"/>
  <c r="AE757" i="126"/>
  <c r="AP757" i="126"/>
  <c r="G586" i="126"/>
  <c r="G584" i="126" s="1"/>
  <c r="AH586" i="126"/>
  <c r="E586" i="126"/>
  <c r="F733" i="126"/>
  <c r="AI733" i="126"/>
  <c r="AI50" i="126"/>
  <c r="H49" i="126"/>
  <c r="F50" i="126"/>
  <c r="AH448" i="126"/>
  <c r="E448" i="126"/>
  <c r="G448" i="126"/>
  <c r="AP984" i="126"/>
  <c r="AG984" i="126"/>
  <c r="AM248" i="126"/>
  <c r="P241" i="126"/>
  <c r="AM241" i="126" s="1"/>
  <c r="AG635" i="126"/>
  <c r="AE635" i="126"/>
  <c r="AE631" i="126" s="1"/>
  <c r="AP635" i="126"/>
  <c r="E758" i="126"/>
  <c r="AH758" i="126"/>
  <c r="G758" i="126"/>
  <c r="G833" i="126"/>
  <c r="AH833" i="126"/>
  <c r="E833" i="126"/>
  <c r="AH251" i="126"/>
  <c r="H250" i="126"/>
  <c r="AI251" i="126"/>
  <c r="E211" i="126"/>
  <c r="F210" i="126"/>
  <c r="AH210" i="126" s="1"/>
  <c r="AH211" i="126"/>
  <c r="G211" i="126"/>
  <c r="AP359" i="126"/>
  <c r="AG359" i="126"/>
  <c r="G725" i="126"/>
  <c r="AH725" i="126"/>
  <c r="E725" i="126"/>
  <c r="G1012" i="126"/>
  <c r="AH1012" i="126"/>
  <c r="E1012" i="126"/>
  <c r="AH870" i="126"/>
  <c r="F869" i="126"/>
  <c r="E676" i="126"/>
  <c r="G676" i="126"/>
  <c r="AH676" i="126"/>
  <c r="AG921" i="126"/>
  <c r="AE921" i="126"/>
  <c r="AP921" i="126"/>
  <c r="F584" i="126"/>
  <c r="AH584" i="126" s="1"/>
  <c r="G628" i="126"/>
  <c r="E628" i="126"/>
  <c r="AH628" i="126"/>
  <c r="F601" i="126"/>
  <c r="AI601" i="126"/>
  <c r="H600" i="126"/>
  <c r="AG185" i="126"/>
  <c r="AE185" i="126"/>
  <c r="AP185" i="126"/>
  <c r="AG410" i="126"/>
  <c r="AE410" i="126"/>
  <c r="AP410" i="126"/>
  <c r="AH346" i="126"/>
  <c r="G346" i="126"/>
  <c r="E346" i="126"/>
  <c r="AG1060" i="126"/>
  <c r="AP1060" i="126"/>
  <c r="AH712" i="126"/>
  <c r="E712" i="126"/>
  <c r="G712" i="126"/>
  <c r="L31" i="125"/>
  <c r="L23" i="125" s="1"/>
  <c r="L14" i="125" s="1"/>
  <c r="L13" i="125" s="1"/>
  <c r="AG276" i="126"/>
  <c r="AP276" i="126"/>
  <c r="AE1118" i="126"/>
  <c r="AG1118" i="126"/>
  <c r="AP1118" i="126"/>
  <c r="AG201" i="126"/>
  <c r="AE201" i="126"/>
  <c r="AP201" i="126"/>
  <c r="AJ624" i="126"/>
  <c r="AI63" i="126"/>
  <c r="H62" i="126"/>
  <c r="AI62" i="126" s="1"/>
  <c r="H971" i="126"/>
  <c r="AJ971" i="126"/>
  <c r="I968" i="126"/>
  <c r="AJ968" i="126" s="1"/>
  <c r="F434" i="126"/>
  <c r="AH434" i="126" s="1"/>
  <c r="AP774" i="126"/>
  <c r="AG774" i="126"/>
  <c r="E994" i="126"/>
  <c r="AH994" i="126"/>
  <c r="G994" i="126"/>
  <c r="AG602" i="126"/>
  <c r="AP602" i="126"/>
  <c r="AI959" i="126"/>
  <c r="H958" i="126"/>
  <c r="AI958" i="126" s="1"/>
  <c r="F959" i="126"/>
  <c r="AE191" i="126"/>
  <c r="AP191" i="126"/>
  <c r="AG191" i="126"/>
  <c r="AJ232" i="126"/>
  <c r="I231" i="126"/>
  <c r="G844" i="126"/>
  <c r="AH844" i="126"/>
  <c r="E844" i="126"/>
  <c r="E612" i="126"/>
  <c r="AH612" i="126"/>
  <c r="G612" i="126"/>
  <c r="E608" i="126"/>
  <c r="G608" i="126"/>
  <c r="AH608" i="126"/>
  <c r="AH951" i="126"/>
  <c r="E951" i="126"/>
  <c r="G951" i="126"/>
  <c r="F949" i="126"/>
  <c r="AP1083" i="126"/>
  <c r="AG1083" i="126"/>
  <c r="AE1083" i="126"/>
  <c r="AI1023" i="126"/>
  <c r="H1022" i="126"/>
  <c r="F1023" i="126"/>
  <c r="E865" i="126"/>
  <c r="AH865" i="126"/>
  <c r="G865" i="126"/>
  <c r="AJ128" i="126"/>
  <c r="I127" i="126"/>
  <c r="AJ127" i="126" s="1"/>
  <c r="E212" i="126"/>
  <c r="AH212" i="126"/>
  <c r="G212" i="126"/>
  <c r="G682" i="126"/>
  <c r="AH682" i="126"/>
  <c r="E682" i="126"/>
  <c r="F681" i="126"/>
  <c r="G838" i="126"/>
  <c r="AH838" i="126"/>
  <c r="E838" i="126"/>
  <c r="AH810" i="126"/>
  <c r="E810" i="126"/>
  <c r="G810" i="126"/>
  <c r="AJ29" i="126"/>
  <c r="I801" i="126"/>
  <c r="AH812" i="126"/>
  <c r="G812" i="126"/>
  <c r="E812" i="126"/>
  <c r="AP1068" i="126"/>
  <c r="AG1068" i="126"/>
  <c r="AE1068" i="126"/>
  <c r="AH943" i="126"/>
  <c r="E943" i="126"/>
  <c r="G943" i="126"/>
  <c r="F942" i="126"/>
  <c r="AH942" i="126" s="1"/>
  <c r="AH798" i="126"/>
  <c r="E798" i="126"/>
  <c r="G798" i="126"/>
  <c r="AP1064" i="126"/>
  <c r="AG1064" i="126"/>
  <c r="AE1064" i="126"/>
  <c r="AP775" i="126"/>
  <c r="AG775" i="126"/>
  <c r="AM101" i="126"/>
  <c r="AG872" i="126"/>
  <c r="AP872" i="126"/>
  <c r="AI425" i="126"/>
  <c r="F425" i="126"/>
  <c r="E419" i="126"/>
  <c r="AH419" i="126"/>
  <c r="G419" i="126"/>
  <c r="G613" i="126"/>
  <c r="AH613" i="126"/>
  <c r="E613" i="126"/>
  <c r="AP714" i="126"/>
  <c r="AG714" i="126"/>
  <c r="AE445" i="126"/>
  <c r="AG445" i="126"/>
  <c r="AP445" i="126"/>
  <c r="AG198" i="126"/>
  <c r="E197" i="126"/>
  <c r="AE198" i="126"/>
  <c r="AP198" i="126"/>
  <c r="AG203" i="126"/>
  <c r="AP203" i="126"/>
  <c r="AH754" i="126"/>
  <c r="G754" i="126"/>
  <c r="E754" i="126"/>
  <c r="AP1049" i="126"/>
  <c r="AG1049" i="126"/>
  <c r="AO726" i="126"/>
  <c r="W623" i="126"/>
  <c r="AO623" i="126" s="1"/>
  <c r="AG830" i="126"/>
  <c r="AP830" i="126"/>
  <c r="AP1000" i="126"/>
  <c r="AG1000" i="126"/>
  <c r="AI773" i="126"/>
  <c r="F773" i="126"/>
  <c r="H770" i="126"/>
  <c r="AI770" i="126" s="1"/>
  <c r="I1052" i="126"/>
  <c r="AJ1052" i="126" s="1"/>
  <c r="AJ1053" i="126"/>
  <c r="AM119" i="126"/>
  <c r="P118" i="126"/>
  <c r="AM118" i="126" s="1"/>
  <c r="AH261" i="126"/>
  <c r="AI261" i="126"/>
  <c r="H730" i="126"/>
  <c r="AH769" i="126"/>
  <c r="G769" i="126"/>
  <c r="E769" i="126"/>
  <c r="AG114" i="126"/>
  <c r="AP114" i="126"/>
  <c r="AP438" i="126"/>
  <c r="AG438" i="126"/>
  <c r="AG695" i="126"/>
  <c r="AE695" i="126"/>
  <c r="AP695" i="126"/>
  <c r="AG710" i="126"/>
  <c r="AP710" i="126"/>
  <c r="AH860" i="126"/>
  <c r="E860" i="126"/>
  <c r="AP350" i="126"/>
  <c r="AG350" i="126"/>
  <c r="F595" i="126"/>
  <c r="AI595" i="126"/>
  <c r="H594" i="126"/>
  <c r="H420" i="126"/>
  <c r="AI420" i="126" s="1"/>
  <c r="S86" i="126"/>
  <c r="AG64" i="126"/>
  <c r="AE64" i="126"/>
  <c r="AP64" i="126"/>
  <c r="AI931" i="126"/>
  <c r="F931" i="126"/>
  <c r="H929" i="126"/>
  <c r="AI929" i="126" s="1"/>
  <c r="AG907" i="126"/>
  <c r="AP907" i="126"/>
  <c r="E469" i="126"/>
  <c r="G469" i="126"/>
  <c r="G468" i="126" s="1"/>
  <c r="AH469" i="126"/>
  <c r="F468" i="126"/>
  <c r="AG200" i="126"/>
  <c r="AE200" i="126"/>
  <c r="AP200" i="126"/>
  <c r="AG898" i="126"/>
  <c r="E897" i="126"/>
  <c r="AP898" i="126"/>
  <c r="AP997" i="126"/>
  <c r="AG997" i="126"/>
  <c r="G330" i="126"/>
  <c r="E330" i="126"/>
  <c r="AH330" i="126"/>
  <c r="AH17" i="126"/>
  <c r="AO230" i="126"/>
  <c r="W229" i="126"/>
  <c r="AO229" i="126" s="1"/>
  <c r="AP752" i="126"/>
  <c r="AG752" i="126"/>
  <c r="AH741" i="126"/>
  <c r="E741" i="126"/>
  <c r="F740" i="126"/>
  <c r="AH740" i="126" s="1"/>
  <c r="G741" i="126"/>
  <c r="I65" i="125"/>
  <c r="H67" i="125"/>
  <c r="AG734" i="126"/>
  <c r="AP734" i="126"/>
  <c r="E449" i="126"/>
  <c r="G449" i="126"/>
  <c r="AH449" i="126"/>
  <c r="F808" i="126"/>
  <c r="AI808" i="126"/>
  <c r="AM727" i="126"/>
  <c r="P726" i="126"/>
  <c r="AM726" i="126" s="1"/>
  <c r="F1009" i="126"/>
  <c r="AI1009" i="126"/>
  <c r="AH187" i="126"/>
  <c r="E187" i="126"/>
  <c r="G187" i="126"/>
  <c r="AI471" i="126"/>
  <c r="F471" i="126"/>
  <c r="G178" i="126"/>
  <c r="AH178" i="126"/>
  <c r="AG409" i="126"/>
  <c r="AE409" i="126"/>
  <c r="AP409" i="126"/>
  <c r="AH696" i="126"/>
  <c r="E696" i="126"/>
  <c r="AI922" i="126"/>
  <c r="F922" i="126"/>
  <c r="H920" i="126"/>
  <c r="I87" i="126"/>
  <c r="AJ88" i="126"/>
  <c r="AP831" i="126"/>
  <c r="AG831" i="126"/>
  <c r="H501" i="126"/>
  <c r="AI502" i="126"/>
  <c r="F502" i="126"/>
  <c r="F367" i="126"/>
  <c r="E104" i="126"/>
  <c r="G104" i="126"/>
  <c r="G103" i="126" s="1"/>
  <c r="AH104" i="126"/>
  <c r="F103" i="126"/>
  <c r="AG215" i="126"/>
  <c r="AE215" i="126"/>
  <c r="AP215" i="126"/>
  <c r="AI357" i="126"/>
  <c r="H356" i="126"/>
  <c r="AI356" i="126" s="1"/>
  <c r="AP975" i="126"/>
  <c r="AG975" i="126"/>
  <c r="AH161" i="126"/>
  <c r="E161" i="126"/>
  <c r="F160" i="126"/>
  <c r="G161" i="126"/>
  <c r="AH32" i="126"/>
  <c r="G32" i="126"/>
  <c r="E32" i="126"/>
  <c r="G51" i="126"/>
  <c r="AH51" i="126"/>
  <c r="E51" i="126"/>
  <c r="AG1062" i="126"/>
  <c r="AE1062" i="126"/>
  <c r="AP1062" i="126"/>
  <c r="AP1013" i="126"/>
  <c r="AG1013" i="126"/>
  <c r="AG144" i="126"/>
  <c r="AP144" i="126"/>
  <c r="AG748" i="126"/>
  <c r="AP748" i="126"/>
  <c r="AL27" i="126"/>
  <c r="AO363" i="126"/>
  <c r="W352" i="126"/>
  <c r="AO352" i="126" s="1"/>
  <c r="AP426" i="126"/>
  <c r="AG426" i="126"/>
  <c r="AH264" i="126"/>
  <c r="AI264" i="126"/>
  <c r="AH1102" i="126"/>
  <c r="E1102" i="126"/>
  <c r="G1102" i="126"/>
  <c r="I69" i="125"/>
  <c r="H430" i="126"/>
  <c r="AI430" i="126" s="1"/>
  <c r="AI431" i="126"/>
  <c r="G110" i="126"/>
  <c r="G109" i="126" s="1"/>
  <c r="AG1024" i="126"/>
  <c r="AP1024" i="126"/>
  <c r="G503" i="126"/>
  <c r="AH503" i="126"/>
  <c r="E503" i="126"/>
  <c r="AG345" i="126"/>
  <c r="AP345" i="126"/>
  <c r="E1111" i="126"/>
  <c r="AH1111" i="126"/>
  <c r="H196" i="126"/>
  <c r="AO196" i="126"/>
  <c r="AG626" i="126"/>
  <c r="AE626" i="126"/>
  <c r="AP626" i="126"/>
  <c r="AI541" i="126"/>
  <c r="H540" i="126"/>
  <c r="F541" i="126"/>
  <c r="AI704" i="126"/>
  <c r="F704" i="126"/>
  <c r="H702" i="126"/>
  <c r="AI702" i="126" s="1"/>
  <c r="T919" i="126"/>
  <c r="AN919" i="126" s="1"/>
  <c r="E1109" i="126"/>
  <c r="G1109" i="126"/>
  <c r="AH1109" i="126"/>
  <c r="I78" i="125"/>
  <c r="I75" i="125" s="1"/>
  <c r="I74" i="125" s="1"/>
  <c r="H443" i="126"/>
  <c r="AI462" i="126"/>
  <c r="F462" i="126"/>
  <c r="F455" i="126"/>
  <c r="AI455" i="126"/>
  <c r="H766" i="126"/>
  <c r="AI767" i="126"/>
  <c r="F767" i="126"/>
  <c r="AP1069" i="126"/>
  <c r="AG1069" i="126"/>
  <c r="AE1069" i="126"/>
  <c r="AG271" i="126"/>
  <c r="AP271" i="126"/>
  <c r="F460" i="126"/>
  <c r="AI460" i="126"/>
  <c r="AH847" i="126"/>
  <c r="E847" i="126"/>
  <c r="G847" i="126"/>
  <c r="AH456" i="126"/>
  <c r="G456" i="126"/>
  <c r="E456" i="126"/>
  <c r="AE95" i="126"/>
  <c r="AG95" i="126"/>
  <c r="AP95" i="126"/>
  <c r="AH988" i="126"/>
  <c r="E988" i="126"/>
  <c r="F987" i="126"/>
  <c r="G988" i="126"/>
  <c r="AJ727" i="126"/>
  <c r="AP1106" i="126"/>
  <c r="AG1106" i="126"/>
  <c r="AE1106" i="126"/>
  <c r="AE1105" i="126" s="1"/>
  <c r="AI780" i="126"/>
  <c r="H779" i="126"/>
  <c r="AI779" i="126" s="1"/>
  <c r="AG881" i="126"/>
  <c r="AP881" i="126"/>
  <c r="AP1082" i="126"/>
  <c r="AG1082" i="126"/>
  <c r="AE1082" i="126"/>
  <c r="AM87" i="126"/>
  <c r="P86" i="126"/>
  <c r="AI98" i="126"/>
  <c r="H97" i="126"/>
  <c r="AI97" i="126" s="1"/>
  <c r="F98" i="126"/>
  <c r="AM765" i="126"/>
  <c r="P764" i="126"/>
  <c r="G71" i="126"/>
  <c r="AH71" i="126"/>
  <c r="E71" i="126"/>
  <c r="AH941" i="126"/>
  <c r="E941" i="126"/>
  <c r="G941" i="126"/>
  <c r="AI1061" i="126"/>
  <c r="F1061" i="126"/>
  <c r="AH760" i="126"/>
  <c r="E760" i="126"/>
  <c r="G760" i="126"/>
  <c r="AG550" i="126"/>
  <c r="AP550" i="126"/>
  <c r="E69" i="126"/>
  <c r="AH69" i="126"/>
  <c r="G69" i="126"/>
  <c r="AG406" i="126"/>
  <c r="AE406" i="126"/>
  <c r="AP406" i="126"/>
  <c r="AI809" i="126"/>
  <c r="F809" i="126"/>
  <c r="AH366" i="126"/>
  <c r="G366" i="126"/>
  <c r="E366" i="126"/>
  <c r="AP859" i="126"/>
  <c r="AG859" i="126"/>
  <c r="AE859" i="126"/>
  <c r="AP928" i="126"/>
  <c r="AG928" i="126"/>
  <c r="AJ49" i="126"/>
  <c r="I48" i="126"/>
  <c r="E631" i="126"/>
  <c r="AC623" i="126"/>
  <c r="AG497" i="126"/>
  <c r="AP497" i="126"/>
  <c r="AG652" i="126"/>
  <c r="AP652" i="126"/>
  <c r="AE1108" i="126"/>
  <c r="AP1108" i="126"/>
  <c r="AG1108" i="126"/>
  <c r="AH817" i="126"/>
  <c r="G466" i="126"/>
  <c r="E466" i="126"/>
  <c r="AH466" i="126"/>
  <c r="T763" i="126"/>
  <c r="AN764" i="126"/>
  <c r="G437" i="126"/>
  <c r="E437" i="126"/>
  <c r="AH437" i="126"/>
  <c r="G415" i="126"/>
  <c r="E415" i="126"/>
  <c r="AH415" i="126"/>
  <c r="AG295" i="126"/>
  <c r="AP295" i="126"/>
  <c r="AI762" i="126"/>
  <c r="F762" i="126"/>
  <c r="F759" i="126" s="1"/>
  <c r="J34" i="125"/>
  <c r="K34" i="125"/>
  <c r="H34" i="125"/>
  <c r="G34" i="125" s="1"/>
  <c r="AG1089" i="126"/>
  <c r="AE1089" i="126"/>
  <c r="AE1085" i="126" s="1"/>
  <c r="AP1089" i="126"/>
  <c r="E1085" i="126"/>
  <c r="F849" i="126"/>
  <c r="AI849" i="126"/>
  <c r="AH781" i="126"/>
  <c r="E781" i="126"/>
  <c r="G781" i="126"/>
  <c r="G780" i="126" s="1"/>
  <c r="G779" i="126" s="1"/>
  <c r="F780" i="126"/>
  <c r="AG828" i="126"/>
  <c r="AP828" i="126"/>
  <c r="G969" i="126"/>
  <c r="AH969" i="126"/>
  <c r="E969" i="126"/>
  <c r="AH1047" i="126"/>
  <c r="E1047" i="126"/>
  <c r="G1047" i="126"/>
  <c r="AG591" i="126"/>
  <c r="AE591" i="126"/>
  <c r="AP591" i="126"/>
  <c r="G447" i="126"/>
  <c r="AH447" i="126"/>
  <c r="E447" i="126"/>
  <c r="G799" i="126"/>
  <c r="AH799" i="126"/>
  <c r="E799" i="126"/>
  <c r="AJ841" i="126"/>
  <c r="I840" i="126"/>
  <c r="AJ840" i="126" s="1"/>
  <c r="AJ693" i="126"/>
  <c r="I692" i="126"/>
  <c r="AJ692" i="126" s="1"/>
  <c r="AP474" i="126"/>
  <c r="AG474" i="126"/>
  <c r="E832" i="126"/>
  <c r="AH832" i="126"/>
  <c r="G832" i="126"/>
  <c r="G822" i="126"/>
  <c r="AH822" i="126"/>
  <c r="E822" i="126"/>
  <c r="E1041" i="126"/>
  <c r="G1041" i="126"/>
  <c r="AH1041" i="126"/>
  <c r="E876" i="126"/>
  <c r="G876" i="126"/>
  <c r="AH876" i="126"/>
  <c r="AG972" i="126"/>
  <c r="AP972" i="126"/>
  <c r="G290" i="126"/>
  <c r="AH290" i="126"/>
  <c r="E290" i="126"/>
  <c r="AM593" i="126"/>
  <c r="P592" i="126"/>
  <c r="AK28" i="126"/>
  <c r="J27" i="126"/>
  <c r="G589" i="126"/>
  <c r="AH589" i="126"/>
  <c r="E589" i="126"/>
  <c r="H624" i="126"/>
  <c r="AI625" i="126"/>
  <c r="F625" i="126"/>
  <c r="AH36" i="126"/>
  <c r="E36" i="126"/>
  <c r="G36" i="126"/>
  <c r="AH291" i="126"/>
  <c r="E291" i="126"/>
  <c r="G291" i="126"/>
  <c r="AP519" i="126"/>
  <c r="AG519" i="126"/>
  <c r="AH736" i="126"/>
  <c r="G736" i="126"/>
  <c r="E736" i="126"/>
  <c r="AG435" i="126"/>
  <c r="AP435" i="126"/>
  <c r="AG555" i="126"/>
  <c r="AP555" i="126"/>
  <c r="H232" i="126"/>
  <c r="AI233" i="126"/>
  <c r="F233" i="126"/>
  <c r="H843" i="126"/>
  <c r="AI843" i="126" s="1"/>
  <c r="AE288" i="126"/>
  <c r="AG288" i="126"/>
  <c r="AP288" i="126"/>
  <c r="G70" i="126"/>
  <c r="E70" i="126"/>
  <c r="AH70" i="126"/>
  <c r="G598" i="126"/>
  <c r="AH598" i="126"/>
  <c r="E598" i="126"/>
  <c r="F597" i="126"/>
  <c r="AH424" i="126"/>
  <c r="E424" i="126"/>
  <c r="G424" i="126"/>
  <c r="E404" i="126"/>
  <c r="AH404" i="126"/>
  <c r="G404" i="126"/>
  <c r="G403" i="126" s="1"/>
  <c r="F403" i="126"/>
  <c r="AG596" i="126"/>
  <c r="AE596" i="126"/>
  <c r="AP596" i="126"/>
  <c r="AP936" i="126"/>
  <c r="AG936" i="126"/>
  <c r="H53" i="125"/>
  <c r="G53" i="125" s="1"/>
  <c r="J53" i="125"/>
  <c r="K53" i="125"/>
  <c r="E627" i="126"/>
  <c r="G627" i="126"/>
  <c r="AH627" i="126"/>
  <c r="E970" i="126"/>
  <c r="G970" i="126"/>
  <c r="AH970" i="126"/>
  <c r="AI121" i="126"/>
  <c r="F121" i="126"/>
  <c r="H120" i="126"/>
  <c r="AI129" i="126"/>
  <c r="F129" i="126"/>
  <c r="H128" i="126"/>
  <c r="AG374" i="126"/>
  <c r="E373" i="126"/>
  <c r="AP374" i="126"/>
  <c r="AG590" i="126"/>
  <c r="AE590" i="126"/>
  <c r="AP590" i="126"/>
  <c r="AI681" i="126"/>
  <c r="H680" i="126"/>
  <c r="AI680" i="126" s="1"/>
  <c r="AG835" i="126"/>
  <c r="AP835" i="126"/>
  <c r="AP1054" i="126"/>
  <c r="AG1054" i="126"/>
  <c r="AJ153" i="126"/>
  <c r="I152" i="126"/>
  <c r="AJ152" i="126" s="1"/>
  <c r="F802" i="126"/>
  <c r="H801" i="126"/>
  <c r="AI802" i="126"/>
  <c r="G848" i="126"/>
  <c r="E848" i="126"/>
  <c r="AH848" i="126"/>
  <c r="AG131" i="126"/>
  <c r="AE131" i="126"/>
  <c r="AP131" i="126"/>
  <c r="AI836" i="126"/>
  <c r="F836" i="126"/>
  <c r="F823" i="126" s="1"/>
  <c r="AG899" i="126"/>
  <c r="AP899" i="126"/>
  <c r="AI463" i="126"/>
  <c r="F463" i="126"/>
  <c r="G1016" i="126"/>
  <c r="AH1016" i="126"/>
  <c r="E1016" i="126"/>
  <c r="E1014" i="126" s="1"/>
  <c r="AG67" i="126"/>
  <c r="AE67" i="126"/>
  <c r="AP67" i="126"/>
  <c r="F926" i="126"/>
  <c r="AI926" i="126"/>
  <c r="AN241" i="126"/>
  <c r="T230" i="126"/>
  <c r="F130" i="126"/>
  <c r="AI130" i="126"/>
  <c r="F1056" i="126"/>
  <c r="AI1056" i="126"/>
  <c r="H1053" i="126"/>
  <c r="AH742" i="126"/>
  <c r="G742" i="126"/>
  <c r="E742" i="126"/>
  <c r="AI981" i="126"/>
  <c r="F981" i="126"/>
  <c r="H979" i="126"/>
  <c r="AI979" i="126" s="1"/>
  <c r="AI126" i="126"/>
  <c r="F126" i="126"/>
  <c r="E862" i="126"/>
  <c r="AH862" i="126"/>
  <c r="V26" i="126"/>
  <c r="V25" i="126" s="1"/>
  <c r="V16" i="126" s="1"/>
  <c r="V15" i="126" s="1"/>
  <c r="AE31" i="126"/>
  <c r="AG31" i="126"/>
  <c r="AP31" i="126"/>
  <c r="AH546" i="126"/>
  <c r="G546" i="126"/>
  <c r="E546" i="126"/>
  <c r="F545" i="126"/>
  <c r="AJ582" i="126"/>
  <c r="I581" i="126"/>
  <c r="AJ581" i="126" s="1"/>
  <c r="E65" i="126"/>
  <c r="AH65" i="126"/>
  <c r="G65" i="126"/>
  <c r="AP429" i="126"/>
  <c r="AG429" i="126"/>
  <c r="AG112" i="126"/>
  <c r="AP112" i="126"/>
  <c r="AI851" i="126"/>
  <c r="F851" i="126"/>
  <c r="AG1073" i="126"/>
  <c r="AE1073" i="126"/>
  <c r="AP1073" i="126"/>
  <c r="G797" i="126"/>
  <c r="AH797" i="126"/>
  <c r="E797" i="126"/>
  <c r="G777" i="126"/>
  <c r="AH777" i="126"/>
  <c r="E777" i="126"/>
  <c r="G473" i="126"/>
  <c r="AH473" i="126"/>
  <c r="E473" i="126"/>
  <c r="F189" i="126"/>
  <c r="AI189" i="126"/>
  <c r="F237" i="126"/>
  <c r="H236" i="126"/>
  <c r="AI236" i="126" s="1"/>
  <c r="AI237" i="126"/>
  <c r="F459" i="126"/>
  <c r="H458" i="126"/>
  <c r="AI458" i="126" s="1"/>
  <c r="AI459" i="126"/>
  <c r="F1035" i="126"/>
  <c r="AI1035" i="126"/>
  <c r="G976" i="126"/>
  <c r="AH976" i="126"/>
  <c r="E976" i="126"/>
  <c r="AI537" i="126"/>
  <c r="F537" i="126"/>
  <c r="AP630" i="126"/>
  <c r="AG630" i="126"/>
  <c r="AP609" i="126"/>
  <c r="AG609" i="126"/>
  <c r="AE609" i="126"/>
  <c r="F811" i="126"/>
  <c r="AI811" i="126"/>
  <c r="AG362" i="126"/>
  <c r="AP362" i="126"/>
  <c r="AP965" i="126"/>
  <c r="AG965" i="126"/>
  <c r="K22" i="125"/>
  <c r="J22" i="125"/>
  <c r="AP113" i="126"/>
  <c r="AG113" i="126"/>
  <c r="AM500" i="126"/>
  <c r="P499" i="126"/>
  <c r="AM499" i="126" s="1"/>
  <c r="AE94" i="126"/>
  <c r="AG94" i="126"/>
  <c r="AP94" i="126"/>
  <c r="F896" i="126"/>
  <c r="AH897" i="126"/>
  <c r="AG674" i="126"/>
  <c r="AP674" i="126"/>
  <c r="AP709" i="126"/>
  <c r="AG709" i="126"/>
  <c r="AG978" i="126"/>
  <c r="AE978" i="126"/>
  <c r="AP978" i="126"/>
  <c r="AN511" i="126"/>
  <c r="T510" i="126"/>
  <c r="AN510" i="126" s="1"/>
  <c r="AG18" i="126"/>
  <c r="AE18" i="126"/>
  <c r="E17" i="126"/>
  <c r="AP18" i="126"/>
  <c r="AH34" i="126"/>
  <c r="G34" i="126"/>
  <c r="E34" i="126"/>
  <c r="G745" i="126"/>
  <c r="AH745" i="126"/>
  <c r="E745" i="126"/>
  <c r="AG1093" i="126"/>
  <c r="E1092" i="126"/>
  <c r="AP1093" i="126"/>
  <c r="G793" i="126"/>
  <c r="AH793" i="126"/>
  <c r="E793" i="126"/>
  <c r="AI518" i="126"/>
  <c r="F518" i="126"/>
  <c r="AG304" i="126"/>
  <c r="AP304" i="126"/>
  <c r="AH289" i="126"/>
  <c r="E289" i="126"/>
  <c r="G289" i="126"/>
  <c r="P576" i="126"/>
  <c r="AM576" i="126" s="1"/>
  <c r="H492" i="126"/>
  <c r="AI493" i="126"/>
  <c r="F493" i="126"/>
  <c r="E90" i="126"/>
  <c r="G90" i="126"/>
  <c r="F89" i="126"/>
  <c r="AH90" i="126"/>
  <c r="AE579" i="126"/>
  <c r="AG579" i="126"/>
  <c r="AP579" i="126"/>
  <c r="AM513" i="126"/>
  <c r="P511" i="126"/>
  <c r="AG179" i="126"/>
  <c r="E178" i="126"/>
  <c r="AE179" i="126"/>
  <c r="AE178" i="126" s="1"/>
  <c r="AP179" i="126"/>
  <c r="AG204" i="126"/>
  <c r="AP204" i="126"/>
  <c r="AH1081" i="126"/>
  <c r="E1081" i="126"/>
  <c r="G1081" i="126"/>
  <c r="F461" i="126"/>
  <c r="AI461" i="126"/>
  <c r="AP853" i="126"/>
  <c r="AG853" i="126"/>
  <c r="AP711" i="126"/>
  <c r="AG711" i="126"/>
  <c r="AH1057" i="126"/>
  <c r="G1057" i="126"/>
  <c r="E1057" i="126"/>
  <c r="AG697" i="126"/>
  <c r="AP697" i="126"/>
  <c r="W27" i="126"/>
  <c r="AO28" i="126"/>
  <c r="AJ718" i="126"/>
  <c r="I717" i="126"/>
  <c r="AJ717" i="126" s="1"/>
  <c r="AH358" i="126"/>
  <c r="E358" i="126"/>
  <c r="F357" i="126"/>
  <c r="G358" i="126"/>
  <c r="G470" i="126"/>
  <c r="AH470" i="126"/>
  <c r="E470" i="126"/>
  <c r="AJ364" i="126"/>
  <c r="I363" i="126"/>
  <c r="AJ363" i="126" s="1"/>
  <c r="AP813" i="126"/>
  <c r="AG813" i="126"/>
  <c r="AI739" i="126"/>
  <c r="H738" i="126"/>
  <c r="F739" i="126"/>
  <c r="AI1026" i="126"/>
  <c r="F1026" i="126"/>
  <c r="G864" i="126"/>
  <c r="G857" i="126" s="1"/>
  <c r="AH864" i="126"/>
  <c r="E864" i="126"/>
  <c r="H183" i="126"/>
  <c r="F184" i="126"/>
  <c r="AI184" i="126"/>
  <c r="AP829" i="126"/>
  <c r="AG829" i="126"/>
  <c r="AP1043" i="126"/>
  <c r="AG1043" i="126"/>
  <c r="AJ507" i="126"/>
  <c r="I506" i="126"/>
  <c r="AJ506" i="126" s="1"/>
  <c r="G1080" i="126"/>
  <c r="AH1080" i="126"/>
  <c r="E1080" i="126"/>
  <c r="F1079" i="126"/>
  <c r="AH1079" i="126" s="1"/>
  <c r="I63" i="125"/>
  <c r="G432" i="126"/>
  <c r="F431" i="126"/>
  <c r="AH432" i="126"/>
  <c r="E432" i="126"/>
  <c r="AP111" i="126"/>
  <c r="AG111" i="126"/>
  <c r="E110" i="126"/>
  <c r="AP816" i="126"/>
  <c r="AG816" i="126"/>
  <c r="AG900" i="126"/>
  <c r="AP900" i="126"/>
  <c r="AI973" i="126"/>
  <c r="F973" i="126"/>
  <c r="AE504" i="126"/>
  <c r="AE503" i="126" s="1"/>
  <c r="AG504" i="126"/>
  <c r="AP504" i="126"/>
  <c r="G476" i="126"/>
  <c r="AH476" i="126"/>
  <c r="E476" i="126"/>
  <c r="E673" i="126"/>
  <c r="E665" i="126" s="1"/>
  <c r="AH673" i="126"/>
  <c r="G673" i="126"/>
  <c r="S229" i="126"/>
  <c r="AH91" i="126"/>
  <c r="G91" i="126"/>
  <c r="E91" i="126"/>
  <c r="AP839" i="126"/>
  <c r="AG839" i="126"/>
  <c r="AJ176" i="126"/>
  <c r="G39" i="126"/>
  <c r="F38" i="126"/>
  <c r="F29" i="126" s="1"/>
  <c r="AH39" i="126"/>
  <c r="E39" i="126"/>
  <c r="G423" i="126"/>
  <c r="AH423" i="126"/>
  <c r="E423" i="126"/>
  <c r="AI464" i="126"/>
  <c r="F464" i="126"/>
  <c r="G199" i="126"/>
  <c r="E199" i="126"/>
  <c r="AH199" i="126"/>
  <c r="AG1015" i="126"/>
  <c r="AE1015" i="126"/>
  <c r="AP1015" i="126"/>
  <c r="AG824" i="126"/>
  <c r="AP824" i="126"/>
  <c r="AG1011" i="126"/>
  <c r="AP1011" i="126"/>
  <c r="AP240" i="126"/>
  <c r="AG240" i="126"/>
  <c r="AG156" i="126"/>
  <c r="AE156" i="126"/>
  <c r="AE155" i="126" s="1"/>
  <c r="AP156" i="126"/>
  <c r="H823" i="126"/>
  <c r="AG1107" i="126" l="1"/>
  <c r="AE1107" i="126"/>
  <c r="AP1107" i="126"/>
  <c r="AG955" i="126"/>
  <c r="AP955" i="126"/>
  <c r="AE17" i="126"/>
  <c r="AI256" i="126"/>
  <c r="K76" i="125"/>
  <c r="H76" i="125"/>
  <c r="G76" i="125" s="1"/>
  <c r="AE729" i="126"/>
  <c r="AG729" i="126"/>
  <c r="AP729" i="126"/>
  <c r="F792" i="126"/>
  <c r="AE878" i="126"/>
  <c r="AG1048" i="126"/>
  <c r="AP1048" i="126"/>
  <c r="AG158" i="126"/>
  <c r="AP158" i="126"/>
  <c r="E157" i="126"/>
  <c r="I593" i="126"/>
  <c r="I592" i="126" s="1"/>
  <c r="AJ592" i="126" s="1"/>
  <c r="P919" i="126"/>
  <c r="AM919" i="126" s="1"/>
  <c r="I726" i="126"/>
  <c r="AG985" i="126"/>
  <c r="AP985" i="126"/>
  <c r="AH287" i="126"/>
  <c r="AP878" i="126"/>
  <c r="AM592" i="126"/>
  <c r="G942" i="126"/>
  <c r="G721" i="126"/>
  <c r="G287" i="126"/>
  <c r="G431" i="126"/>
  <c r="L2" i="126"/>
  <c r="AP925" i="126"/>
  <c r="AG925" i="126"/>
  <c r="AP132" i="126"/>
  <c r="AE132" i="126"/>
  <c r="AG132" i="126"/>
  <c r="AE35" i="126"/>
  <c r="AG35" i="126"/>
  <c r="AP35" i="126"/>
  <c r="AG946" i="126"/>
  <c r="AP946" i="126"/>
  <c r="G709" i="126"/>
  <c r="G708" i="126" s="1"/>
  <c r="AP344" i="126"/>
  <c r="AG344" i="126"/>
  <c r="AG1008" i="126"/>
  <c r="AP1008" i="126"/>
  <c r="AG19" i="126"/>
  <c r="AP19" i="126"/>
  <c r="AP1037" i="126"/>
  <c r="AG1037" i="126"/>
  <c r="AP963" i="126"/>
  <c r="AG963" i="126"/>
  <c r="AG1051" i="126"/>
  <c r="AP1051" i="126"/>
  <c r="AP1004" i="126"/>
  <c r="AG1004" i="126"/>
  <c r="AJ726" i="126"/>
  <c r="S26" i="126"/>
  <c r="S25" i="126" s="1"/>
  <c r="S16" i="126" s="1"/>
  <c r="S15" i="126" s="1"/>
  <c r="S1123" i="126" s="1"/>
  <c r="AP716" i="126"/>
  <c r="AG716" i="126"/>
  <c r="AH1050" i="126"/>
  <c r="E1050" i="126"/>
  <c r="AP1003" i="126"/>
  <c r="AG1003" i="126"/>
  <c r="AP347" i="126"/>
  <c r="AG347" i="126"/>
  <c r="G434" i="126"/>
  <c r="AG992" i="126"/>
  <c r="AP992" i="126"/>
  <c r="AP275" i="126"/>
  <c r="AG275" i="126"/>
  <c r="H17" i="125"/>
  <c r="G19" i="125"/>
  <c r="G17" i="125" s="1"/>
  <c r="AP349" i="126"/>
  <c r="AG349" i="126"/>
  <c r="AP761" i="126"/>
  <c r="AG761" i="126"/>
  <c r="AP525" i="126"/>
  <c r="AG525" i="126"/>
  <c r="AP863" i="126"/>
  <c r="AG863" i="126"/>
  <c r="AG934" i="126"/>
  <c r="AP934" i="126"/>
  <c r="AG239" i="126"/>
  <c r="AP239" i="126"/>
  <c r="E238" i="126"/>
  <c r="AP1084" i="126"/>
  <c r="AG1084" i="126"/>
  <c r="AE1084" i="126"/>
  <c r="AE950" i="126"/>
  <c r="AG950" i="126"/>
  <c r="AP950" i="126"/>
  <c r="AP924" i="126"/>
  <c r="AG924" i="126"/>
  <c r="AG948" i="126"/>
  <c r="AP948" i="126"/>
  <c r="AP1036" i="126"/>
  <c r="AG1036" i="126"/>
  <c r="AG945" i="126"/>
  <c r="AP945" i="126"/>
  <c r="AP1055" i="126"/>
  <c r="AG1055" i="126"/>
  <c r="AP999" i="126"/>
  <c r="AG999" i="126"/>
  <c r="AE980" i="126"/>
  <c r="AG980" i="126"/>
  <c r="AP980" i="126"/>
  <c r="AG665" i="126"/>
  <c r="AP665" i="126"/>
  <c r="K74" i="125"/>
  <c r="H74" i="125"/>
  <c r="G29" i="126"/>
  <c r="AH29" i="126"/>
  <c r="E759" i="126"/>
  <c r="AH759" i="126"/>
  <c r="F756" i="126"/>
  <c r="G443" i="126"/>
  <c r="AH443" i="126"/>
  <c r="E38" i="126"/>
  <c r="AE39" i="126"/>
  <c r="AE38" i="126" s="1"/>
  <c r="AG39" i="126"/>
  <c r="AP39" i="126"/>
  <c r="AG91" i="126"/>
  <c r="AE91" i="126"/>
  <c r="AP91" i="126"/>
  <c r="AG476" i="126"/>
  <c r="AP476" i="126"/>
  <c r="E109" i="126"/>
  <c r="AG110" i="126"/>
  <c r="AP110" i="126"/>
  <c r="AE432" i="126"/>
  <c r="E431" i="126"/>
  <c r="AG432" i="126"/>
  <c r="AP432" i="126"/>
  <c r="J63" i="125"/>
  <c r="K63" i="125"/>
  <c r="H63" i="125"/>
  <c r="G63" i="125" s="1"/>
  <c r="G1079" i="126"/>
  <c r="G739" i="126"/>
  <c r="F738" i="126"/>
  <c r="E739" i="126"/>
  <c r="AH739" i="126"/>
  <c r="E357" i="126"/>
  <c r="AP358" i="126"/>
  <c r="AG358" i="126"/>
  <c r="AE1057" i="126"/>
  <c r="AG1057" i="126"/>
  <c r="AP1057" i="126"/>
  <c r="AH461" i="126"/>
  <c r="G461" i="126"/>
  <c r="E461" i="126"/>
  <c r="AG178" i="126"/>
  <c r="AP178" i="126"/>
  <c r="AH89" i="126"/>
  <c r="F88" i="126"/>
  <c r="AG289" i="126"/>
  <c r="AE289" i="126"/>
  <c r="AP289" i="126"/>
  <c r="E518" i="126"/>
  <c r="G518" i="126"/>
  <c r="AH518" i="126"/>
  <c r="AG34" i="126"/>
  <c r="AE34" i="126"/>
  <c r="AP34" i="126"/>
  <c r="AG17" i="126"/>
  <c r="AP17" i="126"/>
  <c r="AH811" i="126"/>
  <c r="G811" i="126"/>
  <c r="E811" i="126"/>
  <c r="AP976" i="126"/>
  <c r="AG976" i="126"/>
  <c r="AH1035" i="126"/>
  <c r="G1035" i="126"/>
  <c r="E1035" i="126"/>
  <c r="AH189" i="126"/>
  <c r="G189" i="126"/>
  <c r="E189" i="126"/>
  <c r="AG777" i="126"/>
  <c r="AP777" i="126"/>
  <c r="AH545" i="126"/>
  <c r="G545" i="126"/>
  <c r="F544" i="126"/>
  <c r="V1123" i="126"/>
  <c r="V2" i="126"/>
  <c r="AP742" i="126"/>
  <c r="AG742" i="126"/>
  <c r="T229" i="126"/>
  <c r="AN230" i="126"/>
  <c r="AG848" i="126"/>
  <c r="AP848" i="126"/>
  <c r="AH802" i="126"/>
  <c r="E802" i="126"/>
  <c r="G802" i="126"/>
  <c r="AI128" i="126"/>
  <c r="H127" i="126"/>
  <c r="AI127" i="126" s="1"/>
  <c r="G121" i="126"/>
  <c r="G120" i="126" s="1"/>
  <c r="F120" i="126"/>
  <c r="AH121" i="126"/>
  <c r="E121" i="126"/>
  <c r="AG970" i="126"/>
  <c r="AE970" i="126"/>
  <c r="AP970" i="126"/>
  <c r="AH403" i="126"/>
  <c r="I44" i="125"/>
  <c r="AG598" i="126"/>
  <c r="AE598" i="126"/>
  <c r="AE597" i="126" s="1"/>
  <c r="AP598" i="126"/>
  <c r="AG70" i="126"/>
  <c r="AE70" i="126"/>
  <c r="AP70" i="126"/>
  <c r="E287" i="126"/>
  <c r="AG736" i="126"/>
  <c r="AP736" i="126"/>
  <c r="AG876" i="126"/>
  <c r="AE876" i="126"/>
  <c r="AP876" i="126"/>
  <c r="AG1041" i="126"/>
  <c r="AE1041" i="126"/>
  <c r="AP1041" i="126"/>
  <c r="AG969" i="126"/>
  <c r="AE969" i="126"/>
  <c r="AP969" i="126"/>
  <c r="AH809" i="126"/>
  <c r="G809" i="126"/>
  <c r="E809" i="126"/>
  <c r="F940" i="126"/>
  <c r="AE71" i="126"/>
  <c r="AG71" i="126"/>
  <c r="AP71" i="126"/>
  <c r="AM86" i="126"/>
  <c r="AG456" i="126"/>
  <c r="AP456" i="126"/>
  <c r="AP847" i="126"/>
  <c r="AG847" i="126"/>
  <c r="AI766" i="126"/>
  <c r="H765" i="126"/>
  <c r="AH462" i="126"/>
  <c r="G462" i="126"/>
  <c r="E462" i="126"/>
  <c r="AI540" i="126"/>
  <c r="H539" i="126"/>
  <c r="AI539" i="126" s="1"/>
  <c r="AG1111" i="126"/>
  <c r="AE1111" i="126"/>
  <c r="AP1111" i="126"/>
  <c r="AE51" i="126"/>
  <c r="AG51" i="126"/>
  <c r="AP51" i="126"/>
  <c r="AG161" i="126"/>
  <c r="AE161" i="126"/>
  <c r="AE160" i="126" s="1"/>
  <c r="E160" i="126"/>
  <c r="AP161" i="126"/>
  <c r="AE104" i="126"/>
  <c r="AE103" i="126" s="1"/>
  <c r="AE102" i="126" s="1"/>
  <c r="E103" i="126"/>
  <c r="AG104" i="126"/>
  <c r="AP104" i="126"/>
  <c r="AI501" i="126"/>
  <c r="H500" i="126"/>
  <c r="AJ87" i="126"/>
  <c r="I86" i="126"/>
  <c r="AJ86" i="126" s="1"/>
  <c r="AG696" i="126"/>
  <c r="AP696" i="126"/>
  <c r="E471" i="126"/>
  <c r="AH471" i="126"/>
  <c r="G471" i="126"/>
  <c r="G67" i="125"/>
  <c r="G65" i="125" s="1"/>
  <c r="H65" i="125"/>
  <c r="E740" i="126"/>
  <c r="AP741" i="126"/>
  <c r="AG741" i="126"/>
  <c r="AG769" i="126"/>
  <c r="AE769" i="126"/>
  <c r="AP769" i="126"/>
  <c r="AG197" i="126"/>
  <c r="AP197" i="126"/>
  <c r="AE419" i="126"/>
  <c r="AG419" i="126"/>
  <c r="AP419" i="126"/>
  <c r="AP798" i="126"/>
  <c r="AG798" i="126"/>
  <c r="E942" i="126"/>
  <c r="AP943" i="126"/>
  <c r="AG943" i="126"/>
  <c r="AJ801" i="126"/>
  <c r="I800" i="126"/>
  <c r="AJ800" i="126" s="1"/>
  <c r="AG810" i="126"/>
  <c r="AP810" i="126"/>
  <c r="AE865" i="126"/>
  <c r="AP865" i="126"/>
  <c r="AG865" i="126"/>
  <c r="AG612" i="126"/>
  <c r="AE612" i="126"/>
  <c r="AP612" i="126"/>
  <c r="AI971" i="126"/>
  <c r="F971" i="126"/>
  <c r="H968" i="126"/>
  <c r="AI968" i="126" s="1"/>
  <c r="AI600" i="126"/>
  <c r="H599" i="126"/>
  <c r="AI599" i="126" s="1"/>
  <c r="AG628" i="126"/>
  <c r="AP628" i="126"/>
  <c r="AE725" i="126"/>
  <c r="AG725" i="126"/>
  <c r="AP725" i="126"/>
  <c r="AE211" i="126"/>
  <c r="AP211" i="126"/>
  <c r="E210" i="126"/>
  <c r="AG211" i="126"/>
  <c r="H248" i="126"/>
  <c r="AI250" i="126"/>
  <c r="F250" i="126"/>
  <c r="AI49" i="126"/>
  <c r="H48" i="126"/>
  <c r="AP586" i="126"/>
  <c r="AG586" i="126"/>
  <c r="AP834" i="126"/>
  <c r="AG834" i="126"/>
  <c r="G794" i="126"/>
  <c r="AI1042" i="126"/>
  <c r="H1040" i="126"/>
  <c r="AP845" i="126"/>
  <c r="AG845" i="126"/>
  <c r="AI514" i="126"/>
  <c r="H513" i="126"/>
  <c r="F514" i="126"/>
  <c r="K15" i="125"/>
  <c r="J15" i="125"/>
  <c r="AH428" i="126"/>
  <c r="G428" i="126"/>
  <c r="E428" i="126"/>
  <c r="AG467" i="126"/>
  <c r="AP467" i="126"/>
  <c r="G805" i="126"/>
  <c r="AH805" i="126"/>
  <c r="E805" i="126"/>
  <c r="F803" i="126"/>
  <c r="AG1025" i="126"/>
  <c r="AP1025" i="126"/>
  <c r="P230" i="126"/>
  <c r="AP974" i="126"/>
  <c r="AG974" i="126"/>
  <c r="AE355" i="126"/>
  <c r="AG355" i="126"/>
  <c r="AP355" i="126"/>
  <c r="AH706" i="126"/>
  <c r="E706" i="126"/>
  <c r="G706" i="126"/>
  <c r="F705" i="126"/>
  <c r="AH961" i="126"/>
  <c r="G961" i="126"/>
  <c r="E961" i="126"/>
  <c r="G92" i="126"/>
  <c r="AH92" i="126"/>
  <c r="AL241" i="126"/>
  <c r="M230" i="126"/>
  <c r="H57" i="125"/>
  <c r="G57" i="125" s="1"/>
  <c r="J57" i="125"/>
  <c r="K57" i="125"/>
  <c r="AE904" i="126"/>
  <c r="AG904" i="126"/>
  <c r="AP904" i="126"/>
  <c r="AP744" i="126"/>
  <c r="AG744" i="126"/>
  <c r="AG60" i="126"/>
  <c r="AP60" i="126"/>
  <c r="AP837" i="126"/>
  <c r="AG837" i="126"/>
  <c r="AI693" i="126"/>
  <c r="H692" i="126"/>
  <c r="AI692" i="126" s="1"/>
  <c r="AP723" i="126"/>
  <c r="AG723" i="126"/>
  <c r="AP953" i="126"/>
  <c r="AG953" i="126"/>
  <c r="G77" i="125"/>
  <c r="AJ452" i="126"/>
  <c r="AG457" i="126"/>
  <c r="AP457" i="126"/>
  <c r="AE1076" i="126"/>
  <c r="AP1076" i="126"/>
  <c r="AG1076" i="126"/>
  <c r="J47" i="125"/>
  <c r="K47" i="125"/>
  <c r="H47" i="125"/>
  <c r="G47" i="125" s="1"/>
  <c r="AI507" i="126"/>
  <c r="AH365" i="126"/>
  <c r="E365" i="126"/>
  <c r="F364" i="126"/>
  <c r="G365" i="126"/>
  <c r="AJ1040" i="126"/>
  <c r="I1039" i="126"/>
  <c r="AJ1039" i="126" s="1"/>
  <c r="AI102" i="126"/>
  <c r="H101" i="126"/>
  <c r="AI101" i="126" s="1"/>
  <c r="AP166" i="126"/>
  <c r="AG166" i="126"/>
  <c r="AH643" i="126"/>
  <c r="G643" i="126"/>
  <c r="AI536" i="126"/>
  <c r="F536" i="126"/>
  <c r="AG66" i="126"/>
  <c r="AE66" i="126"/>
  <c r="AP66" i="126"/>
  <c r="AG436" i="126"/>
  <c r="AP436" i="126"/>
  <c r="AG606" i="126"/>
  <c r="AP606" i="126"/>
  <c r="AG731" i="126"/>
  <c r="AP731" i="126"/>
  <c r="AG454" i="126"/>
  <c r="AP454" i="126"/>
  <c r="AG1029" i="126"/>
  <c r="AP1029" i="126"/>
  <c r="AG440" i="126"/>
  <c r="AP440" i="126"/>
  <c r="AG142" i="126"/>
  <c r="AE142" i="126"/>
  <c r="AP142" i="126"/>
  <c r="AG827" i="126"/>
  <c r="AP827" i="126"/>
  <c r="AG516" i="126"/>
  <c r="AP516" i="126"/>
  <c r="AE1075" i="126"/>
  <c r="AG1075" i="126"/>
  <c r="AP1075" i="126"/>
  <c r="G768" i="126"/>
  <c r="E768" i="126"/>
  <c r="AH768" i="126"/>
  <c r="AI823" i="126"/>
  <c r="H821" i="126"/>
  <c r="AI821" i="126" s="1"/>
  <c r="AG1014" i="126"/>
  <c r="AP1014" i="126"/>
  <c r="AG199" i="126"/>
  <c r="AE199" i="126"/>
  <c r="AP199" i="126"/>
  <c r="AG423" i="126"/>
  <c r="AP423" i="126"/>
  <c r="AH184" i="126"/>
  <c r="G184" i="126"/>
  <c r="G183" i="126" s="1"/>
  <c r="G182" i="126" s="1"/>
  <c r="E184" i="126"/>
  <c r="F183" i="126"/>
  <c r="AI738" i="126"/>
  <c r="H737" i="126"/>
  <c r="AI737" i="126" s="1"/>
  <c r="AO27" i="126"/>
  <c r="G89" i="126"/>
  <c r="AI492" i="126"/>
  <c r="H491" i="126"/>
  <c r="AI491" i="126" s="1"/>
  <c r="AP745" i="126"/>
  <c r="AG745" i="126"/>
  <c r="AH896" i="126"/>
  <c r="G896" i="126"/>
  <c r="AP473" i="126"/>
  <c r="AG473" i="126"/>
  <c r="E851" i="126"/>
  <c r="AH851" i="126"/>
  <c r="G851" i="126"/>
  <c r="AE65" i="126"/>
  <c r="AG65" i="126"/>
  <c r="AP65" i="126"/>
  <c r="E545" i="126"/>
  <c r="AG546" i="126"/>
  <c r="AE546" i="126"/>
  <c r="AE545" i="126" s="1"/>
  <c r="AE544" i="126" s="1"/>
  <c r="AP546" i="126"/>
  <c r="AH1056" i="126"/>
  <c r="G1056" i="126"/>
  <c r="G1053" i="126" s="1"/>
  <c r="E1056" i="126"/>
  <c r="F1053" i="126"/>
  <c r="G129" i="126"/>
  <c r="E129" i="126"/>
  <c r="AH129" i="126"/>
  <c r="F128" i="126"/>
  <c r="AP424" i="126"/>
  <c r="AG424" i="126"/>
  <c r="H231" i="126"/>
  <c r="AI232" i="126"/>
  <c r="AG36" i="126"/>
  <c r="AE36" i="126"/>
  <c r="AP36" i="126"/>
  <c r="AI624" i="126"/>
  <c r="AK27" i="126"/>
  <c r="AE290" i="126"/>
  <c r="AE287" i="126" s="1"/>
  <c r="AG290" i="126"/>
  <c r="AP290" i="126"/>
  <c r="AE822" i="126"/>
  <c r="AG822" i="126"/>
  <c r="AP822" i="126"/>
  <c r="AG1047" i="126"/>
  <c r="AP1047" i="126"/>
  <c r="F779" i="126"/>
  <c r="AH779" i="126" s="1"/>
  <c r="AH780" i="126"/>
  <c r="AN763" i="126"/>
  <c r="T623" i="126"/>
  <c r="AN623" i="126" s="1"/>
  <c r="AJ48" i="126"/>
  <c r="I47" i="126"/>
  <c r="AG366" i="126"/>
  <c r="AE366" i="126"/>
  <c r="AP366" i="126"/>
  <c r="AH98" i="126"/>
  <c r="E98" i="126"/>
  <c r="F97" i="126"/>
  <c r="G98" i="126"/>
  <c r="AH823" i="126"/>
  <c r="AH704" i="126"/>
  <c r="E704" i="126"/>
  <c r="G704" i="126"/>
  <c r="F702" i="126"/>
  <c r="AE1102" i="126"/>
  <c r="AP1102" i="126"/>
  <c r="AG1102" i="126"/>
  <c r="F102" i="126"/>
  <c r="AH103" i="126"/>
  <c r="AH367" i="126"/>
  <c r="G367" i="126"/>
  <c r="AI920" i="126"/>
  <c r="AG449" i="126"/>
  <c r="AE449" i="126"/>
  <c r="AP449" i="126"/>
  <c r="AG330" i="126"/>
  <c r="AP330" i="126"/>
  <c r="AH595" i="126"/>
  <c r="E595" i="126"/>
  <c r="F594" i="126"/>
  <c r="G595" i="126"/>
  <c r="G594" i="126" s="1"/>
  <c r="AP860" i="126"/>
  <c r="AG860" i="126"/>
  <c r="AG754" i="126"/>
  <c r="AP754" i="126"/>
  <c r="AH425" i="126"/>
  <c r="G425" i="126"/>
  <c r="G420" i="126" s="1"/>
  <c r="E425" i="126"/>
  <c r="AG812" i="126"/>
  <c r="AP812" i="126"/>
  <c r="F680" i="126"/>
  <c r="G681" i="126"/>
  <c r="AH681" i="126"/>
  <c r="AH1023" i="126"/>
  <c r="G1023" i="126"/>
  <c r="E1023" i="126"/>
  <c r="F1022" i="126"/>
  <c r="AG951" i="126"/>
  <c r="AE951" i="126"/>
  <c r="AP951" i="126"/>
  <c r="E949" i="126"/>
  <c r="AG608" i="126"/>
  <c r="AP608" i="126"/>
  <c r="F843" i="126"/>
  <c r="AH843" i="126" s="1"/>
  <c r="AJ231" i="126"/>
  <c r="AG994" i="126"/>
  <c r="AP994" i="126"/>
  <c r="AG676" i="126"/>
  <c r="AP676" i="126"/>
  <c r="AP1012" i="126"/>
  <c r="AG1012" i="126"/>
  <c r="G210" i="126"/>
  <c r="G177" i="126" s="1"/>
  <c r="AG448" i="126"/>
  <c r="AE448" i="126"/>
  <c r="AP448" i="126"/>
  <c r="AJ765" i="126"/>
  <c r="I764" i="126"/>
  <c r="AJ353" i="126"/>
  <c r="I352" i="126"/>
  <c r="AJ352" i="126" s="1"/>
  <c r="AE866" i="126"/>
  <c r="AG866" i="126"/>
  <c r="AP866" i="126"/>
  <c r="G996" i="126"/>
  <c r="F995" i="126"/>
  <c r="E996" i="126"/>
  <c r="AH996" i="126"/>
  <c r="F520" i="126"/>
  <c r="AH521" i="126"/>
  <c r="G521" i="126"/>
  <c r="AP796" i="126"/>
  <c r="AG796" i="126"/>
  <c r="E794" i="126"/>
  <c r="E792" i="126" s="1"/>
  <c r="AG155" i="126"/>
  <c r="AP155" i="126"/>
  <c r="E1046" i="126"/>
  <c r="AH1046" i="126"/>
  <c r="G1046" i="126"/>
  <c r="G1042" i="126" s="1"/>
  <c r="F1042" i="126"/>
  <c r="AJ513" i="126"/>
  <c r="I511" i="126"/>
  <c r="AI88" i="126"/>
  <c r="H87" i="126"/>
  <c r="AG708" i="126"/>
  <c r="AE708" i="126"/>
  <c r="AP708" i="126"/>
  <c r="AH63" i="126"/>
  <c r="F62" i="126"/>
  <c r="G63" i="126"/>
  <c r="G450" i="126"/>
  <c r="AH450" i="126"/>
  <c r="E450" i="126"/>
  <c r="AE683" i="126"/>
  <c r="AG683" i="126"/>
  <c r="AP683" i="126"/>
  <c r="G578" i="126"/>
  <c r="AH578" i="126"/>
  <c r="E578" i="126"/>
  <c r="F577" i="126"/>
  <c r="G418" i="126"/>
  <c r="AH418" i="126"/>
  <c r="E418" i="126"/>
  <c r="AJ119" i="126"/>
  <c r="I118" i="126"/>
  <c r="AJ118" i="126" s="1"/>
  <c r="AG93" i="126"/>
  <c r="AP93" i="126"/>
  <c r="AE93" i="126"/>
  <c r="AE92" i="126" s="1"/>
  <c r="E92" i="126"/>
  <c r="AG854" i="126"/>
  <c r="AP854" i="126"/>
  <c r="AH340" i="126"/>
  <c r="G340" i="126"/>
  <c r="F339" i="126"/>
  <c r="AE622" i="126"/>
  <c r="AP622" i="126"/>
  <c r="AG622" i="126"/>
  <c r="AG807" i="126"/>
  <c r="AP807" i="126"/>
  <c r="AG188" i="126"/>
  <c r="AP188" i="126"/>
  <c r="AG533" i="126"/>
  <c r="AP533" i="126"/>
  <c r="AG724" i="126"/>
  <c r="AE724" i="126"/>
  <c r="AP724" i="126"/>
  <c r="G354" i="126"/>
  <c r="AH354" i="126"/>
  <c r="E354" i="126"/>
  <c r="H867" i="126"/>
  <c r="AI867" i="126" s="1"/>
  <c r="AI868" i="126"/>
  <c r="AI718" i="126"/>
  <c r="H717" i="126"/>
  <c r="AI717" i="126" s="1"/>
  <c r="AP846" i="126"/>
  <c r="AG846" i="126"/>
  <c r="AH1010" i="126"/>
  <c r="G1010" i="126"/>
  <c r="E1010" i="126"/>
  <c r="AP422" i="126"/>
  <c r="AG422" i="126"/>
  <c r="AI582" i="126"/>
  <c r="H581" i="126"/>
  <c r="AI581" i="126" s="1"/>
  <c r="AG105" i="126"/>
  <c r="AP105" i="126"/>
  <c r="E605" i="126"/>
  <c r="AH605" i="126"/>
  <c r="AH1002" i="126"/>
  <c r="E1002" i="126"/>
  <c r="G1002" i="126"/>
  <c r="F139" i="126"/>
  <c r="AH140" i="126"/>
  <c r="G140" i="126"/>
  <c r="I576" i="126"/>
  <c r="AJ576" i="126" s="1"/>
  <c r="AI153" i="126"/>
  <c r="H152" i="126"/>
  <c r="AI152" i="126" s="1"/>
  <c r="K49" i="125"/>
  <c r="H49" i="125"/>
  <c r="G49" i="125" s="1"/>
  <c r="J49" i="125"/>
  <c r="AG244" i="126"/>
  <c r="AP244" i="126"/>
  <c r="H531" i="126"/>
  <c r="AI531" i="126" s="1"/>
  <c r="AG814" i="126"/>
  <c r="AP814" i="126"/>
  <c r="AG484" i="126"/>
  <c r="AP484" i="126"/>
  <c r="AH38" i="126"/>
  <c r="G38" i="126"/>
  <c r="AH973" i="126"/>
  <c r="G973" i="126"/>
  <c r="E973" i="126"/>
  <c r="AH431" i="126"/>
  <c r="F430" i="126"/>
  <c r="AE1080" i="126"/>
  <c r="AG1080" i="126"/>
  <c r="E1079" i="126"/>
  <c r="AP1080" i="126"/>
  <c r="H182" i="126"/>
  <c r="AI182" i="126" s="1"/>
  <c r="AI183" i="126"/>
  <c r="H177" i="126"/>
  <c r="G1026" i="126"/>
  <c r="AH1026" i="126"/>
  <c r="E1026" i="126"/>
  <c r="AG1081" i="126"/>
  <c r="AE1081" i="126"/>
  <c r="AP1081" i="126"/>
  <c r="P510" i="126"/>
  <c r="AM510" i="126" s="1"/>
  <c r="AM511" i="126"/>
  <c r="AE90" i="126"/>
  <c r="AE89" i="126" s="1"/>
  <c r="E89" i="126"/>
  <c r="AG90" i="126"/>
  <c r="AP90" i="126"/>
  <c r="G792" i="126"/>
  <c r="AH792" i="126"/>
  <c r="E537" i="126"/>
  <c r="AH537" i="126"/>
  <c r="G537" i="126"/>
  <c r="AH237" i="126"/>
  <c r="G237" i="126"/>
  <c r="F236" i="126"/>
  <c r="E237" i="126"/>
  <c r="E30" i="126"/>
  <c r="AG862" i="126"/>
  <c r="AP862" i="126"/>
  <c r="G981" i="126"/>
  <c r="AH981" i="126"/>
  <c r="E981" i="126"/>
  <c r="F979" i="126"/>
  <c r="E463" i="126"/>
  <c r="AH463" i="126"/>
  <c r="G463" i="126"/>
  <c r="E836" i="126"/>
  <c r="AH836" i="126"/>
  <c r="G836" i="126"/>
  <c r="G823" i="126" s="1"/>
  <c r="AG373" i="126"/>
  <c r="AP373" i="126"/>
  <c r="AG291" i="126"/>
  <c r="AE291" i="126"/>
  <c r="AP291" i="126"/>
  <c r="AG589" i="126"/>
  <c r="AE589" i="126"/>
  <c r="AP589" i="126"/>
  <c r="F821" i="126"/>
  <c r="AE447" i="126"/>
  <c r="AG447" i="126"/>
  <c r="AP447" i="126"/>
  <c r="AH849" i="126"/>
  <c r="G849" i="126"/>
  <c r="E849" i="126"/>
  <c r="G762" i="126"/>
  <c r="G759" i="126" s="1"/>
  <c r="AH762" i="126"/>
  <c r="E762" i="126"/>
  <c r="AG437" i="126"/>
  <c r="AP437" i="126"/>
  <c r="G1061" i="126"/>
  <c r="E1061" i="126"/>
  <c r="AH1061" i="126"/>
  <c r="I64" i="125"/>
  <c r="I62" i="125" s="1"/>
  <c r="E940" i="126"/>
  <c r="AG941" i="126"/>
  <c r="AE941" i="126"/>
  <c r="AP941" i="126"/>
  <c r="G987" i="126"/>
  <c r="AH987" i="126"/>
  <c r="E767" i="126"/>
  <c r="G767" i="126"/>
  <c r="F766" i="126"/>
  <c r="AH767" i="126"/>
  <c r="H452" i="126"/>
  <c r="AI452" i="126" s="1"/>
  <c r="AI443" i="126"/>
  <c r="AG1109" i="126"/>
  <c r="AE1109" i="126"/>
  <c r="AP1109" i="126"/>
  <c r="AI196" i="126"/>
  <c r="F196" i="126"/>
  <c r="E502" i="126"/>
  <c r="G502" i="126"/>
  <c r="G501" i="126" s="1"/>
  <c r="F501" i="126"/>
  <c r="AH502" i="126"/>
  <c r="G922" i="126"/>
  <c r="AH922" i="126"/>
  <c r="E922" i="126"/>
  <c r="F920" i="126"/>
  <c r="AH1009" i="126"/>
  <c r="G1009" i="126"/>
  <c r="E1009" i="126"/>
  <c r="E808" i="126"/>
  <c r="AH808" i="126"/>
  <c r="G808" i="126"/>
  <c r="G740" i="126"/>
  <c r="E896" i="126"/>
  <c r="AG897" i="126"/>
  <c r="AE897" i="126"/>
  <c r="AE896" i="126" s="1"/>
  <c r="AP897" i="126"/>
  <c r="AG469" i="126"/>
  <c r="AP469" i="126"/>
  <c r="G931" i="126"/>
  <c r="AH931" i="126"/>
  <c r="E931" i="126"/>
  <c r="F929" i="126"/>
  <c r="AG838" i="126"/>
  <c r="AP838" i="126"/>
  <c r="AG682" i="126"/>
  <c r="AE682" i="126"/>
  <c r="E681" i="126"/>
  <c r="AP682" i="126"/>
  <c r="AI1022" i="126"/>
  <c r="H1020" i="126"/>
  <c r="AI1020" i="126" s="1"/>
  <c r="AP844" i="126"/>
  <c r="AG844" i="126"/>
  <c r="G959" i="126"/>
  <c r="AH959" i="126"/>
  <c r="F958" i="126"/>
  <c r="E959" i="126"/>
  <c r="E601" i="126"/>
  <c r="F600" i="126"/>
  <c r="AH601" i="126"/>
  <c r="G601" i="126"/>
  <c r="G600" i="126" s="1"/>
  <c r="AH869" i="126"/>
  <c r="F868" i="126"/>
  <c r="G869" i="126"/>
  <c r="AP833" i="126"/>
  <c r="AG833" i="126"/>
  <c r="AH109" i="126"/>
  <c r="F108" i="126"/>
  <c r="AA1123" i="126"/>
  <c r="AA2" i="126"/>
  <c r="AJ500" i="126"/>
  <c r="I499" i="126"/>
  <c r="AJ499" i="126" s="1"/>
  <c r="AG433" i="126"/>
  <c r="AE433" i="126"/>
  <c r="AP433" i="126"/>
  <c r="H15" i="125"/>
  <c r="G16" i="125"/>
  <c r="G15" i="125" s="1"/>
  <c r="AH482" i="126"/>
  <c r="G482" i="126"/>
  <c r="G481" i="126" s="1"/>
  <c r="E482" i="126"/>
  <c r="F481" i="126"/>
  <c r="AH481" i="126" s="1"/>
  <c r="AG621" i="126"/>
  <c r="AE621" i="126"/>
  <c r="AP621" i="126"/>
  <c r="AL763" i="126"/>
  <c r="M623" i="126"/>
  <c r="AL623" i="126" s="1"/>
  <c r="AG360" i="126"/>
  <c r="AP360" i="126"/>
  <c r="AG542" i="126"/>
  <c r="AE542" i="126"/>
  <c r="AP542" i="126"/>
  <c r="AE611" i="126"/>
  <c r="AP611" i="126"/>
  <c r="AG611" i="126"/>
  <c r="F1007" i="126"/>
  <c r="AI1007" i="126"/>
  <c r="AI577" i="126"/>
  <c r="H417" i="126"/>
  <c r="AG728" i="126"/>
  <c r="AE728" i="126"/>
  <c r="AP728" i="126"/>
  <c r="AP743" i="126"/>
  <c r="AG743" i="126"/>
  <c r="AP588" i="126"/>
  <c r="E587" i="126"/>
  <c r="AG588" i="126"/>
  <c r="AE588" i="126"/>
  <c r="AE494" i="126"/>
  <c r="AG494" i="126"/>
  <c r="AP494" i="126"/>
  <c r="AP270" i="126"/>
  <c r="AG270" i="126"/>
  <c r="E367" i="126"/>
  <c r="G283" i="126"/>
  <c r="AH283" i="126"/>
  <c r="E283" i="126"/>
  <c r="F282" i="126"/>
  <c r="G512" i="126"/>
  <c r="AH512" i="126"/>
  <c r="E512" i="126"/>
  <c r="E584" i="126"/>
  <c r="E869" i="126"/>
  <c r="AG870" i="126"/>
  <c r="AE870" i="126"/>
  <c r="AE869" i="126" s="1"/>
  <c r="AE868" i="126" s="1"/>
  <c r="AE867" i="126" s="1"/>
  <c r="AP870" i="126"/>
  <c r="AP856" i="126"/>
  <c r="AG856" i="126"/>
  <c r="AE856" i="126"/>
  <c r="AE855" i="126" s="1"/>
  <c r="AH1019" i="126"/>
  <c r="G1019" i="126"/>
  <c r="E1019" i="126"/>
  <c r="AG678" i="126"/>
  <c r="AP678" i="126"/>
  <c r="H61" i="125"/>
  <c r="G61" i="125" s="1"/>
  <c r="K61" i="125"/>
  <c r="J61" i="125"/>
  <c r="AH694" i="126"/>
  <c r="E694" i="126"/>
  <c r="F693" i="126"/>
  <c r="G694" i="126"/>
  <c r="AI29" i="126"/>
  <c r="AG629" i="126"/>
  <c r="AP629" i="126"/>
  <c r="G989" i="126"/>
  <c r="E989" i="126"/>
  <c r="AH989" i="126"/>
  <c r="AH967" i="126"/>
  <c r="G967" i="126"/>
  <c r="E967" i="126"/>
  <c r="G414" i="126"/>
  <c r="AH414" i="126"/>
  <c r="E414" i="126"/>
  <c r="AG444" i="126"/>
  <c r="AE444" i="126"/>
  <c r="AP444" i="126"/>
  <c r="H353" i="126"/>
  <c r="AG483" i="126"/>
  <c r="AE483" i="126"/>
  <c r="AP483" i="126"/>
  <c r="I248" i="126"/>
  <c r="AJ250" i="126"/>
  <c r="AG234" i="126"/>
  <c r="AE234" i="126"/>
  <c r="AP234" i="126"/>
  <c r="AP964" i="126"/>
  <c r="AG964" i="126"/>
  <c r="AG524" i="126"/>
  <c r="AP524" i="126"/>
  <c r="AG819" i="126"/>
  <c r="AP819" i="126"/>
  <c r="AG1103" i="126"/>
  <c r="AE1103" i="126"/>
  <c r="AP1103" i="126"/>
  <c r="AE141" i="126"/>
  <c r="AE140" i="126" s="1"/>
  <c r="AE139" i="126" s="1"/>
  <c r="E140" i="126"/>
  <c r="AG141" i="126"/>
  <c r="AP141" i="126"/>
  <c r="AG1005" i="126"/>
  <c r="AP1005" i="126"/>
  <c r="J229" i="126"/>
  <c r="AK229" i="126" s="1"/>
  <c r="AK230" i="126"/>
  <c r="E699" i="126"/>
  <c r="AG700" i="126"/>
  <c r="AP700" i="126"/>
  <c r="E826" i="126"/>
  <c r="AH826" i="126"/>
  <c r="G842" i="126"/>
  <c r="AH842" i="126"/>
  <c r="E842" i="126"/>
  <c r="E817" i="126"/>
  <c r="G286" i="126"/>
  <c r="AH286" i="126"/>
  <c r="I45" i="125"/>
  <c r="E464" i="126"/>
  <c r="AH464" i="126"/>
  <c r="G464" i="126"/>
  <c r="AE673" i="126"/>
  <c r="AE665" i="126" s="1"/>
  <c r="AG673" i="126"/>
  <c r="AP673" i="126"/>
  <c r="AE864" i="126"/>
  <c r="AG864" i="126"/>
  <c r="AP864" i="126"/>
  <c r="AG470" i="126"/>
  <c r="AP470" i="126"/>
  <c r="F356" i="126"/>
  <c r="AH356" i="126" s="1"/>
  <c r="AH357" i="126"/>
  <c r="G357" i="126"/>
  <c r="G356" i="126" s="1"/>
  <c r="AH493" i="126"/>
  <c r="E493" i="126"/>
  <c r="G493" i="126"/>
  <c r="G492" i="126" s="1"/>
  <c r="G491" i="126" s="1"/>
  <c r="F492" i="126"/>
  <c r="AG793" i="126"/>
  <c r="AE793" i="126"/>
  <c r="AP793" i="126"/>
  <c r="AG1092" i="126"/>
  <c r="AP1092" i="126"/>
  <c r="AH459" i="126"/>
  <c r="F458" i="126"/>
  <c r="F452" i="126" s="1"/>
  <c r="AH452" i="126" s="1"/>
  <c r="G459" i="126"/>
  <c r="E459" i="126"/>
  <c r="AG797" i="126"/>
  <c r="AP797" i="126"/>
  <c r="AH126" i="126"/>
  <c r="G126" i="126"/>
  <c r="E126" i="126"/>
  <c r="AI1053" i="126"/>
  <c r="H1052" i="126"/>
  <c r="AI1052" i="126" s="1"/>
  <c r="E130" i="126"/>
  <c r="AH130" i="126"/>
  <c r="G130" i="126"/>
  <c r="AH926" i="126"/>
  <c r="G926" i="126"/>
  <c r="E926" i="126"/>
  <c r="AE1016" i="126"/>
  <c r="AE1014" i="126" s="1"/>
  <c r="AG1016" i="126"/>
  <c r="AP1016" i="126"/>
  <c r="AI801" i="126"/>
  <c r="H800" i="126"/>
  <c r="AI800" i="126" s="1"/>
  <c r="H119" i="126"/>
  <c r="AI120" i="126"/>
  <c r="AG627" i="126"/>
  <c r="AP627" i="126"/>
  <c r="AE404" i="126"/>
  <c r="E403" i="126"/>
  <c r="AG404" i="126"/>
  <c r="AP404" i="126"/>
  <c r="AH597" i="126"/>
  <c r="G597" i="126"/>
  <c r="E597" i="126"/>
  <c r="G233" i="126"/>
  <c r="AH233" i="126"/>
  <c r="F232" i="126"/>
  <c r="E233" i="126"/>
  <c r="E434" i="126"/>
  <c r="G625" i="126"/>
  <c r="AH625" i="126"/>
  <c r="E625" i="126"/>
  <c r="F624" i="126"/>
  <c r="AG832" i="126"/>
  <c r="AP832" i="126"/>
  <c r="AG799" i="126"/>
  <c r="AP799" i="126"/>
  <c r="E780" i="126"/>
  <c r="AG781" i="126"/>
  <c r="AE781" i="126"/>
  <c r="AE780" i="126" s="1"/>
  <c r="AP781" i="126"/>
  <c r="AG1085" i="126"/>
  <c r="AP1085" i="126"/>
  <c r="AG415" i="126"/>
  <c r="AE415" i="126"/>
  <c r="AE414" i="126" s="1"/>
  <c r="AP415" i="126"/>
  <c r="AG466" i="126"/>
  <c r="AP466" i="126"/>
  <c r="AG631" i="126"/>
  <c r="AP631" i="126"/>
  <c r="AE69" i="126"/>
  <c r="AG69" i="126"/>
  <c r="AP69" i="126"/>
  <c r="AP760" i="126"/>
  <c r="AG760" i="126"/>
  <c r="AM764" i="126"/>
  <c r="P763" i="126"/>
  <c r="AG988" i="126"/>
  <c r="AE988" i="126"/>
  <c r="E987" i="126"/>
  <c r="AP988" i="126"/>
  <c r="AH460" i="126"/>
  <c r="G460" i="126"/>
  <c r="E460" i="126"/>
  <c r="AH455" i="126"/>
  <c r="G455" i="126"/>
  <c r="E455" i="126"/>
  <c r="H78" i="125"/>
  <c r="G78" i="125" s="1"/>
  <c r="K78" i="125"/>
  <c r="K75" i="125" s="1"/>
  <c r="E541" i="126"/>
  <c r="F540" i="126"/>
  <c r="G541" i="126"/>
  <c r="AH541" i="126"/>
  <c r="AG503" i="126"/>
  <c r="AP503" i="126"/>
  <c r="K69" i="125"/>
  <c r="J69" i="125"/>
  <c r="H69" i="125"/>
  <c r="G69" i="125" s="1"/>
  <c r="AG32" i="126"/>
  <c r="AE32" i="126"/>
  <c r="AE30" i="126" s="1"/>
  <c r="AP32" i="126"/>
  <c r="G160" i="126"/>
  <c r="AH160" i="126"/>
  <c r="F159" i="126"/>
  <c r="AG187" i="126"/>
  <c r="AE187" i="126"/>
  <c r="AP187" i="126"/>
  <c r="E468" i="126"/>
  <c r="AH468" i="126"/>
  <c r="E63" i="126"/>
  <c r="H593" i="126"/>
  <c r="AI594" i="126"/>
  <c r="AI730" i="126"/>
  <c r="H727" i="126"/>
  <c r="G773" i="126"/>
  <c r="G770" i="126" s="1"/>
  <c r="AH773" i="126"/>
  <c r="E773" i="126"/>
  <c r="F770" i="126"/>
  <c r="AH770" i="126" s="1"/>
  <c r="AE197" i="126"/>
  <c r="AG613" i="126"/>
  <c r="AE613" i="126"/>
  <c r="AP613" i="126"/>
  <c r="AE212" i="126"/>
  <c r="AP212" i="126"/>
  <c r="AG212" i="126"/>
  <c r="AH949" i="126"/>
  <c r="G949" i="126"/>
  <c r="AP712" i="126"/>
  <c r="AG712" i="126"/>
  <c r="AP346" i="126"/>
  <c r="AG346" i="126"/>
  <c r="E342" i="126"/>
  <c r="AE758" i="126"/>
  <c r="AG758" i="126"/>
  <c r="AP758" i="126"/>
  <c r="E50" i="126"/>
  <c r="F49" i="126"/>
  <c r="AH50" i="126"/>
  <c r="G50" i="126"/>
  <c r="AH733" i="126"/>
  <c r="G733" i="126"/>
  <c r="E733" i="126"/>
  <c r="AP746" i="126"/>
  <c r="AG746" i="126"/>
  <c r="AH517" i="126"/>
  <c r="G517" i="126"/>
  <c r="E517" i="126"/>
  <c r="AG722" i="126"/>
  <c r="E721" i="126"/>
  <c r="AP722" i="126"/>
  <c r="E521" i="126"/>
  <c r="AG522" i="126"/>
  <c r="AE522" i="126"/>
  <c r="AE521" i="126" s="1"/>
  <c r="AE520" i="126" s="1"/>
  <c r="AP522" i="126"/>
  <c r="AM47" i="126"/>
  <c r="P28" i="126"/>
  <c r="AE45" i="126"/>
  <c r="AG45" i="126"/>
  <c r="AP45" i="126"/>
  <c r="AE213" i="126"/>
  <c r="AP213" i="126"/>
  <c r="AG213" i="126"/>
  <c r="AG1031" i="126"/>
  <c r="AP1031" i="126"/>
  <c r="AH125" i="126"/>
  <c r="F124" i="126"/>
  <c r="AH124" i="126" s="1"/>
  <c r="G125" i="126"/>
  <c r="E125" i="126"/>
  <c r="AE162" i="126"/>
  <c r="AG162" i="126"/>
  <c r="AP162" i="126"/>
  <c r="AP990" i="126"/>
  <c r="AG990" i="126"/>
  <c r="G587" i="126"/>
  <c r="AG713" i="126"/>
  <c r="AP713" i="126"/>
  <c r="AI282" i="126"/>
  <c r="H281" i="126"/>
  <c r="AI281" i="126" s="1"/>
  <c r="AE1077" i="126"/>
  <c r="AP1077" i="126"/>
  <c r="AG1077" i="126"/>
  <c r="G732" i="126"/>
  <c r="G730" i="126" s="1"/>
  <c r="E732" i="126"/>
  <c r="AH732" i="126"/>
  <c r="AG242" i="126"/>
  <c r="AE242" i="126"/>
  <c r="AP242" i="126"/>
  <c r="AE341" i="126"/>
  <c r="AE340" i="126" s="1"/>
  <c r="E340" i="126"/>
  <c r="AG341" i="126"/>
  <c r="AP341" i="126"/>
  <c r="AC26" i="126"/>
  <c r="E857" i="126"/>
  <c r="AP427" i="126"/>
  <c r="AG427" i="126"/>
  <c r="AP1006" i="126"/>
  <c r="AG1006" i="126"/>
  <c r="AG1105" i="126"/>
  <c r="AP1105" i="126"/>
  <c r="AH855" i="126"/>
  <c r="G855" i="126"/>
  <c r="E855" i="126"/>
  <c r="AG707" i="126"/>
  <c r="AE707" i="126"/>
  <c r="AP707" i="126"/>
  <c r="AH508" i="126"/>
  <c r="G508" i="126"/>
  <c r="E508" i="126"/>
  <c r="F507" i="126"/>
  <c r="AO177" i="126"/>
  <c r="AI364" i="126"/>
  <c r="H363" i="126"/>
  <c r="AI363" i="126" s="1"/>
  <c r="AH719" i="126"/>
  <c r="E719" i="126"/>
  <c r="F718" i="126"/>
  <c r="G719" i="126"/>
  <c r="AG479" i="126"/>
  <c r="AE479" i="126"/>
  <c r="AP479" i="126"/>
  <c r="AG644" i="126"/>
  <c r="E643" i="126"/>
  <c r="AE644" i="126"/>
  <c r="AE643" i="126" s="1"/>
  <c r="AP644" i="126"/>
  <c r="AE235" i="126"/>
  <c r="AG235" i="126"/>
  <c r="AP235" i="126"/>
  <c r="AG947" i="126"/>
  <c r="AP947" i="126"/>
  <c r="AG451" i="126"/>
  <c r="AE451" i="126"/>
  <c r="AP451" i="126"/>
  <c r="AG784" i="126"/>
  <c r="E783" i="126"/>
  <c r="AP784" i="126"/>
  <c r="F420" i="126"/>
  <c r="AH420" i="126" s="1"/>
  <c r="AP620" i="126"/>
  <c r="AG620" i="126"/>
  <c r="AE620" i="126"/>
  <c r="G583" i="126"/>
  <c r="AH583" i="126"/>
  <c r="E583" i="126"/>
  <c r="F582" i="126"/>
  <c r="G605" i="126"/>
  <c r="F730" i="126"/>
  <c r="G123" i="126"/>
  <c r="F122" i="126"/>
  <c r="AH123" i="126"/>
  <c r="E123" i="126"/>
  <c r="AG960" i="126"/>
  <c r="AE960" i="126"/>
  <c r="AP960" i="126"/>
  <c r="AH154" i="126"/>
  <c r="E154" i="126"/>
  <c r="F153" i="126"/>
  <c r="G154" i="126"/>
  <c r="AP778" i="126"/>
  <c r="AG778" i="126"/>
  <c r="AE778" i="126"/>
  <c r="AH699" i="126"/>
  <c r="G699" i="126"/>
  <c r="AG77" i="126"/>
  <c r="AP77" i="126"/>
  <c r="G532" i="126"/>
  <c r="AH532" i="126"/>
  <c r="E532" i="126"/>
  <c r="F531" i="126"/>
  <c r="AH531" i="126" s="1"/>
  <c r="H841" i="126"/>
  <c r="AE88" i="126" l="1"/>
  <c r="AE63" i="126"/>
  <c r="AE62" i="126" s="1"/>
  <c r="AE857" i="126"/>
  <c r="AJ593" i="126"/>
  <c r="AE949" i="126"/>
  <c r="AE157" i="126"/>
  <c r="AP157" i="126"/>
  <c r="AG157" i="126"/>
  <c r="F841" i="126"/>
  <c r="AE681" i="126"/>
  <c r="AE680" i="126" s="1"/>
  <c r="G843" i="126"/>
  <c r="AE1063" i="126"/>
  <c r="S2" i="126"/>
  <c r="E420" i="126"/>
  <c r="AP420" i="126" s="1"/>
  <c r="H576" i="126"/>
  <c r="AI576" i="126" s="1"/>
  <c r="G766" i="126"/>
  <c r="G765" i="126" s="1"/>
  <c r="E730" i="126"/>
  <c r="AP730" i="126" s="1"/>
  <c r="G124" i="126"/>
  <c r="AP238" i="126"/>
  <c r="AG238" i="126"/>
  <c r="AE238" i="126"/>
  <c r="AG1050" i="126"/>
  <c r="AE1050" i="126"/>
  <c r="AP1050" i="126"/>
  <c r="G458" i="126"/>
  <c r="AE29" i="126"/>
  <c r="AE286" i="126"/>
  <c r="K62" i="125"/>
  <c r="J62" i="125"/>
  <c r="H62" i="125"/>
  <c r="G62" i="125" s="1"/>
  <c r="J45" i="125"/>
  <c r="H45" i="125"/>
  <c r="G45" i="125" s="1"/>
  <c r="I46" i="125"/>
  <c r="K45" i="125"/>
  <c r="G841" i="126"/>
  <c r="F840" i="126"/>
  <c r="AH841" i="126"/>
  <c r="AG699" i="126"/>
  <c r="AE699" i="126"/>
  <c r="AP699" i="126"/>
  <c r="AG414" i="126"/>
  <c r="AP414" i="126"/>
  <c r="AE584" i="126"/>
  <c r="AG584" i="126"/>
  <c r="AP584" i="126"/>
  <c r="AH108" i="126"/>
  <c r="G108" i="126"/>
  <c r="AH958" i="126"/>
  <c r="G958" i="126"/>
  <c r="AG1009" i="126"/>
  <c r="AP1009" i="126"/>
  <c r="AH920" i="126"/>
  <c r="G920" i="126"/>
  <c r="AH196" i="126"/>
  <c r="E196" i="126"/>
  <c r="AE1061" i="126"/>
  <c r="AG1061" i="126"/>
  <c r="AP1061" i="126"/>
  <c r="AG849" i="126"/>
  <c r="AP849" i="126"/>
  <c r="AG463" i="126"/>
  <c r="AP463" i="126"/>
  <c r="AG237" i="126"/>
  <c r="E236" i="126"/>
  <c r="AE237" i="126"/>
  <c r="AE236" i="126" s="1"/>
  <c r="AP237" i="126"/>
  <c r="AH430" i="126"/>
  <c r="G430" i="126"/>
  <c r="AG605" i="126"/>
  <c r="AE605" i="126"/>
  <c r="AP605" i="126"/>
  <c r="AG1010" i="126"/>
  <c r="AP1010" i="126"/>
  <c r="AG450" i="126"/>
  <c r="AE450" i="126"/>
  <c r="AE443" i="126" s="1"/>
  <c r="AP450" i="126"/>
  <c r="G62" i="126"/>
  <c r="AH62" i="126"/>
  <c r="AG1046" i="126"/>
  <c r="AP1046" i="126"/>
  <c r="E1042" i="126"/>
  <c r="G520" i="126"/>
  <c r="AH520" i="126"/>
  <c r="AG98" i="126"/>
  <c r="E97" i="126"/>
  <c r="AE98" i="126"/>
  <c r="AE97" i="126" s="1"/>
  <c r="AE87" i="126" s="1"/>
  <c r="AE86" i="126" s="1"/>
  <c r="AP98" i="126"/>
  <c r="AG545" i="126"/>
  <c r="E544" i="126"/>
  <c r="AP545" i="126"/>
  <c r="E536" i="126"/>
  <c r="AH536" i="126"/>
  <c r="G536" i="126"/>
  <c r="AG365" i="126"/>
  <c r="AE365" i="126"/>
  <c r="AE364" i="126" s="1"/>
  <c r="E364" i="126"/>
  <c r="AP365" i="126"/>
  <c r="AG706" i="126"/>
  <c r="AE706" i="126"/>
  <c r="AE705" i="126" s="1"/>
  <c r="E705" i="126"/>
  <c r="AP706" i="126"/>
  <c r="AG428" i="126"/>
  <c r="AP428" i="126"/>
  <c r="AI1040" i="126"/>
  <c r="H1039" i="126"/>
  <c r="AI1039" i="126" s="1"/>
  <c r="AE942" i="126"/>
  <c r="AG942" i="126"/>
  <c r="AP942" i="126"/>
  <c r="AI500" i="126"/>
  <c r="E102" i="126"/>
  <c r="AG103" i="126"/>
  <c r="AP103" i="126"/>
  <c r="AE159" i="126"/>
  <c r="AG809" i="126"/>
  <c r="AP809" i="126"/>
  <c r="AG287" i="126"/>
  <c r="E286" i="126"/>
  <c r="AP287" i="126"/>
  <c r="AE121" i="126"/>
  <c r="AE120" i="126" s="1"/>
  <c r="E120" i="126"/>
  <c r="AG121" i="126"/>
  <c r="AP121" i="126"/>
  <c r="AG802" i="126"/>
  <c r="AE802" i="126"/>
  <c r="AP802" i="126"/>
  <c r="AE431" i="126"/>
  <c r="G756" i="126"/>
  <c r="AH756" i="126"/>
  <c r="G153" i="126"/>
  <c r="AH153" i="126"/>
  <c r="F152" i="126"/>
  <c r="F581" i="126"/>
  <c r="F576" i="126" s="1"/>
  <c r="G582" i="126"/>
  <c r="AH582" i="126"/>
  <c r="AG719" i="126"/>
  <c r="AE719" i="126"/>
  <c r="E718" i="126"/>
  <c r="AP719" i="126"/>
  <c r="AM28" i="126"/>
  <c r="P27" i="126"/>
  <c r="AG50" i="126"/>
  <c r="AE50" i="126"/>
  <c r="AE49" i="126" s="1"/>
  <c r="AE48" i="126" s="1"/>
  <c r="AE47" i="126" s="1"/>
  <c r="AE28" i="126" s="1"/>
  <c r="AE27" i="126" s="1"/>
  <c r="E49" i="126"/>
  <c r="AP50" i="126"/>
  <c r="AE342" i="126"/>
  <c r="AE339" i="126" s="1"/>
  <c r="AG342" i="126"/>
  <c r="AP342" i="126"/>
  <c r="AH159" i="126"/>
  <c r="G159" i="126"/>
  <c r="AM763" i="126"/>
  <c r="P623" i="126"/>
  <c r="AM623" i="126" s="1"/>
  <c r="AH624" i="126"/>
  <c r="G624" i="126"/>
  <c r="AG434" i="126"/>
  <c r="AE434" i="126"/>
  <c r="AP434" i="126"/>
  <c r="AE532" i="126"/>
  <c r="AG532" i="126"/>
  <c r="E531" i="126"/>
  <c r="AP532" i="126"/>
  <c r="AG154" i="126"/>
  <c r="AE154" i="126"/>
  <c r="AE153" i="126" s="1"/>
  <c r="E153" i="126"/>
  <c r="AP154" i="126"/>
  <c r="AE583" i="126"/>
  <c r="AE582" i="126" s="1"/>
  <c r="AG583" i="126"/>
  <c r="E582" i="126"/>
  <c r="AP583" i="126"/>
  <c r="AE783" i="126"/>
  <c r="AE779" i="126" s="1"/>
  <c r="AG783" i="126"/>
  <c r="AP783" i="126"/>
  <c r="AG643" i="126"/>
  <c r="AP643" i="126"/>
  <c r="AC25" i="126"/>
  <c r="E520" i="126"/>
  <c r="AG521" i="126"/>
  <c r="AP521" i="126"/>
  <c r="AG517" i="126"/>
  <c r="AP517" i="126"/>
  <c r="AI593" i="126"/>
  <c r="H592" i="126"/>
  <c r="AI592" i="126" s="1"/>
  <c r="AH540" i="126"/>
  <c r="F539" i="126"/>
  <c r="G540" i="126"/>
  <c r="AG455" i="126"/>
  <c r="AP455" i="126"/>
  <c r="AG460" i="126"/>
  <c r="AP460" i="126"/>
  <c r="AG987" i="126"/>
  <c r="AP987" i="126"/>
  <c r="AG625" i="126"/>
  <c r="E624" i="126"/>
  <c r="AE625" i="126"/>
  <c r="AE624" i="126" s="1"/>
  <c r="AP625" i="126"/>
  <c r="AE233" i="126"/>
  <c r="AE232" i="126" s="1"/>
  <c r="AE231" i="126" s="1"/>
  <c r="AG233" i="126"/>
  <c r="E232" i="126"/>
  <c r="AP233" i="126"/>
  <c r="AG597" i="126"/>
  <c r="AP597" i="126"/>
  <c r="AG926" i="126"/>
  <c r="AP926" i="126"/>
  <c r="AG126" i="126"/>
  <c r="AP126" i="126"/>
  <c r="AH458" i="126"/>
  <c r="E458" i="126"/>
  <c r="E452" i="126" s="1"/>
  <c r="AH492" i="126"/>
  <c r="F491" i="126"/>
  <c r="AH491" i="126" s="1"/>
  <c r="AG842" i="126"/>
  <c r="AE842" i="126"/>
  <c r="AP842" i="126"/>
  <c r="AG826" i="126"/>
  <c r="AP826" i="126"/>
  <c r="E443" i="126"/>
  <c r="AG512" i="126"/>
  <c r="AE512" i="126"/>
  <c r="AP512" i="126"/>
  <c r="G282" i="126"/>
  <c r="F281" i="126"/>
  <c r="AH282" i="126"/>
  <c r="AG367" i="126"/>
  <c r="AE367" i="126"/>
  <c r="AP367" i="126"/>
  <c r="AG587" i="126"/>
  <c r="AP587" i="126"/>
  <c r="AI417" i="126"/>
  <c r="H416" i="126"/>
  <c r="AI416" i="126" s="1"/>
  <c r="AH1007" i="126"/>
  <c r="E1007" i="126"/>
  <c r="G1007" i="126"/>
  <c r="G868" i="126"/>
  <c r="G867" i="126" s="1"/>
  <c r="AH868" i="126"/>
  <c r="F867" i="126"/>
  <c r="AH867" i="126" s="1"/>
  <c r="I60" i="125"/>
  <c r="AH600" i="126"/>
  <c r="E600" i="126"/>
  <c r="F599" i="126"/>
  <c r="AH599" i="126" s="1"/>
  <c r="E843" i="126"/>
  <c r="E841" i="126" s="1"/>
  <c r="AG681" i="126"/>
  <c r="E680" i="126"/>
  <c r="AP681" i="126"/>
  <c r="AE922" i="126"/>
  <c r="AE920" i="126" s="1"/>
  <c r="AG922" i="126"/>
  <c r="AP922" i="126"/>
  <c r="E920" i="126"/>
  <c r="F500" i="126"/>
  <c r="AH501" i="126"/>
  <c r="AH766" i="126"/>
  <c r="F765" i="126"/>
  <c r="AG940" i="126"/>
  <c r="AP940" i="126"/>
  <c r="AG762" i="126"/>
  <c r="AP762" i="126"/>
  <c r="AG836" i="126"/>
  <c r="AP836" i="126"/>
  <c r="E823" i="126"/>
  <c r="AH979" i="126"/>
  <c r="G979" i="126"/>
  <c r="AH236" i="126"/>
  <c r="G236" i="126"/>
  <c r="AI177" i="126"/>
  <c r="AG1079" i="126"/>
  <c r="AP1079" i="126"/>
  <c r="AG1002" i="126"/>
  <c r="AE1002" i="126"/>
  <c r="AP1002" i="126"/>
  <c r="F417" i="126"/>
  <c r="G577" i="126"/>
  <c r="AH577" i="126"/>
  <c r="AI87" i="126"/>
  <c r="H86" i="126"/>
  <c r="AI86" i="126" s="1"/>
  <c r="AH1042" i="126"/>
  <c r="F1040" i="126"/>
  <c r="AG949" i="126"/>
  <c r="AP949" i="126"/>
  <c r="AH1022" i="126"/>
  <c r="F1020" i="126"/>
  <c r="G102" i="126"/>
  <c r="F101" i="126"/>
  <c r="AH102" i="126"/>
  <c r="G702" i="126"/>
  <c r="AH702" i="126"/>
  <c r="I58" i="125"/>
  <c r="AJ47" i="126"/>
  <c r="I28" i="126"/>
  <c r="J26" i="126"/>
  <c r="AI231" i="126"/>
  <c r="AH128" i="126"/>
  <c r="F127" i="126"/>
  <c r="G128" i="126"/>
  <c r="AH1053" i="126"/>
  <c r="F1052" i="126"/>
  <c r="AH183" i="126"/>
  <c r="F182" i="126"/>
  <c r="F177" i="126"/>
  <c r="AH250" i="126"/>
  <c r="E250" i="126"/>
  <c r="G250" i="126"/>
  <c r="AG210" i="126"/>
  <c r="AP210" i="126"/>
  <c r="G971" i="126"/>
  <c r="AH971" i="126"/>
  <c r="E971" i="126"/>
  <c r="F968" i="126"/>
  <c r="AI765" i="126"/>
  <c r="H764" i="126"/>
  <c r="AN229" i="126"/>
  <c r="AG739" i="126"/>
  <c r="AE739" i="126"/>
  <c r="AE738" i="126" s="1"/>
  <c r="E738" i="126"/>
  <c r="AP739" i="126"/>
  <c r="AG38" i="126"/>
  <c r="AP38" i="126"/>
  <c r="AG468" i="126"/>
  <c r="AP468" i="126"/>
  <c r="AH730" i="126"/>
  <c r="F727" i="126"/>
  <c r="AG855" i="126"/>
  <c r="AP855" i="126"/>
  <c r="AG733" i="126"/>
  <c r="AP733" i="126"/>
  <c r="AI727" i="126"/>
  <c r="H726" i="126"/>
  <c r="AI726" i="126" s="1"/>
  <c r="AG63" i="126"/>
  <c r="E62" i="126"/>
  <c r="AP63" i="126"/>
  <c r="AG541" i="126"/>
  <c r="AE541" i="126"/>
  <c r="AE540" i="126" s="1"/>
  <c r="AE539" i="126" s="1"/>
  <c r="E540" i="126"/>
  <c r="AP541" i="126"/>
  <c r="AH232" i="126"/>
  <c r="G232" i="126"/>
  <c r="F231" i="126"/>
  <c r="AG403" i="126"/>
  <c r="AE403" i="126"/>
  <c r="AP403" i="126"/>
  <c r="AG130" i="126"/>
  <c r="AE130" i="126"/>
  <c r="AP130" i="126"/>
  <c r="AG792" i="126"/>
  <c r="AP792" i="126"/>
  <c r="G693" i="126"/>
  <c r="AH693" i="126"/>
  <c r="F692" i="126"/>
  <c r="AG1019" i="126"/>
  <c r="AP1019" i="126"/>
  <c r="AG283" i="126"/>
  <c r="E282" i="126"/>
  <c r="AE283" i="126"/>
  <c r="AE282" i="126" s="1"/>
  <c r="AP283" i="126"/>
  <c r="E481" i="126"/>
  <c r="AG482" i="126"/>
  <c r="AE482" i="126"/>
  <c r="AE481" i="126" s="1"/>
  <c r="AP482" i="126"/>
  <c r="AG601" i="126"/>
  <c r="AP601" i="126"/>
  <c r="AH929" i="126"/>
  <c r="G929" i="126"/>
  <c r="H64" i="125"/>
  <c r="G64" i="125" s="1"/>
  <c r="K64" i="125"/>
  <c r="J64" i="125"/>
  <c r="AH821" i="126"/>
  <c r="G821" i="126"/>
  <c r="AG981" i="126"/>
  <c r="AE981" i="126"/>
  <c r="AE979" i="126" s="1"/>
  <c r="AP981" i="126"/>
  <c r="E979" i="126"/>
  <c r="AG537" i="126"/>
  <c r="AP537" i="126"/>
  <c r="AG1026" i="126"/>
  <c r="AP1026" i="126"/>
  <c r="AG973" i="126"/>
  <c r="AP973" i="126"/>
  <c r="F353" i="126"/>
  <c r="AH339" i="126"/>
  <c r="G339" i="126"/>
  <c r="I48" i="125"/>
  <c r="AG418" i="126"/>
  <c r="E417" i="126"/>
  <c r="AE418" i="126"/>
  <c r="AP418" i="126"/>
  <c r="AG578" i="126"/>
  <c r="AE578" i="126"/>
  <c r="AE577" i="126" s="1"/>
  <c r="E577" i="126"/>
  <c r="AP578" i="126"/>
  <c r="AE996" i="126"/>
  <c r="E995" i="126"/>
  <c r="AG996" i="126"/>
  <c r="AP996" i="126"/>
  <c r="AJ764" i="126"/>
  <c r="I763" i="126"/>
  <c r="E1022" i="126"/>
  <c r="AG1023" i="126"/>
  <c r="AP1023" i="126"/>
  <c r="AG425" i="126"/>
  <c r="AP425" i="126"/>
  <c r="AH594" i="126"/>
  <c r="AG1056" i="126"/>
  <c r="AP1056" i="126"/>
  <c r="E1053" i="126"/>
  <c r="AG851" i="126"/>
  <c r="AP851" i="126"/>
  <c r="E183" i="126"/>
  <c r="AG184" i="126"/>
  <c r="AE184" i="126"/>
  <c r="AE183" i="126" s="1"/>
  <c r="AP184" i="126"/>
  <c r="H75" i="125"/>
  <c r="G705" i="126"/>
  <c r="AH705" i="126"/>
  <c r="AH803" i="126"/>
  <c r="G803" i="126"/>
  <c r="E514" i="126"/>
  <c r="AH514" i="126"/>
  <c r="G514" i="126"/>
  <c r="G513" i="126" s="1"/>
  <c r="F513" i="126"/>
  <c r="AE740" i="126"/>
  <c r="AG740" i="126"/>
  <c r="AP740" i="126"/>
  <c r="AG462" i="126"/>
  <c r="AP462" i="126"/>
  <c r="AH120" i="126"/>
  <c r="F119" i="126"/>
  <c r="G801" i="126"/>
  <c r="G800" i="126" s="1"/>
  <c r="G544" i="126"/>
  <c r="AH544" i="126"/>
  <c r="AG1035" i="126"/>
  <c r="AP1035" i="126"/>
  <c r="AG518" i="126"/>
  <c r="AP518" i="126"/>
  <c r="AH88" i="126"/>
  <c r="F87" i="126"/>
  <c r="G88" i="126"/>
  <c r="F737" i="126"/>
  <c r="AH738" i="126"/>
  <c r="G738" i="126"/>
  <c r="AE759" i="126"/>
  <c r="AE756" i="126" s="1"/>
  <c r="AG759" i="126"/>
  <c r="AP759" i="126"/>
  <c r="E756" i="126"/>
  <c r="G122" i="126"/>
  <c r="AH122" i="126"/>
  <c r="E339" i="126"/>
  <c r="AG340" i="126"/>
  <c r="AP340" i="126"/>
  <c r="E122" i="126"/>
  <c r="AE123" i="126"/>
  <c r="AE122" i="126" s="1"/>
  <c r="AG123" i="126"/>
  <c r="AP123" i="126"/>
  <c r="G507" i="126"/>
  <c r="Z509" i="126"/>
  <c r="AH507" i="126"/>
  <c r="H840" i="126"/>
  <c r="AI840" i="126" s="1"/>
  <c r="AI841" i="126"/>
  <c r="G531" i="126"/>
  <c r="G718" i="126"/>
  <c r="F717" i="126"/>
  <c r="AH718" i="126"/>
  <c r="AG508" i="126"/>
  <c r="AE508" i="126"/>
  <c r="AE507" i="126" s="1"/>
  <c r="E507" i="126"/>
  <c r="AP508" i="126"/>
  <c r="AG857" i="126"/>
  <c r="AP857" i="126"/>
  <c r="AG732" i="126"/>
  <c r="AP732" i="126"/>
  <c r="E124" i="126"/>
  <c r="AG125" i="126"/>
  <c r="AP125" i="126"/>
  <c r="AG721" i="126"/>
  <c r="AE721" i="126"/>
  <c r="AP721" i="126"/>
  <c r="AH49" i="126"/>
  <c r="F48" i="126"/>
  <c r="G49" i="126"/>
  <c r="AG773" i="126"/>
  <c r="AP773" i="126"/>
  <c r="E770" i="126"/>
  <c r="G452" i="126"/>
  <c r="E779" i="126"/>
  <c r="AG780" i="126"/>
  <c r="AP780" i="126"/>
  <c r="AI119" i="126"/>
  <c r="H118" i="126"/>
  <c r="AI118" i="126" s="1"/>
  <c r="AG459" i="126"/>
  <c r="AP459" i="126"/>
  <c r="AG493" i="126"/>
  <c r="AE493" i="126"/>
  <c r="AE492" i="126" s="1"/>
  <c r="AE491" i="126" s="1"/>
  <c r="E492" i="126"/>
  <c r="AP493" i="126"/>
  <c r="AG464" i="126"/>
  <c r="AP464" i="126"/>
  <c r="AG817" i="126"/>
  <c r="AP817" i="126"/>
  <c r="E139" i="126"/>
  <c r="AG140" i="126"/>
  <c r="AP140" i="126"/>
  <c r="AJ248" i="126"/>
  <c r="I241" i="126"/>
  <c r="AI353" i="126"/>
  <c r="H352" i="126"/>
  <c r="AI352" i="126" s="1"/>
  <c r="AG967" i="126"/>
  <c r="AP967" i="126"/>
  <c r="AE989" i="126"/>
  <c r="AE987" i="126" s="1"/>
  <c r="AG989" i="126"/>
  <c r="AP989" i="126"/>
  <c r="AG694" i="126"/>
  <c r="AE694" i="126"/>
  <c r="AE693" i="126" s="1"/>
  <c r="E693" i="126"/>
  <c r="AP694" i="126"/>
  <c r="AG869" i="126"/>
  <c r="E868" i="126"/>
  <c r="AP869" i="126"/>
  <c r="AE587" i="126"/>
  <c r="G599" i="126"/>
  <c r="AE959" i="126"/>
  <c r="AE958" i="126" s="1"/>
  <c r="E958" i="126"/>
  <c r="AG959" i="126"/>
  <c r="AP959" i="126"/>
  <c r="AE931" i="126"/>
  <c r="AE929" i="126" s="1"/>
  <c r="AG931" i="126"/>
  <c r="AP931" i="126"/>
  <c r="E929" i="126"/>
  <c r="AG896" i="126"/>
  <c r="AP896" i="126"/>
  <c r="AG808" i="126"/>
  <c r="AP808" i="126"/>
  <c r="AG502" i="126"/>
  <c r="AE502" i="126"/>
  <c r="AE501" i="126" s="1"/>
  <c r="AE500" i="126" s="1"/>
  <c r="E501" i="126"/>
  <c r="AP502" i="126"/>
  <c r="AG767" i="126"/>
  <c r="AE767" i="126"/>
  <c r="E766" i="126"/>
  <c r="AP767" i="126"/>
  <c r="AE940" i="126"/>
  <c r="AG30" i="126"/>
  <c r="E29" i="126"/>
  <c r="AP30" i="126"/>
  <c r="E88" i="126"/>
  <c r="AG89" i="126"/>
  <c r="AP89" i="126"/>
  <c r="AE1079" i="126"/>
  <c r="AH139" i="126"/>
  <c r="G139" i="126"/>
  <c r="I30" i="125"/>
  <c r="AG354" i="126"/>
  <c r="AE354" i="126"/>
  <c r="AP354" i="126"/>
  <c r="AG92" i="126"/>
  <c r="AP92" i="126"/>
  <c r="I510" i="126"/>
  <c r="AJ510" i="126" s="1"/>
  <c r="AJ511" i="126"/>
  <c r="AG794" i="126"/>
  <c r="AE794" i="126"/>
  <c r="AE792" i="126" s="1"/>
  <c r="AP794" i="126"/>
  <c r="G995" i="126"/>
  <c r="AH995" i="126"/>
  <c r="G1022" i="126"/>
  <c r="AH680" i="126"/>
  <c r="G680" i="126"/>
  <c r="AE595" i="126"/>
  <c r="AE594" i="126" s="1"/>
  <c r="AG595" i="126"/>
  <c r="E594" i="126"/>
  <c r="AP595" i="126"/>
  <c r="AE704" i="126"/>
  <c r="AE702" i="126" s="1"/>
  <c r="AG704" i="126"/>
  <c r="AP704" i="126"/>
  <c r="E702" i="126"/>
  <c r="I35" i="125"/>
  <c r="G97" i="126"/>
  <c r="AH97" i="126"/>
  <c r="AE129" i="126"/>
  <c r="E128" i="126"/>
  <c r="AG129" i="126"/>
  <c r="AP129" i="126"/>
  <c r="AG768" i="126"/>
  <c r="AE768" i="126"/>
  <c r="AP768" i="126"/>
  <c r="G364" i="126"/>
  <c r="AH364" i="126"/>
  <c r="F363" i="126"/>
  <c r="G75" i="125"/>
  <c r="G74" i="125" s="1"/>
  <c r="AL230" i="126"/>
  <c r="M229" i="126"/>
  <c r="AG961" i="126"/>
  <c r="AP961" i="126"/>
  <c r="AM230" i="126"/>
  <c r="P229" i="126"/>
  <c r="AM229" i="126" s="1"/>
  <c r="AG805" i="126"/>
  <c r="AP805" i="126"/>
  <c r="E803" i="126"/>
  <c r="AI513" i="126"/>
  <c r="H511" i="126"/>
  <c r="I919" i="126"/>
  <c r="AJ919" i="126" s="1"/>
  <c r="AI48" i="126"/>
  <c r="H47" i="126"/>
  <c r="AI248" i="126"/>
  <c r="F248" i="126"/>
  <c r="H241" i="126"/>
  <c r="AE210" i="126"/>
  <c r="AG471" i="126"/>
  <c r="AP471" i="126"/>
  <c r="E159" i="126"/>
  <c r="AG160" i="126"/>
  <c r="AP160" i="126"/>
  <c r="AH940" i="126"/>
  <c r="G940" i="126"/>
  <c r="J44" i="125"/>
  <c r="K44" i="125"/>
  <c r="H44" i="125"/>
  <c r="G44" i="125" s="1"/>
  <c r="F801" i="126"/>
  <c r="AG189" i="126"/>
  <c r="AP189" i="126"/>
  <c r="AG811" i="126"/>
  <c r="AP811" i="126"/>
  <c r="AG461" i="126"/>
  <c r="AP461" i="126"/>
  <c r="E356" i="126"/>
  <c r="E353" i="126" s="1"/>
  <c r="AG357" i="126"/>
  <c r="AP357" i="126"/>
  <c r="E430" i="126"/>
  <c r="AG431" i="126"/>
  <c r="AP431" i="126"/>
  <c r="E108" i="126"/>
  <c r="AG109" i="126"/>
  <c r="AE109" i="126"/>
  <c r="AE108" i="126" s="1"/>
  <c r="AE101" i="126" s="1"/>
  <c r="AP109" i="126"/>
  <c r="U480" i="126"/>
  <c r="AE420" i="126" l="1"/>
  <c r="AI241" i="126"/>
  <c r="AE152" i="126"/>
  <c r="AG420" i="126"/>
  <c r="F593" i="126"/>
  <c r="AE281" i="126"/>
  <c r="AE730" i="126"/>
  <c r="AE727" i="126" s="1"/>
  <c r="AG730" i="126"/>
  <c r="AE581" i="126"/>
  <c r="E727" i="126"/>
  <c r="AE417" i="126"/>
  <c r="AE128" i="126"/>
  <c r="AE127" i="126" s="1"/>
  <c r="AE430" i="126"/>
  <c r="AG841" i="126"/>
  <c r="E840" i="126"/>
  <c r="AP841" i="126"/>
  <c r="AG353" i="126"/>
  <c r="AP353" i="126"/>
  <c r="AG430" i="126"/>
  <c r="AP430" i="126"/>
  <c r="H510" i="126"/>
  <c r="AI510" i="126" s="1"/>
  <c r="AI511" i="126"/>
  <c r="AH363" i="126"/>
  <c r="G363" i="126"/>
  <c r="I50" i="125"/>
  <c r="AG128" i="126"/>
  <c r="E127" i="126"/>
  <c r="AP128" i="126"/>
  <c r="J35" i="125"/>
  <c r="H35" i="125"/>
  <c r="G35" i="125" s="1"/>
  <c r="K35" i="125"/>
  <c r="AG929" i="126"/>
  <c r="AP929" i="126"/>
  <c r="E867" i="126"/>
  <c r="AG868" i="126"/>
  <c r="AP868" i="126"/>
  <c r="AE692" i="126"/>
  <c r="AG507" i="126"/>
  <c r="AP507" i="126"/>
  <c r="AH717" i="126"/>
  <c r="G717" i="126"/>
  <c r="AG122" i="126"/>
  <c r="AP122" i="126"/>
  <c r="F118" i="126"/>
  <c r="AH119" i="126"/>
  <c r="G119" i="126"/>
  <c r="AJ763" i="126"/>
  <c r="I623" i="126"/>
  <c r="AJ623" i="126" s="1"/>
  <c r="AG995" i="126"/>
  <c r="AP995" i="126"/>
  <c r="AE576" i="126"/>
  <c r="AG417" i="126"/>
  <c r="E416" i="126"/>
  <c r="AP417" i="126"/>
  <c r="AG979" i="126"/>
  <c r="AP979" i="126"/>
  <c r="G968" i="126"/>
  <c r="AH968" i="126"/>
  <c r="G127" i="126"/>
  <c r="I36" i="125"/>
  <c r="AH127" i="126"/>
  <c r="J25" i="126"/>
  <c r="AK26" i="126"/>
  <c r="H58" i="125"/>
  <c r="G58" i="125" s="1"/>
  <c r="K58" i="125"/>
  <c r="J58" i="125"/>
  <c r="AH101" i="126"/>
  <c r="G101" i="126"/>
  <c r="AH576" i="126"/>
  <c r="G576" i="126"/>
  <c r="AH765" i="126"/>
  <c r="F764" i="126"/>
  <c r="AG920" i="126"/>
  <c r="AP920" i="126"/>
  <c r="AG624" i="126"/>
  <c r="AP624" i="126"/>
  <c r="AE452" i="126"/>
  <c r="AG452" i="126"/>
  <c r="AP452" i="126"/>
  <c r="AE119" i="126"/>
  <c r="AE118" i="126" s="1"/>
  <c r="AG544" i="126"/>
  <c r="AP544" i="126"/>
  <c r="AG236" i="126"/>
  <c r="AP236" i="126"/>
  <c r="K46" i="125"/>
  <c r="H46" i="125"/>
  <c r="G46" i="125" s="1"/>
  <c r="J46" i="125"/>
  <c r="T480" i="126"/>
  <c r="U442" i="126"/>
  <c r="AG108" i="126"/>
  <c r="AP108" i="126"/>
  <c r="AI47" i="126"/>
  <c r="H28" i="126"/>
  <c r="AL229" i="126"/>
  <c r="M26" i="126"/>
  <c r="AG702" i="126"/>
  <c r="AP702" i="126"/>
  <c r="K30" i="125"/>
  <c r="H30" i="125"/>
  <c r="G30" i="125" s="1"/>
  <c r="J30" i="125"/>
  <c r="AG29" i="126"/>
  <c r="AP29" i="126"/>
  <c r="AG766" i="126"/>
  <c r="AE766" i="126"/>
  <c r="E765" i="126"/>
  <c r="AP766" i="126"/>
  <c r="E500" i="126"/>
  <c r="AG501" i="126"/>
  <c r="AP501" i="126"/>
  <c r="AJ241" i="126"/>
  <c r="I230" i="126"/>
  <c r="AG139" i="126"/>
  <c r="AP139" i="126"/>
  <c r="AG779" i="126"/>
  <c r="AP779" i="126"/>
  <c r="AH737" i="126"/>
  <c r="G737" i="126"/>
  <c r="AE182" i="126"/>
  <c r="AE177" i="126"/>
  <c r="AH593" i="126"/>
  <c r="F592" i="126"/>
  <c r="AH592" i="126" s="1"/>
  <c r="G593" i="126"/>
  <c r="G592" i="126" s="1"/>
  <c r="AE995" i="126"/>
  <c r="F352" i="126"/>
  <c r="AH352" i="126" s="1"/>
  <c r="G353" i="126"/>
  <c r="G352" i="126" s="1"/>
  <c r="AH353" i="126"/>
  <c r="AG282" i="126"/>
  <c r="E281" i="126"/>
  <c r="AP282" i="126"/>
  <c r="AH692" i="126"/>
  <c r="G692" i="126"/>
  <c r="AH231" i="126"/>
  <c r="G231" i="126"/>
  <c r="AI764" i="126"/>
  <c r="H763" i="126"/>
  <c r="AI763" i="126" s="1"/>
  <c r="AG971" i="126"/>
  <c r="AE971" i="126"/>
  <c r="AE968" i="126" s="1"/>
  <c r="AP971" i="126"/>
  <c r="E968" i="126"/>
  <c r="AH1052" i="126"/>
  <c r="G1052" i="126"/>
  <c r="F416" i="126"/>
  <c r="G417" i="126"/>
  <c r="AH417" i="126"/>
  <c r="AG823" i="126"/>
  <c r="AE823" i="126"/>
  <c r="AE821" i="126" s="1"/>
  <c r="AP823" i="126"/>
  <c r="E821" i="126"/>
  <c r="AG680" i="126"/>
  <c r="AP680" i="126"/>
  <c r="AG600" i="126"/>
  <c r="AE600" i="126"/>
  <c r="AE599" i="126" s="1"/>
  <c r="AE593" i="126" s="1"/>
  <c r="AE592" i="126" s="1"/>
  <c r="E599" i="126"/>
  <c r="E593" i="126" s="1"/>
  <c r="AP600" i="126"/>
  <c r="AG1007" i="126"/>
  <c r="AE1007" i="126"/>
  <c r="AP1007" i="126"/>
  <c r="AG443" i="126"/>
  <c r="AP443" i="126"/>
  <c r="AC16" i="126"/>
  <c r="AG582" i="126"/>
  <c r="E581" i="126"/>
  <c r="AP582" i="126"/>
  <c r="E152" i="126"/>
  <c r="AG153" i="126"/>
  <c r="AP153" i="126"/>
  <c r="AG531" i="126"/>
  <c r="AP531" i="126"/>
  <c r="AM27" i="126"/>
  <c r="E717" i="126"/>
  <c r="AG718" i="126"/>
  <c r="AP718" i="126"/>
  <c r="E101" i="126"/>
  <c r="AG102" i="126"/>
  <c r="AP102" i="126"/>
  <c r="AG705" i="126"/>
  <c r="AP705" i="126"/>
  <c r="E363" i="126"/>
  <c r="AG364" i="126"/>
  <c r="AP364" i="126"/>
  <c r="AG97" i="126"/>
  <c r="AP97" i="126"/>
  <c r="AE196" i="126"/>
  <c r="AG196" i="126"/>
  <c r="AP196" i="126"/>
  <c r="AH840" i="126"/>
  <c r="G840" i="126"/>
  <c r="AH801" i="126"/>
  <c r="F800" i="126"/>
  <c r="AH800" i="126" s="1"/>
  <c r="AG159" i="126"/>
  <c r="AP159" i="126"/>
  <c r="AG803" i="126"/>
  <c r="AE803" i="126"/>
  <c r="AE801" i="126" s="1"/>
  <c r="AE800" i="126" s="1"/>
  <c r="AP803" i="126"/>
  <c r="AG594" i="126"/>
  <c r="AP594" i="126"/>
  <c r="AG958" i="126"/>
  <c r="AP958" i="126"/>
  <c r="AG124" i="126"/>
  <c r="AP124" i="126"/>
  <c r="W509" i="126"/>
  <c r="Z506" i="126"/>
  <c r="AG756" i="126"/>
  <c r="AP756" i="126"/>
  <c r="G87" i="126"/>
  <c r="G86" i="126" s="1"/>
  <c r="AG514" i="126"/>
  <c r="AP514" i="126"/>
  <c r="E1052" i="126"/>
  <c r="AG1053" i="126"/>
  <c r="AE1053" i="126"/>
  <c r="AE1052" i="126" s="1"/>
  <c r="AP1053" i="126"/>
  <c r="J48" i="125"/>
  <c r="H48" i="125"/>
  <c r="G48" i="125" s="1"/>
  <c r="K48" i="125"/>
  <c r="AG481" i="126"/>
  <c r="AP481" i="126"/>
  <c r="AG540" i="126"/>
  <c r="E539" i="126"/>
  <c r="AP540" i="126"/>
  <c r="AG62" i="126"/>
  <c r="AP62" i="126"/>
  <c r="G727" i="126"/>
  <c r="AH727" i="126"/>
  <c r="F726" i="126"/>
  <c r="AG738" i="126"/>
  <c r="E737" i="126"/>
  <c r="AP738" i="126"/>
  <c r="AH177" i="126"/>
  <c r="H230" i="126"/>
  <c r="AJ28" i="126"/>
  <c r="I27" i="126"/>
  <c r="G1020" i="126"/>
  <c r="AH1020" i="126"/>
  <c r="AH1040" i="126"/>
  <c r="F1039" i="126"/>
  <c r="F919" i="126" s="1"/>
  <c r="G1040" i="126"/>
  <c r="AG458" i="126"/>
  <c r="AP458" i="126"/>
  <c r="AG49" i="126"/>
  <c r="E48" i="126"/>
  <c r="AP49" i="126"/>
  <c r="AE718" i="126"/>
  <c r="AE717" i="126" s="1"/>
  <c r="AH581" i="126"/>
  <c r="G581" i="126"/>
  <c r="E801" i="126"/>
  <c r="AG286" i="126"/>
  <c r="AP286" i="126"/>
  <c r="AE363" i="126"/>
  <c r="AG536" i="126"/>
  <c r="AE536" i="126"/>
  <c r="AE531" i="126" s="1"/>
  <c r="AP536" i="126"/>
  <c r="H623" i="126"/>
  <c r="AI623" i="126" s="1"/>
  <c r="AE1042" i="126"/>
  <c r="AE1040" i="126" s="1"/>
  <c r="AE1039" i="126" s="1"/>
  <c r="AG1042" i="126"/>
  <c r="AP1042" i="126"/>
  <c r="E1040" i="126"/>
  <c r="AG356" i="126"/>
  <c r="AE356" i="126"/>
  <c r="AE353" i="126" s="1"/>
  <c r="AP356" i="126"/>
  <c r="AH248" i="126"/>
  <c r="E248" i="126"/>
  <c r="G248" i="126"/>
  <c r="F241" i="126"/>
  <c r="F230" i="126" s="1"/>
  <c r="E87" i="126"/>
  <c r="AG88" i="126"/>
  <c r="AP88" i="126"/>
  <c r="E692" i="126"/>
  <c r="AG693" i="126"/>
  <c r="AP693" i="126"/>
  <c r="AG492" i="126"/>
  <c r="E491" i="126"/>
  <c r="AP492" i="126"/>
  <c r="AG770" i="126"/>
  <c r="AE770" i="126"/>
  <c r="AP770" i="126"/>
  <c r="F47" i="126"/>
  <c r="AH48" i="126"/>
  <c r="G48" i="126"/>
  <c r="G47" i="126" s="1"/>
  <c r="G28" i="126" s="1"/>
  <c r="G27" i="126" s="1"/>
  <c r="I33" i="125"/>
  <c r="AG339" i="126"/>
  <c r="AP339" i="126"/>
  <c r="AH87" i="126"/>
  <c r="F86" i="126"/>
  <c r="AH86" i="126" s="1"/>
  <c r="E513" i="126"/>
  <c r="AH513" i="126"/>
  <c r="F511" i="126"/>
  <c r="AG183" i="126"/>
  <c r="E182" i="126"/>
  <c r="AP183" i="126"/>
  <c r="E177" i="126"/>
  <c r="AG1022" i="126"/>
  <c r="AE1022" i="126"/>
  <c r="AE1020" i="126" s="1"/>
  <c r="AP1022" i="126"/>
  <c r="E1020" i="126"/>
  <c r="AG577" i="126"/>
  <c r="E576" i="126"/>
  <c r="AP577" i="126"/>
  <c r="AE737" i="126"/>
  <c r="AE726" i="126" s="1"/>
  <c r="AG250" i="126"/>
  <c r="AE250" i="126"/>
  <c r="AE248" i="126" s="1"/>
  <c r="AE241" i="126" s="1"/>
  <c r="AE229" i="126" s="1"/>
  <c r="AP250" i="126"/>
  <c r="AH182" i="126"/>
  <c r="Z222" i="126"/>
  <c r="AH500" i="126"/>
  <c r="G500" i="126"/>
  <c r="AG843" i="126"/>
  <c r="AE843" i="126"/>
  <c r="AE841" i="126" s="1"/>
  <c r="AE840" i="126" s="1"/>
  <c r="AP843" i="126"/>
  <c r="H60" i="125"/>
  <c r="G60" i="125" s="1"/>
  <c r="J60" i="125"/>
  <c r="K60" i="125"/>
  <c r="I59" i="125"/>
  <c r="G281" i="126"/>
  <c r="AH281" i="126"/>
  <c r="AG232" i="126"/>
  <c r="E231" i="126"/>
  <c r="AP232" i="126"/>
  <c r="G539" i="126"/>
  <c r="AH539" i="126"/>
  <c r="AG520" i="126"/>
  <c r="AP520" i="126"/>
  <c r="AH152" i="126"/>
  <c r="G152" i="126"/>
  <c r="AG120" i="126"/>
  <c r="E119" i="126"/>
  <c r="AP120" i="126"/>
  <c r="H919" i="126"/>
  <c r="AI919" i="126" s="1"/>
  <c r="AG727" i="126"/>
  <c r="AP727" i="126"/>
  <c r="AE919" i="126" l="1"/>
  <c r="AE416" i="126"/>
  <c r="F249" i="126"/>
  <c r="E249" i="126" s="1"/>
  <c r="AH919" i="126"/>
  <c r="AE352" i="126"/>
  <c r="AG593" i="126"/>
  <c r="E592" i="126"/>
  <c r="AP593" i="126"/>
  <c r="AG576" i="126"/>
  <c r="AP576" i="126"/>
  <c r="AG182" i="126"/>
  <c r="AP182" i="126"/>
  <c r="AH47" i="126"/>
  <c r="I32" i="125"/>
  <c r="F28" i="126"/>
  <c r="E86" i="126"/>
  <c r="AG87" i="126"/>
  <c r="AP87" i="126"/>
  <c r="Z499" i="126"/>
  <c r="W222" i="126"/>
  <c r="Z176" i="126"/>
  <c r="K33" i="125"/>
  <c r="H33" i="125"/>
  <c r="G33" i="125" s="1"/>
  <c r="J33" i="125"/>
  <c r="AG491" i="126"/>
  <c r="AP491" i="126"/>
  <c r="AG692" i="126"/>
  <c r="AP692" i="126"/>
  <c r="AG248" i="126"/>
  <c r="AP248" i="126"/>
  <c r="E241" i="126"/>
  <c r="E230" i="126" s="1"/>
  <c r="E800" i="126"/>
  <c r="AG801" i="126"/>
  <c r="AP801" i="126"/>
  <c r="G1039" i="126"/>
  <c r="G919" i="126" s="1"/>
  <c r="AH1039" i="126"/>
  <c r="AJ27" i="126"/>
  <c r="AH726" i="126"/>
  <c r="G726" i="126"/>
  <c r="AG1052" i="126"/>
  <c r="AP1052" i="126"/>
  <c r="AO509" i="126"/>
  <c r="W506" i="126"/>
  <c r="H509" i="126"/>
  <c r="AG821" i="126"/>
  <c r="AP821" i="126"/>
  <c r="AG500" i="126"/>
  <c r="AP500" i="126"/>
  <c r="AH764" i="126"/>
  <c r="G764" i="126"/>
  <c r="F763" i="126"/>
  <c r="H36" i="125"/>
  <c r="G36" i="125" s="1"/>
  <c r="K36" i="125"/>
  <c r="J36" i="125"/>
  <c r="AG416" i="126"/>
  <c r="AP416" i="126"/>
  <c r="AG867" i="126"/>
  <c r="AP867" i="126"/>
  <c r="AG127" i="126"/>
  <c r="AP127" i="126"/>
  <c r="AG737" i="126"/>
  <c r="AP737" i="126"/>
  <c r="AG231" i="126"/>
  <c r="AP231" i="126"/>
  <c r="K59" i="125"/>
  <c r="J59" i="125"/>
  <c r="H59" i="125"/>
  <c r="G59" i="125" s="1"/>
  <c r="AG513" i="126"/>
  <c r="AE513" i="126"/>
  <c r="AE511" i="126" s="1"/>
  <c r="AE510" i="126" s="1"/>
  <c r="AP513" i="126"/>
  <c r="E511" i="126"/>
  <c r="AG101" i="126"/>
  <c r="AP101" i="126"/>
  <c r="AG581" i="126"/>
  <c r="AP581" i="126"/>
  <c r="AG599" i="126"/>
  <c r="AP599" i="126"/>
  <c r="F229" i="126"/>
  <c r="AH230" i="126"/>
  <c r="E726" i="126"/>
  <c r="AG1020" i="126"/>
  <c r="AP1020" i="126"/>
  <c r="AG177" i="126"/>
  <c r="AP177" i="126"/>
  <c r="G511" i="126"/>
  <c r="AH511" i="126"/>
  <c r="F510" i="126"/>
  <c r="AH241" i="126"/>
  <c r="G241" i="126"/>
  <c r="G230" i="126" s="1"/>
  <c r="G229" i="126" s="1"/>
  <c r="I42" i="125"/>
  <c r="AG1040" i="126"/>
  <c r="E1039" i="126"/>
  <c r="AP1040" i="126"/>
  <c r="AG48" i="126"/>
  <c r="E47" i="126"/>
  <c r="AP48" i="126"/>
  <c r="AG152" i="126"/>
  <c r="AP152" i="126"/>
  <c r="AG968" i="126"/>
  <c r="AP968" i="126"/>
  <c r="AG281" i="126"/>
  <c r="AP281" i="126"/>
  <c r="AL26" i="126"/>
  <c r="M25" i="126"/>
  <c r="AN480" i="126"/>
  <c r="P480" i="126"/>
  <c r="T442" i="126"/>
  <c r="G118" i="126"/>
  <c r="AH118" i="126"/>
  <c r="AG119" i="126"/>
  <c r="E118" i="126"/>
  <c r="AP119" i="126"/>
  <c r="AI230" i="126"/>
  <c r="H229" i="126"/>
  <c r="AG539" i="126"/>
  <c r="AP539" i="126"/>
  <c r="AG363" i="126"/>
  <c r="AP363" i="126"/>
  <c r="AG717" i="126"/>
  <c r="AP717" i="126"/>
  <c r="AC15" i="126"/>
  <c r="AH416" i="126"/>
  <c r="G416" i="126"/>
  <c r="AG765" i="126"/>
  <c r="E764" i="126"/>
  <c r="AP765" i="126"/>
  <c r="J16" i="126"/>
  <c r="AK25" i="126"/>
  <c r="H50" i="125"/>
  <c r="G50" i="125" s="1"/>
  <c r="J50" i="125"/>
  <c r="I51" i="125"/>
  <c r="K50" i="125"/>
  <c r="E352" i="126"/>
  <c r="AG840" i="126"/>
  <c r="AP840" i="126"/>
  <c r="I229" i="126"/>
  <c r="AJ229" i="126" s="1"/>
  <c r="AJ230" i="126"/>
  <c r="AE765" i="126"/>
  <c r="AE764" i="126" s="1"/>
  <c r="AE763" i="126" s="1"/>
  <c r="AE623" i="126" s="1"/>
  <c r="AI28" i="126"/>
  <c r="H27" i="126"/>
  <c r="U441" i="126"/>
  <c r="AH249" i="126" l="1"/>
  <c r="AG1039" i="126"/>
  <c r="AP1039" i="126"/>
  <c r="U26" i="126"/>
  <c r="U25" i="126" s="1"/>
  <c r="U16" i="126" s="1"/>
  <c r="U15" i="126" s="1"/>
  <c r="AG352" i="126"/>
  <c r="AP352" i="126"/>
  <c r="AG764" i="126"/>
  <c r="E763" i="126"/>
  <c r="AP764" i="126"/>
  <c r="AG118" i="126"/>
  <c r="AP118" i="126"/>
  <c r="AN442" i="126"/>
  <c r="T441" i="126"/>
  <c r="AG47" i="126"/>
  <c r="AP47" i="126"/>
  <c r="E28" i="126"/>
  <c r="AH510" i="126"/>
  <c r="G510" i="126"/>
  <c r="AG726" i="126"/>
  <c r="AP726" i="126"/>
  <c r="AH763" i="126"/>
  <c r="G763" i="126"/>
  <c r="G623" i="126" s="1"/>
  <c r="F623" i="126"/>
  <c r="AH623" i="126" s="1"/>
  <c r="AG241" i="126"/>
  <c r="AP241" i="126"/>
  <c r="H222" i="126"/>
  <c r="AO222" i="126"/>
  <c r="W176" i="126"/>
  <c r="J42" i="125"/>
  <c r="H42" i="125"/>
  <c r="G42" i="125" s="1"/>
  <c r="I43" i="125"/>
  <c r="K42" i="125"/>
  <c r="AG511" i="126"/>
  <c r="E510" i="126"/>
  <c r="AP511" i="126"/>
  <c r="E229" i="126"/>
  <c r="AG230" i="126"/>
  <c r="AP230" i="126"/>
  <c r="AG86" i="126"/>
  <c r="AP86" i="126"/>
  <c r="M16" i="126"/>
  <c r="AL25" i="126"/>
  <c r="AO506" i="126"/>
  <c r="W499" i="126"/>
  <c r="AO499" i="126" s="1"/>
  <c r="AG800" i="126"/>
  <c r="AP800" i="126"/>
  <c r="AI27" i="126"/>
  <c r="AC1123" i="126"/>
  <c r="AC2" i="126"/>
  <c r="AI229" i="126"/>
  <c r="AM480" i="126"/>
  <c r="I480" i="126"/>
  <c r="P442" i="126"/>
  <c r="E919" i="126"/>
  <c r="K51" i="125"/>
  <c r="J51" i="125"/>
  <c r="H51" i="125"/>
  <c r="G51" i="125" s="1"/>
  <c r="AK16" i="126"/>
  <c r="J15" i="126"/>
  <c r="AH229" i="126"/>
  <c r="AP249" i="126"/>
  <c r="AG249" i="126"/>
  <c r="AI509" i="126"/>
  <c r="F509" i="126"/>
  <c r="H506" i="126"/>
  <c r="Z26" i="126"/>
  <c r="AH28" i="126"/>
  <c r="F27" i="126"/>
  <c r="AG592" i="126"/>
  <c r="AP592" i="126"/>
  <c r="J32" i="125"/>
  <c r="I38" i="125"/>
  <c r="K32" i="125"/>
  <c r="H32" i="125"/>
  <c r="G32" i="125" s="1"/>
  <c r="G509" i="126" l="1"/>
  <c r="AH509" i="126"/>
  <c r="E509" i="126"/>
  <c r="F506" i="126"/>
  <c r="AJ480" i="126"/>
  <c r="H480" i="126"/>
  <c r="I442" i="126"/>
  <c r="K43" i="125"/>
  <c r="H43" i="125"/>
  <c r="G43" i="125" s="1"/>
  <c r="J43" i="125"/>
  <c r="U1123" i="126"/>
  <c r="U2" i="126"/>
  <c r="H38" i="125"/>
  <c r="G38" i="125" s="1"/>
  <c r="I41" i="125"/>
  <c r="K38" i="125"/>
  <c r="J38" i="125"/>
  <c r="J1123" i="126"/>
  <c r="AK1123" i="126" s="1"/>
  <c r="J2" i="126"/>
  <c r="AK15" i="126"/>
  <c r="AL16" i="126"/>
  <c r="M15" i="126"/>
  <c r="AG510" i="126"/>
  <c r="AP510" i="126"/>
  <c r="F222" i="126"/>
  <c r="AI222" i="126"/>
  <c r="H176" i="126"/>
  <c r="AH27" i="126"/>
  <c r="Z25" i="126"/>
  <c r="AG919" i="126"/>
  <c r="AP919" i="126"/>
  <c r="AN441" i="126"/>
  <c r="T26" i="126"/>
  <c r="AI506" i="126"/>
  <c r="H499" i="126"/>
  <c r="AI499" i="126" s="1"/>
  <c r="AM442" i="126"/>
  <c r="P441" i="126"/>
  <c r="AG229" i="126"/>
  <c r="AP229" i="126"/>
  <c r="AO176" i="126"/>
  <c r="W26" i="126"/>
  <c r="AG28" i="126"/>
  <c r="E27" i="126"/>
  <c r="AP28" i="126"/>
  <c r="AG763" i="126"/>
  <c r="AP763" i="126"/>
  <c r="E623" i="126"/>
  <c r="AH506" i="126" l="1"/>
  <c r="G506" i="126"/>
  <c r="I27" i="125"/>
  <c r="F499" i="126"/>
  <c r="W25" i="126"/>
  <c r="AO26" i="126"/>
  <c r="AM441" i="126"/>
  <c r="P26" i="126"/>
  <c r="T25" i="126"/>
  <c r="AN26" i="126"/>
  <c r="AI176" i="126"/>
  <c r="AJ442" i="126"/>
  <c r="I441" i="126"/>
  <c r="AE509" i="126"/>
  <c r="AE506" i="126" s="1"/>
  <c r="AE499" i="126" s="1"/>
  <c r="AG509" i="126"/>
  <c r="E506" i="126"/>
  <c r="AP509" i="126"/>
  <c r="Z16" i="126"/>
  <c r="M1123" i="126"/>
  <c r="AL1123" i="126" s="1"/>
  <c r="AL15" i="126"/>
  <c r="M2" i="126"/>
  <c r="J41" i="125"/>
  <c r="K41" i="125"/>
  <c r="H41" i="125"/>
  <c r="G41" i="125" s="1"/>
  <c r="AI480" i="126"/>
  <c r="F480" i="126"/>
  <c r="H442" i="126"/>
  <c r="AG623" i="126"/>
  <c r="AP623" i="126"/>
  <c r="AG27" i="126"/>
  <c r="AP27" i="126"/>
  <c r="E222" i="126"/>
  <c r="AH222" i="126"/>
  <c r="G222" i="126"/>
  <c r="G176" i="126" s="1"/>
  <c r="I25" i="125"/>
  <c r="F176" i="126"/>
  <c r="I24" i="125"/>
  <c r="H27" i="125" l="1"/>
  <c r="G27" i="125" s="1"/>
  <c r="K27" i="125"/>
  <c r="J27" i="125"/>
  <c r="G480" i="126"/>
  <c r="AH480" i="126"/>
  <c r="E480" i="126"/>
  <c r="F442" i="126"/>
  <c r="G499" i="126"/>
  <c r="AH499" i="126"/>
  <c r="AH176" i="126"/>
  <c r="H25" i="125"/>
  <c r="G25" i="125" s="1"/>
  <c r="K25" i="125"/>
  <c r="J25" i="125"/>
  <c r="AJ441" i="126"/>
  <c r="I26" i="126"/>
  <c r="K24" i="125"/>
  <c r="I26" i="125"/>
  <c r="J24" i="125"/>
  <c r="H24" i="125"/>
  <c r="AM26" i="126"/>
  <c r="P25" i="126"/>
  <c r="AE222" i="126"/>
  <c r="AE176" i="126" s="1"/>
  <c r="AG222" i="126"/>
  <c r="AP222" i="126"/>
  <c r="E176" i="126"/>
  <c r="Z15" i="126"/>
  <c r="AI442" i="126"/>
  <c r="H441" i="126"/>
  <c r="AG506" i="126"/>
  <c r="AP506" i="126"/>
  <c r="E499" i="126"/>
  <c r="AN25" i="126"/>
  <c r="T16" i="126"/>
  <c r="AO25" i="126"/>
  <c r="W16" i="126"/>
  <c r="I25" i="126" l="1"/>
  <c r="AJ26" i="126"/>
  <c r="AI441" i="126"/>
  <c r="H26" i="126"/>
  <c r="AM25" i="126"/>
  <c r="P16" i="126"/>
  <c r="F441" i="126"/>
  <c r="G442" i="126"/>
  <c r="G441" i="126" s="1"/>
  <c r="AH442" i="126"/>
  <c r="I55" i="125"/>
  <c r="Z1123" i="126"/>
  <c r="Z2" i="126"/>
  <c r="AG499" i="126"/>
  <c r="AP499" i="126"/>
  <c r="J26" i="125"/>
  <c r="H26" i="125"/>
  <c r="G26" i="125" s="1"/>
  <c r="K26" i="125"/>
  <c r="AE480" i="126"/>
  <c r="AE442" i="126" s="1"/>
  <c r="AE441" i="126" s="1"/>
  <c r="AE26" i="126" s="1"/>
  <c r="AE25" i="126" s="1"/>
  <c r="AE16" i="126" s="1"/>
  <c r="AE15" i="126" s="1"/>
  <c r="AE2" i="126" s="1"/>
  <c r="AG480" i="126"/>
  <c r="E442" i="126"/>
  <c r="AP480" i="126"/>
  <c r="T15" i="126"/>
  <c r="AN16" i="126"/>
  <c r="AG176" i="126"/>
  <c r="AP176" i="126"/>
  <c r="AO16" i="126"/>
  <c r="W15" i="126"/>
  <c r="G24" i="125"/>
  <c r="T1123" i="126" l="1"/>
  <c r="AN1123" i="126" s="1"/>
  <c r="AN15" i="126"/>
  <c r="T2" i="126"/>
  <c r="W1123" i="126"/>
  <c r="AO1123" i="126" s="1"/>
  <c r="AH441" i="126"/>
  <c r="F26" i="126"/>
  <c r="H55" i="125"/>
  <c r="G55" i="125" s="1"/>
  <c r="I56" i="125"/>
  <c r="K55" i="125"/>
  <c r="J55" i="125"/>
  <c r="I31" i="125"/>
  <c r="AM16" i="126"/>
  <c r="P15" i="126"/>
  <c r="W2" i="126"/>
  <c r="AO15" i="126"/>
  <c r="AG442" i="126"/>
  <c r="E441" i="126"/>
  <c r="AP442" i="126"/>
  <c r="AJ25" i="126"/>
  <c r="I16" i="126"/>
  <c r="AI26" i="126"/>
  <c r="H25" i="126"/>
  <c r="J31" i="125" l="1"/>
  <c r="H31" i="125"/>
  <c r="K31" i="125"/>
  <c r="I23" i="125"/>
  <c r="AI25" i="126"/>
  <c r="H16" i="126"/>
  <c r="F25" i="126"/>
  <c r="AH26" i="126"/>
  <c r="G26" i="126"/>
  <c r="G25" i="126" s="1"/>
  <c r="G16" i="126" s="1"/>
  <c r="G15" i="126" s="1"/>
  <c r="AG441" i="126"/>
  <c r="AP441" i="126"/>
  <c r="E26" i="126"/>
  <c r="AJ16" i="126"/>
  <c r="I15" i="126"/>
  <c r="P1123" i="126"/>
  <c r="AM1123" i="126" s="1"/>
  <c r="AM15" i="126"/>
  <c r="P2" i="126"/>
  <c r="J56" i="125"/>
  <c r="K56" i="125"/>
  <c r="H56" i="125"/>
  <c r="G56" i="125" s="1"/>
  <c r="E25" i="126" l="1"/>
  <c r="AG26" i="126"/>
  <c r="AP26" i="126"/>
  <c r="J23" i="125"/>
  <c r="J14" i="125" s="1"/>
  <c r="K23" i="125"/>
  <c r="K14" i="125" s="1"/>
  <c r="I14" i="125"/>
  <c r="I13" i="125" s="1"/>
  <c r="AH25" i="126"/>
  <c r="F16" i="126"/>
  <c r="I1123" i="126"/>
  <c r="AJ1123" i="126" s="1"/>
  <c r="AJ15" i="126"/>
  <c r="I2" i="126"/>
  <c r="AI16" i="126"/>
  <c r="H15" i="126"/>
  <c r="G31" i="125"/>
  <c r="G23" i="125" s="1"/>
  <c r="G14" i="125" s="1"/>
  <c r="G13" i="125" s="1"/>
  <c r="H23" i="125"/>
  <c r="H14" i="125" s="1"/>
  <c r="H13" i="125" s="1"/>
  <c r="G1123" i="126"/>
  <c r="G2" i="126"/>
  <c r="AH16" i="126" l="1"/>
  <c r="F15" i="126"/>
  <c r="G5" i="125"/>
  <c r="G92" i="125"/>
  <c r="G73" i="125"/>
  <c r="I92" i="125"/>
  <c r="H92" i="125" s="1"/>
  <c r="J13" i="125"/>
  <c r="J5" i="125" s="1"/>
  <c r="K13" i="125"/>
  <c r="I5" i="125"/>
  <c r="H1123" i="126"/>
  <c r="AI1123" i="126" s="1"/>
  <c r="AI15" i="126"/>
  <c r="H2" i="126"/>
  <c r="AG25" i="126"/>
  <c r="E16" i="126"/>
  <c r="AP25" i="126"/>
  <c r="K5" i="125" l="1"/>
  <c r="K92" i="125"/>
  <c r="AG16" i="126"/>
  <c r="E15" i="126"/>
  <c r="AP16" i="126"/>
  <c r="F1123" i="126"/>
  <c r="F2" i="126"/>
  <c r="AH15" i="126"/>
  <c r="E2" i="126" l="1"/>
  <c r="AG15" i="126"/>
  <c r="AP15" i="126"/>
  <c r="E1123" i="126"/>
  <c r="AH1123" i="126"/>
  <c r="AG1123" i="126" l="1"/>
  <c r="AE1123" i="126"/>
  <c r="AP1123" i="126"/>
  <c r="BD55" i="1" l="1"/>
  <c r="BD51" i="1"/>
  <c r="BD38" i="1"/>
  <c r="AZ55" i="1"/>
  <c r="AZ51" i="1"/>
  <c r="AZ38" i="1"/>
  <c r="AV55" i="1"/>
  <c r="AV51" i="1"/>
  <c r="AV38" i="1"/>
  <c r="AR55" i="1"/>
  <c r="AR51" i="1"/>
  <c r="AR38" i="1"/>
  <c r="AN55" i="1"/>
  <c r="AN51" i="1"/>
  <c r="AN38" i="1"/>
  <c r="AJ55" i="1"/>
  <c r="AJ51" i="1"/>
  <c r="AJ38" i="1"/>
  <c r="AF55" i="1"/>
  <c r="AF51" i="1"/>
  <c r="AF38" i="1"/>
  <c r="AB55" i="1"/>
  <c r="AB51" i="1"/>
  <c r="AB38" i="1"/>
  <c r="X55" i="1"/>
  <c r="X51" i="1"/>
  <c r="X38" i="1"/>
  <c r="T55" i="1"/>
  <c r="T51" i="1"/>
  <c r="T38" i="1"/>
  <c r="BG101" i="62"/>
  <c r="BH101" i="62" s="1"/>
  <c r="P100" i="62"/>
  <c r="P99" i="62"/>
  <c r="P98" i="62"/>
  <c r="P95" i="62"/>
  <c r="BG94" i="62"/>
  <c r="BH94" i="62" s="1"/>
  <c r="BD93" i="62"/>
  <c r="BD92" i="62" s="1"/>
  <c r="AZ93" i="62"/>
  <c r="AR93" i="62"/>
  <c r="AP93" i="62" s="1"/>
  <c r="AN93" i="62"/>
  <c r="AN92" i="62" s="1"/>
  <c r="AJ93" i="62"/>
  <c r="X93" i="62"/>
  <c r="C93" i="62"/>
  <c r="BC92" i="62"/>
  <c r="BB92" i="62" s="1"/>
  <c r="AY92" i="62"/>
  <c r="AQ92" i="62"/>
  <c r="AQ95" i="62" s="1"/>
  <c r="AM92" i="62"/>
  <c r="AM95" i="62" s="1"/>
  <c r="AI92" i="62"/>
  <c r="AA92" i="62"/>
  <c r="AA95" i="62" s="1"/>
  <c r="X92" i="62"/>
  <c r="W92" i="62"/>
  <c r="W98" i="62" s="1"/>
  <c r="X31" i="62" s="1"/>
  <c r="V31" i="62" s="1"/>
  <c r="T92" i="62"/>
  <c r="C92" i="62"/>
  <c r="BG91" i="62"/>
  <c r="BH91" i="62" s="1"/>
  <c r="BB91" i="62"/>
  <c r="AX91" i="62"/>
  <c r="AT91" i="62"/>
  <c r="AP91" i="62"/>
  <c r="AL91" i="62"/>
  <c r="AH91" i="62"/>
  <c r="AD91" i="62"/>
  <c r="Z91" i="62"/>
  <c r="V91" i="62"/>
  <c r="U91" i="62"/>
  <c r="R91" i="62"/>
  <c r="N91" i="62"/>
  <c r="C91" i="62"/>
  <c r="Q91" i="62" s="1"/>
  <c r="BG90" i="62"/>
  <c r="BB90" i="62"/>
  <c r="AX90" i="62"/>
  <c r="AT90" i="62"/>
  <c r="AP90" i="62"/>
  <c r="AL90" i="62"/>
  <c r="AH90" i="62"/>
  <c r="AD90" i="62"/>
  <c r="Z90" i="62"/>
  <c r="V90" i="62"/>
  <c r="R90" i="62"/>
  <c r="O90" i="62"/>
  <c r="D90" i="62"/>
  <c r="U90" i="62" s="1"/>
  <c r="C88" i="62"/>
  <c r="BG87" i="62"/>
  <c r="BB87" i="62"/>
  <c r="AX87" i="62"/>
  <c r="AT87" i="62"/>
  <c r="AP87" i="62"/>
  <c r="AL87" i="62"/>
  <c r="AH87" i="62"/>
  <c r="AD87" i="62"/>
  <c r="Z87" i="62"/>
  <c r="V87" i="62"/>
  <c r="R87" i="62"/>
  <c r="O87" i="62"/>
  <c r="BF87" i="62" s="1"/>
  <c r="BH86" i="62"/>
  <c r="BG86" i="62"/>
  <c r="BB86" i="62"/>
  <c r="AX86" i="62"/>
  <c r="AT86" i="62"/>
  <c r="AP86" i="62"/>
  <c r="AL86" i="62"/>
  <c r="AH86" i="62"/>
  <c r="AD86" i="62"/>
  <c r="Z86" i="62"/>
  <c r="V86" i="62"/>
  <c r="R86" i="62"/>
  <c r="N86" i="62"/>
  <c r="BG85" i="62"/>
  <c r="BH85" i="62" s="1"/>
  <c r="BB85" i="62"/>
  <c r="AX85" i="62"/>
  <c r="AT85" i="62"/>
  <c r="AP85" i="62"/>
  <c r="AL85" i="62"/>
  <c r="AH85" i="62"/>
  <c r="AD85" i="62"/>
  <c r="Z85" i="62"/>
  <c r="V85" i="62"/>
  <c r="R85" i="62"/>
  <c r="N85" i="62"/>
  <c r="BG84" i="62"/>
  <c r="BH84" i="62" s="1"/>
  <c r="BB84" i="62"/>
  <c r="AX84" i="62"/>
  <c r="AT84" i="62"/>
  <c r="AP84" i="62"/>
  <c r="AL84" i="62"/>
  <c r="AH84" i="62"/>
  <c r="AD84" i="62"/>
  <c r="Z84" i="62"/>
  <c r="V84" i="62"/>
  <c r="R84" i="62"/>
  <c r="N84" i="62"/>
  <c r="BG83" i="62"/>
  <c r="BH83" i="62" s="1"/>
  <c r="BF83" i="62"/>
  <c r="BB83" i="62"/>
  <c r="AX83" i="62"/>
  <c r="AT83" i="62"/>
  <c r="AP83" i="62"/>
  <c r="AL83" i="62"/>
  <c r="AH83" i="62"/>
  <c r="AD83" i="62"/>
  <c r="Z83" i="62"/>
  <c r="V83" i="62"/>
  <c r="R83" i="62"/>
  <c r="N83" i="62"/>
  <c r="BC82" i="62"/>
  <c r="BB82" i="62" s="1"/>
  <c r="BA82" i="62"/>
  <c r="AY82" i="62"/>
  <c r="AW82" i="62"/>
  <c r="AU82" i="62"/>
  <c r="AT82" i="62" s="1"/>
  <c r="AS82" i="62"/>
  <c r="AQ82" i="62"/>
  <c r="AP82" i="62" s="1"/>
  <c r="AO82" i="62"/>
  <c r="AM82" i="62"/>
  <c r="AL82" i="62" s="1"/>
  <c r="AK82" i="62"/>
  <c r="AI82" i="62"/>
  <c r="AG82" i="62"/>
  <c r="AE82" i="62"/>
  <c r="AD82" i="62" s="1"/>
  <c r="AC82" i="62"/>
  <c r="AA82" i="62"/>
  <c r="Z82" i="62" s="1"/>
  <c r="Y82" i="62"/>
  <c r="W82" i="62"/>
  <c r="V82" i="62" s="1"/>
  <c r="U82" i="62"/>
  <c r="S82" i="62"/>
  <c r="Q82" i="62"/>
  <c r="O82" i="62"/>
  <c r="N82" i="62" s="1"/>
  <c r="C82" i="62"/>
  <c r="BB81" i="62"/>
  <c r="AY81" i="62"/>
  <c r="BA81" i="62" s="1"/>
  <c r="AT81" i="62"/>
  <c r="AP81" i="62"/>
  <c r="AL81" i="62"/>
  <c r="AH81" i="62"/>
  <c r="AD81" i="62"/>
  <c r="Z81" i="62"/>
  <c r="V81" i="62"/>
  <c r="R81" i="62"/>
  <c r="C81" i="62"/>
  <c r="BC80" i="62"/>
  <c r="AY80" i="62"/>
  <c r="BA80" i="62" s="1"/>
  <c r="AU80" i="62"/>
  <c r="AW80" i="62" s="1"/>
  <c r="AQ80" i="62"/>
  <c r="AP80" i="62" s="1"/>
  <c r="AM80" i="62"/>
  <c r="AI80" i="62"/>
  <c r="AK80" i="62" s="1"/>
  <c r="AE80" i="62"/>
  <c r="AG80" i="62" s="1"/>
  <c r="AA80" i="62"/>
  <c r="Z80" i="62" s="1"/>
  <c r="W80" i="62"/>
  <c r="S80" i="62"/>
  <c r="C80" i="62"/>
  <c r="C78" i="62" s="1"/>
  <c r="BC79" i="62"/>
  <c r="BB79" i="62" s="1"/>
  <c r="AY79" i="62"/>
  <c r="AU79" i="62"/>
  <c r="AW79" i="62" s="1"/>
  <c r="AQ79" i="62"/>
  <c r="AP79" i="62" s="1"/>
  <c r="AM79" i="62"/>
  <c r="AL79" i="62" s="1"/>
  <c r="AI79" i="62"/>
  <c r="AE79" i="62"/>
  <c r="AG79" i="62" s="1"/>
  <c r="AA79" i="62"/>
  <c r="AC79" i="62" s="1"/>
  <c r="W79" i="62"/>
  <c r="V79" i="62" s="1"/>
  <c r="S79" i="62"/>
  <c r="C79" i="62"/>
  <c r="P78" i="62"/>
  <c r="M78" i="62"/>
  <c r="L78" i="62"/>
  <c r="K78" i="62"/>
  <c r="J78" i="62"/>
  <c r="I78" i="62"/>
  <c r="H78" i="62"/>
  <c r="G78" i="62"/>
  <c r="F78" i="62"/>
  <c r="E78" i="62"/>
  <c r="D78" i="62"/>
  <c r="BC77" i="62"/>
  <c r="BE77" i="62" s="1"/>
  <c r="AY77" i="62"/>
  <c r="AX77" i="62" s="1"/>
  <c r="AU77" i="62"/>
  <c r="AQ77" i="62"/>
  <c r="AS77" i="62" s="1"/>
  <c r="AM77" i="62"/>
  <c r="AL77" i="62" s="1"/>
  <c r="AI77" i="62"/>
  <c r="AH77" i="62" s="1"/>
  <c r="AE77" i="62"/>
  <c r="AA77" i="62"/>
  <c r="AC77" i="62" s="1"/>
  <c r="W77" i="62"/>
  <c r="Y77" i="62" s="1"/>
  <c r="S77" i="62"/>
  <c r="R77" i="62" s="1"/>
  <c r="C77" i="62"/>
  <c r="BG76" i="62"/>
  <c r="BB76" i="62"/>
  <c r="AX76" i="62"/>
  <c r="AT76" i="62"/>
  <c r="AP76" i="62"/>
  <c r="AL76" i="62"/>
  <c r="AH76" i="62"/>
  <c r="AD76" i="62"/>
  <c r="Z76" i="62"/>
  <c r="V76" i="62"/>
  <c r="R76" i="62"/>
  <c r="O76" i="62"/>
  <c r="N76" i="62" s="1"/>
  <c r="M76" i="62"/>
  <c r="BE76" i="62" s="1"/>
  <c r="L76" i="62"/>
  <c r="BA76" i="62" s="1"/>
  <c r="K76" i="62"/>
  <c r="AW76" i="62" s="1"/>
  <c r="J76" i="62"/>
  <c r="AS76" i="62" s="1"/>
  <c r="I76" i="62"/>
  <c r="AO76" i="62" s="1"/>
  <c r="H76" i="62"/>
  <c r="AK76" i="62" s="1"/>
  <c r="G76" i="62"/>
  <c r="AG76" i="62" s="1"/>
  <c r="F76" i="62"/>
  <c r="AC76" i="62" s="1"/>
  <c r="E76" i="62"/>
  <c r="D76" i="62"/>
  <c r="U76" i="62" s="1"/>
  <c r="BG75" i="62"/>
  <c r="BB75" i="62"/>
  <c r="AX75" i="62"/>
  <c r="AT75" i="62"/>
  <c r="AP75" i="62"/>
  <c r="AL75" i="62"/>
  <c r="AH75" i="62"/>
  <c r="AD75" i="62"/>
  <c r="Z75" i="62"/>
  <c r="V75" i="62"/>
  <c r="R75" i="62"/>
  <c r="O75" i="62"/>
  <c r="N75" i="62" s="1"/>
  <c r="BG74" i="62"/>
  <c r="BB74" i="62"/>
  <c r="AX74" i="62"/>
  <c r="AT74" i="62"/>
  <c r="AP74" i="62"/>
  <c r="AL74" i="62"/>
  <c r="AH74" i="62"/>
  <c r="AD74" i="62"/>
  <c r="Z74" i="62"/>
  <c r="V74" i="62"/>
  <c r="R74" i="62"/>
  <c r="O74" i="62"/>
  <c r="N74" i="62" s="1"/>
  <c r="BC73" i="62"/>
  <c r="BE73" i="62" s="1"/>
  <c r="AY73" i="62"/>
  <c r="AX73" i="62" s="1"/>
  <c r="AU73" i="62"/>
  <c r="AW73" i="62" s="1"/>
  <c r="AQ73" i="62"/>
  <c r="AS73" i="62" s="1"/>
  <c r="AM73" i="62"/>
  <c r="AO73" i="62" s="1"/>
  <c r="AI73" i="62"/>
  <c r="AE73" i="62"/>
  <c r="AA73" i="62"/>
  <c r="AC73" i="62" s="1"/>
  <c r="W73" i="62"/>
  <c r="Y73" i="62" s="1"/>
  <c r="S73" i="62"/>
  <c r="P73" i="62"/>
  <c r="C73" i="62"/>
  <c r="BG72" i="62"/>
  <c r="BB72" i="62"/>
  <c r="AX72" i="62"/>
  <c r="AT72" i="62"/>
  <c r="AP72" i="62"/>
  <c r="AL72" i="62"/>
  <c r="AH72" i="62"/>
  <c r="AD72" i="62"/>
  <c r="Z72" i="62"/>
  <c r="V72" i="62"/>
  <c r="R72" i="62"/>
  <c r="O72" i="62"/>
  <c r="N72" i="62" s="1"/>
  <c r="BG71" i="62"/>
  <c r="BB71" i="62"/>
  <c r="AX71" i="62"/>
  <c r="AT71" i="62"/>
  <c r="AP71" i="62"/>
  <c r="AL71" i="62"/>
  <c r="AH71" i="62"/>
  <c r="AD71" i="62"/>
  <c r="Z71" i="62"/>
  <c r="V71" i="62"/>
  <c r="R71" i="62"/>
  <c r="O71" i="62"/>
  <c r="N71" i="62" s="1"/>
  <c r="BG70" i="62"/>
  <c r="BB70" i="62"/>
  <c r="AX70" i="62"/>
  <c r="AT70" i="62"/>
  <c r="AP70" i="62"/>
  <c r="AL70" i="62"/>
  <c r="AH70" i="62"/>
  <c r="AD70" i="62"/>
  <c r="Z70" i="62"/>
  <c r="V70" i="62"/>
  <c r="R70" i="62"/>
  <c r="O70" i="62"/>
  <c r="N70" i="62" s="1"/>
  <c r="BG69" i="62"/>
  <c r="BB69" i="62"/>
  <c r="AX69" i="62"/>
  <c r="AT69" i="62"/>
  <c r="AP69" i="62"/>
  <c r="AL69" i="62"/>
  <c r="AH69" i="62"/>
  <c r="AD69" i="62"/>
  <c r="Z69" i="62"/>
  <c r="V69" i="62"/>
  <c r="R69" i="62"/>
  <c r="O69" i="62"/>
  <c r="N69" i="62" s="1"/>
  <c r="BG68" i="62"/>
  <c r="BH68" i="62" s="1"/>
  <c r="BB68" i="62"/>
  <c r="AX68" i="62"/>
  <c r="AT68" i="62"/>
  <c r="AP68" i="62"/>
  <c r="AL68" i="62"/>
  <c r="AH68" i="62"/>
  <c r="AD68" i="62"/>
  <c r="Z68" i="62"/>
  <c r="V68" i="62"/>
  <c r="R68" i="62"/>
  <c r="O68" i="62"/>
  <c r="C68" i="62"/>
  <c r="BC67" i="62"/>
  <c r="BE67" i="62" s="1"/>
  <c r="BB67" i="62"/>
  <c r="AY67" i="62"/>
  <c r="BA67" i="62" s="1"/>
  <c r="AU67" i="62"/>
  <c r="AT67" i="62" s="1"/>
  <c r="AQ67" i="62"/>
  <c r="AP67" i="62" s="1"/>
  <c r="AM67" i="62"/>
  <c r="AI67" i="62"/>
  <c r="AK67" i="62" s="1"/>
  <c r="AE67" i="62"/>
  <c r="AD67" i="62" s="1"/>
  <c r="AA67" i="62"/>
  <c r="W67" i="62"/>
  <c r="S67" i="62"/>
  <c r="U67" i="62" s="1"/>
  <c r="C67" i="62"/>
  <c r="BC66" i="62"/>
  <c r="BB66" i="62" s="1"/>
  <c r="AY66" i="62"/>
  <c r="BA66" i="62" s="1"/>
  <c r="AU66" i="62"/>
  <c r="AW66" i="62" s="1"/>
  <c r="AQ66" i="62"/>
  <c r="AP66" i="62" s="1"/>
  <c r="AM66" i="62"/>
  <c r="AL66" i="62" s="1"/>
  <c r="AI66" i="62"/>
  <c r="AK66" i="62" s="1"/>
  <c r="AE66" i="62"/>
  <c r="AG66" i="62" s="1"/>
  <c r="AA66" i="62"/>
  <c r="AC66" i="62" s="1"/>
  <c r="W66" i="62"/>
  <c r="V66" i="62" s="1"/>
  <c r="S66" i="62"/>
  <c r="C66" i="62"/>
  <c r="BC65" i="62"/>
  <c r="BB65" i="62" s="1"/>
  <c r="AY65" i="62"/>
  <c r="AU65" i="62"/>
  <c r="AW65" i="62" s="1"/>
  <c r="AQ65" i="62"/>
  <c r="AS65" i="62" s="1"/>
  <c r="AM65" i="62"/>
  <c r="AO65" i="62" s="1"/>
  <c r="AI65" i="62"/>
  <c r="AH65" i="62" s="1"/>
  <c r="AE65" i="62"/>
  <c r="AG65" i="62" s="1"/>
  <c r="AD65" i="62"/>
  <c r="AA65" i="62"/>
  <c r="AC65" i="62" s="1"/>
  <c r="W65" i="62"/>
  <c r="V65" i="62" s="1"/>
  <c r="S65" i="62"/>
  <c r="C65" i="62"/>
  <c r="BC64" i="62"/>
  <c r="BE64" i="62" s="1"/>
  <c r="AY64" i="62"/>
  <c r="BA64" i="62" s="1"/>
  <c r="AU64" i="62"/>
  <c r="AT64" i="62" s="1"/>
  <c r="AQ64" i="62"/>
  <c r="AM64" i="62"/>
  <c r="AO64" i="62" s="1"/>
  <c r="AI64" i="62"/>
  <c r="AK64" i="62" s="1"/>
  <c r="AE64" i="62"/>
  <c r="AA64" i="62"/>
  <c r="W64" i="62"/>
  <c r="Y64" i="62" s="1"/>
  <c r="S64" i="62"/>
  <c r="U64" i="62" s="1"/>
  <c r="C64" i="62"/>
  <c r="M63" i="62"/>
  <c r="M56" i="62" s="1"/>
  <c r="L63" i="62"/>
  <c r="AY63" i="62" s="1"/>
  <c r="K63" i="62"/>
  <c r="AU63" i="62" s="1"/>
  <c r="AT63" i="62" s="1"/>
  <c r="J63" i="62"/>
  <c r="AQ63" i="62" s="1"/>
  <c r="AS63" i="62" s="1"/>
  <c r="I63" i="62"/>
  <c r="H63" i="62"/>
  <c r="G63" i="62"/>
  <c r="AE63" i="62" s="1"/>
  <c r="AD63" i="62" s="1"/>
  <c r="F63" i="62"/>
  <c r="F56" i="62" s="1"/>
  <c r="E63" i="62"/>
  <c r="D63" i="62"/>
  <c r="D56" i="62" s="1"/>
  <c r="BC62" i="62"/>
  <c r="BA62" i="62"/>
  <c r="AY62" i="62"/>
  <c r="AX62" i="62"/>
  <c r="AU62" i="62"/>
  <c r="AT62" i="62" s="1"/>
  <c r="AQ62" i="62"/>
  <c r="AM62" i="62"/>
  <c r="AO62" i="62" s="1"/>
  <c r="AI62" i="62"/>
  <c r="AK62" i="62" s="1"/>
  <c r="AE62" i="62"/>
  <c r="AD62" i="62" s="1"/>
  <c r="AA62" i="62"/>
  <c r="AC62" i="62" s="1"/>
  <c r="W62" i="62"/>
  <c r="U62" i="62"/>
  <c r="S62" i="62"/>
  <c r="R62" i="62"/>
  <c r="C62" i="62"/>
  <c r="BC61" i="62"/>
  <c r="AY61" i="62"/>
  <c r="BA61" i="62" s="1"/>
  <c r="AU61" i="62"/>
  <c r="AT61" i="62" s="1"/>
  <c r="AQ61" i="62"/>
  <c r="AM61" i="62"/>
  <c r="AL61" i="62" s="1"/>
  <c r="AI61" i="62"/>
  <c r="AK61" i="62" s="1"/>
  <c r="AE61" i="62"/>
  <c r="AD61" i="62" s="1"/>
  <c r="AA61" i="62"/>
  <c r="Z61" i="62" s="1"/>
  <c r="W61" i="62"/>
  <c r="Y61" i="62" s="1"/>
  <c r="V61" i="62"/>
  <c r="S61" i="62"/>
  <c r="R61" i="62" s="1"/>
  <c r="C61" i="62"/>
  <c r="BE60" i="62"/>
  <c r="BC60" i="62"/>
  <c r="BB60" i="62" s="1"/>
  <c r="AY60" i="62"/>
  <c r="AU60" i="62"/>
  <c r="AW60" i="62" s="1"/>
  <c r="AQ60" i="62"/>
  <c r="AP60" i="62" s="1"/>
  <c r="AM60" i="62"/>
  <c r="AI60" i="62"/>
  <c r="AH60" i="62" s="1"/>
  <c r="AE60" i="62"/>
  <c r="AG60" i="62" s="1"/>
  <c r="AA60" i="62"/>
  <c r="AC60" i="62" s="1"/>
  <c r="W60" i="62"/>
  <c r="Y60" i="62" s="1"/>
  <c r="S60" i="62"/>
  <c r="C60" i="62"/>
  <c r="BC59" i="62"/>
  <c r="BE59" i="62" s="1"/>
  <c r="AY59" i="62"/>
  <c r="BA59" i="62" s="1"/>
  <c r="AU59" i="62"/>
  <c r="AT59" i="62" s="1"/>
  <c r="AQ59" i="62"/>
  <c r="AM59" i="62"/>
  <c r="AO59" i="62" s="1"/>
  <c r="AI59" i="62"/>
  <c r="AK59" i="62" s="1"/>
  <c r="AE59" i="62"/>
  <c r="AA59" i="62"/>
  <c r="AC59" i="62" s="1"/>
  <c r="W59" i="62"/>
  <c r="Y59" i="62" s="1"/>
  <c r="S59" i="62"/>
  <c r="R59" i="62" s="1"/>
  <c r="C59" i="62"/>
  <c r="BC58" i="62"/>
  <c r="BE58" i="62" s="1"/>
  <c r="AY58" i="62"/>
  <c r="BA58" i="62" s="1"/>
  <c r="AU58" i="62"/>
  <c r="AW58" i="62" s="1"/>
  <c r="AQ58" i="62"/>
  <c r="AP58" i="62" s="1"/>
  <c r="AM58" i="62"/>
  <c r="AO58" i="62" s="1"/>
  <c r="AI58" i="62"/>
  <c r="AK58" i="62" s="1"/>
  <c r="AG58" i="62"/>
  <c r="AE58" i="62"/>
  <c r="AD58" i="62"/>
  <c r="AA58" i="62"/>
  <c r="Z58" i="62" s="1"/>
  <c r="W58" i="62"/>
  <c r="Y58" i="62" s="1"/>
  <c r="S58" i="62"/>
  <c r="U58" i="62" s="1"/>
  <c r="C58" i="62"/>
  <c r="AW57" i="62"/>
  <c r="AT57" i="62"/>
  <c r="AP57" i="62"/>
  <c r="AK57" i="62"/>
  <c r="AH57" i="62"/>
  <c r="AG57" i="62"/>
  <c r="AD57" i="62"/>
  <c r="Z57" i="62"/>
  <c r="Y57" i="62"/>
  <c r="R57" i="62"/>
  <c r="C57" i="62"/>
  <c r="AE56" i="62"/>
  <c r="P56" i="62"/>
  <c r="K56" i="62"/>
  <c r="K55" i="62" s="1"/>
  <c r="K53" i="62" s="1"/>
  <c r="G56" i="62"/>
  <c r="G55" i="62" s="1"/>
  <c r="BD55" i="62"/>
  <c r="BD53" i="62" s="1"/>
  <c r="BD34" i="62" s="1"/>
  <c r="AZ55" i="62"/>
  <c r="AZ53" i="62" s="1"/>
  <c r="AV55" i="62"/>
  <c r="AR55" i="62"/>
  <c r="AR53" i="62" s="1"/>
  <c r="AN55" i="62"/>
  <c r="AN53" i="62" s="1"/>
  <c r="AN34" i="62" s="1"/>
  <c r="AJ55" i="62"/>
  <c r="AJ53" i="62" s="1"/>
  <c r="AF55" i="62"/>
  <c r="AF53" i="62" s="1"/>
  <c r="AB55" i="62"/>
  <c r="X55" i="62"/>
  <c r="T55" i="62"/>
  <c r="T53" i="62" s="1"/>
  <c r="T34" i="62" s="1"/>
  <c r="M55" i="62"/>
  <c r="M53" i="62" s="1"/>
  <c r="F55" i="62"/>
  <c r="BG54" i="62"/>
  <c r="BH54" i="62" s="1"/>
  <c r="BB54" i="62"/>
  <c r="AX54" i="62"/>
  <c r="AT54" i="62"/>
  <c r="AP54" i="62"/>
  <c r="AL54" i="62"/>
  <c r="AH54" i="62"/>
  <c r="AD54" i="62"/>
  <c r="Z54" i="62"/>
  <c r="V54" i="62"/>
  <c r="R54" i="62"/>
  <c r="N54" i="62"/>
  <c r="AV53" i="62"/>
  <c r="AB53" i="62"/>
  <c r="BG52" i="62"/>
  <c r="BE52" i="62"/>
  <c r="BB52" i="62"/>
  <c r="BA52" i="62"/>
  <c r="AX52" i="62"/>
  <c r="AW52" i="62"/>
  <c r="AT52" i="62"/>
  <c r="AS52" i="62"/>
  <c r="AP52" i="62"/>
  <c r="AO52" i="62"/>
  <c r="AL52" i="62"/>
  <c r="AK52" i="62"/>
  <c r="AH52" i="62"/>
  <c r="AG52" i="62"/>
  <c r="AD52" i="62"/>
  <c r="AC52" i="62"/>
  <c r="Z52" i="62"/>
  <c r="Y52" i="62"/>
  <c r="V52" i="62"/>
  <c r="U52" i="62"/>
  <c r="R52" i="62"/>
  <c r="O52" i="62"/>
  <c r="N52" i="62" s="1"/>
  <c r="C52" i="62"/>
  <c r="BE51" i="62"/>
  <c r="BB51" i="62"/>
  <c r="BA51" i="62"/>
  <c r="AW51" i="62"/>
  <c r="AT51" i="62"/>
  <c r="AS51" i="62"/>
  <c r="AO51" i="62"/>
  <c r="AL51" i="62"/>
  <c r="AK51" i="62"/>
  <c r="AG51" i="62"/>
  <c r="AD51" i="62"/>
  <c r="AC51" i="62"/>
  <c r="Z51" i="62"/>
  <c r="Y51" i="62"/>
  <c r="V51" i="62"/>
  <c r="C51" i="62"/>
  <c r="BC50" i="62"/>
  <c r="BE50" i="62" s="1"/>
  <c r="AY50" i="62"/>
  <c r="BA50" i="62" s="1"/>
  <c r="AU50" i="62"/>
  <c r="AQ50" i="62"/>
  <c r="AM50" i="62"/>
  <c r="AO50" i="62" s="1"/>
  <c r="AI50" i="62"/>
  <c r="AK50" i="62" s="1"/>
  <c r="AE50" i="62"/>
  <c r="AA50" i="62"/>
  <c r="AC50" i="62" s="1"/>
  <c r="W50" i="62"/>
  <c r="Y50" i="62" s="1"/>
  <c r="S50" i="62"/>
  <c r="U50" i="62" s="1"/>
  <c r="R50" i="62"/>
  <c r="C50" i="62"/>
  <c r="BG49" i="62"/>
  <c r="BE49" i="62"/>
  <c r="BB49" i="62"/>
  <c r="BA49" i="62"/>
  <c r="AX49" i="62"/>
  <c r="AW49" i="62"/>
  <c r="AT49" i="62"/>
  <c r="AS49" i="62"/>
  <c r="AP49" i="62"/>
  <c r="AO49" i="62"/>
  <c r="AL49" i="62"/>
  <c r="AK49" i="62"/>
  <c r="AH49" i="62"/>
  <c r="AG49" i="62"/>
  <c r="AD49" i="62"/>
  <c r="AC49" i="62"/>
  <c r="Z49" i="62"/>
  <c r="Y49" i="62"/>
  <c r="V49" i="62"/>
  <c r="U49" i="62"/>
  <c r="R49" i="62"/>
  <c r="O49" i="62"/>
  <c r="N49" i="62" s="1"/>
  <c r="BG48" i="62"/>
  <c r="BE48" i="62"/>
  <c r="BB48" i="62"/>
  <c r="BA48" i="62"/>
  <c r="AX48" i="62"/>
  <c r="AW48" i="62"/>
  <c r="AT48" i="62"/>
  <c r="AS48" i="62"/>
  <c r="AP48" i="62"/>
  <c r="AO48" i="62"/>
  <c r="AL48" i="62"/>
  <c r="AK48" i="62"/>
  <c r="AH48" i="62"/>
  <c r="AG48" i="62"/>
  <c r="AD48" i="62"/>
  <c r="AC48" i="62"/>
  <c r="Z48" i="62"/>
  <c r="Y48" i="62"/>
  <c r="V48" i="62"/>
  <c r="U48" i="62"/>
  <c r="R48" i="62"/>
  <c r="O48" i="62"/>
  <c r="BF48" i="62" s="1"/>
  <c r="N48" i="62"/>
  <c r="BC47" i="62"/>
  <c r="BB47" i="62" s="1"/>
  <c r="AQ47" i="62"/>
  <c r="AA47" i="62"/>
  <c r="Z47" i="62" s="1"/>
  <c r="M47" i="62"/>
  <c r="L47" i="62"/>
  <c r="K47" i="62"/>
  <c r="J47" i="62"/>
  <c r="I47" i="62"/>
  <c r="H47" i="62"/>
  <c r="G47" i="62"/>
  <c r="F47" i="62"/>
  <c r="E47" i="62"/>
  <c r="D47" i="62"/>
  <c r="BC43" i="62"/>
  <c r="BC41" i="62"/>
  <c r="AY41" i="62"/>
  <c r="AY43" i="62" s="1"/>
  <c r="AU41" i="62"/>
  <c r="AU43" i="62" s="1"/>
  <c r="AQ41" i="62"/>
  <c r="AQ43" i="62" s="1"/>
  <c r="AM41" i="62"/>
  <c r="AM43" i="62" s="1"/>
  <c r="AI41" i="62"/>
  <c r="AI43" i="62" s="1"/>
  <c r="AE41" i="62"/>
  <c r="AE43" i="62" s="1"/>
  <c r="AA41" i="62"/>
  <c r="AA43" i="62" s="1"/>
  <c r="W41" i="62"/>
  <c r="W43" i="62" s="1"/>
  <c r="S41" i="62"/>
  <c r="O40" i="62"/>
  <c r="O39" i="62"/>
  <c r="S38" i="62"/>
  <c r="O38" i="62" s="1"/>
  <c r="BG36" i="62"/>
  <c r="BH36" i="62" s="1"/>
  <c r="BB36" i="62"/>
  <c r="AX36" i="62"/>
  <c r="AT36" i="62"/>
  <c r="AP36" i="62"/>
  <c r="AL36" i="62"/>
  <c r="AH36" i="62"/>
  <c r="AD36" i="62"/>
  <c r="Z36" i="62"/>
  <c r="V36" i="62"/>
  <c r="R36" i="62"/>
  <c r="N36" i="62"/>
  <c r="BG33" i="62"/>
  <c r="BH33" i="62" s="1"/>
  <c r="BF33" i="62"/>
  <c r="BB33" i="62"/>
  <c r="AX33" i="62"/>
  <c r="AT33" i="62"/>
  <c r="AP33" i="62"/>
  <c r="AL33" i="62"/>
  <c r="AH33" i="62"/>
  <c r="AD33" i="62"/>
  <c r="Z33" i="62"/>
  <c r="V33" i="62"/>
  <c r="R33" i="62"/>
  <c r="N33" i="62"/>
  <c r="BG32" i="62"/>
  <c r="BH32" i="62" s="1"/>
  <c r="BB32" i="62"/>
  <c r="AX32" i="62"/>
  <c r="AT32" i="62"/>
  <c r="AP32" i="62"/>
  <c r="AL32" i="62"/>
  <c r="AH32" i="62"/>
  <c r="AD32" i="62"/>
  <c r="Z32" i="62"/>
  <c r="V32" i="62"/>
  <c r="R32" i="62"/>
  <c r="N32" i="62"/>
  <c r="BG31" i="62"/>
  <c r="BD31" i="62"/>
  <c r="BB31" i="62" s="1"/>
  <c r="AH31" i="62"/>
  <c r="Z31" i="62"/>
  <c r="O31" i="62"/>
  <c r="BF31" i="62" s="1"/>
  <c r="AR30" i="62"/>
  <c r="AP30" i="62" s="1"/>
  <c r="AL30" i="62"/>
  <c r="AB30" i="62"/>
  <c r="X30" i="62"/>
  <c r="V30" i="62" s="1"/>
  <c r="T30" i="62"/>
  <c r="R30" i="62" s="1"/>
  <c r="O30" i="62"/>
  <c r="BB29" i="62"/>
  <c r="AX29" i="62"/>
  <c r="AT29" i="62"/>
  <c r="AP29" i="62"/>
  <c r="AL29" i="62"/>
  <c r="AH29" i="62"/>
  <c r="AD29" i="62"/>
  <c r="Z29" i="62"/>
  <c r="V29" i="62"/>
  <c r="R29" i="62"/>
  <c r="P29" i="62"/>
  <c r="O29" i="62"/>
  <c r="BB28" i="62"/>
  <c r="AX28" i="62"/>
  <c r="AT28" i="62"/>
  <c r="AP28" i="62"/>
  <c r="AL28" i="62"/>
  <c r="AH28" i="62"/>
  <c r="AD28" i="62"/>
  <c r="Z28" i="62"/>
  <c r="V28" i="62"/>
  <c r="R28" i="62"/>
  <c r="P28" i="62"/>
  <c r="O28" i="62"/>
  <c r="BC27" i="62"/>
  <c r="BC26" i="62" s="1"/>
  <c r="AY27" i="62"/>
  <c r="AY26" i="62" s="1"/>
  <c r="AU27" i="62"/>
  <c r="AR27" i="62"/>
  <c r="AQ27" i="62"/>
  <c r="AQ26" i="62" s="1"/>
  <c r="AN27" i="62"/>
  <c r="AM27" i="62"/>
  <c r="AI27" i="62"/>
  <c r="AI26" i="62" s="1"/>
  <c r="AE27" i="62"/>
  <c r="AE26" i="62" s="1"/>
  <c r="AA27" i="62"/>
  <c r="AA26" i="62" s="1"/>
  <c r="W27" i="62"/>
  <c r="T27" i="62"/>
  <c r="S27" i="62"/>
  <c r="S26" i="62" s="1"/>
  <c r="AU26" i="62"/>
  <c r="W26" i="62"/>
  <c r="C25" i="62"/>
  <c r="BE24" i="62"/>
  <c r="BC24" i="62"/>
  <c r="BC25" i="62" s="1"/>
  <c r="BB24" i="62"/>
  <c r="AY24" i="62"/>
  <c r="AY25" i="62" s="1"/>
  <c r="AX25" i="62" s="1"/>
  <c r="AU24" i="62"/>
  <c r="AW24" i="62" s="1"/>
  <c r="AQ24" i="62"/>
  <c r="AS24" i="62" s="1"/>
  <c r="AM24" i="62"/>
  <c r="AO24" i="62" s="1"/>
  <c r="AI24" i="62"/>
  <c r="AK24" i="62" s="1"/>
  <c r="AE24" i="62"/>
  <c r="AG24" i="62" s="1"/>
  <c r="AA24" i="62"/>
  <c r="AC24" i="62" s="1"/>
  <c r="W24" i="62"/>
  <c r="W25" i="62" s="1"/>
  <c r="V24" i="62"/>
  <c r="S24" i="62"/>
  <c r="S25" i="62" s="1"/>
  <c r="R25" i="62" s="1"/>
  <c r="C24" i="62"/>
  <c r="C23" i="62" s="1"/>
  <c r="C22" i="62" s="1"/>
  <c r="M23" i="62"/>
  <c r="M22" i="62" s="1"/>
  <c r="L23" i="62"/>
  <c r="L22" i="62" s="1"/>
  <c r="K23" i="62"/>
  <c r="K22" i="62" s="1"/>
  <c r="J23" i="62"/>
  <c r="J22" i="62" s="1"/>
  <c r="I23" i="62"/>
  <c r="I22" i="62" s="1"/>
  <c r="H23" i="62"/>
  <c r="H22" i="62" s="1"/>
  <c r="G23" i="62"/>
  <c r="F23" i="62"/>
  <c r="E23" i="62"/>
  <c r="E22" i="62" s="1"/>
  <c r="D23" i="62"/>
  <c r="D22" i="62" s="1"/>
  <c r="G22" i="62"/>
  <c r="F22" i="62"/>
  <c r="BG21" i="62"/>
  <c r="BH21" i="62" s="1"/>
  <c r="BB21" i="62"/>
  <c r="AX21" i="62"/>
  <c r="AT21" i="62"/>
  <c r="AP21" i="62"/>
  <c r="AL21" i="62"/>
  <c r="AH21" i="62"/>
  <c r="AD21" i="62"/>
  <c r="Z21" i="62"/>
  <c r="V21" i="62"/>
  <c r="R21" i="62"/>
  <c r="N21" i="62"/>
  <c r="C21" i="62"/>
  <c r="BF21" i="62" s="1"/>
  <c r="BG20" i="62"/>
  <c r="BH20" i="62" s="1"/>
  <c r="BB20" i="62"/>
  <c r="AX20" i="62"/>
  <c r="AT20" i="62"/>
  <c r="AP20" i="62"/>
  <c r="AL20" i="62"/>
  <c r="AH20" i="62"/>
  <c r="AD20" i="62"/>
  <c r="Z20" i="62"/>
  <c r="V20" i="62"/>
  <c r="R20" i="62"/>
  <c r="N20" i="62"/>
  <c r="C20" i="62"/>
  <c r="BF20" i="62" s="1"/>
  <c r="BB19" i="62"/>
  <c r="AX19" i="62"/>
  <c r="AT19" i="62"/>
  <c r="AP19" i="62"/>
  <c r="AL19" i="62"/>
  <c r="AH19" i="62"/>
  <c r="AG19" i="62"/>
  <c r="O19" i="62"/>
  <c r="BF19" i="62" s="1"/>
  <c r="R19" i="62"/>
  <c r="BE19" i="62"/>
  <c r="L17" i="62"/>
  <c r="L15" i="62" s="1"/>
  <c r="L14" i="62" s="1"/>
  <c r="L37" i="62" s="1"/>
  <c r="AO19" i="62"/>
  <c r="C19" i="62"/>
  <c r="BB18" i="62"/>
  <c r="BA18" i="62"/>
  <c r="AQ17" i="62"/>
  <c r="AP17" i="62" s="1"/>
  <c r="AL18" i="62"/>
  <c r="AH18" i="62"/>
  <c r="AD18" i="62"/>
  <c r="AC18" i="62"/>
  <c r="Z18" i="62"/>
  <c r="V18" i="62"/>
  <c r="R18" i="62"/>
  <c r="O18" i="62"/>
  <c r="K17" i="62"/>
  <c r="K15" i="62" s="1"/>
  <c r="J17" i="62"/>
  <c r="J15" i="62" s="1"/>
  <c r="G17" i="62"/>
  <c r="G15" i="62" s="1"/>
  <c r="F17" i="62"/>
  <c r="F15" i="62" s="1"/>
  <c r="E17" i="62"/>
  <c r="E15" i="62" s="1"/>
  <c r="BC17" i="62"/>
  <c r="BC15" i="62" s="1"/>
  <c r="BB15" i="62" s="1"/>
  <c r="AY17" i="62"/>
  <c r="AY15" i="62" s="1"/>
  <c r="AA17" i="62"/>
  <c r="Z17" i="62" s="1"/>
  <c r="S17" i="62"/>
  <c r="I17" i="62"/>
  <c r="I15" i="62" s="1"/>
  <c r="H17" i="62"/>
  <c r="H15" i="62" s="1"/>
  <c r="H14" i="62" s="1"/>
  <c r="H37" i="62" s="1"/>
  <c r="D17" i="62"/>
  <c r="BE16" i="62"/>
  <c r="AX16" i="62"/>
  <c r="AT16" i="62"/>
  <c r="AS16" i="62"/>
  <c r="AL16" i="62"/>
  <c r="AH16" i="62"/>
  <c r="AD16" i="62"/>
  <c r="AC16" i="62"/>
  <c r="Z16" i="62"/>
  <c r="V16" i="62"/>
  <c r="R16" i="62"/>
  <c r="BA16" i="62"/>
  <c r="AK16" i="62"/>
  <c r="U16" i="62"/>
  <c r="S15" i="62"/>
  <c r="R15" i="62" s="1"/>
  <c r="Y24" i="62" l="1"/>
  <c r="R27" i="62"/>
  <c r="W47" i="62"/>
  <c r="V47" i="62" s="1"/>
  <c r="Z65" i="62"/>
  <c r="AX67" i="62"/>
  <c r="AU78" i="62"/>
  <c r="AX81" i="62"/>
  <c r="BF52" i="62"/>
  <c r="AU56" i="62"/>
  <c r="AT56" i="62" s="1"/>
  <c r="AX58" i="62"/>
  <c r="V60" i="62"/>
  <c r="AX61" i="62"/>
  <c r="AL62" i="62"/>
  <c r="AW63" i="62"/>
  <c r="AL73" i="62"/>
  <c r="BB73" i="62"/>
  <c r="J14" i="62"/>
  <c r="J37" i="62" s="1"/>
  <c r="BH48" i="62"/>
  <c r="BG80" i="62"/>
  <c r="K34" i="62"/>
  <c r="K39" i="62" s="1"/>
  <c r="G53" i="62"/>
  <c r="G34" i="62" s="1"/>
  <c r="G39" i="62" s="1"/>
  <c r="BB58" i="62"/>
  <c r="BB59" i="62"/>
  <c r="AT60" i="62"/>
  <c r="Z62" i="62"/>
  <c r="R64" i="62"/>
  <c r="Z73" i="62"/>
  <c r="AS79" i="62"/>
  <c r="AT80" i="62"/>
  <c r="O81" i="62"/>
  <c r="N81" i="62" s="1"/>
  <c r="AS58" i="62"/>
  <c r="BF68" i="62"/>
  <c r="AP24" i="62"/>
  <c r="AL27" i="62"/>
  <c r="Q48" i="62"/>
  <c r="AL50" i="62"/>
  <c r="AX50" i="62"/>
  <c r="U59" i="62"/>
  <c r="AH59" i="62"/>
  <c r="AG61" i="62"/>
  <c r="AL64" i="62"/>
  <c r="AX64" i="62"/>
  <c r="AL65" i="62"/>
  <c r="BE65" i="62"/>
  <c r="Z66" i="62"/>
  <c r="AT66" i="62"/>
  <c r="AG67" i="62"/>
  <c r="BH75" i="62"/>
  <c r="V77" i="62"/>
  <c r="AO77" i="62"/>
  <c r="BB77" i="62"/>
  <c r="Z79" i="62"/>
  <c r="AD80" i="62"/>
  <c r="AE25" i="62"/>
  <c r="AD25" i="62" s="1"/>
  <c r="G14" i="62"/>
  <c r="G37" i="62" s="1"/>
  <c r="AT24" i="62"/>
  <c r="AQ25" i="62"/>
  <c r="AP25" i="62" s="1"/>
  <c r="O41" i="62"/>
  <c r="O43" i="62" s="1"/>
  <c r="AC47" i="62"/>
  <c r="P55" i="62"/>
  <c r="AO66" i="62"/>
  <c r="AX66" i="62"/>
  <c r="R67" i="62"/>
  <c r="BH70" i="62"/>
  <c r="AE78" i="62"/>
  <c r="I14" i="62"/>
  <c r="I37" i="62" s="1"/>
  <c r="AU25" i="62"/>
  <c r="AT25" i="62" s="1"/>
  <c r="N28" i="62"/>
  <c r="N29" i="62"/>
  <c r="AM47" i="62"/>
  <c r="AL47" i="62" s="1"/>
  <c r="F53" i="62"/>
  <c r="F34" i="62" s="1"/>
  <c r="F39" i="62" s="1"/>
  <c r="AQ78" i="62"/>
  <c r="AS78" i="62" s="1"/>
  <c r="C90" i="62"/>
  <c r="BB25" i="62"/>
  <c r="BC23" i="62"/>
  <c r="BB23" i="62" s="1"/>
  <c r="W23" i="62"/>
  <c r="V25" i="62"/>
  <c r="BH49" i="62"/>
  <c r="X53" i="62"/>
  <c r="BG58" i="62"/>
  <c r="E14" i="62"/>
  <c r="E37" i="62" s="1"/>
  <c r="K14" i="62"/>
  <c r="K37" i="62" s="1"/>
  <c r="O24" i="62"/>
  <c r="AD24" i="62"/>
  <c r="AL24" i="62"/>
  <c r="BA24" i="62"/>
  <c r="AP27" i="62"/>
  <c r="V50" i="62"/>
  <c r="AH50" i="62"/>
  <c r="BH52" i="62"/>
  <c r="AC57" i="62"/>
  <c r="AS57" i="62"/>
  <c r="V58" i="62"/>
  <c r="AL58" i="62"/>
  <c r="AT58" i="62"/>
  <c r="V59" i="62"/>
  <c r="AL59" i="62"/>
  <c r="AX59" i="62"/>
  <c r="AD60" i="62"/>
  <c r="AK60" i="62"/>
  <c r="AS60" i="62"/>
  <c r="AC61" i="62"/>
  <c r="AH61" i="62"/>
  <c r="AO61" i="62"/>
  <c r="AW61" i="62"/>
  <c r="AH62" i="62"/>
  <c r="V64" i="62"/>
  <c r="AH64" i="62"/>
  <c r="Y65" i="62"/>
  <c r="AT65" i="62"/>
  <c r="AD66" i="62"/>
  <c r="AS66" i="62"/>
  <c r="AW67" i="62"/>
  <c r="BH71" i="62"/>
  <c r="V73" i="62"/>
  <c r="AT73" i="62"/>
  <c r="O77" i="62"/>
  <c r="N77" i="62" s="1"/>
  <c r="AP78" i="62"/>
  <c r="R80" i="62"/>
  <c r="AC80" i="62"/>
  <c r="AH80" i="62"/>
  <c r="AS80" i="62"/>
  <c r="AX80" i="62"/>
  <c r="BF81" i="62"/>
  <c r="BF82" i="62"/>
  <c r="N87" i="62"/>
  <c r="AA25" i="62"/>
  <c r="Z25" i="62" s="1"/>
  <c r="AM25" i="62"/>
  <c r="X27" i="62"/>
  <c r="X26" i="62" s="1"/>
  <c r="X22" i="62" s="1"/>
  <c r="X14" i="62" s="1"/>
  <c r="BH31" i="62"/>
  <c r="S43" i="62"/>
  <c r="AA63" i="62"/>
  <c r="Z63" i="62" s="1"/>
  <c r="BH87" i="62"/>
  <c r="AR92" i="62"/>
  <c r="AE23" i="62"/>
  <c r="AD23" i="62" s="1"/>
  <c r="U24" i="62"/>
  <c r="Z24" i="62"/>
  <c r="BB50" i="62"/>
  <c r="R58" i="62"/>
  <c r="AH58" i="62"/>
  <c r="Z59" i="62"/>
  <c r="Z60" i="62"/>
  <c r="BB64" i="62"/>
  <c r="AK65" i="62"/>
  <c r="AP65" i="62"/>
  <c r="AH66" i="62"/>
  <c r="AH67" i="62"/>
  <c r="BH69" i="62"/>
  <c r="AP73" i="62"/>
  <c r="BH74" i="62"/>
  <c r="BH76" i="62"/>
  <c r="U77" i="62"/>
  <c r="Z77" i="62"/>
  <c r="AK77" i="62"/>
  <c r="AP77" i="62"/>
  <c r="BA77" i="62"/>
  <c r="AA78" i="62"/>
  <c r="Y79" i="62"/>
  <c r="AD79" i="62"/>
  <c r="AO79" i="62"/>
  <c r="AT79" i="62"/>
  <c r="BE79" i="62"/>
  <c r="C16" i="62"/>
  <c r="AW16" i="62"/>
  <c r="BB16" i="62"/>
  <c r="M17" i="62"/>
  <c r="M15" i="62" s="1"/>
  <c r="M14" i="62" s="1"/>
  <c r="M37" i="62" s="1"/>
  <c r="AX17" i="62"/>
  <c r="AP18" i="62"/>
  <c r="AX18" i="62"/>
  <c r="V19" i="62"/>
  <c r="AD19" i="62"/>
  <c r="F14" i="62"/>
  <c r="F37" i="62" s="1"/>
  <c r="AB93" i="62"/>
  <c r="AB92" i="62" s="1"/>
  <c r="AB34" i="62" s="1"/>
  <c r="BC95" i="62"/>
  <c r="BD30" i="62" s="1"/>
  <c r="Y16" i="62"/>
  <c r="Y19" i="62"/>
  <c r="AP51" i="62"/>
  <c r="AS18" i="62"/>
  <c r="AP16" i="62"/>
  <c r="AC19" i="62"/>
  <c r="AS19" i="62"/>
  <c r="W95" i="62"/>
  <c r="U17" i="62"/>
  <c r="C18" i="62"/>
  <c r="BF18" i="62" s="1"/>
  <c r="AW18" i="62"/>
  <c r="AU17" i="62"/>
  <c r="D55" i="62"/>
  <c r="Y67" i="62"/>
  <c r="BG67" i="62"/>
  <c r="V67" i="62"/>
  <c r="AG23" i="62"/>
  <c r="AU23" i="62"/>
  <c r="V26" i="62"/>
  <c r="Z30" i="62"/>
  <c r="AB27" i="62"/>
  <c r="AD50" i="62"/>
  <c r="AE47" i="62"/>
  <c r="O50" i="62"/>
  <c r="AT50" i="62"/>
  <c r="AU47" i="62"/>
  <c r="AW50" i="62"/>
  <c r="AG56" i="62"/>
  <c r="AE55" i="62"/>
  <c r="AD56" i="62"/>
  <c r="BA57" i="62"/>
  <c r="AX57" i="62"/>
  <c r="AY56" i="62"/>
  <c r="AS59" i="62"/>
  <c r="AP59" i="62"/>
  <c r="BG66" i="62"/>
  <c r="U66" i="62"/>
  <c r="O66" i="62"/>
  <c r="BF66" i="62" s="1"/>
  <c r="R66" i="62"/>
  <c r="R93" i="62"/>
  <c r="O93" i="62"/>
  <c r="S92" i="62"/>
  <c r="AV93" i="62"/>
  <c r="AV92" i="62" s="1"/>
  <c r="AV31" i="62" s="1"/>
  <c r="AT31" i="62" s="1"/>
  <c r="AU92" i="62"/>
  <c r="BG93" i="62"/>
  <c r="BG19" i="62"/>
  <c r="BH19" i="62" s="1"/>
  <c r="C47" i="62"/>
  <c r="R51" i="62"/>
  <c r="BG51" i="62"/>
  <c r="S47" i="62"/>
  <c r="U51" i="62"/>
  <c r="AL57" i="62"/>
  <c r="AO57" i="62"/>
  <c r="AD59" i="62"/>
  <c r="O59" i="62"/>
  <c r="BF59" i="62" s="1"/>
  <c r="BG59" i="62"/>
  <c r="AG59" i="62"/>
  <c r="AS64" i="62"/>
  <c r="AP64" i="62"/>
  <c r="AA15" i="62"/>
  <c r="BE15" i="62"/>
  <c r="AC17" i="62"/>
  <c r="AI17" i="62"/>
  <c r="BE17" i="62"/>
  <c r="Y18" i="62"/>
  <c r="AK18" i="62"/>
  <c r="BE18" i="62"/>
  <c r="Q19" i="62"/>
  <c r="AK19" i="62"/>
  <c r="AW19" i="62"/>
  <c r="BC22" i="62"/>
  <c r="BC14" i="62" s="1"/>
  <c r="AH24" i="62"/>
  <c r="BG24" i="62"/>
  <c r="BH24" i="62" s="1"/>
  <c r="O27" i="62"/>
  <c r="AP47" i="62"/>
  <c r="AS47" i="62"/>
  <c r="AS50" i="62"/>
  <c r="AP50" i="62"/>
  <c r="BG50" i="62"/>
  <c r="BH50" i="62" s="1"/>
  <c r="BA60" i="62"/>
  <c r="AX60" i="62"/>
  <c r="BE61" i="62"/>
  <c r="BB61" i="62"/>
  <c r="C63" i="62"/>
  <c r="S63" i="62"/>
  <c r="AI63" i="62"/>
  <c r="H56" i="62"/>
  <c r="H55" i="62" s="1"/>
  <c r="H53" i="62" s="1"/>
  <c r="H34" i="62" s="1"/>
  <c r="H39" i="62" s="1"/>
  <c r="BA63" i="62"/>
  <c r="AX63" i="62"/>
  <c r="AC64" i="62"/>
  <c r="Z64" i="62"/>
  <c r="BG64" i="62"/>
  <c r="O64" i="62"/>
  <c r="BF64" i="62" s="1"/>
  <c r="AX65" i="62"/>
  <c r="O65" i="62"/>
  <c r="BF65" i="62" s="1"/>
  <c r="BA65" i="62"/>
  <c r="D15" i="62"/>
  <c r="U15" i="62" s="1"/>
  <c r="AQ15" i="62"/>
  <c r="AX15" i="62"/>
  <c r="AG16" i="62"/>
  <c r="W17" i="62"/>
  <c r="AS17" i="62"/>
  <c r="BA17" i="62"/>
  <c r="BG18" i="62"/>
  <c r="BH18" i="62" s="1"/>
  <c r="AG18" i="62"/>
  <c r="AE17" i="62"/>
  <c r="BA15" i="62"/>
  <c r="O16" i="62"/>
  <c r="AO16" i="62"/>
  <c r="BG16" i="62"/>
  <c r="R17" i="62"/>
  <c r="AM17" i="62"/>
  <c r="BB17" i="62"/>
  <c r="N18" i="62"/>
  <c r="U18" i="62"/>
  <c r="AO18" i="62"/>
  <c r="AT18" i="62"/>
  <c r="N19" i="62"/>
  <c r="U19" i="62"/>
  <c r="Z19" i="62"/>
  <c r="BA19" i="62"/>
  <c r="BE23" i="62"/>
  <c r="R24" i="62"/>
  <c r="S23" i="62"/>
  <c r="AX24" i="62"/>
  <c r="AY23" i="62"/>
  <c r="AI25" i="62"/>
  <c r="AI23" i="62" s="1"/>
  <c r="AM26" i="62"/>
  <c r="O26" i="62" s="1"/>
  <c r="AG50" i="62"/>
  <c r="O51" i="62"/>
  <c r="L56" i="62"/>
  <c r="L55" i="62" s="1"/>
  <c r="L53" i="62" s="1"/>
  <c r="L34" i="62" s="1"/>
  <c r="L39" i="62" s="1"/>
  <c r="O60" i="62"/>
  <c r="BF60" i="62" s="1"/>
  <c r="AP62" i="62"/>
  <c r="AS62" i="62"/>
  <c r="AO67" i="62"/>
  <c r="AL67" i="62"/>
  <c r="BB57" i="62"/>
  <c r="BG60" i="62"/>
  <c r="BH60" i="62" s="1"/>
  <c r="R60" i="62"/>
  <c r="AL60" i="62"/>
  <c r="AO60" i="62"/>
  <c r="AP61" i="62"/>
  <c r="AS61" i="62"/>
  <c r="W63" i="62"/>
  <c r="E56" i="62"/>
  <c r="E55" i="62" s="1"/>
  <c r="E53" i="62" s="1"/>
  <c r="E34" i="62" s="1"/>
  <c r="E39" i="62" s="1"/>
  <c r="AM63" i="62"/>
  <c r="AM56" i="62" s="1"/>
  <c r="I56" i="62"/>
  <c r="I55" i="62" s="1"/>
  <c r="I53" i="62" s="1"/>
  <c r="I34" i="62" s="1"/>
  <c r="I39" i="62" s="1"/>
  <c r="AC63" i="62"/>
  <c r="AA56" i="62"/>
  <c r="AD64" i="62"/>
  <c r="AG64" i="62"/>
  <c r="Z67" i="62"/>
  <c r="AC67" i="62"/>
  <c r="AG73" i="62"/>
  <c r="AD73" i="62"/>
  <c r="AY95" i="62"/>
  <c r="V27" i="62"/>
  <c r="M34" i="62"/>
  <c r="M39" i="62" s="1"/>
  <c r="Y47" i="62"/>
  <c r="BE47" i="62"/>
  <c r="Z50" i="62"/>
  <c r="AH51" i="62"/>
  <c r="AI47" i="62"/>
  <c r="AW56" i="62"/>
  <c r="AU55" i="62"/>
  <c r="BG57" i="62"/>
  <c r="U57" i="62"/>
  <c r="O57" i="62"/>
  <c r="BE57" i="62"/>
  <c r="AW59" i="62"/>
  <c r="U60" i="62"/>
  <c r="Y62" i="62"/>
  <c r="V62" i="62"/>
  <c r="BG62" i="62"/>
  <c r="O62" i="62"/>
  <c r="BF62" i="62" s="1"/>
  <c r="AG62" i="62"/>
  <c r="BE62" i="62"/>
  <c r="BB62" i="62"/>
  <c r="AP63" i="62"/>
  <c r="AQ56" i="62"/>
  <c r="BC63" i="62"/>
  <c r="R73" i="62"/>
  <c r="BG73" i="62"/>
  <c r="O73" i="62"/>
  <c r="AH73" i="62"/>
  <c r="AK73" i="62"/>
  <c r="R82" i="62"/>
  <c r="S78" i="62"/>
  <c r="BG82" i="62"/>
  <c r="BH82" i="62" s="1"/>
  <c r="AX82" i="62"/>
  <c r="AY78" i="62"/>
  <c r="N90" i="62"/>
  <c r="BH90" i="62"/>
  <c r="Q90" i="62"/>
  <c r="BF49" i="62"/>
  <c r="Q49" i="62"/>
  <c r="AX51" i="62"/>
  <c r="AY47" i="62"/>
  <c r="Q52" i="62"/>
  <c r="V57" i="62"/>
  <c r="W56" i="62"/>
  <c r="AC58" i="62"/>
  <c r="BE66" i="62"/>
  <c r="BH72" i="62"/>
  <c r="U73" i="62"/>
  <c r="V80" i="62"/>
  <c r="W78" i="62"/>
  <c r="Y80" i="62"/>
  <c r="AL80" i="62"/>
  <c r="AM78" i="62"/>
  <c r="AO80" i="62"/>
  <c r="BB80" i="62"/>
  <c r="BC78" i="62"/>
  <c r="BE80" i="62"/>
  <c r="R65" i="62"/>
  <c r="BG65" i="62"/>
  <c r="BH65" i="62" s="1"/>
  <c r="N68" i="62"/>
  <c r="Q77" i="62"/>
  <c r="AD77" i="62"/>
  <c r="AG77" i="62"/>
  <c r="AT77" i="62"/>
  <c r="AW77" i="62"/>
  <c r="J56" i="62"/>
  <c r="J55" i="62" s="1"/>
  <c r="J53" i="62" s="1"/>
  <c r="J34" i="62" s="1"/>
  <c r="J39" i="62" s="1"/>
  <c r="O58" i="62"/>
  <c r="U61" i="62"/>
  <c r="O61" i="62"/>
  <c r="BF61" i="62" s="1"/>
  <c r="BG61" i="62"/>
  <c r="AW62" i="62"/>
  <c r="AG63" i="62"/>
  <c r="AW64" i="62"/>
  <c r="U65" i="62"/>
  <c r="Y66" i="62"/>
  <c r="AS67" i="62"/>
  <c r="BA73" i="62"/>
  <c r="Y76" i="62"/>
  <c r="C76" i="62"/>
  <c r="Q76" i="62" s="1"/>
  <c r="AH93" i="62"/>
  <c r="AJ92" i="62"/>
  <c r="AJ34" i="62" s="1"/>
  <c r="AD78" i="62"/>
  <c r="AG78" i="62"/>
  <c r="AT78" i="62"/>
  <c r="AW78" i="62"/>
  <c r="AI95" i="62"/>
  <c r="AF93" i="62"/>
  <c r="AF92" i="62" s="1"/>
  <c r="AF30" i="62" s="1"/>
  <c r="AE92" i="62"/>
  <c r="O67" i="62"/>
  <c r="BF67" i="62" s="1"/>
  <c r="R79" i="62"/>
  <c r="BG79" i="62"/>
  <c r="U79" i="62"/>
  <c r="O79" i="62"/>
  <c r="AH79" i="62"/>
  <c r="AK79" i="62"/>
  <c r="AX79" i="62"/>
  <c r="BA79" i="62"/>
  <c r="AH82" i="62"/>
  <c r="AI78" i="62"/>
  <c r="AL92" i="62"/>
  <c r="AX93" i="62"/>
  <c r="AZ92" i="62"/>
  <c r="AX92" i="62" s="1"/>
  <c r="BG77" i="62"/>
  <c r="BG81" i="62"/>
  <c r="BH81" i="62" s="1"/>
  <c r="AP92" i="62"/>
  <c r="V93" i="62"/>
  <c r="AL93" i="62"/>
  <c r="BB93" i="62"/>
  <c r="AM98" i="62"/>
  <c r="O80" i="62"/>
  <c r="U80" i="62"/>
  <c r="V92" i="62"/>
  <c r="BH58" i="62" l="1"/>
  <c r="BF58" i="62"/>
  <c r="C17" i="62"/>
  <c r="BH66" i="62"/>
  <c r="Z92" i="62"/>
  <c r="BF77" i="62"/>
  <c r="AO47" i="62"/>
  <c r="AQ23" i="62"/>
  <c r="BH77" i="62"/>
  <c r="AM23" i="62"/>
  <c r="AL25" i="62"/>
  <c r="AD93" i="62"/>
  <c r="Q24" i="62"/>
  <c r="BF24" i="62"/>
  <c r="N24" i="62"/>
  <c r="Y23" i="62"/>
  <c r="W22" i="62"/>
  <c r="V23" i="62"/>
  <c r="BF76" i="62"/>
  <c r="BH62" i="62"/>
  <c r="AA23" i="62"/>
  <c r="BH59" i="62"/>
  <c r="BG25" i="62"/>
  <c r="AR34" i="62"/>
  <c r="AR31" i="62"/>
  <c r="P53" i="62"/>
  <c r="X34" i="62"/>
  <c r="X9" i="62" s="1"/>
  <c r="AE22" i="62"/>
  <c r="AC78" i="62"/>
  <c r="Z78" i="62"/>
  <c r="P93" i="62"/>
  <c r="P92" i="62" s="1"/>
  <c r="BB30" i="62"/>
  <c r="BD27" i="62"/>
  <c r="Z93" i="62"/>
  <c r="AL56" i="62"/>
  <c r="AM55" i="62"/>
  <c r="AO56" i="62"/>
  <c r="BC37" i="62"/>
  <c r="BE14" i="62"/>
  <c r="BC2" i="62"/>
  <c r="Q80" i="62"/>
  <c r="BF80" i="62"/>
  <c r="N80" i="62"/>
  <c r="Q79" i="62"/>
  <c r="BF79" i="62"/>
  <c r="N79" i="62"/>
  <c r="Y78" i="62"/>
  <c r="V78" i="62"/>
  <c r="BE63" i="62"/>
  <c r="BB63" i="62"/>
  <c r="AU53" i="62"/>
  <c r="AW55" i="62"/>
  <c r="AT55" i="62"/>
  <c r="AC56" i="62"/>
  <c r="AA55" i="62"/>
  <c r="Z56" i="62"/>
  <c r="AM15" i="62"/>
  <c r="AL17" i="62"/>
  <c r="AO17" i="62"/>
  <c r="AG17" i="62"/>
  <c r="AE15" i="62"/>
  <c r="AD17" i="62"/>
  <c r="N64" i="62"/>
  <c r="Q64" i="62"/>
  <c r="U63" i="62"/>
  <c r="O63" i="62"/>
  <c r="BG63" i="62"/>
  <c r="S56" i="62"/>
  <c r="R63" i="62"/>
  <c r="AH23" i="62"/>
  <c r="AI22" i="62"/>
  <c r="AK23" i="62"/>
  <c r="AK17" i="62"/>
  <c r="AI15" i="62"/>
  <c r="AH17" i="62"/>
  <c r="U47" i="62"/>
  <c r="O47" i="62"/>
  <c r="BG47" i="62"/>
  <c r="R47" i="62"/>
  <c r="O92" i="62"/>
  <c r="N92" i="62" s="1"/>
  <c r="N93" i="62"/>
  <c r="AT23" i="62"/>
  <c r="AW23" i="62"/>
  <c r="AU22" i="62"/>
  <c r="N67" i="62"/>
  <c r="Q67" i="62"/>
  <c r="AO78" i="62"/>
  <c r="AL78" i="62"/>
  <c r="N73" i="62"/>
  <c r="Q73" i="62"/>
  <c r="BF73" i="62"/>
  <c r="Q57" i="62"/>
  <c r="BF57" i="62"/>
  <c r="N57" i="62"/>
  <c r="AZ30" i="62"/>
  <c r="Q51" i="62"/>
  <c r="N51" i="62"/>
  <c r="BF51" i="62"/>
  <c r="BH64" i="62"/>
  <c r="BF26" i="62"/>
  <c r="AX56" i="62"/>
  <c r="AY55" i="62"/>
  <c r="BA56" i="62"/>
  <c r="AE53" i="62"/>
  <c r="AG55" i="62"/>
  <c r="AD55" i="62"/>
  <c r="Z27" i="62"/>
  <c r="AB26" i="62"/>
  <c r="C56" i="62"/>
  <c r="AN31" i="62"/>
  <c r="AZ34" i="62"/>
  <c r="AZ31" i="62"/>
  <c r="AX31" i="62" s="1"/>
  <c r="AH78" i="62"/>
  <c r="AK78" i="62"/>
  <c r="BH79" i="62"/>
  <c r="AE95" i="62"/>
  <c r="AE98" i="62"/>
  <c r="AD92" i="62"/>
  <c r="AH92" i="62"/>
  <c r="N58" i="62"/>
  <c r="Q58" i="62"/>
  <c r="BE78" i="62"/>
  <c r="BB78" i="62"/>
  <c r="V56" i="62"/>
  <c r="W55" i="62"/>
  <c r="Y56" i="62"/>
  <c r="BH80" i="62"/>
  <c r="BH73" i="62"/>
  <c r="N62" i="62"/>
  <c r="Q62" i="62"/>
  <c r="AK47" i="62"/>
  <c r="AH47" i="62"/>
  <c r="V63" i="62"/>
  <c r="Y63" i="62"/>
  <c r="U23" i="62"/>
  <c r="BG23" i="62"/>
  <c r="R23" i="62"/>
  <c r="S22" i="62"/>
  <c r="AG22" i="62"/>
  <c r="BH16" i="62"/>
  <c r="W15" i="62"/>
  <c r="Y17" i="62"/>
  <c r="V17" i="62"/>
  <c r="AS15" i="62"/>
  <c r="AP15" i="62"/>
  <c r="Q65" i="62"/>
  <c r="N65" i="62"/>
  <c r="AV34" i="62"/>
  <c r="BG26" i="62"/>
  <c r="BH26" i="62" s="1"/>
  <c r="N59" i="62"/>
  <c r="Q59" i="62"/>
  <c r="Q18" i="62"/>
  <c r="AT93" i="62"/>
  <c r="N50" i="62"/>
  <c r="Q50" i="62"/>
  <c r="BF50" i="62"/>
  <c r="C55" i="62"/>
  <c r="D53" i="62"/>
  <c r="AM22" i="62"/>
  <c r="Q61" i="62"/>
  <c r="N61" i="62"/>
  <c r="O78" i="62"/>
  <c r="R78" i="62"/>
  <c r="BG78" i="62"/>
  <c r="U78" i="62"/>
  <c r="AO63" i="62"/>
  <c r="AL63" i="62"/>
  <c r="BA23" i="62"/>
  <c r="AY22" i="62"/>
  <c r="AX23" i="62"/>
  <c r="N16" i="62"/>
  <c r="BF16" i="62"/>
  <c r="Q16" i="62"/>
  <c r="AC15" i="62"/>
  <c r="Z15" i="62"/>
  <c r="AU95" i="62"/>
  <c r="AT92" i="62"/>
  <c r="AT47" i="62"/>
  <c r="AW47" i="62"/>
  <c r="BA47" i="62"/>
  <c r="AX47" i="62"/>
  <c r="AX78" i="62"/>
  <c r="BA78" i="62"/>
  <c r="AS56" i="62"/>
  <c r="AQ55" i="62"/>
  <c r="AP56" i="62"/>
  <c r="BC56" i="62"/>
  <c r="Z23" i="62"/>
  <c r="AC23" i="62"/>
  <c r="AA22" i="62"/>
  <c r="AA14" i="62" s="1"/>
  <c r="BH51" i="62"/>
  <c r="AF27" i="62"/>
  <c r="AD30" i="62"/>
  <c r="AJ30" i="62"/>
  <c r="BH61" i="62"/>
  <c r="BH57" i="62"/>
  <c r="Q60" i="62"/>
  <c r="N60" i="62"/>
  <c r="AH25" i="62"/>
  <c r="O25" i="62"/>
  <c r="BG17" i="62"/>
  <c r="D14" i="62"/>
  <c r="C15" i="62"/>
  <c r="AK63" i="62"/>
  <c r="AH63" i="62"/>
  <c r="AI56" i="62"/>
  <c r="AF34" i="62"/>
  <c r="BE22" i="62"/>
  <c r="BH93" i="62"/>
  <c r="S95" i="62"/>
  <c r="R92" i="62"/>
  <c r="S98" i="62"/>
  <c r="BG92" i="62"/>
  <c r="BH92" i="62" s="1"/>
  <c r="Q66" i="62"/>
  <c r="N66" i="62"/>
  <c r="AD47" i="62"/>
  <c r="AG47" i="62"/>
  <c r="BH67" i="62"/>
  <c r="AT17" i="62"/>
  <c r="AW17" i="62"/>
  <c r="AU15" i="62"/>
  <c r="O17" i="62"/>
  <c r="O56" i="62" l="1"/>
  <c r="BF63" i="62"/>
  <c r="AU96" i="62"/>
  <c r="AP23" i="62"/>
  <c r="AQ22" i="62"/>
  <c r="AS23" i="62"/>
  <c r="P34" i="62"/>
  <c r="BH63" i="62"/>
  <c r="AP31" i="62"/>
  <c r="AR26" i="62"/>
  <c r="Y22" i="62"/>
  <c r="V22" i="62"/>
  <c r="BH78" i="62"/>
  <c r="AO23" i="62"/>
  <c r="AL23" i="62"/>
  <c r="BD26" i="62"/>
  <c r="BB27" i="62"/>
  <c r="AF31" i="62"/>
  <c r="AD31" i="62" s="1"/>
  <c r="AE99" i="62"/>
  <c r="AE100" i="62" s="1"/>
  <c r="AW22" i="62"/>
  <c r="BE37" i="62"/>
  <c r="BB37" i="62"/>
  <c r="BB56" i="62"/>
  <c r="BC55" i="62"/>
  <c r="BE56" i="62"/>
  <c r="R56" i="62"/>
  <c r="BG56" i="62"/>
  <c r="BH56" i="62" s="1"/>
  <c r="S55" i="62"/>
  <c r="U56" i="62"/>
  <c r="AD15" i="62"/>
  <c r="AE14" i="62"/>
  <c r="AG15" i="62"/>
  <c r="AL15" i="62"/>
  <c r="AM14" i="62"/>
  <c r="AO15" i="62"/>
  <c r="AH56" i="62"/>
  <c r="AI55" i="62"/>
  <c r="AK56" i="62"/>
  <c r="AC22" i="62"/>
  <c r="AU97" i="62"/>
  <c r="AV30" i="62"/>
  <c r="N78" i="62"/>
  <c r="Q78" i="62"/>
  <c r="BF78" i="62"/>
  <c r="AO22" i="62"/>
  <c r="AY53" i="62"/>
  <c r="AY96" i="62" s="1"/>
  <c r="AY97" i="62" s="1"/>
  <c r="BA55" i="62"/>
  <c r="AX55" i="62"/>
  <c r="AX30" i="62"/>
  <c r="AZ27" i="62"/>
  <c r="AK22" i="62"/>
  <c r="AM53" i="62"/>
  <c r="AL55" i="62"/>
  <c r="AO55" i="62"/>
  <c r="BF25" i="62"/>
  <c r="N25" i="62"/>
  <c r="O23" i="62"/>
  <c r="BF47" i="62"/>
  <c r="N47" i="62"/>
  <c r="Q47" i="62"/>
  <c r="BF17" i="62"/>
  <c r="Q17" i="62"/>
  <c r="O15" i="62"/>
  <c r="N17" i="62"/>
  <c r="BG98" i="62"/>
  <c r="O98" i="62"/>
  <c r="N98" i="62" s="1"/>
  <c r="T31" i="62"/>
  <c r="AA37" i="62"/>
  <c r="AC14" i="62"/>
  <c r="AA2" i="62"/>
  <c r="N56" i="62"/>
  <c r="Q56" i="62"/>
  <c r="BF56" i="62"/>
  <c r="AT15" i="62"/>
  <c r="AU14" i="62"/>
  <c r="AW15" i="62"/>
  <c r="D37" i="62"/>
  <c r="C37" i="62" s="1"/>
  <c r="C14" i="62"/>
  <c r="BG95" i="62"/>
  <c r="O95" i="62"/>
  <c r="N95" i="62" s="1"/>
  <c r="BH17" i="62"/>
  <c r="AH30" i="62"/>
  <c r="AJ27" i="62"/>
  <c r="AD27" i="62"/>
  <c r="AQ53" i="62"/>
  <c r="AP55" i="62"/>
  <c r="AS55" i="62"/>
  <c r="BH25" i="62"/>
  <c r="BA22" i="62"/>
  <c r="AY14" i="62"/>
  <c r="C53" i="62"/>
  <c r="D34" i="62"/>
  <c r="Y15" i="62"/>
  <c r="V15" i="62"/>
  <c r="W14" i="62"/>
  <c r="BG15" i="62"/>
  <c r="BH15" i="62" s="1"/>
  <c r="U22" i="62"/>
  <c r="BG22" i="62"/>
  <c r="S14" i="62"/>
  <c r="W53" i="62"/>
  <c r="V55" i="62"/>
  <c r="Y55" i="62"/>
  <c r="AL31" i="62"/>
  <c r="AN26" i="62"/>
  <c r="AB22" i="62"/>
  <c r="AB14" i="62" s="1"/>
  <c r="AB9" i="62" s="1"/>
  <c r="Z26" i="62"/>
  <c r="AD53" i="62"/>
  <c r="AE88" i="62" s="1"/>
  <c r="AG53" i="62"/>
  <c r="BH47" i="62"/>
  <c r="AH15" i="62"/>
  <c r="AK15" i="62"/>
  <c r="AI14" i="62"/>
  <c r="Q63" i="62"/>
  <c r="N63" i="62"/>
  <c r="AA53" i="62"/>
  <c r="AA96" i="62" s="1"/>
  <c r="Z55" i="62"/>
  <c r="AC55" i="62"/>
  <c r="AT53" i="62"/>
  <c r="AU88" i="62" s="1"/>
  <c r="AW53" i="62"/>
  <c r="BE2" i="62"/>
  <c r="AS22" i="62" l="1"/>
  <c r="AQ14" i="62"/>
  <c r="Z14" i="62"/>
  <c r="AR22" i="62"/>
  <c r="AP26" i="62"/>
  <c r="BH95" i="62"/>
  <c r="BD22" i="62"/>
  <c r="BB26" i="62"/>
  <c r="AA97" i="62"/>
  <c r="AW88" i="62"/>
  <c r="AT88" i="62"/>
  <c r="AU34" i="62"/>
  <c r="AU3" i="62" s="1"/>
  <c r="AG88" i="62"/>
  <c r="AD88" i="62"/>
  <c r="AE34" i="62"/>
  <c r="AE3" i="62" s="1"/>
  <c r="AP53" i="62"/>
  <c r="AQ88" i="62" s="1"/>
  <c r="AQ34" i="62" s="1"/>
  <c r="AS53" i="62"/>
  <c r="AJ26" i="62"/>
  <c r="AH27" i="62"/>
  <c r="AU2" i="62"/>
  <c r="AU37" i="62"/>
  <c r="AW14" i="62"/>
  <c r="R31" i="62"/>
  <c r="P31" i="62"/>
  <c r="N31" i="62" s="1"/>
  <c r="T26" i="62"/>
  <c r="N23" i="62"/>
  <c r="O22" i="62"/>
  <c r="Q23" i="62"/>
  <c r="BF23" i="62"/>
  <c r="Q15" i="62"/>
  <c r="BF15" i="62"/>
  <c r="N15" i="62"/>
  <c r="Z22" i="62"/>
  <c r="S53" i="62"/>
  <c r="S99" i="62" s="1"/>
  <c r="BG55" i="62"/>
  <c r="O55" i="62"/>
  <c r="U55" i="62"/>
  <c r="R55" i="62"/>
  <c r="BC53" i="62"/>
  <c r="BC96" i="62" s="1"/>
  <c r="BC97" i="62" s="1"/>
  <c r="BB55" i="62"/>
  <c r="BE55" i="62"/>
  <c r="AI37" i="62"/>
  <c r="AK14" i="62"/>
  <c r="AI2" i="62"/>
  <c r="AN22" i="62"/>
  <c r="AL26" i="62"/>
  <c r="V53" i="62"/>
  <c r="W88" i="62" s="1"/>
  <c r="W34" i="62" s="1"/>
  <c r="Y53" i="62"/>
  <c r="W37" i="62"/>
  <c r="W2" i="62"/>
  <c r="V14" i="62"/>
  <c r="Y14" i="62"/>
  <c r="AL53" i="62"/>
  <c r="AM88" i="62" s="1"/>
  <c r="AM34" i="62" s="1"/>
  <c r="AO53" i="62"/>
  <c r="AV27" i="62"/>
  <c r="P27" i="62" s="1"/>
  <c r="N27" i="62" s="1"/>
  <c r="AT30" i="62"/>
  <c r="P30" i="62"/>
  <c r="N30" i="62" s="1"/>
  <c r="AE37" i="62"/>
  <c r="AE2" i="62"/>
  <c r="AG14" i="62"/>
  <c r="Z53" i="62"/>
  <c r="AA88" i="62" s="1"/>
  <c r="AA34" i="62" s="1"/>
  <c r="AC53" i="62"/>
  <c r="S37" i="62"/>
  <c r="BG14" i="62"/>
  <c r="U14" i="62"/>
  <c r="S2" i="62"/>
  <c r="AY37" i="62"/>
  <c r="BA14" i="62"/>
  <c r="AY2" i="62"/>
  <c r="AQ96" i="62"/>
  <c r="AQ97" i="62" s="1"/>
  <c r="BH23" i="62"/>
  <c r="W99" i="62"/>
  <c r="W100" i="62" s="1"/>
  <c r="D39" i="62"/>
  <c r="D6" i="62"/>
  <c r="C34" i="62"/>
  <c r="AF26" i="62"/>
  <c r="AC2" i="62"/>
  <c r="AC37" i="62"/>
  <c r="Z37" i="62"/>
  <c r="BH98" i="62"/>
  <c r="AM99" i="62"/>
  <c r="AM100" i="62" s="1"/>
  <c r="AZ26" i="62"/>
  <c r="AX27" i="62"/>
  <c r="AX53" i="62"/>
  <c r="AY88" i="62" s="1"/>
  <c r="AY34" i="62" s="1"/>
  <c r="BA53" i="62"/>
  <c r="AI53" i="62"/>
  <c r="AK55" i="62"/>
  <c r="AH55" i="62"/>
  <c r="AM2" i="62"/>
  <c r="AO14" i="62"/>
  <c r="AM37" i="62"/>
  <c r="AU9" i="62" l="1"/>
  <c r="AE9" i="62"/>
  <c r="AQ2" i="62"/>
  <c r="AS14" i="62"/>
  <c r="AS2" i="62" s="1"/>
  <c r="AQ37" i="62"/>
  <c r="AR14" i="62"/>
  <c r="AP22" i="62"/>
  <c r="BD14" i="62"/>
  <c r="BB22" i="62"/>
  <c r="AY45" i="62"/>
  <c r="BA34" i="62"/>
  <c r="AY42" i="62"/>
  <c r="AX34" i="62"/>
  <c r="AY9" i="62"/>
  <c r="BA37" i="62"/>
  <c r="AX37" i="62"/>
  <c r="AM42" i="62"/>
  <c r="AO34" i="62"/>
  <c r="AO3" i="62" s="1"/>
  <c r="AL34" i="62"/>
  <c r="AM45" i="62"/>
  <c r="AN14" i="62"/>
  <c r="AL22" i="62"/>
  <c r="BG99" i="62"/>
  <c r="O99" i="62"/>
  <c r="N99" i="62" s="1"/>
  <c r="S100" i="62"/>
  <c r="AW2" i="62"/>
  <c r="Q55" i="62"/>
  <c r="BF55" i="62"/>
  <c r="N55" i="62"/>
  <c r="AM3" i="62"/>
  <c r="AH53" i="62"/>
  <c r="AI88" i="62" s="1"/>
  <c r="AI34" i="62" s="1"/>
  <c r="AK53" i="62"/>
  <c r="AX88" i="62"/>
  <c r="BA88" i="62"/>
  <c r="AY3" i="62"/>
  <c r="U2" i="62"/>
  <c r="AC88" i="62"/>
  <c r="Z88" i="62"/>
  <c r="AA89" i="62" s="1"/>
  <c r="Z89" i="62" s="1"/>
  <c r="AL88" i="62"/>
  <c r="AO88" i="62"/>
  <c r="Y2" i="62"/>
  <c r="Y37" i="62"/>
  <c r="V37" i="62"/>
  <c r="V88" i="62"/>
  <c r="W89" i="62" s="1"/>
  <c r="V89" i="62" s="1"/>
  <c r="Y88" i="62"/>
  <c r="AK2" i="62"/>
  <c r="AK37" i="62"/>
  <c r="AH37" i="62"/>
  <c r="BH55" i="62"/>
  <c r="BF22" i="62"/>
  <c r="Q22" i="62"/>
  <c r="AT37" i="62"/>
  <c r="AW37" i="62"/>
  <c r="AS88" i="62"/>
  <c r="AP88" i="62"/>
  <c r="AW34" i="62"/>
  <c r="AW3" i="62" s="1"/>
  <c r="AU42" i="62"/>
  <c r="AT34" i="62"/>
  <c r="AU45" i="62"/>
  <c r="AO37" i="62"/>
  <c r="AL37" i="62"/>
  <c r="AZ22" i="62"/>
  <c r="AX26" i="62"/>
  <c r="C38" i="62"/>
  <c r="C45" i="62"/>
  <c r="AA45" i="62"/>
  <c r="AC34" i="62"/>
  <c r="AC3" i="62" s="1"/>
  <c r="Z34" i="62"/>
  <c r="Z9" i="62" s="1"/>
  <c r="AA42" i="62"/>
  <c r="AA3" i="62"/>
  <c r="AA9" i="62"/>
  <c r="AD37" i="62"/>
  <c r="AG37" i="62"/>
  <c r="W42" i="62"/>
  <c r="Y34" i="62"/>
  <c r="Y3" i="62" s="1"/>
  <c r="V34" i="62"/>
  <c r="V9" i="62" s="1"/>
  <c r="W45" i="62"/>
  <c r="T22" i="62"/>
  <c r="R26" i="62"/>
  <c r="AQ45" i="62"/>
  <c r="AS34" i="62"/>
  <c r="AS3" i="62" s="1"/>
  <c r="AP34" i="62"/>
  <c r="AQ42" i="62"/>
  <c r="AQ9" i="62"/>
  <c r="AQ3" i="62"/>
  <c r="AO2" i="62"/>
  <c r="W3" i="62"/>
  <c r="BB53" i="62"/>
  <c r="BC88" i="62" s="1"/>
  <c r="BC34" i="62" s="1"/>
  <c r="BE53" i="62"/>
  <c r="AM9" i="62"/>
  <c r="AI96" i="62"/>
  <c r="AF22" i="62"/>
  <c r="AD26" i="62"/>
  <c r="BA3" i="62"/>
  <c r="BA2" i="62"/>
  <c r="BG37" i="62"/>
  <c r="U37" i="62"/>
  <c r="R37" i="62"/>
  <c r="AG2" i="62"/>
  <c r="AV26" i="62"/>
  <c r="P26" i="62" s="1"/>
  <c r="AT27" i="62"/>
  <c r="W9" i="62"/>
  <c r="BH22" i="62"/>
  <c r="BG53" i="62"/>
  <c r="O53" i="62"/>
  <c r="R53" i="62"/>
  <c r="S88" i="62" s="1"/>
  <c r="U53" i="62"/>
  <c r="O14" i="62"/>
  <c r="AJ22" i="62"/>
  <c r="AH26" i="62"/>
  <c r="AG34" i="62"/>
  <c r="AG3" i="62" s="1"/>
  <c r="AE45" i="62"/>
  <c r="AE42" i="62"/>
  <c r="AD34" i="62"/>
  <c r="AN45" i="62" l="1"/>
  <c r="AS37" i="62"/>
  <c r="AP37" i="62"/>
  <c r="AR45" i="62"/>
  <c r="AF45" i="62"/>
  <c r="AR9" i="62"/>
  <c r="AP14" i="62"/>
  <c r="AQ89" i="62" s="1"/>
  <c r="AP89" i="62" s="1"/>
  <c r="BD9" i="62"/>
  <c r="BB14" i="62"/>
  <c r="R88" i="62"/>
  <c r="BG88" i="62"/>
  <c r="U88" i="62"/>
  <c r="O88" i="62"/>
  <c r="AI97" i="62"/>
  <c r="BG96" i="62"/>
  <c r="O96" i="62"/>
  <c r="N96" i="62" s="1"/>
  <c r="BF53" i="62"/>
  <c r="N53" i="62"/>
  <c r="Q53" i="62"/>
  <c r="AI45" i="62"/>
  <c r="AK34" i="62"/>
  <c r="AK3" i="62" s="1"/>
  <c r="AI42" i="62"/>
  <c r="AH34" i="62"/>
  <c r="AI9" i="62"/>
  <c r="AI3" i="62"/>
  <c r="S34" i="62"/>
  <c r="BH53" i="62"/>
  <c r="AV22" i="62"/>
  <c r="AT26" i="62"/>
  <c r="BB88" i="62"/>
  <c r="BE88" i="62"/>
  <c r="T14" i="62"/>
  <c r="R22" i="62"/>
  <c r="AZ14" i="62"/>
  <c r="AX22" i="62"/>
  <c r="AJ14" i="62"/>
  <c r="AH22" i="62"/>
  <c r="BC42" i="62"/>
  <c r="BE34" i="62"/>
  <c r="BE3" i="62" s="1"/>
  <c r="BB34" i="62"/>
  <c r="BB9" i="62" s="1"/>
  <c r="BC45" i="62"/>
  <c r="BC3" i="62"/>
  <c r="BC9" i="62"/>
  <c r="O37" i="62"/>
  <c r="BH37" i="62" s="1"/>
  <c r="BF14" i="62"/>
  <c r="O2" i="62"/>
  <c r="Q14" i="62"/>
  <c r="P22" i="62"/>
  <c r="N26" i="62"/>
  <c r="BH99" i="62"/>
  <c r="AZ45" i="62"/>
  <c r="AZ44" i="62"/>
  <c r="AF14" i="62"/>
  <c r="AD22" i="62"/>
  <c r="AB45" i="62"/>
  <c r="AV45" i="62"/>
  <c r="BH14" i="62"/>
  <c r="AH88" i="62"/>
  <c r="AK88" i="62"/>
  <c r="O100" i="62"/>
  <c r="N100" i="62" s="1"/>
  <c r="BG100" i="62"/>
  <c r="AN9" i="62"/>
  <c r="AL14" i="62"/>
  <c r="AL9" i="62" s="1"/>
  <c r="AP9" i="62" l="1"/>
  <c r="BH100" i="62"/>
  <c r="BD45" i="62"/>
  <c r="BC89" i="62"/>
  <c r="BB89" i="62" s="1"/>
  <c r="AM89" i="62"/>
  <c r="AL89" i="62" s="1"/>
  <c r="Q2" i="62"/>
  <c r="AJ9" i="62"/>
  <c r="AH14" i="62"/>
  <c r="AH9" i="62" s="1"/>
  <c r="T9" i="62"/>
  <c r="R14" i="62"/>
  <c r="AV14" i="62"/>
  <c r="AT22" i="62"/>
  <c r="Q88" i="62"/>
  <c r="BF88" i="62"/>
  <c r="N88" i="62"/>
  <c r="AF9" i="62"/>
  <c r="AD14" i="62"/>
  <c r="O34" i="62"/>
  <c r="N37" i="62"/>
  <c r="Q37" i="62"/>
  <c r="BF37" i="62"/>
  <c r="AZ9" i="62"/>
  <c r="AX14" i="62"/>
  <c r="U34" i="62"/>
  <c r="U3" i="62" s="1"/>
  <c r="S45" i="62"/>
  <c r="BG34" i="62"/>
  <c r="R34" i="62"/>
  <c r="S42" i="62"/>
  <c r="S6" i="62"/>
  <c r="S9" i="62"/>
  <c r="S3" i="62"/>
  <c r="AJ45" i="62"/>
  <c r="BH96" i="62"/>
  <c r="BH88" i="62"/>
  <c r="P14" i="62"/>
  <c r="N22" i="62"/>
  <c r="O97" i="62"/>
  <c r="N97" i="62" s="1"/>
  <c r="BG97" i="62"/>
  <c r="S89" i="62"/>
  <c r="BH97" i="62" l="1"/>
  <c r="P9" i="62"/>
  <c r="N14" i="62"/>
  <c r="O89" i="62" s="1"/>
  <c r="AV9" i="62"/>
  <c r="AT14" i="62"/>
  <c r="Q34" i="62"/>
  <c r="Q3" i="62" s="1"/>
  <c r="O45" i="62"/>
  <c r="P45" i="62" s="1"/>
  <c r="BF34" i="62"/>
  <c r="N34" i="62"/>
  <c r="O3" i="62"/>
  <c r="O9" i="62"/>
  <c r="O6" i="62" s="1"/>
  <c r="AD9" i="62"/>
  <c r="AE89" i="62"/>
  <c r="AD89" i="62" s="1"/>
  <c r="R89" i="62"/>
  <c r="AX9" i="62"/>
  <c r="AY89" i="62"/>
  <c r="AX89" i="62" s="1"/>
  <c r="BH34" i="62"/>
  <c r="R9" i="62"/>
  <c r="O42" i="62"/>
  <c r="O44" i="62" s="1"/>
  <c r="T45" i="62"/>
  <c r="AI89" i="62"/>
  <c r="AH89" i="62" s="1"/>
  <c r="AT9" i="62" l="1"/>
  <c r="AU89" i="62"/>
  <c r="AT89" i="62" s="1"/>
  <c r="N9" i="62"/>
  <c r="BF89" i="62"/>
  <c r="N89" i="62"/>
  <c r="BG89" i="62" l="1"/>
  <c r="BH89" i="62" s="1"/>
  <c r="E30" i="54"/>
  <c r="C30" i="54" s="1"/>
  <c r="E26" i="19" l="1"/>
  <c r="F26" i="19"/>
  <c r="G26" i="19"/>
  <c r="H26" i="19"/>
  <c r="I26" i="19"/>
  <c r="J26" i="19"/>
  <c r="K26" i="19"/>
  <c r="L26" i="19"/>
  <c r="M26" i="19"/>
  <c r="D26" i="19"/>
  <c r="D29" i="19"/>
  <c r="D22" i="19"/>
  <c r="E22" i="19"/>
  <c r="F22" i="19"/>
  <c r="G22" i="19"/>
  <c r="H22" i="19"/>
  <c r="I22" i="19"/>
  <c r="J22" i="19"/>
  <c r="K22" i="19"/>
  <c r="L22" i="19"/>
  <c r="M22" i="19"/>
  <c r="C50" i="19"/>
  <c r="D40" i="60" l="1"/>
  <c r="E40" i="60"/>
  <c r="F40" i="60"/>
  <c r="G40" i="60"/>
  <c r="H40" i="60"/>
  <c r="I40" i="60"/>
  <c r="J40" i="60"/>
  <c r="K40" i="60"/>
  <c r="L40" i="60"/>
  <c r="M40" i="60"/>
  <c r="C40" i="60" l="1"/>
  <c r="B123" i="6" l="1"/>
  <c r="CQ120" i="6"/>
  <c r="CM120" i="6"/>
  <c r="CP120" i="6" s="1"/>
  <c r="CI120" i="6"/>
  <c r="CE120" i="6"/>
  <c r="CH120" i="6" s="1"/>
  <c r="CA120" i="6"/>
  <c r="BW120" i="6"/>
  <c r="BZ120" i="6" s="1"/>
  <c r="BS120" i="6"/>
  <c r="BO120" i="6"/>
  <c r="BR120" i="6" s="1"/>
  <c r="BK120" i="6"/>
  <c r="BG120" i="6"/>
  <c r="BJ120" i="6" s="1"/>
  <c r="BC120" i="6"/>
  <c r="AY120" i="6"/>
  <c r="BB120" i="6" s="1"/>
  <c r="AU120" i="6"/>
  <c r="AQ120" i="6"/>
  <c r="AT120" i="6" s="1"/>
  <c r="AM120" i="6"/>
  <c r="AI120" i="6"/>
  <c r="AL120" i="6" s="1"/>
  <c r="AE120" i="6"/>
  <c r="AA120" i="6"/>
  <c r="W120" i="6"/>
  <c r="S120" i="6"/>
  <c r="V120" i="6" s="1"/>
  <c r="Q120" i="6"/>
  <c r="M120" i="6"/>
  <c r="L120" i="6"/>
  <c r="I120" i="6"/>
  <c r="CQ119" i="6"/>
  <c r="CM119" i="6"/>
  <c r="CP119" i="6" s="1"/>
  <c r="CI119" i="6"/>
  <c r="CE119" i="6"/>
  <c r="CH119" i="6" s="1"/>
  <c r="CA119" i="6"/>
  <c r="BW119" i="6"/>
  <c r="BZ119" i="6" s="1"/>
  <c r="BS119" i="6"/>
  <c r="BO119" i="6"/>
  <c r="BR119" i="6" s="1"/>
  <c r="BK119" i="6"/>
  <c r="BG119" i="6"/>
  <c r="BJ119" i="6" s="1"/>
  <c r="BC119" i="6"/>
  <c r="AY119" i="6"/>
  <c r="AY114" i="6" s="1"/>
  <c r="AU119" i="6"/>
  <c r="AQ119" i="6"/>
  <c r="AT119" i="6" s="1"/>
  <c r="AM119" i="6"/>
  <c r="AI119" i="6"/>
  <c r="AE119" i="6"/>
  <c r="AA119" i="6"/>
  <c r="AD119" i="6" s="1"/>
  <c r="W119" i="6"/>
  <c r="S119" i="6"/>
  <c r="V119" i="6" s="1"/>
  <c r="Q119" i="6"/>
  <c r="M119" i="6"/>
  <c r="L119" i="6"/>
  <c r="I119" i="6"/>
  <c r="Q118" i="6"/>
  <c r="M118" i="6"/>
  <c r="L118" i="6"/>
  <c r="K118" i="6"/>
  <c r="N118" i="6" s="1"/>
  <c r="I118" i="6"/>
  <c r="AT117" i="6"/>
  <c r="AQ117" i="6"/>
  <c r="V117" i="6"/>
  <c r="S117" i="6"/>
  <c r="L117" i="6"/>
  <c r="I117" i="6"/>
  <c r="AT116" i="6"/>
  <c r="AQ116" i="6"/>
  <c r="S116" i="6"/>
  <c r="Q116" i="6"/>
  <c r="M116" i="6"/>
  <c r="L116" i="6"/>
  <c r="I116" i="6"/>
  <c r="CQ115" i="6"/>
  <c r="CM115" i="6"/>
  <c r="CP115" i="6" s="1"/>
  <c r="CI115" i="6"/>
  <c r="CI114" i="6" s="1"/>
  <c r="CE115" i="6"/>
  <c r="CA115" i="6"/>
  <c r="CA114" i="6" s="1"/>
  <c r="BW115" i="6"/>
  <c r="BS115" i="6"/>
  <c r="BS114" i="6" s="1"/>
  <c r="BO115" i="6"/>
  <c r="BK115" i="6"/>
  <c r="BK114" i="6" s="1"/>
  <c r="BG115" i="6"/>
  <c r="BJ115" i="6" s="1"/>
  <c r="BC115" i="6"/>
  <c r="BC114" i="6" s="1"/>
  <c r="AY115" i="6"/>
  <c r="BB115" i="6" s="1"/>
  <c r="AU115" i="6"/>
  <c r="AR115" i="6"/>
  <c r="AQ115" i="6" s="1"/>
  <c r="AM115" i="6"/>
  <c r="AI115" i="6"/>
  <c r="AL115" i="6" s="1"/>
  <c r="AE115" i="6"/>
  <c r="AE114" i="6" s="1"/>
  <c r="AA115" i="6"/>
  <c r="W115" i="6"/>
  <c r="T115" i="6"/>
  <c r="S115" i="6" s="1"/>
  <c r="Q115" i="6"/>
  <c r="Q114" i="6" s="1"/>
  <c r="M115" i="6"/>
  <c r="I115" i="6"/>
  <c r="I114" i="6" s="1"/>
  <c r="CS114" i="6"/>
  <c r="CR114" i="6"/>
  <c r="CO114" i="6"/>
  <c r="CN114" i="6"/>
  <c r="CK114" i="6"/>
  <c r="CJ114" i="6"/>
  <c r="CG114" i="6"/>
  <c r="CF114" i="6"/>
  <c r="CF16" i="6" s="1"/>
  <c r="CC114" i="6"/>
  <c r="CB114" i="6"/>
  <c r="BY114" i="6"/>
  <c r="BX114" i="6"/>
  <c r="BX16" i="6" s="1"/>
  <c r="BU114" i="6"/>
  <c r="BT114" i="6"/>
  <c r="BQ114" i="6"/>
  <c r="BP114" i="6"/>
  <c r="BP16" i="6" s="1"/>
  <c r="BM114" i="6"/>
  <c r="BL114" i="6"/>
  <c r="BI114" i="6"/>
  <c r="BH114" i="6"/>
  <c r="BH16" i="6" s="1"/>
  <c r="BE114" i="6"/>
  <c r="BD114" i="6"/>
  <c r="BA114" i="6"/>
  <c r="BA16" i="6" s="1"/>
  <c r="AZ114" i="6"/>
  <c r="AZ16" i="6" s="1"/>
  <c r="AW114" i="6"/>
  <c r="AV114" i="6"/>
  <c r="AS114" i="6"/>
  <c r="AR114" i="6"/>
  <c r="AO114" i="6"/>
  <c r="AN114" i="6"/>
  <c r="AK114" i="6"/>
  <c r="AK16" i="6" s="1"/>
  <c r="AJ114" i="6"/>
  <c r="AG114" i="6"/>
  <c r="AF114" i="6"/>
  <c r="AC114" i="6"/>
  <c r="AC16" i="6" s="1"/>
  <c r="AB114" i="6"/>
  <c r="AB16" i="6" s="1"/>
  <c r="Y114" i="6"/>
  <c r="X114" i="6"/>
  <c r="U114" i="6"/>
  <c r="U16" i="6" s="1"/>
  <c r="S113" i="6"/>
  <c r="M113" i="6"/>
  <c r="L113" i="6"/>
  <c r="I113" i="6"/>
  <c r="S112" i="6"/>
  <c r="Q112" i="6"/>
  <c r="M112" i="6"/>
  <c r="L112" i="6"/>
  <c r="E112" i="6"/>
  <c r="T111" i="6"/>
  <c r="S111" i="6"/>
  <c r="Q111" i="6"/>
  <c r="M111" i="6"/>
  <c r="L111" i="6"/>
  <c r="T110" i="6"/>
  <c r="S110" i="6" s="1"/>
  <c r="Q110" i="6"/>
  <c r="M110" i="6"/>
  <c r="E110" i="6"/>
  <c r="S109" i="6"/>
  <c r="X109" i="6" s="1"/>
  <c r="Q109" i="6"/>
  <c r="M109" i="6"/>
  <c r="L109" i="6"/>
  <c r="E109" i="6"/>
  <c r="Y108" i="6"/>
  <c r="V108" i="6"/>
  <c r="U108" i="6"/>
  <c r="N108" i="6"/>
  <c r="I108" i="6"/>
  <c r="S107" i="6"/>
  <c r="Y107" i="6" s="1"/>
  <c r="Q107" i="6" s="1"/>
  <c r="M107" i="6"/>
  <c r="L107" i="6"/>
  <c r="E107" i="6"/>
  <c r="S106" i="6"/>
  <c r="M106" i="6"/>
  <c r="L106" i="6"/>
  <c r="E106" i="6"/>
  <c r="V105" i="6"/>
  <c r="U105" i="6"/>
  <c r="T105" i="6"/>
  <c r="N105" i="6"/>
  <c r="N104" i="6" s="1"/>
  <c r="I105" i="6"/>
  <c r="CS104" i="6"/>
  <c r="CR104" i="6"/>
  <c r="CQ104" i="6"/>
  <c r="CP104" i="6"/>
  <c r="CO104" i="6"/>
  <c r="CN104" i="6"/>
  <c r="CM104" i="6"/>
  <c r="CK104" i="6"/>
  <c r="CJ104" i="6"/>
  <c r="CI104" i="6"/>
  <c r="CH104" i="6"/>
  <c r="CG104" i="6"/>
  <c r="CF104" i="6"/>
  <c r="CE104" i="6"/>
  <c r="CC104" i="6"/>
  <c r="CB104" i="6"/>
  <c r="CA104" i="6"/>
  <c r="BZ104" i="6"/>
  <c r="BY104" i="6"/>
  <c r="BX104" i="6"/>
  <c r="BW104" i="6"/>
  <c r="BU104" i="6"/>
  <c r="BT104" i="6"/>
  <c r="BS104" i="6"/>
  <c r="BR104" i="6"/>
  <c r="BQ104" i="6"/>
  <c r="BP104" i="6"/>
  <c r="BO104" i="6"/>
  <c r="BM104" i="6"/>
  <c r="BL104" i="6"/>
  <c r="BK104" i="6"/>
  <c r="BJ104" i="6"/>
  <c r="BI104" i="6"/>
  <c r="BH104" i="6"/>
  <c r="BG104" i="6"/>
  <c r="BE104" i="6"/>
  <c r="BD104" i="6"/>
  <c r="BC104" i="6"/>
  <c r="BB104" i="6"/>
  <c r="BA104" i="6"/>
  <c r="AZ104" i="6"/>
  <c r="AY104" i="6"/>
  <c r="AW104" i="6"/>
  <c r="AV104" i="6"/>
  <c r="AU104" i="6"/>
  <c r="AT104" i="6"/>
  <c r="AS104" i="6"/>
  <c r="AR104" i="6"/>
  <c r="AQ104" i="6"/>
  <c r="AO104" i="6"/>
  <c r="AN104" i="6"/>
  <c r="AM104" i="6"/>
  <c r="AL104" i="6"/>
  <c r="AK104" i="6"/>
  <c r="AJ104" i="6"/>
  <c r="AI104" i="6"/>
  <c r="AG104" i="6"/>
  <c r="AF104" i="6"/>
  <c r="AE104" i="6"/>
  <c r="AD104" i="6"/>
  <c r="AC104" i="6"/>
  <c r="AB104" i="6"/>
  <c r="AA104" i="6"/>
  <c r="CM103" i="6"/>
  <c r="CR103" i="6" s="1"/>
  <c r="CQ103" i="6" s="1"/>
  <c r="CE103" i="6"/>
  <c r="CJ103" i="6" s="1"/>
  <c r="CI103" i="6" s="1"/>
  <c r="BW103" i="6"/>
  <c r="CB103" i="6" s="1"/>
  <c r="CA103" i="6" s="1"/>
  <c r="BG103" i="6"/>
  <c r="BL103" i="6" s="1"/>
  <c r="BK103" i="6" s="1"/>
  <c r="AY103" i="6"/>
  <c r="BD103" i="6" s="1"/>
  <c r="BC103" i="6" s="1"/>
  <c r="AI103" i="6"/>
  <c r="AN103" i="6" s="1"/>
  <c r="AM103" i="6" s="1"/>
  <c r="AA103" i="6"/>
  <c r="AF103" i="6" s="1"/>
  <c r="AE103" i="6" s="1"/>
  <c r="S103" i="6"/>
  <c r="X103" i="6" s="1"/>
  <c r="W103" i="6" s="1"/>
  <c r="Q103" i="6"/>
  <c r="I103" i="6"/>
  <c r="E103" i="6"/>
  <c r="CR102" i="6"/>
  <c r="CQ102" i="6" s="1"/>
  <c r="CJ102" i="6"/>
  <c r="CI102" i="6" s="1"/>
  <c r="CB102" i="6"/>
  <c r="CA102" i="6" s="1"/>
  <c r="BW102" i="6"/>
  <c r="BL102" i="6"/>
  <c r="BK102" i="6" s="1"/>
  <c r="BD102" i="6"/>
  <c r="BC102" i="6" s="1"/>
  <c r="AV102" i="6"/>
  <c r="AU102" i="6" s="1"/>
  <c r="AQ102" i="6"/>
  <c r="AF102" i="6"/>
  <c r="AE102" i="6" s="1"/>
  <c r="X102" i="6"/>
  <c r="W102" i="6" s="1"/>
  <c r="Q102" i="6"/>
  <c r="I102" i="6"/>
  <c r="CM101" i="6"/>
  <c r="CS101" i="6" s="1"/>
  <c r="CQ101" i="6" s="1"/>
  <c r="CE101" i="6"/>
  <c r="CK101" i="6" s="1"/>
  <c r="CI101" i="6" s="1"/>
  <c r="BW101" i="6"/>
  <c r="CC101" i="6" s="1"/>
  <c r="CA101" i="6" s="1"/>
  <c r="BG101" i="6"/>
  <c r="BM101" i="6" s="1"/>
  <c r="BK101" i="6" s="1"/>
  <c r="AY101" i="6"/>
  <c r="BE101" i="6" s="1"/>
  <c r="BC101" i="6" s="1"/>
  <c r="AA101" i="6"/>
  <c r="AG101" i="6" s="1"/>
  <c r="AE101" i="6" s="1"/>
  <c r="S101" i="6"/>
  <c r="Y101" i="6" s="1"/>
  <c r="M101" i="6"/>
  <c r="I101" i="6"/>
  <c r="CM100" i="6"/>
  <c r="CR100" i="6" s="1"/>
  <c r="CQ100" i="6" s="1"/>
  <c r="CE100" i="6"/>
  <c r="CJ100" i="6" s="1"/>
  <c r="CI100" i="6" s="1"/>
  <c r="BW100" i="6"/>
  <c r="CB100" i="6" s="1"/>
  <c r="CA100" i="6" s="1"/>
  <c r="BO100" i="6"/>
  <c r="BT100" i="6" s="1"/>
  <c r="BS100" i="6" s="1"/>
  <c r="AQ100" i="6"/>
  <c r="AV100" i="6" s="1"/>
  <c r="AU100" i="6" s="1"/>
  <c r="AI100" i="6"/>
  <c r="AN100" i="6" s="1"/>
  <c r="AM100" i="6" s="1"/>
  <c r="AA100" i="6"/>
  <c r="AF100" i="6" s="1"/>
  <c r="AE100" i="6" s="1"/>
  <c r="Q100" i="6"/>
  <c r="I100" i="6"/>
  <c r="E100" i="6"/>
  <c r="CM99" i="6"/>
  <c r="CS99" i="6" s="1"/>
  <c r="BO99" i="6"/>
  <c r="BU99" i="6" s="1"/>
  <c r="BG99" i="6"/>
  <c r="BM99" i="6" s="1"/>
  <c r="AY99" i="6"/>
  <c r="BE99" i="6" s="1"/>
  <c r="AQ99" i="6"/>
  <c r="AW99" i="6" s="1"/>
  <c r="AI99" i="6"/>
  <c r="AO99" i="6" s="1"/>
  <c r="AM99" i="6" s="1"/>
  <c r="AA99" i="6"/>
  <c r="AG99" i="6" s="1"/>
  <c r="S99" i="6"/>
  <c r="M99" i="6"/>
  <c r="I99" i="6"/>
  <c r="E99" i="6"/>
  <c r="CM98" i="6"/>
  <c r="CR98" i="6" s="1"/>
  <c r="CQ98" i="6" s="1"/>
  <c r="CE98" i="6"/>
  <c r="BW98" i="6"/>
  <c r="CB98" i="6" s="1"/>
  <c r="BO98" i="6"/>
  <c r="BR98" i="6" s="1"/>
  <c r="BR97" i="6" s="1"/>
  <c r="BG98" i="6"/>
  <c r="BL98" i="6" s="1"/>
  <c r="BK98" i="6" s="1"/>
  <c r="AY98" i="6"/>
  <c r="AQ98" i="6"/>
  <c r="AV98" i="6" s="1"/>
  <c r="AI98" i="6"/>
  <c r="AA98" i="6"/>
  <c r="AF98" i="6" s="1"/>
  <c r="AE98" i="6" s="1"/>
  <c r="M98" i="6"/>
  <c r="L98" i="6"/>
  <c r="S98" i="6"/>
  <c r="Q98" i="6"/>
  <c r="I98" i="6"/>
  <c r="E98" i="6"/>
  <c r="CM97" i="6"/>
  <c r="CE97" i="6"/>
  <c r="BW97" i="6"/>
  <c r="BO97" i="6"/>
  <c r="BG97" i="6"/>
  <c r="AY97" i="6"/>
  <c r="AQ97" i="6"/>
  <c r="AI97" i="6"/>
  <c r="AA97" i="6"/>
  <c r="S97" i="6"/>
  <c r="M97" i="6"/>
  <c r="I97" i="6"/>
  <c r="I96" i="6"/>
  <c r="CM95" i="6"/>
  <c r="CR95" i="6" s="1"/>
  <c r="CQ95" i="6" s="1"/>
  <c r="CE95" i="6"/>
  <c r="CJ95" i="6" s="1"/>
  <c r="CI95" i="6" s="1"/>
  <c r="BW95" i="6"/>
  <c r="CB95" i="6" s="1"/>
  <c r="CA95" i="6" s="1"/>
  <c r="BO95" i="6"/>
  <c r="BT95" i="6" s="1"/>
  <c r="BS95" i="6" s="1"/>
  <c r="BG95" i="6"/>
  <c r="BL95" i="6" s="1"/>
  <c r="BK95" i="6" s="1"/>
  <c r="AY95" i="6"/>
  <c r="BD95" i="6" s="1"/>
  <c r="BC95" i="6" s="1"/>
  <c r="AQ95" i="6"/>
  <c r="AV95" i="6" s="1"/>
  <c r="AU95" i="6" s="1"/>
  <c r="AI95" i="6"/>
  <c r="AN95" i="6" s="1"/>
  <c r="AM95" i="6" s="1"/>
  <c r="AA95" i="6"/>
  <c r="AF95" i="6" s="1"/>
  <c r="AE95" i="6" s="1"/>
  <c r="W95" i="6"/>
  <c r="S95" i="6"/>
  <c r="V95" i="6" s="1"/>
  <c r="Q95" i="6"/>
  <c r="M95" i="6"/>
  <c r="L95" i="6"/>
  <c r="I95" i="6"/>
  <c r="E95" i="6"/>
  <c r="CS94" i="6"/>
  <c r="CS92" i="6" s="1"/>
  <c r="CR94" i="6"/>
  <c r="CK94" i="6"/>
  <c r="CK92" i="6" s="1"/>
  <c r="CC94" i="6"/>
  <c r="CC92" i="6" s="1"/>
  <c r="CB94" i="6"/>
  <c r="BU94" i="6"/>
  <c r="BU92" i="6" s="1"/>
  <c r="BM94" i="6"/>
  <c r="BM92" i="6" s="1"/>
  <c r="BL94" i="6"/>
  <c r="BE94" i="6"/>
  <c r="BE92" i="6" s="1"/>
  <c r="AW94" i="6"/>
  <c r="AW92" i="6" s="1"/>
  <c r="AV94" i="6"/>
  <c r="AV92" i="6" s="1"/>
  <c r="AO94" i="6"/>
  <c r="AO92" i="6" s="1"/>
  <c r="AG94" i="6"/>
  <c r="AG92" i="6" s="1"/>
  <c r="AF94" i="6"/>
  <c r="Y94" i="6"/>
  <c r="Y92" i="6" s="1"/>
  <c r="M94" i="6"/>
  <c r="I94" i="6"/>
  <c r="CO92" i="6"/>
  <c r="CM93" i="6"/>
  <c r="CP93" i="6" s="1"/>
  <c r="CP92" i="6" s="1"/>
  <c r="CE93" i="6"/>
  <c r="CH93" i="6" s="1"/>
  <c r="CH92" i="6" s="1"/>
  <c r="BW93" i="6"/>
  <c r="BZ93" i="6" s="1"/>
  <c r="BZ92" i="6" s="1"/>
  <c r="BO93" i="6"/>
  <c r="BR93" i="6" s="1"/>
  <c r="BR92" i="6" s="1"/>
  <c r="BI92" i="6"/>
  <c r="BG93" i="6"/>
  <c r="BJ93" i="6" s="1"/>
  <c r="BJ92" i="6" s="1"/>
  <c r="AY93" i="6"/>
  <c r="BB93" i="6" s="1"/>
  <c r="BB92" i="6" s="1"/>
  <c r="AQ93" i="6"/>
  <c r="AT93" i="6" s="1"/>
  <c r="AT92" i="6" s="1"/>
  <c r="AI93" i="6"/>
  <c r="AL93" i="6" s="1"/>
  <c r="AL92" i="6" s="1"/>
  <c r="AC92" i="6"/>
  <c r="AA93" i="6"/>
  <c r="AD93" i="6" s="1"/>
  <c r="AD92" i="6" s="1"/>
  <c r="M93" i="6"/>
  <c r="T92" i="6"/>
  <c r="S93" i="6"/>
  <c r="Q93" i="6"/>
  <c r="L93" i="6"/>
  <c r="I93" i="6"/>
  <c r="CN92" i="6"/>
  <c r="CM92" i="6" s="1"/>
  <c r="CG92" i="6"/>
  <c r="BY92" i="6"/>
  <c r="BX92" i="6"/>
  <c r="BQ92" i="6"/>
  <c r="BH92" i="6"/>
  <c r="BA92" i="6"/>
  <c r="AS92" i="6"/>
  <c r="AR92" i="6"/>
  <c r="AK92" i="6"/>
  <c r="AB92" i="6"/>
  <c r="U92" i="6"/>
  <c r="I92" i="6"/>
  <c r="CS91" i="6"/>
  <c r="CQ91" i="6" s="1"/>
  <c r="CQ89" i="6" s="1"/>
  <c r="CM91" i="6"/>
  <c r="CK91" i="6"/>
  <c r="CE91" i="6"/>
  <c r="CC91" i="6"/>
  <c r="BM91" i="6"/>
  <c r="BK91" i="6" s="1"/>
  <c r="BK89" i="6" s="1"/>
  <c r="BG91" i="6"/>
  <c r="BE91" i="6"/>
  <c r="AY91" i="6"/>
  <c r="AW91" i="6"/>
  <c r="AF91" i="6"/>
  <c r="AF89" i="6" s="1"/>
  <c r="AG91" i="6"/>
  <c r="AG89" i="6" s="1"/>
  <c r="AA91" i="6"/>
  <c r="X91" i="6"/>
  <c r="I91" i="6"/>
  <c r="CQ90" i="6"/>
  <c r="BO90" i="6"/>
  <c r="BR90" i="6" s="1"/>
  <c r="BR89" i="6" s="1"/>
  <c r="AI90" i="6"/>
  <c r="AL90" i="6" s="1"/>
  <c r="AL89" i="6" s="1"/>
  <c r="S90" i="6"/>
  <c r="Q90" i="6"/>
  <c r="L90" i="6"/>
  <c r="I90" i="6"/>
  <c r="CR89" i="6"/>
  <c r="CN89" i="6"/>
  <c r="CJ89" i="6"/>
  <c r="CF89" i="6"/>
  <c r="CB89" i="6"/>
  <c r="BT89" i="6"/>
  <c r="BP89" i="6"/>
  <c r="BL89" i="6"/>
  <c r="BH89" i="6"/>
  <c r="BD89" i="6"/>
  <c r="AZ89" i="6"/>
  <c r="AV89" i="6"/>
  <c r="AN89" i="6"/>
  <c r="AJ89" i="6"/>
  <c r="AB89" i="6"/>
  <c r="X89" i="6"/>
  <c r="T89" i="6"/>
  <c r="I89" i="6"/>
  <c r="I88" i="6"/>
  <c r="BW87" i="6"/>
  <c r="BO87" i="6"/>
  <c r="AQ87" i="6"/>
  <c r="AI87" i="6"/>
  <c r="CR86" i="6"/>
  <c r="CS86" i="6"/>
  <c r="CM86" i="6"/>
  <c r="CK86" i="6"/>
  <c r="CB86" i="6"/>
  <c r="CC86" i="6"/>
  <c r="BW86" i="6"/>
  <c r="BU86" i="6"/>
  <c r="BL86" i="6"/>
  <c r="BM86" i="6"/>
  <c r="BG86" i="6"/>
  <c r="BE86" i="6"/>
  <c r="AV86" i="6"/>
  <c r="AW86" i="6"/>
  <c r="AQ86" i="6"/>
  <c r="AO86" i="6"/>
  <c r="AF86" i="6"/>
  <c r="AG86" i="6"/>
  <c r="AA86" i="6"/>
  <c r="Y86" i="6"/>
  <c r="M86" i="6"/>
  <c r="I86" i="6"/>
  <c r="CO85" i="6"/>
  <c r="CG85" i="6"/>
  <c r="CF85" i="6"/>
  <c r="BY85" i="6"/>
  <c r="BP85" i="6"/>
  <c r="BI85" i="6"/>
  <c r="AS85" i="6"/>
  <c r="AC85" i="6"/>
  <c r="U85" i="6"/>
  <c r="T85" i="6"/>
  <c r="I85" i="6"/>
  <c r="CO84" i="6"/>
  <c r="CF84" i="6"/>
  <c r="BW84" i="6"/>
  <c r="CC84" i="6" s="1"/>
  <c r="BI84" i="6"/>
  <c r="AS84" i="6"/>
  <c r="AC84" i="6"/>
  <c r="S84" i="6"/>
  <c r="I84" i="6"/>
  <c r="E84" i="6"/>
  <c r="CM83" i="6"/>
  <c r="CG84" i="6"/>
  <c r="BX85" i="6"/>
  <c r="BW83" i="6"/>
  <c r="BP84" i="6"/>
  <c r="BH85" i="6"/>
  <c r="BG85" i="6" s="1"/>
  <c r="BA84" i="6"/>
  <c r="AJ85" i="6"/>
  <c r="AB85" i="6"/>
  <c r="CO82" i="6"/>
  <c r="CG82" i="6"/>
  <c r="BY82" i="6"/>
  <c r="BW82" i="6" s="1"/>
  <c r="CC82" i="6" s="1"/>
  <c r="CC80" i="6" s="1"/>
  <c r="BP82" i="6"/>
  <c r="AS82" i="6"/>
  <c r="AJ82" i="6"/>
  <c r="AB82" i="6"/>
  <c r="I82" i="6"/>
  <c r="CG81" i="6"/>
  <c r="BW81" i="6"/>
  <c r="CB81" i="6" s="1"/>
  <c r="CA81" i="6" s="1"/>
  <c r="BP81" i="6"/>
  <c r="BH81" i="6"/>
  <c r="AK81" i="6"/>
  <c r="AJ81" i="6"/>
  <c r="AC81" i="6"/>
  <c r="Q81" i="6"/>
  <c r="I81" i="6"/>
  <c r="E81" i="6"/>
  <c r="CP80" i="6"/>
  <c r="CO81" i="6"/>
  <c r="CH80" i="6"/>
  <c r="BZ80" i="6"/>
  <c r="BW80" i="6"/>
  <c r="BR80" i="6"/>
  <c r="BQ82" i="6"/>
  <c r="BO80" i="6"/>
  <c r="BJ80" i="6"/>
  <c r="BI82" i="6"/>
  <c r="BG80" i="6"/>
  <c r="BB80" i="6"/>
  <c r="BA82" i="6"/>
  <c r="AT80" i="6"/>
  <c r="AS81" i="6"/>
  <c r="AR82" i="6"/>
  <c r="AQ82" i="6" s="1"/>
  <c r="AV82" i="6" s="1"/>
  <c r="AL80" i="6"/>
  <c r="AK82" i="6"/>
  <c r="AI80" i="6"/>
  <c r="AD80" i="6"/>
  <c r="AC82" i="6"/>
  <c r="AA80" i="6"/>
  <c r="V80" i="6"/>
  <c r="U82" i="6"/>
  <c r="S82" i="6" s="1"/>
  <c r="CM79" i="6"/>
  <c r="CS79" i="6" s="1"/>
  <c r="CQ79" i="6" s="1"/>
  <c r="BW79" i="6"/>
  <c r="CC79" i="6" s="1"/>
  <c r="CA79" i="6" s="1"/>
  <c r="BO79" i="6"/>
  <c r="BU79" i="6" s="1"/>
  <c r="BS79" i="6" s="1"/>
  <c r="BG79" i="6"/>
  <c r="BM79" i="6" s="1"/>
  <c r="BK79" i="6" s="1"/>
  <c r="AY79" i="6"/>
  <c r="BE79" i="6" s="1"/>
  <c r="BC79" i="6" s="1"/>
  <c r="AQ79" i="6"/>
  <c r="AV79" i="6" s="1"/>
  <c r="AU79" i="6" s="1"/>
  <c r="AI79" i="6"/>
  <c r="AO79" i="6" s="1"/>
  <c r="AM79" i="6" s="1"/>
  <c r="AA79" i="6"/>
  <c r="AG79" i="6" s="1"/>
  <c r="AE79" i="6" s="1"/>
  <c r="I79" i="6"/>
  <c r="AQ78" i="6"/>
  <c r="AV78" i="6" s="1"/>
  <c r="AU78" i="6" s="1"/>
  <c r="S78" i="6"/>
  <c r="Q78" i="6"/>
  <c r="L78" i="6"/>
  <c r="I78" i="6"/>
  <c r="I77" i="6"/>
  <c r="CM76" i="6"/>
  <c r="CS76" i="6" s="1"/>
  <c r="CQ76" i="6" s="1"/>
  <c r="CE76" i="6"/>
  <c r="CK76" i="6" s="1"/>
  <c r="CI76" i="6" s="1"/>
  <c r="BW76" i="6"/>
  <c r="CC76" i="6" s="1"/>
  <c r="CA76" i="6" s="1"/>
  <c r="BO76" i="6"/>
  <c r="BU76" i="6" s="1"/>
  <c r="BS76" i="6" s="1"/>
  <c r="BG76" i="6"/>
  <c r="BM76" i="6" s="1"/>
  <c r="BK76" i="6" s="1"/>
  <c r="AQ76" i="6"/>
  <c r="AW76" i="6" s="1"/>
  <c r="AU76" i="6" s="1"/>
  <c r="AI76" i="6"/>
  <c r="AO76" i="6" s="1"/>
  <c r="AM76" i="6" s="1"/>
  <c r="AA76" i="6"/>
  <c r="AG76" i="6" s="1"/>
  <c r="AE76" i="6" s="1"/>
  <c r="I76" i="6"/>
  <c r="E76" i="6"/>
  <c r="CM75" i="6"/>
  <c r="CS75" i="6" s="1"/>
  <c r="CQ75" i="6" s="1"/>
  <c r="CE75" i="6"/>
  <c r="CK75" i="6" s="1"/>
  <c r="BW75" i="6"/>
  <c r="M75" i="6"/>
  <c r="BG75" i="6"/>
  <c r="BM75" i="6" s="1"/>
  <c r="AY75" i="6"/>
  <c r="AI75" i="6"/>
  <c r="AA75" i="6"/>
  <c r="AG75" i="6" s="1"/>
  <c r="S75" i="6"/>
  <c r="Y75" i="6" s="1"/>
  <c r="I75" i="6"/>
  <c r="E75" i="6"/>
  <c r="CP74" i="6"/>
  <c r="CH74" i="6"/>
  <c r="BZ74" i="6"/>
  <c r="BR74" i="6"/>
  <c r="BJ74" i="6"/>
  <c r="BB74" i="6"/>
  <c r="AT74" i="6"/>
  <c r="AS74" i="6"/>
  <c r="AS77" i="6" s="1"/>
  <c r="AW77" i="6" s="1"/>
  <c r="AL74" i="6"/>
  <c r="AJ74" i="6"/>
  <c r="AJ77" i="6" s="1"/>
  <c r="AD74" i="6"/>
  <c r="V74" i="6"/>
  <c r="CQ73" i="6"/>
  <c r="CM73" i="6"/>
  <c r="CP73" i="6" s="1"/>
  <c r="CI73" i="6"/>
  <c r="CE73" i="6"/>
  <c r="CH73" i="6" s="1"/>
  <c r="CA73" i="6"/>
  <c r="BW73" i="6"/>
  <c r="BZ73" i="6" s="1"/>
  <c r="BS73" i="6"/>
  <c r="BO73" i="6"/>
  <c r="BR73" i="6" s="1"/>
  <c r="BR72" i="6" s="1"/>
  <c r="BK73" i="6"/>
  <c r="BG73" i="6"/>
  <c r="BJ73" i="6" s="1"/>
  <c r="AY73" i="6"/>
  <c r="BB73" i="6" s="1"/>
  <c r="AU73" i="6"/>
  <c r="AQ73" i="6"/>
  <c r="AT73" i="6" s="1"/>
  <c r="AM73" i="6"/>
  <c r="AI73" i="6"/>
  <c r="AL73" i="6" s="1"/>
  <c r="AE73" i="6"/>
  <c r="AA73" i="6"/>
  <c r="AD73" i="6" s="1"/>
  <c r="W73" i="6"/>
  <c r="M73" i="6"/>
  <c r="S73" i="6"/>
  <c r="O73" i="6"/>
  <c r="I73" i="6"/>
  <c r="CO74" i="6"/>
  <c r="CO77" i="6" s="1"/>
  <c r="CS77" i="6" s="1"/>
  <c r="CN74" i="6"/>
  <c r="CN77" i="6" s="1"/>
  <c r="CM72" i="6"/>
  <c r="CG74" i="6"/>
  <c r="CF74" i="6"/>
  <c r="CF77" i="6" s="1"/>
  <c r="CJ77" i="6" s="1"/>
  <c r="BY74" i="6"/>
  <c r="BY77" i="6" s="1"/>
  <c r="CC77" i="6" s="1"/>
  <c r="BQ74" i="6"/>
  <c r="BI74" i="6"/>
  <c r="BI77" i="6" s="1"/>
  <c r="BM77" i="6" s="1"/>
  <c r="BH74" i="6"/>
  <c r="BH77" i="6" s="1"/>
  <c r="BL77" i="6" s="1"/>
  <c r="BG72" i="6"/>
  <c r="BA74" i="6"/>
  <c r="BA77" i="6" s="1"/>
  <c r="BE77" i="6" s="1"/>
  <c r="AZ74" i="6"/>
  <c r="AZ77" i="6" s="1"/>
  <c r="AR74" i="6"/>
  <c r="AR77" i="6" s="1"/>
  <c r="AK74" i="6"/>
  <c r="AK77" i="6" s="1"/>
  <c r="AO77" i="6" s="1"/>
  <c r="AI72" i="6"/>
  <c r="AC74" i="6"/>
  <c r="AC77" i="6" s="1"/>
  <c r="AG77" i="6" s="1"/>
  <c r="AB74" i="6"/>
  <c r="AB77" i="6" s="1"/>
  <c r="AA72" i="6"/>
  <c r="U74" i="6"/>
  <c r="U77" i="6" s="1"/>
  <c r="Y77" i="6" s="1"/>
  <c r="T74" i="6"/>
  <c r="T77" i="6" s="1"/>
  <c r="J72" i="6"/>
  <c r="CM71" i="6"/>
  <c r="CE71" i="6"/>
  <c r="BW71" i="6"/>
  <c r="BO71" i="6"/>
  <c r="BG71" i="6"/>
  <c r="AY71" i="6"/>
  <c r="BD71" i="6" s="1"/>
  <c r="AQ71" i="6"/>
  <c r="AI71" i="6"/>
  <c r="AN71" i="6" s="1"/>
  <c r="AA71" i="6"/>
  <c r="AF71" i="6" s="1"/>
  <c r="AE71" i="6" s="1"/>
  <c r="AE69" i="6" s="1"/>
  <c r="Q71" i="6"/>
  <c r="N71" i="6"/>
  <c r="N18" i="6" s="1"/>
  <c r="I71" i="6"/>
  <c r="CE70" i="6"/>
  <c r="BW70" i="6"/>
  <c r="BO70" i="6"/>
  <c r="BG70" i="6"/>
  <c r="AY70" i="6"/>
  <c r="BB70" i="6" s="1"/>
  <c r="BB69" i="6" s="1"/>
  <c r="AQ70" i="6"/>
  <c r="AI70" i="6"/>
  <c r="AL70" i="6" s="1"/>
  <c r="AL69" i="6" s="1"/>
  <c r="AA70" i="6"/>
  <c r="AD70" i="6" s="1"/>
  <c r="AD69" i="6" s="1"/>
  <c r="Q70" i="6"/>
  <c r="I70" i="6"/>
  <c r="I69" i="6" s="1"/>
  <c r="CS69" i="6"/>
  <c r="CR69" i="6"/>
  <c r="CQ69" i="6"/>
  <c r="CP69" i="6"/>
  <c r="CK69" i="6"/>
  <c r="CJ69" i="6"/>
  <c r="CI69" i="6"/>
  <c r="CH69" i="6"/>
  <c r="CE69" i="6"/>
  <c r="CC69" i="6"/>
  <c r="CB69" i="6"/>
  <c r="CA69" i="6"/>
  <c r="BZ69" i="6"/>
  <c r="BW69" i="6"/>
  <c r="BU69" i="6"/>
  <c r="BT69" i="6"/>
  <c r="BS69" i="6"/>
  <c r="BR69" i="6"/>
  <c r="BO69" i="6"/>
  <c r="BM69" i="6"/>
  <c r="BL69" i="6"/>
  <c r="BK69" i="6"/>
  <c r="BJ69" i="6"/>
  <c r="BE69" i="6"/>
  <c r="AY69" i="6"/>
  <c r="AW69" i="6"/>
  <c r="AV69" i="6"/>
  <c r="AU69" i="6"/>
  <c r="AT69" i="6"/>
  <c r="AQ69" i="6"/>
  <c r="AO69" i="6"/>
  <c r="AI69" i="6"/>
  <c r="AG69" i="6"/>
  <c r="Y69" i="6"/>
  <c r="S69" i="6"/>
  <c r="J69" i="6"/>
  <c r="CM68" i="6"/>
  <c r="CS68" i="6" s="1"/>
  <c r="CE68" i="6"/>
  <c r="CJ68" i="6" s="1"/>
  <c r="BW68" i="6"/>
  <c r="CC68" i="6" s="1"/>
  <c r="BO68" i="6"/>
  <c r="BT68" i="6" s="1"/>
  <c r="BG68" i="6"/>
  <c r="BM68" i="6" s="1"/>
  <c r="AY68" i="6"/>
  <c r="BD68" i="6" s="1"/>
  <c r="AQ68" i="6"/>
  <c r="AW68" i="6" s="1"/>
  <c r="AI68" i="6"/>
  <c r="AA68" i="6"/>
  <c r="AG68" i="6" s="1"/>
  <c r="M68" i="6"/>
  <c r="I68" i="6"/>
  <c r="E68" i="6"/>
  <c r="CM67" i="6"/>
  <c r="CS67" i="6" s="1"/>
  <c r="CQ67" i="6" s="1"/>
  <c r="CE67" i="6"/>
  <c r="CK67" i="6" s="1"/>
  <c r="CI67" i="6" s="1"/>
  <c r="BW67" i="6"/>
  <c r="CC67" i="6" s="1"/>
  <c r="CA67" i="6" s="1"/>
  <c r="BO67" i="6"/>
  <c r="BU67" i="6" s="1"/>
  <c r="BS67" i="6" s="1"/>
  <c r="BG67" i="6"/>
  <c r="BM67" i="6" s="1"/>
  <c r="BK67" i="6" s="1"/>
  <c r="AY67" i="6"/>
  <c r="BE67" i="6" s="1"/>
  <c r="BC67" i="6" s="1"/>
  <c r="AQ67" i="6"/>
  <c r="AW67" i="6" s="1"/>
  <c r="AU67" i="6" s="1"/>
  <c r="M67" i="6"/>
  <c r="AA67" i="6"/>
  <c r="AG67" i="6" s="1"/>
  <c r="AE67" i="6" s="1"/>
  <c r="L67" i="6"/>
  <c r="S67" i="6"/>
  <c r="Y67" i="6" s="1"/>
  <c r="I67" i="6"/>
  <c r="E67" i="6"/>
  <c r="CM66" i="6"/>
  <c r="CS66" i="6" s="1"/>
  <c r="CQ66" i="6" s="1"/>
  <c r="CE66" i="6"/>
  <c r="CK66" i="6" s="1"/>
  <c r="CI66" i="6" s="1"/>
  <c r="BW66" i="6"/>
  <c r="CC66" i="6" s="1"/>
  <c r="CA66" i="6" s="1"/>
  <c r="BO66" i="6"/>
  <c r="BU66" i="6" s="1"/>
  <c r="BS66" i="6" s="1"/>
  <c r="BG66" i="6"/>
  <c r="BM66" i="6" s="1"/>
  <c r="BK66" i="6" s="1"/>
  <c r="AY66" i="6"/>
  <c r="BE66" i="6" s="1"/>
  <c r="BC66" i="6" s="1"/>
  <c r="AQ66" i="6"/>
  <c r="AW66" i="6" s="1"/>
  <c r="AU66" i="6" s="1"/>
  <c r="AI66" i="6"/>
  <c r="AO66" i="6" s="1"/>
  <c r="AM66" i="6" s="1"/>
  <c r="M66" i="6"/>
  <c r="AA66" i="6"/>
  <c r="AG66" i="6" s="1"/>
  <c r="AE66" i="6" s="1"/>
  <c r="S66" i="6"/>
  <c r="L66" i="6"/>
  <c r="I66" i="6"/>
  <c r="E66" i="6"/>
  <c r="CM65" i="6"/>
  <c r="CS65" i="6" s="1"/>
  <c r="CQ65" i="6" s="1"/>
  <c r="CE65" i="6"/>
  <c r="CK65" i="6" s="1"/>
  <c r="CI65" i="6" s="1"/>
  <c r="BW65" i="6"/>
  <c r="CC65" i="6" s="1"/>
  <c r="CA65" i="6" s="1"/>
  <c r="BO65" i="6"/>
  <c r="BU65" i="6" s="1"/>
  <c r="BS65" i="6" s="1"/>
  <c r="BG65" i="6"/>
  <c r="BM65" i="6" s="1"/>
  <c r="BK65" i="6" s="1"/>
  <c r="AQ65" i="6"/>
  <c r="AW65" i="6" s="1"/>
  <c r="AU65" i="6" s="1"/>
  <c r="AI65" i="6"/>
  <c r="AO65" i="6" s="1"/>
  <c r="AM65" i="6" s="1"/>
  <c r="M65" i="6"/>
  <c r="I65" i="6"/>
  <c r="E65" i="6"/>
  <c r="CG64" i="6"/>
  <c r="CF64" i="6"/>
  <c r="BA64" i="6"/>
  <c r="AZ64" i="6"/>
  <c r="U64" i="6"/>
  <c r="T64" i="6"/>
  <c r="I64" i="6"/>
  <c r="E64" i="6"/>
  <c r="CM63" i="6"/>
  <c r="CS63" i="6" s="1"/>
  <c r="CQ63" i="6" s="1"/>
  <c r="CE63" i="6"/>
  <c r="CK63" i="6" s="1"/>
  <c r="CI63" i="6" s="1"/>
  <c r="BW63" i="6"/>
  <c r="CC63" i="6" s="1"/>
  <c r="CA63" i="6" s="1"/>
  <c r="BO63" i="6"/>
  <c r="BU63" i="6" s="1"/>
  <c r="BS63" i="6" s="1"/>
  <c r="BG63" i="6"/>
  <c r="BM63" i="6" s="1"/>
  <c r="BK63" i="6" s="1"/>
  <c r="AY63" i="6"/>
  <c r="BE63" i="6" s="1"/>
  <c r="BC63" i="6" s="1"/>
  <c r="AQ63" i="6"/>
  <c r="AW63" i="6" s="1"/>
  <c r="AU63" i="6" s="1"/>
  <c r="AI63" i="6"/>
  <c r="AO63" i="6" s="1"/>
  <c r="AM63" i="6" s="1"/>
  <c r="AA63" i="6"/>
  <c r="AG63" i="6" s="1"/>
  <c r="AE63" i="6" s="1"/>
  <c r="S63" i="6"/>
  <c r="M63" i="6"/>
  <c r="L63" i="6"/>
  <c r="I63" i="6"/>
  <c r="E63" i="6"/>
  <c r="CM62" i="6"/>
  <c r="CS62" i="6" s="1"/>
  <c r="CQ62" i="6" s="1"/>
  <c r="CE62" i="6"/>
  <c r="CK62" i="6" s="1"/>
  <c r="CI62" i="6" s="1"/>
  <c r="CC62" i="6"/>
  <c r="CA62" i="6" s="1"/>
  <c r="BW62" i="6"/>
  <c r="BO62" i="6"/>
  <c r="BU62" i="6" s="1"/>
  <c r="BS62" i="6" s="1"/>
  <c r="BG62" i="6"/>
  <c r="BM62" i="6" s="1"/>
  <c r="BK62" i="6" s="1"/>
  <c r="AY62" i="6"/>
  <c r="BE62" i="6" s="1"/>
  <c r="BC62" i="6" s="1"/>
  <c r="AQ62" i="6"/>
  <c r="AW62" i="6" s="1"/>
  <c r="AU62" i="6" s="1"/>
  <c r="AI62" i="6"/>
  <c r="AO62" i="6" s="1"/>
  <c r="AM62" i="6" s="1"/>
  <c r="AA62" i="6"/>
  <c r="AG62" i="6" s="1"/>
  <c r="AE62" i="6" s="1"/>
  <c r="S62" i="6"/>
  <c r="Y62" i="6" s="1"/>
  <c r="W62" i="6" s="1"/>
  <c r="M62" i="6"/>
  <c r="L62" i="6"/>
  <c r="I62" i="6"/>
  <c r="E62" i="6"/>
  <c r="CM61" i="6"/>
  <c r="CE61" i="6"/>
  <c r="CK61" i="6" s="1"/>
  <c r="BO61" i="6"/>
  <c r="BU61" i="6" s="1"/>
  <c r="BG61" i="6"/>
  <c r="AY61" i="6"/>
  <c r="BE61" i="6" s="1"/>
  <c r="AI61" i="6"/>
  <c r="AA61" i="6"/>
  <c r="L61" i="6"/>
  <c r="S61" i="6"/>
  <c r="X61" i="6" s="1"/>
  <c r="M61" i="6"/>
  <c r="I61" i="6"/>
  <c r="E61" i="6"/>
  <c r="CP60" i="6"/>
  <c r="CP51" i="6" s="1"/>
  <c r="CO64" i="6"/>
  <c r="CN64" i="6"/>
  <c r="CM60" i="6"/>
  <c r="CH60" i="6"/>
  <c r="CH51" i="6" s="1"/>
  <c r="CE60" i="6"/>
  <c r="BZ60" i="6"/>
  <c r="BZ51" i="6" s="1"/>
  <c r="BY64" i="6"/>
  <c r="BX64" i="6"/>
  <c r="BR60" i="6"/>
  <c r="BR51" i="6" s="1"/>
  <c r="BQ64" i="6"/>
  <c r="BJ60" i="6"/>
  <c r="BJ51" i="6" s="1"/>
  <c r="BI64" i="6"/>
  <c r="BH64" i="6"/>
  <c r="BG60" i="6"/>
  <c r="BB60" i="6"/>
  <c r="AY60" i="6"/>
  <c r="AT60" i="6"/>
  <c r="AT51" i="6" s="1"/>
  <c r="AS64" i="6"/>
  <c r="AR64" i="6"/>
  <c r="AL60" i="6"/>
  <c r="AL51" i="6" s="1"/>
  <c r="AK64" i="6"/>
  <c r="AD60" i="6"/>
  <c r="AD51" i="6" s="1"/>
  <c r="AC64" i="6"/>
  <c r="AB64" i="6"/>
  <c r="AA60" i="6"/>
  <c r="V60" i="6"/>
  <c r="S60" i="6"/>
  <c r="CM59" i="6"/>
  <c r="CS59" i="6" s="1"/>
  <c r="CQ59" i="6" s="1"/>
  <c r="CE59" i="6"/>
  <c r="CK59" i="6" s="1"/>
  <c r="CI59" i="6" s="1"/>
  <c r="BY51" i="6"/>
  <c r="BO59" i="6"/>
  <c r="BU59" i="6" s="1"/>
  <c r="BS59" i="6" s="1"/>
  <c r="BG59" i="6"/>
  <c r="BM59" i="6" s="1"/>
  <c r="BK59" i="6" s="1"/>
  <c r="AY59" i="6"/>
  <c r="BE59" i="6" s="1"/>
  <c r="BC59" i="6" s="1"/>
  <c r="M59" i="6"/>
  <c r="AQ59" i="6"/>
  <c r="AW59" i="6" s="1"/>
  <c r="AU59" i="6" s="1"/>
  <c r="AI59" i="6"/>
  <c r="AO59" i="6" s="1"/>
  <c r="AM59" i="6" s="1"/>
  <c r="AA59" i="6"/>
  <c r="AG59" i="6" s="1"/>
  <c r="AE59" i="6" s="1"/>
  <c r="S59" i="6"/>
  <c r="Y59" i="6" s="1"/>
  <c r="I59" i="6"/>
  <c r="E59" i="6"/>
  <c r="CM58" i="6"/>
  <c r="CS58" i="6" s="1"/>
  <c r="CE58" i="6"/>
  <c r="CJ58" i="6" s="1"/>
  <c r="BW58" i="6"/>
  <c r="CC58" i="6" s="1"/>
  <c r="BO58" i="6"/>
  <c r="BT58" i="6" s="1"/>
  <c r="BG58" i="6"/>
  <c r="BM58" i="6" s="1"/>
  <c r="AY58" i="6"/>
  <c r="BD58" i="6" s="1"/>
  <c r="AQ58" i="6"/>
  <c r="AW58" i="6" s="1"/>
  <c r="AI58" i="6"/>
  <c r="AN58" i="6" s="1"/>
  <c r="AA58" i="6"/>
  <c r="AG58" i="6" s="1"/>
  <c r="M58" i="6"/>
  <c r="I58" i="6"/>
  <c r="E58" i="6"/>
  <c r="CM57" i="6"/>
  <c r="CE57" i="6"/>
  <c r="BW57" i="6"/>
  <c r="BO57" i="6"/>
  <c r="AY57" i="6"/>
  <c r="AQ57" i="6"/>
  <c r="M57" i="6"/>
  <c r="AA57" i="6"/>
  <c r="S57" i="6"/>
  <c r="X57" i="6" s="1"/>
  <c r="L57" i="6"/>
  <c r="I57" i="6"/>
  <c r="CM56" i="6"/>
  <c r="CE56" i="6"/>
  <c r="BW56" i="6"/>
  <c r="BO56" i="6"/>
  <c r="AY56" i="6"/>
  <c r="AQ56" i="6"/>
  <c r="M56" i="6"/>
  <c r="AA56" i="6"/>
  <c r="S56" i="6"/>
  <c r="X56" i="6" s="1"/>
  <c r="L56" i="6"/>
  <c r="I56" i="6"/>
  <c r="Y55" i="6"/>
  <c r="X55" i="6"/>
  <c r="M55" i="6"/>
  <c r="L55" i="6"/>
  <c r="K55" i="6"/>
  <c r="I55" i="6"/>
  <c r="Y54" i="6"/>
  <c r="X54" i="6"/>
  <c r="E54" i="6"/>
  <c r="Y53" i="6"/>
  <c r="X53" i="6"/>
  <c r="E53" i="6"/>
  <c r="CM52" i="6"/>
  <c r="CG51" i="6"/>
  <c r="BX51" i="6"/>
  <c r="BQ51" i="6"/>
  <c r="BG52" i="6"/>
  <c r="BA51" i="6"/>
  <c r="AQ52" i="6"/>
  <c r="AA52" i="6"/>
  <c r="L52" i="6"/>
  <c r="I52" i="6"/>
  <c r="CO51" i="6"/>
  <c r="CN51" i="6"/>
  <c r="CF51" i="6"/>
  <c r="BP51" i="6"/>
  <c r="BI51" i="6"/>
  <c r="BH51" i="6"/>
  <c r="BB51" i="6"/>
  <c r="AS51" i="6"/>
  <c r="AK51" i="6"/>
  <c r="AC51" i="6"/>
  <c r="AB51" i="6"/>
  <c r="V51" i="6"/>
  <c r="T51" i="6"/>
  <c r="J51" i="6"/>
  <c r="CM50" i="6"/>
  <c r="CR50" i="6" s="1"/>
  <c r="CQ50" i="6" s="1"/>
  <c r="CE50" i="6"/>
  <c r="CJ50" i="6" s="1"/>
  <c r="CI50" i="6" s="1"/>
  <c r="BW50" i="6"/>
  <c r="CB50" i="6" s="1"/>
  <c r="CA50" i="6" s="1"/>
  <c r="BO50" i="6"/>
  <c r="BT50" i="6" s="1"/>
  <c r="BS50" i="6" s="1"/>
  <c r="BG50" i="6"/>
  <c r="BL50" i="6" s="1"/>
  <c r="BK50" i="6" s="1"/>
  <c r="AY50" i="6"/>
  <c r="BD50" i="6" s="1"/>
  <c r="BC50" i="6" s="1"/>
  <c r="AQ50" i="6"/>
  <c r="AV50" i="6" s="1"/>
  <c r="AU50" i="6" s="1"/>
  <c r="AI50" i="6"/>
  <c r="AN50" i="6" s="1"/>
  <c r="AM50" i="6" s="1"/>
  <c r="AA50" i="6"/>
  <c r="AF50" i="6" s="1"/>
  <c r="AE50" i="6" s="1"/>
  <c r="S50" i="6"/>
  <c r="X50" i="6" s="1"/>
  <c r="W50" i="6" s="1"/>
  <c r="Q50" i="6"/>
  <c r="M50" i="6"/>
  <c r="L50" i="6"/>
  <c r="I50" i="6"/>
  <c r="E50" i="6"/>
  <c r="CM49" i="6"/>
  <c r="CS49" i="6" s="1"/>
  <c r="CJ49" i="6"/>
  <c r="CE49" i="6"/>
  <c r="CK49" i="6" s="1"/>
  <c r="BW49" i="6"/>
  <c r="CC49" i="6" s="1"/>
  <c r="BO49" i="6"/>
  <c r="BG49" i="6"/>
  <c r="BM49" i="6" s="1"/>
  <c r="BD49" i="6"/>
  <c r="AY49" i="6"/>
  <c r="BE49" i="6" s="1"/>
  <c r="AQ49" i="6"/>
  <c r="AW49" i="6" s="1"/>
  <c r="AI49" i="6"/>
  <c r="AA49" i="6"/>
  <c r="AG49" i="6" s="1"/>
  <c r="S49" i="6"/>
  <c r="Y49" i="6" s="1"/>
  <c r="M49" i="6"/>
  <c r="L49" i="6"/>
  <c r="I49" i="6"/>
  <c r="E49" i="6"/>
  <c r="CM48" i="6"/>
  <c r="CE48" i="6"/>
  <c r="CK48" i="6" s="1"/>
  <c r="CK46" i="6" s="1"/>
  <c r="BW48" i="6"/>
  <c r="CC48" i="6" s="1"/>
  <c r="BO48" i="6"/>
  <c r="BU48" i="6" s="1"/>
  <c r="BG48" i="6"/>
  <c r="BM48" i="6" s="1"/>
  <c r="BK48" i="6" s="1"/>
  <c r="AY48" i="6"/>
  <c r="BE48" i="6" s="1"/>
  <c r="BE46" i="6" s="1"/>
  <c r="AQ48" i="6"/>
  <c r="AI48" i="6"/>
  <c r="AO48" i="6" s="1"/>
  <c r="AO46" i="6" s="1"/>
  <c r="AA48" i="6"/>
  <c r="S48" i="6"/>
  <c r="Y48" i="6" s="1"/>
  <c r="Y46" i="6" s="1"/>
  <c r="M48" i="6"/>
  <c r="L48" i="6"/>
  <c r="I48" i="6"/>
  <c r="E48" i="6"/>
  <c r="CM47" i="6"/>
  <c r="CR47" i="6" s="1"/>
  <c r="CQ47" i="6" s="1"/>
  <c r="CE47" i="6"/>
  <c r="CJ47" i="6" s="1"/>
  <c r="CJ46" i="6" s="1"/>
  <c r="BW47" i="6"/>
  <c r="CB47" i="6" s="1"/>
  <c r="CB46" i="6" s="1"/>
  <c r="BO47" i="6"/>
  <c r="BT47" i="6" s="1"/>
  <c r="BG47" i="6"/>
  <c r="BL47" i="6" s="1"/>
  <c r="AY47" i="6"/>
  <c r="AQ47" i="6"/>
  <c r="AV47" i="6" s="1"/>
  <c r="AV46" i="6" s="1"/>
  <c r="AI47" i="6"/>
  <c r="AA47" i="6"/>
  <c r="AF47" i="6" s="1"/>
  <c r="S47" i="6"/>
  <c r="Q47" i="6"/>
  <c r="M47" i="6"/>
  <c r="L47" i="6"/>
  <c r="I47" i="6"/>
  <c r="E47" i="6"/>
  <c r="CP46" i="6"/>
  <c r="CP43" i="6" s="1"/>
  <c r="CO46" i="6"/>
  <c r="CO43" i="6" s="1"/>
  <c r="CN46" i="6"/>
  <c r="CN43" i="6" s="1"/>
  <c r="CH46" i="6"/>
  <c r="CH43" i="6" s="1"/>
  <c r="CG46" i="6"/>
  <c r="CG43" i="6" s="1"/>
  <c r="CF46" i="6"/>
  <c r="BZ46" i="6"/>
  <c r="BZ43" i="6" s="1"/>
  <c r="BY46" i="6"/>
  <c r="BY43" i="6" s="1"/>
  <c r="BX46" i="6"/>
  <c r="BR46" i="6"/>
  <c r="BR43" i="6" s="1"/>
  <c r="BQ46" i="6"/>
  <c r="BQ43" i="6" s="1"/>
  <c r="BP46" i="6"/>
  <c r="BJ46" i="6"/>
  <c r="BI46" i="6"/>
  <c r="BI43" i="6" s="1"/>
  <c r="BH46" i="6"/>
  <c r="BH43" i="6" s="1"/>
  <c r="BB46" i="6"/>
  <c r="BB43" i="6" s="1"/>
  <c r="BA46" i="6"/>
  <c r="BA43" i="6" s="1"/>
  <c r="AZ46" i="6"/>
  <c r="AT46" i="6"/>
  <c r="AT43" i="6" s="1"/>
  <c r="AS46" i="6"/>
  <c r="AR46" i="6"/>
  <c r="AL46" i="6"/>
  <c r="AL43" i="6" s="1"/>
  <c r="AK46" i="6"/>
  <c r="AK43" i="6" s="1"/>
  <c r="AJ46" i="6"/>
  <c r="AD46" i="6"/>
  <c r="AD43" i="6" s="1"/>
  <c r="AC46" i="6"/>
  <c r="AB46" i="6"/>
  <c r="AB43" i="6" s="1"/>
  <c r="V46" i="6"/>
  <c r="V43" i="6" s="1"/>
  <c r="U46" i="6"/>
  <c r="U43" i="6" s="1"/>
  <c r="T46" i="6"/>
  <c r="J46" i="6"/>
  <c r="J43" i="6" s="1"/>
  <c r="CE45" i="6"/>
  <c r="CK45" i="6" s="1"/>
  <c r="AY45" i="6"/>
  <c r="BE45" i="6" s="1"/>
  <c r="M45" i="6"/>
  <c r="S45" i="6"/>
  <c r="I45" i="6"/>
  <c r="E45" i="6"/>
  <c r="CM44" i="6"/>
  <c r="CS44" i="6" s="1"/>
  <c r="CF43" i="6"/>
  <c r="CE44" i="6"/>
  <c r="CJ44" i="6" s="1"/>
  <c r="BW44" i="6"/>
  <c r="BG44" i="6"/>
  <c r="AY44" i="6"/>
  <c r="AA44" i="6"/>
  <c r="S44" i="6"/>
  <c r="X44" i="6" s="1"/>
  <c r="M44" i="6"/>
  <c r="I44" i="6"/>
  <c r="E44" i="6"/>
  <c r="BJ43" i="6"/>
  <c r="AJ43" i="6"/>
  <c r="AC43" i="6"/>
  <c r="CO42" i="6"/>
  <c r="CG42" i="6"/>
  <c r="CF42" i="6"/>
  <c r="BP42" i="6"/>
  <c r="AZ42" i="6"/>
  <c r="I42" i="6"/>
  <c r="E42" i="6"/>
  <c r="CM41" i="6"/>
  <c r="CS41" i="6" s="1"/>
  <c r="CQ41" i="6" s="1"/>
  <c r="CE41" i="6"/>
  <c r="CK41" i="6" s="1"/>
  <c r="BW41" i="6"/>
  <c r="CC41" i="6" s="1"/>
  <c r="CA41" i="6" s="1"/>
  <c r="BO41" i="6"/>
  <c r="BU41" i="6" s="1"/>
  <c r="BS41" i="6" s="1"/>
  <c r="BG41" i="6"/>
  <c r="BM41" i="6" s="1"/>
  <c r="AY41" i="6"/>
  <c r="BE41" i="6" s="1"/>
  <c r="BC41" i="6" s="1"/>
  <c r="AQ41" i="6"/>
  <c r="AW41" i="6" s="1"/>
  <c r="AU41" i="6" s="1"/>
  <c r="AI41" i="6"/>
  <c r="AO41" i="6" s="1"/>
  <c r="AM41" i="6" s="1"/>
  <c r="AA41" i="6"/>
  <c r="AG41" i="6" s="1"/>
  <c r="AE41" i="6" s="1"/>
  <c r="S41" i="6"/>
  <c r="Y41" i="6" s="1"/>
  <c r="M41" i="6"/>
  <c r="L41" i="6"/>
  <c r="I41" i="6"/>
  <c r="E41" i="6"/>
  <c r="CM40" i="6"/>
  <c r="CR40" i="6" s="1"/>
  <c r="CE40" i="6"/>
  <c r="CJ40" i="6" s="1"/>
  <c r="BY42" i="6"/>
  <c r="AY40" i="6"/>
  <c r="BD40" i="6" s="1"/>
  <c r="BD39" i="6" s="1"/>
  <c r="S40" i="6"/>
  <c r="Q40" i="6"/>
  <c r="L40" i="6"/>
  <c r="I40" i="6"/>
  <c r="E40" i="6"/>
  <c r="CP39" i="6"/>
  <c r="CP35" i="6" s="1"/>
  <c r="CN42" i="6"/>
  <c r="CM39" i="6"/>
  <c r="CH39" i="6"/>
  <c r="CH35" i="6" s="1"/>
  <c r="CE39" i="6"/>
  <c r="BZ39" i="6"/>
  <c r="BZ35" i="6" s="1"/>
  <c r="BR39" i="6"/>
  <c r="BR35" i="6" s="1"/>
  <c r="BQ42" i="6"/>
  <c r="BO39" i="6"/>
  <c r="BJ39" i="6"/>
  <c r="BJ35" i="6" s="1"/>
  <c r="BH42" i="6"/>
  <c r="BB39" i="6"/>
  <c r="BB35" i="6" s="1"/>
  <c r="AT39" i="6"/>
  <c r="AS42" i="6"/>
  <c r="AL39" i="6"/>
  <c r="AK42" i="6"/>
  <c r="AJ42" i="6"/>
  <c r="AD39" i="6"/>
  <c r="AD35" i="6" s="1"/>
  <c r="AB42" i="6"/>
  <c r="AA39" i="6"/>
  <c r="V39" i="6"/>
  <c r="V35" i="6" s="1"/>
  <c r="U42" i="6"/>
  <c r="T42" i="6"/>
  <c r="S39" i="6"/>
  <c r="CM38" i="6"/>
  <c r="CR38" i="6" s="1"/>
  <c r="CQ38" i="6" s="1"/>
  <c r="CE38" i="6"/>
  <c r="CJ38" i="6" s="1"/>
  <c r="CI38" i="6" s="1"/>
  <c r="BW38" i="6"/>
  <c r="CB38" i="6" s="1"/>
  <c r="CA38" i="6" s="1"/>
  <c r="BO38" i="6"/>
  <c r="BT38" i="6" s="1"/>
  <c r="BS38" i="6" s="1"/>
  <c r="BG38" i="6"/>
  <c r="BL38" i="6" s="1"/>
  <c r="BK38" i="6" s="1"/>
  <c r="AY38" i="6"/>
  <c r="BD38" i="6" s="1"/>
  <c r="BC38" i="6" s="1"/>
  <c r="AQ38" i="6"/>
  <c r="AV38" i="6" s="1"/>
  <c r="AU38" i="6" s="1"/>
  <c r="AI38" i="6"/>
  <c r="AN38" i="6" s="1"/>
  <c r="AM38" i="6" s="1"/>
  <c r="AA38" i="6"/>
  <c r="AF38" i="6" s="1"/>
  <c r="AE38" i="6" s="1"/>
  <c r="S38" i="6"/>
  <c r="Q38" i="6"/>
  <c r="M38" i="6"/>
  <c r="L38" i="6"/>
  <c r="I38" i="6"/>
  <c r="E38" i="6"/>
  <c r="CM37" i="6"/>
  <c r="CS37" i="6" s="1"/>
  <c r="CE37" i="6"/>
  <c r="CJ37" i="6" s="1"/>
  <c r="BY35" i="6"/>
  <c r="BW37" i="6"/>
  <c r="CC37" i="6" s="1"/>
  <c r="BO37" i="6"/>
  <c r="BT37" i="6" s="1"/>
  <c r="BG37" i="6"/>
  <c r="BM37" i="6" s="1"/>
  <c r="AY37" i="6"/>
  <c r="BD37" i="6" s="1"/>
  <c r="AS35" i="6"/>
  <c r="AQ37" i="6"/>
  <c r="AW37" i="6" s="1"/>
  <c r="AI37" i="6"/>
  <c r="AN37" i="6" s="1"/>
  <c r="AA37" i="6"/>
  <c r="AG37" i="6" s="1"/>
  <c r="M37" i="6"/>
  <c r="I37" i="6"/>
  <c r="E37" i="6"/>
  <c r="CN35" i="6"/>
  <c r="CG35" i="6"/>
  <c r="BW36" i="6"/>
  <c r="BG36" i="6"/>
  <c r="BA35" i="6"/>
  <c r="AQ36" i="6"/>
  <c r="AK35" i="6"/>
  <c r="AA36" i="6"/>
  <c r="M36" i="6"/>
  <c r="L36" i="6"/>
  <c r="I36" i="6"/>
  <c r="E36" i="6"/>
  <c r="CO35" i="6"/>
  <c r="BQ35" i="6"/>
  <c r="BI35" i="6"/>
  <c r="AT35" i="6"/>
  <c r="AR35" i="6"/>
  <c r="AL35" i="6"/>
  <c r="AC35" i="6"/>
  <c r="T35" i="6"/>
  <c r="N35" i="6"/>
  <c r="J35" i="6"/>
  <c r="AS34" i="6"/>
  <c r="AK34" i="6"/>
  <c r="AJ34" i="6"/>
  <c r="AC34" i="6"/>
  <c r="T34" i="6"/>
  <c r="I34" i="6"/>
  <c r="E34" i="6"/>
  <c r="CM33" i="6"/>
  <c r="CS33" i="6" s="1"/>
  <c r="CQ33" i="6" s="1"/>
  <c r="CE33" i="6"/>
  <c r="CK33" i="6" s="1"/>
  <c r="BW33" i="6"/>
  <c r="CC33" i="6" s="1"/>
  <c r="CA33" i="6" s="1"/>
  <c r="BO33" i="6"/>
  <c r="BU33" i="6" s="1"/>
  <c r="BS33" i="6" s="1"/>
  <c r="BG33" i="6"/>
  <c r="BM33" i="6" s="1"/>
  <c r="AY33" i="6"/>
  <c r="BE33" i="6" s="1"/>
  <c r="BC33" i="6" s="1"/>
  <c r="AQ33" i="6"/>
  <c r="AW33" i="6" s="1"/>
  <c r="AU33" i="6" s="1"/>
  <c r="AI33" i="6"/>
  <c r="AO33" i="6" s="1"/>
  <c r="AA33" i="6"/>
  <c r="AG33" i="6" s="1"/>
  <c r="AE33" i="6" s="1"/>
  <c r="S33" i="6"/>
  <c r="M33" i="6"/>
  <c r="L33" i="6"/>
  <c r="I33" i="6"/>
  <c r="E33" i="6"/>
  <c r="CM32" i="6"/>
  <c r="CR32" i="6" s="1"/>
  <c r="CQ32" i="6" s="1"/>
  <c r="CE32" i="6"/>
  <c r="CJ32" i="6" s="1"/>
  <c r="CI32" i="6" s="1"/>
  <c r="BW32" i="6"/>
  <c r="CB32" i="6" s="1"/>
  <c r="CA32" i="6" s="1"/>
  <c r="BO32" i="6"/>
  <c r="BT32" i="6" s="1"/>
  <c r="BS32" i="6" s="1"/>
  <c r="BG32" i="6"/>
  <c r="BL32" i="6" s="1"/>
  <c r="BK32" i="6" s="1"/>
  <c r="AY32" i="6"/>
  <c r="BD32" i="6" s="1"/>
  <c r="BC32" i="6" s="1"/>
  <c r="AQ32" i="6"/>
  <c r="AV32" i="6" s="1"/>
  <c r="AU32" i="6" s="1"/>
  <c r="AI32" i="6"/>
  <c r="AN32" i="6" s="1"/>
  <c r="AM32" i="6" s="1"/>
  <c r="AA32" i="6"/>
  <c r="AF32" i="6" s="1"/>
  <c r="AE32" i="6" s="1"/>
  <c r="S32" i="6"/>
  <c r="X32" i="6" s="1"/>
  <c r="W32" i="6" s="1"/>
  <c r="Q32" i="6"/>
  <c r="M32" i="6"/>
  <c r="L32" i="6"/>
  <c r="I32" i="6"/>
  <c r="E32" i="6"/>
  <c r="CM31" i="6"/>
  <c r="CR31" i="6" s="1"/>
  <c r="CE31" i="6"/>
  <c r="CJ31" i="6" s="1"/>
  <c r="BY34" i="6"/>
  <c r="BQ34" i="6"/>
  <c r="BG31" i="6"/>
  <c r="BL31" i="6" s="1"/>
  <c r="AY31" i="6"/>
  <c r="BD31" i="6" s="1"/>
  <c r="AI31" i="6"/>
  <c r="AN31" i="6" s="1"/>
  <c r="AA31" i="6"/>
  <c r="AF31" i="6" s="1"/>
  <c r="S31" i="6"/>
  <c r="X31" i="6" s="1"/>
  <c r="Q31" i="6"/>
  <c r="M31" i="6"/>
  <c r="I31" i="6"/>
  <c r="E31" i="6"/>
  <c r="CP30" i="6"/>
  <c r="CP26" i="6" s="1"/>
  <c r="CO34" i="6"/>
  <c r="CM30" i="6"/>
  <c r="CH30" i="6"/>
  <c r="CG34" i="6"/>
  <c r="CF34" i="6"/>
  <c r="BZ30" i="6"/>
  <c r="BZ26" i="6" s="1"/>
  <c r="BW30" i="6"/>
  <c r="BR30" i="6"/>
  <c r="BR26" i="6" s="1"/>
  <c r="BP34" i="6"/>
  <c r="BO30" i="6"/>
  <c r="BJ30" i="6"/>
  <c r="BJ26" i="6" s="1"/>
  <c r="BI34" i="6"/>
  <c r="BH34" i="6"/>
  <c r="BB30" i="6"/>
  <c r="BB26" i="6" s="1"/>
  <c r="BA34" i="6"/>
  <c r="AZ34" i="6"/>
  <c r="AT30" i="6"/>
  <c r="AR34" i="6"/>
  <c r="AL30" i="6"/>
  <c r="AL26" i="6" s="1"/>
  <c r="AI30" i="6"/>
  <c r="AD30" i="6"/>
  <c r="AD26" i="6" s="1"/>
  <c r="AB34" i="6"/>
  <c r="V30" i="6"/>
  <c r="U34" i="6"/>
  <c r="S30" i="6"/>
  <c r="CM29" i="6"/>
  <c r="CS29" i="6" s="1"/>
  <c r="CG26" i="6"/>
  <c r="CE29" i="6"/>
  <c r="BW29" i="6"/>
  <c r="CC29" i="6" s="1"/>
  <c r="BO29" i="6"/>
  <c r="BG29" i="6"/>
  <c r="BL29" i="6" s="1"/>
  <c r="BA26" i="6"/>
  <c r="AY29" i="6"/>
  <c r="AQ29" i="6"/>
  <c r="AW29" i="6" s="1"/>
  <c r="AI29" i="6"/>
  <c r="AA29" i="6"/>
  <c r="AG29" i="6" s="1"/>
  <c r="M29" i="6"/>
  <c r="S29" i="6"/>
  <c r="I29" i="6"/>
  <c r="E29" i="6"/>
  <c r="CM28" i="6"/>
  <c r="CE28" i="6"/>
  <c r="BW28" i="6"/>
  <c r="BO28" i="6"/>
  <c r="BG28" i="6"/>
  <c r="AY28" i="6"/>
  <c r="AQ28" i="6"/>
  <c r="AI28" i="6"/>
  <c r="M28" i="6"/>
  <c r="AA28" i="6"/>
  <c r="S28" i="6"/>
  <c r="I28" i="6"/>
  <c r="CO26" i="6"/>
  <c r="CM27" i="6"/>
  <c r="CE27" i="6"/>
  <c r="BW27" i="6"/>
  <c r="BO27" i="6"/>
  <c r="BI26" i="6"/>
  <c r="BG27" i="6"/>
  <c r="AY27" i="6"/>
  <c r="AQ27" i="6"/>
  <c r="AI27" i="6"/>
  <c r="AC26" i="6"/>
  <c r="AA27" i="6"/>
  <c r="S27" i="6"/>
  <c r="M27" i="6"/>
  <c r="I27" i="6"/>
  <c r="E27" i="6"/>
  <c r="CN26" i="6"/>
  <c r="CH26" i="6"/>
  <c r="BY26" i="6"/>
  <c r="BQ26" i="6"/>
  <c r="BH26" i="6"/>
  <c r="AT26" i="6"/>
  <c r="AS26" i="6"/>
  <c r="AK26" i="6"/>
  <c r="AB26" i="6"/>
  <c r="V26" i="6"/>
  <c r="N26" i="6"/>
  <c r="J26" i="6"/>
  <c r="I23" i="6"/>
  <c r="I22" i="6"/>
  <c r="I19" i="6"/>
  <c r="CP18" i="6"/>
  <c r="CN18" i="6"/>
  <c r="CH18" i="6"/>
  <c r="BZ18" i="6"/>
  <c r="BY18" i="6"/>
  <c r="BX18" i="6"/>
  <c r="BR18" i="6"/>
  <c r="BQ18" i="6"/>
  <c r="BJ18" i="6"/>
  <c r="BH18" i="6"/>
  <c r="BB18" i="6"/>
  <c r="AT18" i="6"/>
  <c r="AS18" i="6"/>
  <c r="AR18" i="6"/>
  <c r="AL18" i="6"/>
  <c r="AK18" i="6"/>
  <c r="AD18" i="6"/>
  <c r="AB18" i="6"/>
  <c r="V18" i="6"/>
  <c r="I18" i="6"/>
  <c r="CO16" i="6"/>
  <c r="CN16" i="6"/>
  <c r="CG16" i="6"/>
  <c r="BY16" i="6"/>
  <c r="BQ16" i="6"/>
  <c r="BI16" i="6"/>
  <c r="AS16" i="6"/>
  <c r="AR16" i="6"/>
  <c r="AJ16" i="6"/>
  <c r="I16" i="6"/>
  <c r="Z9" i="6"/>
  <c r="CL4" i="6"/>
  <c r="CD4" i="6"/>
  <c r="BV4" i="6"/>
  <c r="BN4" i="6"/>
  <c r="BF4" i="6"/>
  <c r="AX4" i="6"/>
  <c r="AP4" i="6"/>
  <c r="AH4" i="6"/>
  <c r="Z4" i="6"/>
  <c r="R4" i="6"/>
  <c r="U104" i="6" l="1"/>
  <c r="AQ92" i="6"/>
  <c r="BZ72" i="6"/>
  <c r="L105" i="6"/>
  <c r="BR88" i="6"/>
  <c r="BR87" i="6" s="1"/>
  <c r="M105" i="6"/>
  <c r="K109" i="6"/>
  <c r="K116" i="6"/>
  <c r="CM42" i="6"/>
  <c r="CS42" i="6" s="1"/>
  <c r="CQ42" i="6" s="1"/>
  <c r="CM64" i="6"/>
  <c r="CS64" i="6" s="1"/>
  <c r="CQ64" i="6" s="1"/>
  <c r="AY64" i="6"/>
  <c r="BE64" i="6" s="1"/>
  <c r="BC64" i="6" s="1"/>
  <c r="CA94" i="6"/>
  <c r="CA92" i="6" s="1"/>
  <c r="BI20" i="6"/>
  <c r="BI15" i="6" s="1"/>
  <c r="AI42" i="6"/>
  <c r="AO42" i="6" s="1"/>
  <c r="X49" i="6"/>
  <c r="BG64" i="6"/>
  <c r="BM64" i="6" s="1"/>
  <c r="BK64" i="6" s="1"/>
  <c r="AU86" i="6"/>
  <c r="CA86" i="6"/>
  <c r="CQ86" i="6"/>
  <c r="V104" i="6"/>
  <c r="BG114" i="6"/>
  <c r="BW114" i="6"/>
  <c r="J118" i="6"/>
  <c r="AC20" i="6"/>
  <c r="AC15" i="6" s="1"/>
  <c r="AC17" i="6" s="1"/>
  <c r="AD72" i="6"/>
  <c r="AT72" i="6"/>
  <c r="BO82" i="6"/>
  <c r="BU82" i="6" s="1"/>
  <c r="BU80" i="6" s="1"/>
  <c r="I80" i="6"/>
  <c r="AL88" i="6"/>
  <c r="AL87" i="6" s="1"/>
  <c r="BG92" i="6"/>
  <c r="L110" i="6"/>
  <c r="CM114" i="6"/>
  <c r="CE114" i="6"/>
  <c r="CQ114" i="6"/>
  <c r="AI82" i="6"/>
  <c r="AN82" i="6" s="1"/>
  <c r="AN80" i="6" s="1"/>
  <c r="I104" i="6"/>
  <c r="T108" i="6"/>
  <c r="X110" i="6"/>
  <c r="W110" i="6" s="1"/>
  <c r="K110" i="6"/>
  <c r="O110" i="6" s="1"/>
  <c r="P110" i="6" s="1"/>
  <c r="BL46" i="6"/>
  <c r="BK47" i="6"/>
  <c r="BK46" i="6" s="1"/>
  <c r="BD61" i="6"/>
  <c r="BC61" i="6" s="1"/>
  <c r="BC60" i="6" s="1"/>
  <c r="CJ61" i="6"/>
  <c r="CJ60" i="6" s="1"/>
  <c r="Q69" i="6"/>
  <c r="CH72" i="6"/>
  <c r="AA85" i="6"/>
  <c r="AE86" i="6"/>
  <c r="I87" i="6"/>
  <c r="BT98" i="6"/>
  <c r="S34" i="6"/>
  <c r="BG46" i="6"/>
  <c r="BB72" i="6"/>
  <c r="CB84" i="6"/>
  <c r="CA84" i="6" s="1"/>
  <c r="BK86" i="6"/>
  <c r="AA92" i="6"/>
  <c r="AV88" i="6"/>
  <c r="CH115" i="6"/>
  <c r="CH114" i="6" s="1"/>
  <c r="BG34" i="6"/>
  <c r="BM34" i="6" s="1"/>
  <c r="BK34" i="6" s="1"/>
  <c r="CE34" i="6"/>
  <c r="CK34" i="6" s="1"/>
  <c r="CI34" i="6" s="1"/>
  <c r="I46" i="6"/>
  <c r="K47" i="6"/>
  <c r="O47" i="6" s="1"/>
  <c r="AM48" i="6"/>
  <c r="M114" i="6"/>
  <c r="AM114" i="6"/>
  <c r="BZ115" i="6"/>
  <c r="BZ114" i="6" s="1"/>
  <c r="AU114" i="6"/>
  <c r="Q16" i="6"/>
  <c r="CP114" i="6"/>
  <c r="AE47" i="6"/>
  <c r="AF46" i="6"/>
  <c r="AQ34" i="6"/>
  <c r="AW34" i="6" s="1"/>
  <c r="AU34" i="6" s="1"/>
  <c r="CA48" i="6"/>
  <c r="CC46" i="6"/>
  <c r="CS52" i="6"/>
  <c r="CM51" i="6"/>
  <c r="CN20" i="6"/>
  <c r="CN15" i="6" s="1"/>
  <c r="AA34" i="6"/>
  <c r="AG34" i="6" s="1"/>
  <c r="AG30" i="6" s="1"/>
  <c r="T104" i="6"/>
  <c r="L108" i="6"/>
  <c r="L104" i="6" s="1"/>
  <c r="CO20" i="6"/>
  <c r="CO15" i="6" s="1"/>
  <c r="BO34" i="6"/>
  <c r="BU34" i="6" s="1"/>
  <c r="BS34" i="6" s="1"/>
  <c r="I30" i="6"/>
  <c r="I26" i="6" s="1"/>
  <c r="CE46" i="6"/>
  <c r="CE43" i="6" s="1"/>
  <c r="AU47" i="6"/>
  <c r="CI47" i="6"/>
  <c r="AV49" i="6"/>
  <c r="AU49" i="6" s="1"/>
  <c r="CB49" i="6"/>
  <c r="CA49" i="6" s="1"/>
  <c r="AA64" i="6"/>
  <c r="AG64" i="6" s="1"/>
  <c r="AE64" i="6" s="1"/>
  <c r="AO61" i="6"/>
  <c r="AN61" i="6"/>
  <c r="BE68" i="6"/>
  <c r="BC68" i="6" s="1"/>
  <c r="BJ72" i="6"/>
  <c r="I74" i="6"/>
  <c r="I72" i="6" s="1"/>
  <c r="AI81" i="6"/>
  <c r="AN81" i="6" s="1"/>
  <c r="AM81" i="6" s="1"/>
  <c r="BM89" i="6"/>
  <c r="BM88" i="6" s="1"/>
  <c r="CS89" i="6"/>
  <c r="CS88" i="6" s="1"/>
  <c r="AO97" i="6"/>
  <c r="CR97" i="6"/>
  <c r="AL98" i="6"/>
  <c r="AL97" i="6" s="1"/>
  <c r="AN98" i="6"/>
  <c r="Y106" i="6"/>
  <c r="Q106" i="6" s="1"/>
  <c r="Q105" i="6" s="1"/>
  <c r="S105" i="6"/>
  <c r="BB119" i="6"/>
  <c r="BB114" i="6" s="1"/>
  <c r="Y84" i="6"/>
  <c r="W84" i="6" s="1"/>
  <c r="X84" i="6"/>
  <c r="AD115" i="6"/>
  <c r="AA114" i="6"/>
  <c r="I43" i="6"/>
  <c r="X47" i="6"/>
  <c r="CR52" i="6"/>
  <c r="AL72" i="6"/>
  <c r="CB92" i="6"/>
  <c r="CB88" i="6" s="1"/>
  <c r="BL92" i="6"/>
  <c r="BL88" i="6" s="1"/>
  <c r="BK94" i="6"/>
  <c r="BK92" i="6" s="1"/>
  <c r="BK88" i="6" s="1"/>
  <c r="J20" i="6"/>
  <c r="J21" i="6" s="1"/>
  <c r="BQ20" i="6"/>
  <c r="BQ15" i="6" s="1"/>
  <c r="I17" i="6"/>
  <c r="BY20" i="6"/>
  <c r="BY15" i="6" s="1"/>
  <c r="K33" i="6"/>
  <c r="O33" i="6" s="1"/>
  <c r="I39" i="6"/>
  <c r="S46" i="6"/>
  <c r="BM46" i="6"/>
  <c r="BD47" i="6"/>
  <c r="AY46" i="6"/>
  <c r="AY43" i="6" s="1"/>
  <c r="L46" i="6"/>
  <c r="BC48" i="6"/>
  <c r="AN68" i="6"/>
  <c r="AO68" i="6"/>
  <c r="CP72" i="6"/>
  <c r="AW82" i="6"/>
  <c r="AW80" i="6" s="1"/>
  <c r="BW85" i="6"/>
  <c r="I83" i="6"/>
  <c r="CE84" i="6"/>
  <c r="CK84" i="6" s="1"/>
  <c r="Q86" i="6"/>
  <c r="M92" i="6"/>
  <c r="BW92" i="6"/>
  <c r="X113" i="6"/>
  <c r="W113" i="6" s="1"/>
  <c r="K113" i="6"/>
  <c r="O113" i="6" s="1"/>
  <c r="P113" i="6" s="1"/>
  <c r="O118" i="6"/>
  <c r="P118" i="6" s="1"/>
  <c r="BA20" i="6"/>
  <c r="BA15" i="6" s="1"/>
  <c r="BA17" i="6" s="1"/>
  <c r="AY34" i="6"/>
  <c r="BE34" i="6" s="1"/>
  <c r="BE30" i="6" s="1"/>
  <c r="BR20" i="6"/>
  <c r="BO42" i="6"/>
  <c r="BU42" i="6" s="1"/>
  <c r="BU39" i="6" s="1"/>
  <c r="M46" i="6"/>
  <c r="M43" i="6" s="1"/>
  <c r="AI46" i="6"/>
  <c r="K50" i="6"/>
  <c r="O50" i="6" s="1"/>
  <c r="P50" i="6" s="1"/>
  <c r="CE64" i="6"/>
  <c r="CK64" i="6" s="1"/>
  <c r="CI64" i="6" s="1"/>
  <c r="Q92" i="6"/>
  <c r="Q94" i="6"/>
  <c r="AU94" i="6"/>
  <c r="AU92" i="6" s="1"/>
  <c r="T114" i="6"/>
  <c r="T16" i="6" s="1"/>
  <c r="Q108" i="6"/>
  <c r="K117" i="6"/>
  <c r="J117" i="6" s="1"/>
  <c r="BJ114" i="6"/>
  <c r="BI17" i="6"/>
  <c r="BI4" i="6"/>
  <c r="BY4" i="6"/>
  <c r="BY17" i="6"/>
  <c r="BY19" i="6" s="1"/>
  <c r="AN27" i="6"/>
  <c r="AI26" i="6"/>
  <c r="AO27" i="6"/>
  <c r="BT27" i="6"/>
  <c r="BO26" i="6"/>
  <c r="BU27" i="6"/>
  <c r="CJ27" i="6"/>
  <c r="CK27" i="6"/>
  <c r="BU29" i="6"/>
  <c r="BT29" i="6"/>
  <c r="CQ40" i="6"/>
  <c r="CQ39" i="6" s="1"/>
  <c r="CR39" i="6"/>
  <c r="K28" i="6"/>
  <c r="Y29" i="6"/>
  <c r="X29" i="6"/>
  <c r="K29" i="6"/>
  <c r="CK29" i="6"/>
  <c r="CJ29" i="6"/>
  <c r="AE31" i="6"/>
  <c r="AF30" i="6"/>
  <c r="AM31" i="6"/>
  <c r="AN30" i="6"/>
  <c r="BC31" i="6"/>
  <c r="BD30" i="6"/>
  <c r="CI31" i="6"/>
  <c r="CJ30" i="6"/>
  <c r="AA35" i="6"/>
  <c r="AG36" i="6"/>
  <c r="AF36" i="6"/>
  <c r="AW36" i="6"/>
  <c r="AV36" i="6"/>
  <c r="BM36" i="6"/>
  <c r="BL36" i="6"/>
  <c r="CC36" i="6"/>
  <c r="CB36" i="6"/>
  <c r="BS42" i="6"/>
  <c r="CO17" i="6"/>
  <c r="CO4" i="6"/>
  <c r="X27" i="6"/>
  <c r="K27" i="6"/>
  <c r="Y27" i="6"/>
  <c r="S26" i="6"/>
  <c r="BD27" i="6"/>
  <c r="BE27" i="6"/>
  <c r="AM33" i="6"/>
  <c r="Y34" i="6"/>
  <c r="BD44" i="6"/>
  <c r="BE44" i="6"/>
  <c r="BE43" i="6" s="1"/>
  <c r="AK20" i="6"/>
  <c r="AK15" i="6" s="1"/>
  <c r="AG27" i="6"/>
  <c r="AF27" i="6"/>
  <c r="AW27" i="6"/>
  <c r="AV27" i="6"/>
  <c r="BM27" i="6"/>
  <c r="BL27" i="6"/>
  <c r="CC27" i="6"/>
  <c r="CB27" i="6"/>
  <c r="BW26" i="6"/>
  <c r="CM26" i="6"/>
  <c r="CS27" i="6"/>
  <c r="CR27" i="6"/>
  <c r="AO29" i="6"/>
  <c r="AN29" i="6"/>
  <c r="CG20" i="6"/>
  <c r="CG15" i="6" s="1"/>
  <c r="W31" i="6"/>
  <c r="X30" i="6"/>
  <c r="BL30" i="6"/>
  <c r="BK31" i="6"/>
  <c r="BM30" i="6"/>
  <c r="BQ4" i="6"/>
  <c r="BQ17" i="6"/>
  <c r="BQ19" i="6" s="1"/>
  <c r="CN17" i="6"/>
  <c r="CN19" i="6" s="1"/>
  <c r="CN4" i="6"/>
  <c r="BE29" i="6"/>
  <c r="BD29" i="6"/>
  <c r="M34" i="6"/>
  <c r="M30" i="6" s="1"/>
  <c r="M26" i="6" s="1"/>
  <c r="CR30" i="6"/>
  <c r="CQ31" i="6"/>
  <c r="CI33" i="6"/>
  <c r="AM42" i="6"/>
  <c r="AO39" i="6"/>
  <c r="AF29" i="6"/>
  <c r="AE29" i="6" s="1"/>
  <c r="S37" i="6"/>
  <c r="L37" i="6"/>
  <c r="S42" i="6"/>
  <c r="BA42" i="6"/>
  <c r="AY42" i="6" s="1"/>
  <c r="BE42" i="6" s="1"/>
  <c r="AY39" i="6"/>
  <c r="BX42" i="6"/>
  <c r="BW42" i="6" s="1"/>
  <c r="CC42" i="6" s="1"/>
  <c r="BW39" i="6"/>
  <c r="BW35" i="6" s="1"/>
  <c r="AC42" i="6"/>
  <c r="AA42" i="6" s="1"/>
  <c r="AG42" i="6" s="1"/>
  <c r="AA40" i="6"/>
  <c r="AF40" i="6" s="1"/>
  <c r="M40" i="6"/>
  <c r="BG40" i="6"/>
  <c r="BL40" i="6" s="1"/>
  <c r="BI42" i="6"/>
  <c r="BG42" i="6" s="1"/>
  <c r="BM42" i="6" s="1"/>
  <c r="BK41" i="6"/>
  <c r="CI41" i="6"/>
  <c r="AG44" i="6"/>
  <c r="AF44" i="6"/>
  <c r="K48" i="6"/>
  <c r="O48" i="6" s="1"/>
  <c r="O46" i="6" s="1"/>
  <c r="AA46" i="6"/>
  <c r="AG48" i="6"/>
  <c r="AO49" i="6"/>
  <c r="Q49" i="6" s="1"/>
  <c r="AN49" i="6"/>
  <c r="K49" i="6"/>
  <c r="BU49" i="6"/>
  <c r="BT49" i="6"/>
  <c r="BS49" i="6" s="1"/>
  <c r="AA51" i="6"/>
  <c r="AG52" i="6"/>
  <c r="AF52" i="6"/>
  <c r="AW52" i="6"/>
  <c r="AV52" i="6"/>
  <c r="BM52" i="6"/>
  <c r="BG51" i="6"/>
  <c r="BL52" i="6"/>
  <c r="AV29" i="6"/>
  <c r="AU29" i="6" s="1"/>
  <c r="CB29" i="6"/>
  <c r="CA29" i="6" s="1"/>
  <c r="CR29" i="6"/>
  <c r="CQ29" i="6" s="1"/>
  <c r="T18" i="6"/>
  <c r="AC18" i="6"/>
  <c r="AZ18" i="6"/>
  <c r="BI18" i="6"/>
  <c r="CF18" i="6"/>
  <c r="CO18" i="6"/>
  <c r="T26" i="6"/>
  <c r="AZ26" i="6"/>
  <c r="CF26" i="6"/>
  <c r="L28" i="6"/>
  <c r="L29" i="6"/>
  <c r="BM29" i="6"/>
  <c r="BK29" i="6" s="1"/>
  <c r="AA30" i="6"/>
  <c r="AA26" i="6" s="1"/>
  <c r="BG30" i="6"/>
  <c r="BG26" i="6" s="1"/>
  <c r="L31" i="6"/>
  <c r="K32" i="6"/>
  <c r="O32" i="6" s="1"/>
  <c r="P32" i="6" s="1"/>
  <c r="Y33" i="6"/>
  <c r="BK33" i="6"/>
  <c r="U35" i="6"/>
  <c r="AB35" i="6"/>
  <c r="AB20" i="6" s="1"/>
  <c r="AB15" i="6" s="1"/>
  <c r="AZ35" i="6"/>
  <c r="BX35" i="6"/>
  <c r="AQ40" i="6"/>
  <c r="AV40" i="6" s="1"/>
  <c r="BO40" i="6"/>
  <c r="BT40" i="6" s="1"/>
  <c r="CJ39" i="6"/>
  <c r="CI40" i="6"/>
  <c r="K41" i="6"/>
  <c r="Q41" i="6"/>
  <c r="W41" i="6"/>
  <c r="AZ43" i="6"/>
  <c r="L44" i="6"/>
  <c r="T43" i="6"/>
  <c r="AI44" i="6"/>
  <c r="AQ44" i="6"/>
  <c r="AS43" i="6"/>
  <c r="AS20" i="6" s="1"/>
  <c r="AS15" i="6" s="1"/>
  <c r="CC44" i="6"/>
  <c r="CB44" i="6"/>
  <c r="CK44" i="6"/>
  <c r="CK43" i="6" s="1"/>
  <c r="CR46" i="6"/>
  <c r="BC47" i="6"/>
  <c r="BD46" i="6"/>
  <c r="BU46" i="6"/>
  <c r="BS48" i="6"/>
  <c r="U18" i="6"/>
  <c r="BA18" i="6"/>
  <c r="CG18" i="6"/>
  <c r="U26" i="6"/>
  <c r="AR26" i="6"/>
  <c r="BX26" i="6"/>
  <c r="L27" i="6"/>
  <c r="AY30" i="6"/>
  <c r="AY26" i="6" s="1"/>
  <c r="BU30" i="6"/>
  <c r="CE30" i="6"/>
  <c r="CE26" i="6" s="1"/>
  <c r="CN34" i="6"/>
  <c r="CM34" i="6" s="1"/>
  <c r="CS34" i="6" s="1"/>
  <c r="AQ31" i="6"/>
  <c r="AV31" i="6" s="1"/>
  <c r="BO31" i="6"/>
  <c r="BT31" i="6" s="1"/>
  <c r="BX34" i="6"/>
  <c r="BW34" i="6" s="1"/>
  <c r="CC34" i="6" s="1"/>
  <c r="CA34" i="6" s="1"/>
  <c r="BH35" i="6"/>
  <c r="BH20" i="6" s="1"/>
  <c r="BH15" i="6" s="1"/>
  <c r="CF35" i="6"/>
  <c r="I35" i="6"/>
  <c r="CM36" i="6"/>
  <c r="AO37" i="6"/>
  <c r="AM37" i="6" s="1"/>
  <c r="BE37" i="6"/>
  <c r="BC37" i="6" s="1"/>
  <c r="BU37" i="6"/>
  <c r="BS37" i="6" s="1"/>
  <c r="CK37" i="6"/>
  <c r="CI37" i="6" s="1"/>
  <c r="AR42" i="6"/>
  <c r="AQ42" i="6" s="1"/>
  <c r="AW42" i="6" s="1"/>
  <c r="AQ39" i="6"/>
  <c r="AQ35" i="6" s="1"/>
  <c r="BG39" i="6"/>
  <c r="BG35" i="6" s="1"/>
  <c r="X40" i="6"/>
  <c r="BC40" i="6"/>
  <c r="S43" i="6"/>
  <c r="BM44" i="6"/>
  <c r="BL44" i="6"/>
  <c r="BO44" i="6"/>
  <c r="BS47" i="6"/>
  <c r="BT46" i="6"/>
  <c r="CM46" i="6"/>
  <c r="CS48" i="6"/>
  <c r="W67" i="6"/>
  <c r="AJ18" i="6"/>
  <c r="BP18" i="6"/>
  <c r="AJ26" i="6"/>
  <c r="BP26" i="6"/>
  <c r="AQ30" i="6"/>
  <c r="AQ26" i="6" s="1"/>
  <c r="BW31" i="6"/>
  <c r="CB31" i="6" s="1"/>
  <c r="H32" i="6"/>
  <c r="AI34" i="6"/>
  <c r="AO34" i="6" s="1"/>
  <c r="AM34" i="6" s="1"/>
  <c r="S36" i="6"/>
  <c r="AI36" i="6"/>
  <c r="AY36" i="6"/>
  <c r="BO36" i="6"/>
  <c r="CE36" i="6"/>
  <c r="AF37" i="6"/>
  <c r="AE37" i="6" s="1"/>
  <c r="AV37" i="6"/>
  <c r="AU37" i="6" s="1"/>
  <c r="BL37" i="6"/>
  <c r="BK37" i="6" s="1"/>
  <c r="CB37" i="6"/>
  <c r="CA37" i="6" s="1"/>
  <c r="CR37" i="6"/>
  <c r="CQ37" i="6" s="1"/>
  <c r="X38" i="6"/>
  <c r="W38" i="6" s="1"/>
  <c r="K38" i="6"/>
  <c r="BW40" i="6"/>
  <c r="CB40" i="6" s="1"/>
  <c r="CE42" i="6"/>
  <c r="CK42" i="6" s="1"/>
  <c r="CI42" i="6" s="1"/>
  <c r="Y44" i="6"/>
  <c r="AI45" i="6"/>
  <c r="L45" i="6"/>
  <c r="BO45" i="6"/>
  <c r="BP43" i="6"/>
  <c r="P47" i="6"/>
  <c r="AQ46" i="6"/>
  <c r="AW48" i="6"/>
  <c r="CR44" i="6"/>
  <c r="X45" i="6"/>
  <c r="AQ45" i="6"/>
  <c r="AR43" i="6"/>
  <c r="BD45" i="6"/>
  <c r="BC45" i="6" s="1"/>
  <c r="BW45" i="6"/>
  <c r="BX43" i="6"/>
  <c r="CJ45" i="6"/>
  <c r="H48" i="6"/>
  <c r="Y61" i="6"/>
  <c r="AG61" i="6"/>
  <c r="AG60" i="6" s="1"/>
  <c r="AF61" i="6"/>
  <c r="BM61" i="6"/>
  <c r="BM60" i="6" s="1"/>
  <c r="BL61" i="6"/>
  <c r="CS61" i="6"/>
  <c r="CS60" i="6" s="1"/>
  <c r="CR61" i="6"/>
  <c r="Y63" i="6"/>
  <c r="K63" i="6"/>
  <c r="CK68" i="6"/>
  <c r="CI68" i="6" s="1"/>
  <c r="S77" i="6"/>
  <c r="V73" i="6"/>
  <c r="K73" i="6"/>
  <c r="W75" i="6"/>
  <c r="CI75" i="6"/>
  <c r="X77" i="6"/>
  <c r="AJ35" i="6"/>
  <c r="BP35" i="6"/>
  <c r="AI39" i="6"/>
  <c r="CS39" i="6"/>
  <c r="Y45" i="6"/>
  <c r="AN47" i="6"/>
  <c r="CA47" i="6"/>
  <c r="W48" i="6"/>
  <c r="CI48" i="6"/>
  <c r="CI46" i="6" s="1"/>
  <c r="AF49" i="6"/>
  <c r="AE49" i="6" s="1"/>
  <c r="BL49" i="6"/>
  <c r="BK49" i="6" s="1"/>
  <c r="CR49" i="6"/>
  <c r="CQ49" i="6" s="1"/>
  <c r="AZ51" i="6"/>
  <c r="BW52" i="6"/>
  <c r="Y56" i="6"/>
  <c r="Y57" i="6"/>
  <c r="AO58" i="6"/>
  <c r="BE58" i="6"/>
  <c r="BC58" i="6" s="1"/>
  <c r="BU58" i="6"/>
  <c r="CK58" i="6"/>
  <c r="CI58" i="6" s="1"/>
  <c r="L59" i="6"/>
  <c r="BT61" i="6"/>
  <c r="S64" i="6"/>
  <c r="S65" i="6"/>
  <c r="AY65" i="6"/>
  <c r="BE65" i="6" s="1"/>
  <c r="BC65" i="6" s="1"/>
  <c r="K66" i="6"/>
  <c r="O66" i="6" s="1"/>
  <c r="AM68" i="6"/>
  <c r="BU68" i="6"/>
  <c r="BS68" i="6" s="1"/>
  <c r="CM70" i="6"/>
  <c r="L70" i="6"/>
  <c r="AY77" i="6"/>
  <c r="BD77" i="6"/>
  <c r="CC85" i="6"/>
  <c r="CC83" i="6" s="1"/>
  <c r="CB85" i="6"/>
  <c r="CB83" i="6" s="1"/>
  <c r="AI40" i="6"/>
  <c r="AN40" i="6" s="1"/>
  <c r="AA45" i="6"/>
  <c r="BG45" i="6"/>
  <c r="BG18" i="6" s="1"/>
  <c r="CM45" i="6"/>
  <c r="BW46" i="6"/>
  <c r="H47" i="6"/>
  <c r="BO46" i="6"/>
  <c r="W49" i="6"/>
  <c r="BC49" i="6"/>
  <c r="CI49" i="6"/>
  <c r="AJ51" i="6"/>
  <c r="S52" i="6"/>
  <c r="AI52" i="6"/>
  <c r="AR51" i="6"/>
  <c r="AY52" i="6"/>
  <c r="BO52" i="6"/>
  <c r="CE52" i="6"/>
  <c r="AI56" i="6"/>
  <c r="BG56" i="6"/>
  <c r="AI57" i="6"/>
  <c r="BG57" i="6"/>
  <c r="AF58" i="6"/>
  <c r="AE58" i="6" s="1"/>
  <c r="AV58" i="6"/>
  <c r="AU58" i="6" s="1"/>
  <c r="BL58" i="6"/>
  <c r="BK58" i="6" s="1"/>
  <c r="CB58" i="6"/>
  <c r="CA58" i="6" s="1"/>
  <c r="CR58" i="6"/>
  <c r="BW59" i="6"/>
  <c r="CC59" i="6" s="1"/>
  <c r="CA59" i="6" s="1"/>
  <c r="AI60" i="6"/>
  <c r="AJ64" i="6"/>
  <c r="AI64" i="6" s="1"/>
  <c r="AO64" i="6" s="1"/>
  <c r="AM64" i="6" s="1"/>
  <c r="AQ64" i="6"/>
  <c r="AW64" i="6" s="1"/>
  <c r="AU64" i="6" s="1"/>
  <c r="I60" i="6"/>
  <c r="I51" i="6" s="1"/>
  <c r="AQ61" i="6"/>
  <c r="BW61" i="6"/>
  <c r="Q62" i="6"/>
  <c r="M64" i="6"/>
  <c r="M60" i="6" s="1"/>
  <c r="S68" i="6"/>
  <c r="L68" i="6"/>
  <c r="AM71" i="6"/>
  <c r="AM69" i="6" s="1"/>
  <c r="AN69" i="6"/>
  <c r="BC71" i="6"/>
  <c r="BC69" i="6" s="1"/>
  <c r="BD69" i="6"/>
  <c r="BM74" i="6"/>
  <c r="BM72" i="6" s="1"/>
  <c r="BK75" i="6"/>
  <c r="H50" i="6"/>
  <c r="M52" i="6"/>
  <c r="U51" i="6"/>
  <c r="S58" i="6"/>
  <c r="L58" i="6"/>
  <c r="AM58" i="6"/>
  <c r="BS58" i="6"/>
  <c r="W59" i="6"/>
  <c r="BO60" i="6"/>
  <c r="BP64" i="6"/>
  <c r="BO64" i="6" s="1"/>
  <c r="BU64" i="6" s="1"/>
  <c r="BS64" i="6" s="1"/>
  <c r="BW64" i="6"/>
  <c r="CC64" i="6" s="1"/>
  <c r="CA64" i="6" s="1"/>
  <c r="W61" i="6"/>
  <c r="X60" i="6"/>
  <c r="AA65" i="6"/>
  <c r="AG65" i="6" s="1"/>
  <c r="AE65" i="6" s="1"/>
  <c r="L65" i="6"/>
  <c r="AI67" i="6"/>
  <c r="AO67" i="6" s="1"/>
  <c r="AM67" i="6" s="1"/>
  <c r="S70" i="6"/>
  <c r="M70" i="6"/>
  <c r="S71" i="6"/>
  <c r="M71" i="6"/>
  <c r="AA77" i="6"/>
  <c r="AA74" i="6" s="1"/>
  <c r="AF77" i="6"/>
  <c r="BO72" i="6"/>
  <c r="BP74" i="6"/>
  <c r="BP77" i="6" s="1"/>
  <c r="AO75" i="6"/>
  <c r="BE75" i="6"/>
  <c r="AZ81" i="6"/>
  <c r="AY80" i="6"/>
  <c r="AZ82" i="6"/>
  <c r="AY82" i="6" s="1"/>
  <c r="AR85" i="6"/>
  <c r="AQ85" i="6" s="1"/>
  <c r="AQ83" i="6"/>
  <c r="AR84" i="6"/>
  <c r="AQ84" i="6" s="1"/>
  <c r="AU99" i="6"/>
  <c r="AW97" i="6"/>
  <c r="Y66" i="6"/>
  <c r="AF68" i="6"/>
  <c r="AE68" i="6" s="1"/>
  <c r="AV68" i="6"/>
  <c r="AU68" i="6" s="1"/>
  <c r="BL68" i="6"/>
  <c r="BK68" i="6" s="1"/>
  <c r="CB68" i="6"/>
  <c r="CA68" i="6" s="1"/>
  <c r="CR68" i="6"/>
  <c r="CQ68" i="6" s="1"/>
  <c r="BK77" i="6"/>
  <c r="BL74" i="6"/>
  <c r="BL72" i="6" s="1"/>
  <c r="BQ77" i="6"/>
  <c r="BU77" i="6" s="1"/>
  <c r="AI77" i="6"/>
  <c r="AI74" i="6" s="1"/>
  <c r="AN77" i="6"/>
  <c r="AG74" i="6"/>
  <c r="AG72" i="6" s="1"/>
  <c r="CC75" i="6"/>
  <c r="S76" i="6"/>
  <c r="L76" i="6"/>
  <c r="BG77" i="6"/>
  <c r="BG74" i="6" s="1"/>
  <c r="CJ74" i="6"/>
  <c r="CJ72" i="6" s="1"/>
  <c r="S80" i="6"/>
  <c r="T81" i="6"/>
  <c r="AO91" i="6"/>
  <c r="AI91" i="6"/>
  <c r="BU91" i="6"/>
  <c r="BO91" i="6"/>
  <c r="BQ89" i="6"/>
  <c r="BQ88" i="6" s="1"/>
  <c r="AQ60" i="6"/>
  <c r="AQ51" i="6" s="1"/>
  <c r="BW60" i="6"/>
  <c r="AF69" i="6"/>
  <c r="CM69" i="6"/>
  <c r="AQ77" i="6"/>
  <c r="AV77" i="6"/>
  <c r="CM77" i="6"/>
  <c r="CM74" i="6" s="1"/>
  <c r="CR77" i="6"/>
  <c r="AQ75" i="6"/>
  <c r="L75" i="6"/>
  <c r="M76" i="6"/>
  <c r="AY76" i="6"/>
  <c r="BE76" i="6" s="1"/>
  <c r="BC76" i="6" s="1"/>
  <c r="K78" i="6"/>
  <c r="O78" i="6" s="1"/>
  <c r="P78" i="6" s="1"/>
  <c r="M82" i="6"/>
  <c r="Y82" i="6"/>
  <c r="X82" i="6"/>
  <c r="BQ84" i="6"/>
  <c r="BO84" i="6" s="1"/>
  <c r="BQ85" i="6"/>
  <c r="BO85" i="6" s="1"/>
  <c r="K62" i="6"/>
  <c r="O62" i="6" s="1"/>
  <c r="P62" i="6" s="1"/>
  <c r="AA69" i="6"/>
  <c r="BG69" i="6"/>
  <c r="L71" i="6"/>
  <c r="BX74" i="6"/>
  <c r="BX77" i="6" s="1"/>
  <c r="CG77" i="6"/>
  <c r="CK77" i="6" s="1"/>
  <c r="CK74" i="6" s="1"/>
  <c r="CK72" i="6" s="1"/>
  <c r="AE75" i="6"/>
  <c r="BO75" i="6"/>
  <c r="CS74" i="6"/>
  <c r="CS72" i="6" s="1"/>
  <c r="CF82" i="6"/>
  <c r="CE82" i="6" s="1"/>
  <c r="CE80" i="6"/>
  <c r="CF81" i="6"/>
  <c r="CE81" i="6" s="1"/>
  <c r="CJ81" i="6" s="1"/>
  <c r="AA82" i="6"/>
  <c r="AG85" i="6"/>
  <c r="AF85" i="6"/>
  <c r="AK84" i="6"/>
  <c r="AK85" i="6"/>
  <c r="BM85" i="6"/>
  <c r="BL85" i="6"/>
  <c r="BK85" i="6" s="1"/>
  <c r="S72" i="6"/>
  <c r="AY72" i="6"/>
  <c r="CE72" i="6"/>
  <c r="L73" i="6"/>
  <c r="M78" i="6"/>
  <c r="L79" i="6"/>
  <c r="S79" i="6"/>
  <c r="AQ80" i="6"/>
  <c r="AB81" i="6"/>
  <c r="AA81" i="6" s="1"/>
  <c r="AF81" i="6" s="1"/>
  <c r="AR81" i="6"/>
  <c r="AQ81" i="6" s="1"/>
  <c r="AV81" i="6" s="1"/>
  <c r="BA81" i="6"/>
  <c r="BI81" i="6"/>
  <c r="BG81" i="6" s="1"/>
  <c r="BL81" i="6" s="1"/>
  <c r="BQ81" i="6"/>
  <c r="BO81" i="6" s="1"/>
  <c r="BT81" i="6" s="1"/>
  <c r="CB82" i="6"/>
  <c r="S83" i="6"/>
  <c r="AA83" i="6"/>
  <c r="AZ84" i="6"/>
  <c r="AY84" i="6" s="1"/>
  <c r="AY83" i="6"/>
  <c r="BG83" i="6"/>
  <c r="AZ85" i="6"/>
  <c r="AY87" i="6"/>
  <c r="BG87" i="6"/>
  <c r="AN94" i="6"/>
  <c r="AI94" i="6"/>
  <c r="AJ92" i="6"/>
  <c r="CH98" i="6"/>
  <c r="CH97" i="6" s="1"/>
  <c r="CJ98" i="6"/>
  <c r="AQ72" i="6"/>
  <c r="BW72" i="6"/>
  <c r="M79" i="6"/>
  <c r="CN82" i="6"/>
  <c r="CM82" i="6" s="1"/>
  <c r="CM80" i="6"/>
  <c r="CN81" i="6"/>
  <c r="CM81" i="6" s="1"/>
  <c r="CR81" i="6" s="1"/>
  <c r="BH82" i="6"/>
  <c r="BG82" i="6" s="1"/>
  <c r="BA85" i="6"/>
  <c r="X86" i="6"/>
  <c r="W86" i="6" s="1"/>
  <c r="S86" i="6"/>
  <c r="L86" i="6"/>
  <c r="AN86" i="6"/>
  <c r="AM86" i="6" s="1"/>
  <c r="AI86" i="6"/>
  <c r="BD86" i="6"/>
  <c r="BC86" i="6" s="1"/>
  <c r="AY86" i="6"/>
  <c r="BT86" i="6"/>
  <c r="BS86" i="6" s="1"/>
  <c r="BO86" i="6"/>
  <c r="CJ86" i="6"/>
  <c r="CI86" i="6" s="1"/>
  <c r="CE86" i="6"/>
  <c r="CM87" i="6"/>
  <c r="V90" i="6"/>
  <c r="V89" i="6" s="1"/>
  <c r="AF92" i="6"/>
  <c r="AF88" i="6" s="1"/>
  <c r="AE94" i="6"/>
  <c r="AE92" i="6" s="1"/>
  <c r="BB98" i="6"/>
  <c r="BB97" i="6" s="1"/>
  <c r="BD98" i="6"/>
  <c r="CE79" i="6"/>
  <c r="CK79" i="6" s="1"/>
  <c r="AJ84" i="6"/>
  <c r="AI83" i="6"/>
  <c r="CE83" i="6"/>
  <c r="CN85" i="6"/>
  <c r="CM85" i="6" s="1"/>
  <c r="CN84" i="6"/>
  <c r="CM84" i="6" s="1"/>
  <c r="AB84" i="6"/>
  <c r="BH84" i="6"/>
  <c r="BG84" i="6" s="1"/>
  <c r="S85" i="6"/>
  <c r="CE85" i="6"/>
  <c r="S87" i="6"/>
  <c r="AA87" i="6"/>
  <c r="CE87" i="6"/>
  <c r="AB88" i="6"/>
  <c r="AB96" i="6" s="1"/>
  <c r="BH88" i="6"/>
  <c r="BH96" i="6" s="1"/>
  <c r="V98" i="6"/>
  <c r="V97" i="6" s="1"/>
  <c r="X98" i="6"/>
  <c r="K98" i="6"/>
  <c r="CN88" i="6"/>
  <c r="CN96" i="6" s="1"/>
  <c r="U89" i="6"/>
  <c r="M90" i="6"/>
  <c r="AY90" i="6"/>
  <c r="BB90" i="6" s="1"/>
  <c r="BA89" i="6"/>
  <c r="CE90" i="6"/>
  <c r="CH90" i="6" s="1"/>
  <c r="CG89" i="6"/>
  <c r="Y91" i="6"/>
  <c r="S91" i="6"/>
  <c r="M91" i="6"/>
  <c r="AG88" i="6"/>
  <c r="AQ91" i="6"/>
  <c r="AR89" i="6"/>
  <c r="L91" i="6"/>
  <c r="BW91" i="6"/>
  <c r="BX89" i="6"/>
  <c r="V93" i="6"/>
  <c r="V92" i="6" s="1"/>
  <c r="K93" i="6"/>
  <c r="X94" i="6"/>
  <c r="S94" i="6"/>
  <c r="L94" i="6"/>
  <c r="K97" i="6"/>
  <c r="BS98" i="6"/>
  <c r="BT97" i="6"/>
  <c r="AG97" i="6"/>
  <c r="AE99" i="6"/>
  <c r="AE97" i="6" s="1"/>
  <c r="W109" i="6"/>
  <c r="X111" i="6"/>
  <c r="W111" i="6" s="1"/>
  <c r="S108" i="6"/>
  <c r="K111" i="6"/>
  <c r="BO83" i="6"/>
  <c r="AE91" i="6"/>
  <c r="AE89" i="6" s="1"/>
  <c r="AW89" i="6"/>
  <c r="AW88" i="6" s="1"/>
  <c r="AU91" i="6"/>
  <c r="AU89" i="6" s="1"/>
  <c r="BC91" i="6"/>
  <c r="BC89" i="6" s="1"/>
  <c r="BE89" i="6"/>
  <c r="BE88" i="6" s="1"/>
  <c r="CC89" i="6"/>
  <c r="CC88" i="6" s="1"/>
  <c r="CA91" i="6"/>
  <c r="CA89" i="6" s="1"/>
  <c r="CI91" i="6"/>
  <c r="CI89" i="6" s="1"/>
  <c r="CK89" i="6"/>
  <c r="CK88" i="6" s="1"/>
  <c r="T88" i="6"/>
  <c r="T96" i="6" s="1"/>
  <c r="S92" i="6"/>
  <c r="AZ92" i="6"/>
  <c r="CF92" i="6"/>
  <c r="BO94" i="6"/>
  <c r="BT94" i="6"/>
  <c r="BP92" i="6"/>
  <c r="CQ94" i="6"/>
  <c r="CQ92" i="6" s="1"/>
  <c r="CQ88" i="6" s="1"/>
  <c r="CR92" i="6"/>
  <c r="CR88" i="6" s="1"/>
  <c r="CQ99" i="6"/>
  <c r="CQ97" i="6" s="1"/>
  <c r="CS97" i="6"/>
  <c r="BQ96" i="6"/>
  <c r="BU96" i="6" s="1"/>
  <c r="AK89" i="6"/>
  <c r="AK88" i="6" s="1"/>
  <c r="AK96" i="6" s="1"/>
  <c r="AO96" i="6" s="1"/>
  <c r="BO89" i="6"/>
  <c r="AA90" i="6"/>
  <c r="AD90" i="6" s="1"/>
  <c r="AC89" i="6"/>
  <c r="AC88" i="6" s="1"/>
  <c r="AC96" i="6" s="1"/>
  <c r="AG96" i="6" s="1"/>
  <c r="AS89" i="6"/>
  <c r="AS88" i="6" s="1"/>
  <c r="AS96" i="6" s="1"/>
  <c r="AW96" i="6" s="1"/>
  <c r="AQ90" i="6"/>
  <c r="AT90" i="6" s="1"/>
  <c r="BG90" i="6"/>
  <c r="BJ90" i="6" s="1"/>
  <c r="BI89" i="6"/>
  <c r="BI88" i="6" s="1"/>
  <c r="BI96" i="6" s="1"/>
  <c r="BM96" i="6" s="1"/>
  <c r="BY89" i="6"/>
  <c r="BY88" i="6" s="1"/>
  <c r="BY96" i="6" s="1"/>
  <c r="CC96" i="6" s="1"/>
  <c r="BW90" i="6"/>
  <c r="BZ90" i="6" s="1"/>
  <c r="CM90" i="6"/>
  <c r="CP90" i="6" s="1"/>
  <c r="CO89" i="6"/>
  <c r="CO88" i="6" s="1"/>
  <c r="CO96" i="6" s="1"/>
  <c r="CS96" i="6" s="1"/>
  <c r="BD94" i="6"/>
  <c r="AY94" i="6"/>
  <c r="CE94" i="6"/>
  <c r="CJ94" i="6"/>
  <c r="BC99" i="6"/>
  <c r="BE97" i="6"/>
  <c r="BS99" i="6"/>
  <c r="BU97" i="6"/>
  <c r="BG100" i="6"/>
  <c r="BL100" i="6" s="1"/>
  <c r="BK100" i="6" s="1"/>
  <c r="L100" i="6"/>
  <c r="AA94" i="6"/>
  <c r="AQ94" i="6"/>
  <c r="BG94" i="6"/>
  <c r="L97" i="6"/>
  <c r="AF97" i="6"/>
  <c r="M100" i="6"/>
  <c r="AI101" i="6"/>
  <c r="AO101" i="6" s="1"/>
  <c r="AM101" i="6" s="1"/>
  <c r="BT102" i="6"/>
  <c r="BS102" i="6" s="1"/>
  <c r="BO102" i="6"/>
  <c r="V115" i="6"/>
  <c r="V114" i="6" s="1"/>
  <c r="K115" i="6"/>
  <c r="S114" i="6"/>
  <c r="AQ114" i="6"/>
  <c r="AT115" i="6"/>
  <c r="AT114" i="6" s="1"/>
  <c r="AV97" i="6"/>
  <c r="AU98" i="6"/>
  <c r="AU97" i="6" s="1"/>
  <c r="CB97" i="6"/>
  <c r="CA98" i="6"/>
  <c r="Y99" i="6"/>
  <c r="BK99" i="6"/>
  <c r="BM97" i="6"/>
  <c r="W101" i="6"/>
  <c r="AD98" i="6"/>
  <c r="AD97" i="6" s="1"/>
  <c r="AT98" i="6"/>
  <c r="AT97" i="6" s="1"/>
  <c r="BJ98" i="6"/>
  <c r="BJ97" i="6" s="1"/>
  <c r="BZ98" i="6"/>
  <c r="BZ97" i="6" s="1"/>
  <c r="CP98" i="6"/>
  <c r="CP97" i="6" s="1"/>
  <c r="L99" i="6"/>
  <c r="BW99" i="6"/>
  <c r="CC99" i="6" s="1"/>
  <c r="M103" i="6"/>
  <c r="BO114" i="6"/>
  <c r="BR115" i="6"/>
  <c r="BR114" i="6" s="1"/>
  <c r="BR16" i="6" s="1"/>
  <c r="BO16" i="6" s="1"/>
  <c r="K120" i="6"/>
  <c r="AD120" i="6"/>
  <c r="AD114" i="6" s="1"/>
  <c r="BW94" i="6"/>
  <c r="CM94" i="6"/>
  <c r="AQ101" i="6"/>
  <c r="AW101" i="6" s="1"/>
  <c r="AU101" i="6" s="1"/>
  <c r="L101" i="6"/>
  <c r="M102" i="6"/>
  <c r="AN102" i="6"/>
  <c r="AM102" i="6" s="1"/>
  <c r="AI102" i="6"/>
  <c r="AQ103" i="6"/>
  <c r="AV103" i="6" s="1"/>
  <c r="AU103" i="6" s="1"/>
  <c r="L103" i="6"/>
  <c r="O109" i="6"/>
  <c r="H109" i="6"/>
  <c r="M108" i="6"/>
  <c r="X112" i="6"/>
  <c r="W112" i="6" s="1"/>
  <c r="K112" i="6"/>
  <c r="O112" i="6" s="1"/>
  <c r="P112" i="6" s="1"/>
  <c r="W114" i="6"/>
  <c r="K95" i="6"/>
  <c r="CE99" i="6"/>
  <c r="CK99" i="6" s="1"/>
  <c r="S100" i="6"/>
  <c r="AY100" i="6"/>
  <c r="BD100" i="6" s="1"/>
  <c r="BC100" i="6" s="1"/>
  <c r="BO101" i="6"/>
  <c r="BU101" i="6" s="1"/>
  <c r="BS101" i="6" s="1"/>
  <c r="L102" i="6"/>
  <c r="BO103" i="6"/>
  <c r="BT103" i="6" s="1"/>
  <c r="BS103" i="6" s="1"/>
  <c r="K119" i="6"/>
  <c r="AI114" i="6"/>
  <c r="AL119" i="6"/>
  <c r="AL114" i="6" s="1"/>
  <c r="S102" i="6"/>
  <c r="AY102" i="6"/>
  <c r="CE102" i="6"/>
  <c r="K106" i="6"/>
  <c r="X106" i="6"/>
  <c r="K107" i="6"/>
  <c r="X107" i="6"/>
  <c r="W107" i="6" s="1"/>
  <c r="J116" i="6"/>
  <c r="J115" i="6" s="1"/>
  <c r="N116" i="6"/>
  <c r="O116" i="6" s="1"/>
  <c r="P116" i="6" s="1"/>
  <c r="AA102" i="6"/>
  <c r="BG102" i="6"/>
  <c r="CM102" i="6"/>
  <c r="L115" i="6"/>
  <c r="L114" i="6" s="1"/>
  <c r="H33" i="6" l="1"/>
  <c r="CA88" i="6"/>
  <c r="AU82" i="6"/>
  <c r="BD60" i="6"/>
  <c r="K31" i="6"/>
  <c r="AE34" i="6"/>
  <c r="AE30" i="6" s="1"/>
  <c r="AE88" i="6"/>
  <c r="Q59" i="6"/>
  <c r="CM18" i="6"/>
  <c r="BC34" i="6"/>
  <c r="M104" i="6"/>
  <c r="CA46" i="6"/>
  <c r="AC4" i="6"/>
  <c r="BE60" i="6"/>
  <c r="K86" i="6"/>
  <c r="O86" i="6" s="1"/>
  <c r="P86" i="6" s="1"/>
  <c r="H86" i="6" s="1"/>
  <c r="S104" i="6"/>
  <c r="AO82" i="6"/>
  <c r="AO80" i="6" s="1"/>
  <c r="CK30" i="6"/>
  <c r="CK26" i="6" s="1"/>
  <c r="H110" i="6"/>
  <c r="CI61" i="6"/>
  <c r="CJ84" i="6"/>
  <c r="CI84" i="6" s="1"/>
  <c r="CI44" i="6"/>
  <c r="BC29" i="6"/>
  <c r="K46" i="6"/>
  <c r="K44" i="6"/>
  <c r="AW30" i="6"/>
  <c r="BT82" i="6"/>
  <c r="BS82" i="6" s="1"/>
  <c r="BC46" i="6"/>
  <c r="AL20" i="6"/>
  <c r="AL15" i="6" s="1"/>
  <c r="CS87" i="6"/>
  <c r="BM87" i="6"/>
  <c r="V88" i="6"/>
  <c r="V87" i="6" s="1"/>
  <c r="CI29" i="6"/>
  <c r="BS29" i="6"/>
  <c r="Q104" i="6"/>
  <c r="CQ52" i="6"/>
  <c r="CQ51" i="6" s="1"/>
  <c r="AM61" i="6"/>
  <c r="AM60" i="6" s="1"/>
  <c r="AN60" i="6"/>
  <c r="AU88" i="6"/>
  <c r="M85" i="6"/>
  <c r="K67" i="6"/>
  <c r="O67" i="6" s="1"/>
  <c r="CI60" i="6"/>
  <c r="AO60" i="6"/>
  <c r="K57" i="6"/>
  <c r="CS51" i="6"/>
  <c r="BO18" i="6"/>
  <c r="AM98" i="6"/>
  <c r="AM97" i="6" s="1"/>
  <c r="AN97" i="6"/>
  <c r="S18" i="6"/>
  <c r="I20" i="6"/>
  <c r="I15" i="6" s="1"/>
  <c r="I4" i="6" s="1"/>
  <c r="CC87" i="6"/>
  <c r="M84" i="6"/>
  <c r="M83" i="6" s="1"/>
  <c r="H66" i="6"/>
  <c r="AY18" i="6"/>
  <c r="M42" i="6"/>
  <c r="BA4" i="6"/>
  <c r="CK60" i="6"/>
  <c r="X46" i="6"/>
  <c r="W47" i="6"/>
  <c r="W46" i="6" s="1"/>
  <c r="Y105" i="6"/>
  <c r="Y104" i="6" s="1"/>
  <c r="L85" i="6"/>
  <c r="AI84" i="6"/>
  <c r="AO84" i="6" s="1"/>
  <c r="M81" i="6"/>
  <c r="M80" i="6" s="1"/>
  <c r="AE85" i="6"/>
  <c r="Q77" i="6"/>
  <c r="L77" i="6"/>
  <c r="L74" i="6" s="1"/>
  <c r="L72" i="6" s="1"/>
  <c r="K56" i="6"/>
  <c r="AM82" i="6"/>
  <c r="AM80" i="6" s="1"/>
  <c r="BS46" i="6"/>
  <c r="AI18" i="6"/>
  <c r="AM49" i="6"/>
  <c r="W29" i="6"/>
  <c r="CR96" i="6"/>
  <c r="CQ96" i="6" s="1"/>
  <c r="CM96" i="6"/>
  <c r="BK42" i="6"/>
  <c r="BM39" i="6"/>
  <c r="BM35" i="6" s="1"/>
  <c r="AE42" i="6"/>
  <c r="AG39" i="6"/>
  <c r="AG35" i="6" s="1"/>
  <c r="BC42" i="6"/>
  <c r="BE39" i="6"/>
  <c r="BS81" i="6"/>
  <c r="BS80" i="6" s="1"/>
  <c r="BT80" i="6"/>
  <c r="AS4" i="6"/>
  <c r="AS17" i="6"/>
  <c r="AS19" i="6" s="1"/>
  <c r="AB17" i="6"/>
  <c r="AB19" i="6" s="1"/>
  <c r="AB4" i="6"/>
  <c r="AL16" i="6"/>
  <c r="AI16" i="6" s="1"/>
  <c r="CR87" i="6"/>
  <c r="X96" i="6"/>
  <c r="BK81" i="6"/>
  <c r="BH17" i="6"/>
  <c r="BH19" i="6" s="1"/>
  <c r="BH4" i="6"/>
  <c r="X105" i="6"/>
  <c r="W106" i="6"/>
  <c r="W105" i="6" s="1"/>
  <c r="K102" i="6"/>
  <c r="O102" i="6" s="1"/>
  <c r="P102" i="6" s="1"/>
  <c r="X100" i="6"/>
  <c r="W100" i="6" s="1"/>
  <c r="K100" i="6"/>
  <c r="K108" i="6"/>
  <c r="CA99" i="6"/>
  <c r="CA97" i="6" s="1"/>
  <c r="CC97" i="6"/>
  <c r="Q101" i="6"/>
  <c r="Y97" i="6"/>
  <c r="W99" i="6"/>
  <c r="Q99" i="6"/>
  <c r="BZ89" i="6"/>
  <c r="BZ88" i="6" s="1"/>
  <c r="BZ87" i="6" s="1"/>
  <c r="BZ20" i="6" s="1"/>
  <c r="BZ15" i="6" s="1"/>
  <c r="BZ16" i="6"/>
  <c r="BW16" i="6" s="1"/>
  <c r="AT89" i="6"/>
  <c r="AT88" i="6" s="1"/>
  <c r="AT87" i="6" s="1"/>
  <c r="AT20" i="6" s="1"/>
  <c r="AT15" i="6" s="1"/>
  <c r="AT16" i="6"/>
  <c r="AQ16" i="6" s="1"/>
  <c r="BL96" i="6"/>
  <c r="BG96" i="6"/>
  <c r="BO92" i="6"/>
  <c r="BO88" i="6" s="1"/>
  <c r="BP88" i="6"/>
  <c r="BP96" i="6" s="1"/>
  <c r="AZ88" i="6"/>
  <c r="AZ96" i="6" s="1"/>
  <c r="AY92" i="6"/>
  <c r="X108" i="6"/>
  <c r="K94" i="6"/>
  <c r="O94" i="6" s="1"/>
  <c r="P94" i="6" s="1"/>
  <c r="CQ87" i="6"/>
  <c r="AQ89" i="6"/>
  <c r="AQ88" i="6" s="1"/>
  <c r="AR88" i="6"/>
  <c r="AR96" i="6" s="1"/>
  <c r="K91" i="6"/>
  <c r="O91" i="6" s="1"/>
  <c r="BA88" i="6"/>
  <c r="BA96" i="6" s="1"/>
  <c r="BE96" i="6" s="1"/>
  <c r="AY89" i="6"/>
  <c r="BL84" i="6"/>
  <c r="BM84" i="6"/>
  <c r="BM83" i="6" s="1"/>
  <c r="CI79" i="6"/>
  <c r="Q79" i="6"/>
  <c r="CB80" i="6"/>
  <c r="CA82" i="6"/>
  <c r="CA80" i="6" s="1"/>
  <c r="AF82" i="6"/>
  <c r="AG82" i="6"/>
  <c r="AG80" i="6" s="1"/>
  <c r="BU84" i="6"/>
  <c r="BT84" i="6"/>
  <c r="K82" i="6"/>
  <c r="AV74" i="6"/>
  <c r="AV72" i="6" s="1"/>
  <c r="AU77" i="6"/>
  <c r="BS91" i="6"/>
  <c r="BS89" i="6" s="1"/>
  <c r="BU89" i="6"/>
  <c r="BU88" i="6" s="1"/>
  <c r="BU87" i="6" s="1"/>
  <c r="BT85" i="6"/>
  <c r="BU85" i="6"/>
  <c r="Y76" i="6"/>
  <c r="K76" i="6"/>
  <c r="S74" i="6"/>
  <c r="AM75" i="6"/>
  <c r="AO74" i="6"/>
  <c r="AO72" i="6" s="1"/>
  <c r="AF74" i="6"/>
  <c r="AF72" i="6" s="1"/>
  <c r="AE77" i="6"/>
  <c r="M69" i="6"/>
  <c r="BU60" i="6"/>
  <c r="CQ58" i="6"/>
  <c r="AF45" i="6"/>
  <c r="AF43" i="6" s="1"/>
  <c r="AG45" i="6"/>
  <c r="L69" i="6"/>
  <c r="CM43" i="6"/>
  <c r="W77" i="6"/>
  <c r="X74" i="6"/>
  <c r="X72" i="6" s="1"/>
  <c r="O63" i="6"/>
  <c r="H63" i="6"/>
  <c r="BK61" i="6"/>
  <c r="BK60" i="6" s="1"/>
  <c r="BL60" i="6"/>
  <c r="CB45" i="6"/>
  <c r="BW43" i="6"/>
  <c r="CC45" i="6"/>
  <c r="CC43" i="6" s="1"/>
  <c r="W45" i="6"/>
  <c r="X43" i="6"/>
  <c r="BT45" i="6"/>
  <c r="BU45" i="6"/>
  <c r="AO36" i="6"/>
  <c r="AO35" i="6" s="1"/>
  <c r="AN36" i="6"/>
  <c r="AI35" i="6"/>
  <c r="BP20" i="6"/>
  <c r="BP15" i="6" s="1"/>
  <c r="Q67" i="6"/>
  <c r="BK44" i="6"/>
  <c r="BS31" i="6"/>
  <c r="BS30" i="6" s="1"/>
  <c r="BT30" i="6"/>
  <c r="BT26" i="6" s="1"/>
  <c r="AR20" i="6"/>
  <c r="AR15" i="6" s="1"/>
  <c r="L43" i="6"/>
  <c r="BT39" i="6"/>
  <c r="BS40" i="6"/>
  <c r="BS39" i="6" s="1"/>
  <c r="CC30" i="6"/>
  <c r="CC26" i="6" s="1"/>
  <c r="T20" i="6"/>
  <c r="T15" i="6" s="1"/>
  <c r="AU52" i="6"/>
  <c r="AG51" i="6"/>
  <c r="O49" i="6"/>
  <c r="P49" i="6" s="1"/>
  <c r="H49" i="6"/>
  <c r="AE44" i="6"/>
  <c r="AE40" i="6"/>
  <c r="AE39" i="6" s="1"/>
  <c r="AF39" i="6"/>
  <c r="CA27" i="6"/>
  <c r="AU27" i="6"/>
  <c r="AA18" i="6"/>
  <c r="Q34" i="6"/>
  <c r="W34" i="6"/>
  <c r="BC27" i="6"/>
  <c r="BD26" i="6"/>
  <c r="CO19" i="6"/>
  <c r="BK36" i="6"/>
  <c r="K105" i="6"/>
  <c r="K104" i="6" s="1"/>
  <c r="O106" i="6"/>
  <c r="CI99" i="6"/>
  <c r="CK97" i="6"/>
  <c r="N120" i="6"/>
  <c r="O120" i="6" s="1"/>
  <c r="P120" i="6" s="1"/>
  <c r="J120" i="6"/>
  <c r="K99" i="6"/>
  <c r="K114" i="6"/>
  <c r="N115" i="6"/>
  <c r="O115" i="6" s="1"/>
  <c r="BD92" i="6"/>
  <c r="BD88" i="6" s="1"/>
  <c r="BC94" i="6"/>
  <c r="BC92" i="6" s="1"/>
  <c r="BC88" i="6" s="1"/>
  <c r="BS94" i="6"/>
  <c r="BS92" i="6" s="1"/>
  <c r="BT92" i="6"/>
  <c r="BT88" i="6" s="1"/>
  <c r="AI89" i="6"/>
  <c r="O111" i="6"/>
  <c r="P111" i="6" s="1"/>
  <c r="H111" i="6" s="1"/>
  <c r="W108" i="6"/>
  <c r="BS97" i="6"/>
  <c r="X92" i="6"/>
  <c r="X88" i="6" s="1"/>
  <c r="X87" i="6" s="1"/>
  <c r="W94" i="6"/>
  <c r="W92" i="6" s="1"/>
  <c r="BW89" i="6"/>
  <c r="BW88" i="6" s="1"/>
  <c r="BX88" i="6"/>
  <c r="BX96" i="6" s="1"/>
  <c r="Y89" i="6"/>
  <c r="W91" i="6"/>
  <c r="W89" i="6" s="1"/>
  <c r="Q91" i="6"/>
  <c r="BB89" i="6"/>
  <c r="BB88" i="6" s="1"/>
  <c r="BB87" i="6" s="1"/>
  <c r="BB20" i="6" s="1"/>
  <c r="BB15" i="6" s="1"/>
  <c r="BB16" i="6"/>
  <c r="AY16" i="6" s="1"/>
  <c r="CM89" i="6"/>
  <c r="CM88" i="6" s="1"/>
  <c r="N98" i="6"/>
  <c r="N97" i="6" s="1"/>
  <c r="BG89" i="6"/>
  <c r="BG88" i="6" s="1"/>
  <c r="CJ85" i="6"/>
  <c r="CK85" i="6"/>
  <c r="CK83" i="6" s="1"/>
  <c r="AA84" i="6"/>
  <c r="L84" i="6"/>
  <c r="L83" i="6" s="1"/>
  <c r="BD97" i="6"/>
  <c r="BC98" i="6"/>
  <c r="BC97" i="6" s="1"/>
  <c r="BL82" i="6"/>
  <c r="BL80" i="6" s="1"/>
  <c r="BM82" i="6"/>
  <c r="BM80" i="6" s="1"/>
  <c r="CS82" i="6"/>
  <c r="CS80" i="6" s="1"/>
  <c r="CR82" i="6"/>
  <c r="CJ97" i="6"/>
  <c r="CI98" i="6"/>
  <c r="AM94" i="6"/>
  <c r="AM92" i="6" s="1"/>
  <c r="AN92" i="6"/>
  <c r="AN88" i="6" s="1"/>
  <c r="BE84" i="6"/>
  <c r="BD84" i="6"/>
  <c r="AU81" i="6"/>
  <c r="AU80" i="6" s="1"/>
  <c r="AV80" i="6"/>
  <c r="X79" i="6"/>
  <c r="W79" i="6" s="1"/>
  <c r="K79" i="6"/>
  <c r="O79" i="6" s="1"/>
  <c r="P79" i="6" s="1"/>
  <c r="H79" i="6" s="1"/>
  <c r="CI81" i="6"/>
  <c r="AI85" i="6"/>
  <c r="Y80" i="6"/>
  <c r="M77" i="6"/>
  <c r="M74" i="6" s="1"/>
  <c r="M72" i="6" s="1"/>
  <c r="AW75" i="6"/>
  <c r="AQ74" i="6"/>
  <c r="CR74" i="6"/>
  <c r="CR72" i="6" s="1"/>
  <c r="CQ77" i="6"/>
  <c r="CQ74" i="6" s="1"/>
  <c r="CQ72" i="6" s="1"/>
  <c r="CI77" i="6"/>
  <c r="CI74" i="6" s="1"/>
  <c r="CI72" i="6" s="1"/>
  <c r="K75" i="6"/>
  <c r="AW85" i="6"/>
  <c r="AV85" i="6"/>
  <c r="AU85" i="6" s="1"/>
  <c r="AY81" i="6"/>
  <c r="BD81" i="6" s="1"/>
  <c r="K70" i="6"/>
  <c r="V70" i="6"/>
  <c r="M51" i="6"/>
  <c r="AW61" i="6"/>
  <c r="AW60" i="6" s="1"/>
  <c r="AW51" i="6" s="1"/>
  <c r="AV61" i="6"/>
  <c r="CK52" i="6"/>
  <c r="CJ52" i="6"/>
  <c r="CE51" i="6"/>
  <c r="AO52" i="6"/>
  <c r="AO51" i="6" s="1"/>
  <c r="AN52" i="6"/>
  <c r="AI51" i="6"/>
  <c r="BC77" i="6"/>
  <c r="BD74" i="6"/>
  <c r="BD72" i="6" s="1"/>
  <c r="L64" i="6"/>
  <c r="L60" i="6" s="1"/>
  <c r="L51" i="6" s="1"/>
  <c r="Q63" i="6"/>
  <c r="W63" i="6"/>
  <c r="K61" i="6"/>
  <c r="K45" i="6"/>
  <c r="CA40" i="6"/>
  <c r="CB39" i="6"/>
  <c r="CK36" i="6"/>
  <c r="CJ36" i="6"/>
  <c r="CE35" i="6"/>
  <c r="Y36" i="6"/>
  <c r="X36" i="6"/>
  <c r="K36" i="6"/>
  <c r="S35" i="6"/>
  <c r="CA31" i="6"/>
  <c r="CA30" i="6" s="1"/>
  <c r="CB30" i="6"/>
  <c r="CB26" i="6" s="1"/>
  <c r="AJ20" i="6"/>
  <c r="AJ15" i="6" s="1"/>
  <c r="CQ48" i="6"/>
  <c r="CQ46" i="6" s="1"/>
  <c r="CS46" i="6"/>
  <c r="BC39" i="6"/>
  <c r="AV30" i="6"/>
  <c r="AV26" i="6" s="1"/>
  <c r="AU31" i="6"/>
  <c r="AU30" i="6" s="1"/>
  <c r="U20" i="6"/>
  <c r="U15" i="6" s="1"/>
  <c r="AW44" i="6"/>
  <c r="AV44" i="6"/>
  <c r="AQ43" i="6"/>
  <c r="AQ20" i="6" s="1"/>
  <c r="AQ15" i="6" s="1"/>
  <c r="O41" i="6"/>
  <c r="H41" i="6"/>
  <c r="AU40" i="6"/>
  <c r="AV39" i="6"/>
  <c r="AV35" i="6" s="1"/>
  <c r="W33" i="6"/>
  <c r="Q33" i="6"/>
  <c r="Y30" i="6"/>
  <c r="Y26" i="6" s="1"/>
  <c r="BK52" i="6"/>
  <c r="BK51" i="6" s="1"/>
  <c r="BL51" i="6"/>
  <c r="AA43" i="6"/>
  <c r="AA20" i="6" s="1"/>
  <c r="AA15" i="6" s="1"/>
  <c r="X37" i="6"/>
  <c r="Y37" i="6"/>
  <c r="Q37" i="6" s="1"/>
  <c r="K37" i="6"/>
  <c r="BA19" i="6"/>
  <c r="AW26" i="6"/>
  <c r="AK4" i="6"/>
  <c r="AK17" i="6"/>
  <c r="AK19" i="6" s="1"/>
  <c r="K34" i="6"/>
  <c r="K30" i="6" s="1"/>
  <c r="K26" i="6" s="1"/>
  <c r="BE26" i="6"/>
  <c r="W27" i="6"/>
  <c r="X26" i="6"/>
  <c r="CI30" i="6"/>
  <c r="AM30" i="6"/>
  <c r="Q29" i="6"/>
  <c r="CE18" i="6"/>
  <c r="N95" i="6"/>
  <c r="O95" i="6" s="1"/>
  <c r="P95" i="6" s="1"/>
  <c r="H95" i="6"/>
  <c r="O108" i="6"/>
  <c r="P109" i="6"/>
  <c r="P108" i="6" s="1"/>
  <c r="K101" i="6"/>
  <c r="CI94" i="6"/>
  <c r="CI92" i="6" s="1"/>
  <c r="CI88" i="6" s="1"/>
  <c r="CJ92" i="6"/>
  <c r="CJ88" i="6" s="1"/>
  <c r="AF96" i="6"/>
  <c r="AE96" i="6" s="1"/>
  <c r="AE87" i="6" s="1"/>
  <c r="AA96" i="6"/>
  <c r="AW87" i="6"/>
  <c r="O97" i="6"/>
  <c r="N93" i="6"/>
  <c r="N92" i="6" s="1"/>
  <c r="AG87" i="6"/>
  <c r="CG88" i="6"/>
  <c r="CG96" i="6" s="1"/>
  <c r="CK96" i="6" s="1"/>
  <c r="CE89" i="6"/>
  <c r="W98" i="6"/>
  <c r="CS84" i="6"/>
  <c r="CR84" i="6"/>
  <c r="K90" i="6"/>
  <c r="CQ81" i="6"/>
  <c r="CR80" i="6"/>
  <c r="AY85" i="6"/>
  <c r="AE81" i="6"/>
  <c r="AF80" i="6"/>
  <c r="BU75" i="6"/>
  <c r="BW77" i="6"/>
  <c r="BW74" i="6" s="1"/>
  <c r="CB77" i="6"/>
  <c r="AM91" i="6"/>
  <c r="AM89" i="6" s="1"/>
  <c r="AO89" i="6"/>
  <c r="AO88" i="6" s="1"/>
  <c r="AO87" i="6" s="1"/>
  <c r="S81" i="6"/>
  <c r="L81" i="6"/>
  <c r="CA75" i="6"/>
  <c r="CC74" i="6"/>
  <c r="CC72" i="6" s="1"/>
  <c r="AM77" i="6"/>
  <c r="AN74" i="6"/>
  <c r="AN72" i="6" s="1"/>
  <c r="W66" i="6"/>
  <c r="Q66" i="6"/>
  <c r="P66" i="6" s="1"/>
  <c r="BC75" i="6"/>
  <c r="BE74" i="6"/>
  <c r="BE72" i="6" s="1"/>
  <c r="BT77" i="6"/>
  <c r="BO77" i="6"/>
  <c r="H62" i="6"/>
  <c r="BU52" i="6"/>
  <c r="BU51" i="6" s="1"/>
  <c r="BT52" i="6"/>
  <c r="BO51" i="6"/>
  <c r="Y52" i="6"/>
  <c r="X52" i="6"/>
  <c r="K52" i="6"/>
  <c r="S51" i="6"/>
  <c r="CR45" i="6"/>
  <c r="CR43" i="6" s="1"/>
  <c r="CS45" i="6"/>
  <c r="CS43" i="6" s="1"/>
  <c r="AN39" i="6"/>
  <c r="AM40" i="6"/>
  <c r="AM39" i="6" s="1"/>
  <c r="Y64" i="6"/>
  <c r="K64" i="6"/>
  <c r="CC52" i="6"/>
  <c r="BW51" i="6"/>
  <c r="CB52" i="6"/>
  <c r="CB18" i="6" s="1"/>
  <c r="AM47" i="6"/>
  <c r="AM46" i="6" s="1"/>
  <c r="AN46" i="6"/>
  <c r="CQ61" i="6"/>
  <c r="CQ60" i="6" s="1"/>
  <c r="CR60" i="6"/>
  <c r="CR51" i="6" s="1"/>
  <c r="AE61" i="6"/>
  <c r="AE60" i="6" s="1"/>
  <c r="AF60" i="6"/>
  <c r="K59" i="6"/>
  <c r="CI45" i="6"/>
  <c r="CI43" i="6" s="1"/>
  <c r="CJ43" i="6"/>
  <c r="CQ44" i="6"/>
  <c r="AN45" i="6"/>
  <c r="AO45" i="6"/>
  <c r="AO18" i="6" s="1"/>
  <c r="O38" i="6"/>
  <c r="P38" i="6" s="1"/>
  <c r="H38" i="6"/>
  <c r="BU36" i="6"/>
  <c r="BU35" i="6" s="1"/>
  <c r="BT36" i="6"/>
  <c r="BO35" i="6"/>
  <c r="O31" i="6"/>
  <c r="O44" i="6"/>
  <c r="X39" i="6"/>
  <c r="W40" i="6"/>
  <c r="AU42" i="6"/>
  <c r="AW39" i="6"/>
  <c r="AW35" i="6" s="1"/>
  <c r="CQ34" i="6"/>
  <c r="CQ30" i="6" s="1"/>
  <c r="CS30" i="6"/>
  <c r="CB43" i="6"/>
  <c r="CA44" i="6"/>
  <c r="AI43" i="6"/>
  <c r="AO44" i="6"/>
  <c r="AN44" i="6"/>
  <c r="AN18" i="6" s="1"/>
  <c r="CI39" i="6"/>
  <c r="CF20" i="6"/>
  <c r="CF15" i="6" s="1"/>
  <c r="CK39" i="6"/>
  <c r="BK40" i="6"/>
  <c r="BK39" i="6" s="1"/>
  <c r="BL39" i="6"/>
  <c r="BL35" i="6" s="1"/>
  <c r="L42" i="6"/>
  <c r="L39" i="6" s="1"/>
  <c r="L35" i="6" s="1"/>
  <c r="BK30" i="6"/>
  <c r="CG17" i="6"/>
  <c r="CG19" i="6" s="1"/>
  <c r="CG4" i="6"/>
  <c r="CQ27" i="6"/>
  <c r="CR26" i="6"/>
  <c r="BW18" i="6"/>
  <c r="BL26" i="6"/>
  <c r="BK27" i="6"/>
  <c r="AQ18" i="6"/>
  <c r="AE27" i="6"/>
  <c r="AF26" i="6"/>
  <c r="Q27" i="6"/>
  <c r="CA36" i="6"/>
  <c r="CB35" i="6"/>
  <c r="AE36" i="6"/>
  <c r="AF35" i="6"/>
  <c r="CI27" i="6"/>
  <c r="CJ26" i="6"/>
  <c r="BS27" i="6"/>
  <c r="AN26" i="6"/>
  <c r="AM27" i="6"/>
  <c r="AC19" i="6"/>
  <c r="H107" i="6"/>
  <c r="O107" i="6"/>
  <c r="P107" i="6" s="1"/>
  <c r="N119" i="6"/>
  <c r="O119" i="6" s="1"/>
  <c r="P119" i="6" s="1"/>
  <c r="J119" i="6"/>
  <c r="J114" i="6" s="1"/>
  <c r="J15" i="6" s="1"/>
  <c r="J4" i="6" s="1"/>
  <c r="H112" i="6"/>
  <c r="K103" i="6"/>
  <c r="BL97" i="6"/>
  <c r="BK97" i="6"/>
  <c r="CP89" i="6"/>
  <c r="CP88" i="6" s="1"/>
  <c r="CP87" i="6" s="1"/>
  <c r="CP20" i="6" s="1"/>
  <c r="CP15" i="6" s="1"/>
  <c r="CP16" i="6"/>
  <c r="CM16" i="6" s="1"/>
  <c r="BJ89" i="6"/>
  <c r="BJ88" i="6" s="1"/>
  <c r="BJ87" i="6" s="1"/>
  <c r="BJ20" i="6" s="1"/>
  <c r="BJ15" i="6" s="1"/>
  <c r="BJ16" i="6"/>
  <c r="BG16" i="6" s="1"/>
  <c r="AD89" i="6"/>
  <c r="AD88" i="6" s="1"/>
  <c r="AD87" i="6" s="1"/>
  <c r="AD20" i="6" s="1"/>
  <c r="AD15" i="6" s="1"/>
  <c r="AD16" i="6"/>
  <c r="AA16" i="6" s="1"/>
  <c r="CF88" i="6"/>
  <c r="CF96" i="6" s="1"/>
  <c r="CE92" i="6"/>
  <c r="CK87" i="6"/>
  <c r="BE87" i="6"/>
  <c r="CH89" i="6"/>
  <c r="CH88" i="6" s="1"/>
  <c r="CH87" i="6" s="1"/>
  <c r="CH20" i="6" s="1"/>
  <c r="CH15" i="6" s="1"/>
  <c r="CH16" i="6"/>
  <c r="CE16" i="6" s="1"/>
  <c r="M89" i="6"/>
  <c r="U88" i="6"/>
  <c r="S89" i="6"/>
  <c r="L89" i="6"/>
  <c r="AA89" i="6"/>
  <c r="AA88" i="6" s="1"/>
  <c r="X85" i="6"/>
  <c r="Y85" i="6"/>
  <c r="K85" i="6"/>
  <c r="CS85" i="6"/>
  <c r="CR85" i="6"/>
  <c r="AJ88" i="6"/>
  <c r="AJ96" i="6" s="1"/>
  <c r="AI92" i="6"/>
  <c r="L92" i="6"/>
  <c r="CK82" i="6"/>
  <c r="CK80" i="6" s="1"/>
  <c r="CJ82" i="6"/>
  <c r="CJ80" i="6" s="1"/>
  <c r="AE74" i="6"/>
  <c r="AE72" i="6" s="1"/>
  <c r="W82" i="6"/>
  <c r="CE77" i="6"/>
  <c r="CE74" i="6" s="1"/>
  <c r="L82" i="6"/>
  <c r="AV84" i="6"/>
  <c r="AW84" i="6"/>
  <c r="AW83" i="6" s="1"/>
  <c r="BE82" i="6"/>
  <c r="BE80" i="6" s="1"/>
  <c r="BD82" i="6"/>
  <c r="AY74" i="6"/>
  <c r="K71" i="6"/>
  <c r="O71" i="6" s="1"/>
  <c r="P71" i="6" s="1"/>
  <c r="X71" i="6"/>
  <c r="X58" i="6"/>
  <c r="Y58" i="6"/>
  <c r="Q58" i="6" s="1"/>
  <c r="K58" i="6"/>
  <c r="BK74" i="6"/>
  <c r="BK72" i="6" s="1"/>
  <c r="X68" i="6"/>
  <c r="K68" i="6"/>
  <c r="Y68" i="6"/>
  <c r="Q68" i="6" s="1"/>
  <c r="CC61" i="6"/>
  <c r="CC60" i="6" s="1"/>
  <c r="CB61" i="6"/>
  <c r="BE52" i="6"/>
  <c r="BE51" i="6" s="1"/>
  <c r="BD52" i="6"/>
  <c r="AY51" i="6"/>
  <c r="BL45" i="6"/>
  <c r="BM45" i="6"/>
  <c r="BM43" i="6" s="1"/>
  <c r="BG43" i="6"/>
  <c r="BG20" i="6" s="1"/>
  <c r="BG15" i="6" s="1"/>
  <c r="CA85" i="6"/>
  <c r="CA83" i="6" s="1"/>
  <c r="Y65" i="6"/>
  <c r="K65" i="6"/>
  <c r="BS61" i="6"/>
  <c r="BS60" i="6" s="1"/>
  <c r="BT60" i="6"/>
  <c r="CJ83" i="6"/>
  <c r="N73" i="6"/>
  <c r="N72" i="6" s="1"/>
  <c r="V72" i="6"/>
  <c r="AV45" i="6"/>
  <c r="AW45" i="6"/>
  <c r="AW18" i="6" s="1"/>
  <c r="AU48" i="6"/>
  <c r="AU46" i="6" s="1"/>
  <c r="AW46" i="6"/>
  <c r="Y43" i="6"/>
  <c r="BE36" i="6"/>
  <c r="BD36" i="6"/>
  <c r="AY35" i="6"/>
  <c r="L34" i="6"/>
  <c r="L30" i="6" s="1"/>
  <c r="L26" i="6" s="1"/>
  <c r="BO43" i="6"/>
  <c r="BU44" i="6"/>
  <c r="BT44" i="6"/>
  <c r="K40" i="6"/>
  <c r="CM35" i="6"/>
  <c r="CS36" i="6"/>
  <c r="CS35" i="6" s="1"/>
  <c r="CR36" i="6"/>
  <c r="BX20" i="6"/>
  <c r="BX15" i="6" s="1"/>
  <c r="AZ20" i="6"/>
  <c r="AZ15" i="6" s="1"/>
  <c r="BM51" i="6"/>
  <c r="AE52" i="6"/>
  <c r="AF51" i="6"/>
  <c r="AE48" i="6"/>
  <c r="AE46" i="6" s="1"/>
  <c r="AG46" i="6"/>
  <c r="AG43" i="6" s="1"/>
  <c r="Q48" i="6"/>
  <c r="Q46" i="6" s="1"/>
  <c r="W44" i="6"/>
  <c r="M39" i="6"/>
  <c r="M35" i="6" s="1"/>
  <c r="CA42" i="6"/>
  <c r="CC39" i="6"/>
  <c r="CC35" i="6" s="1"/>
  <c r="Y42" i="6"/>
  <c r="K42" i="6"/>
  <c r="AM29" i="6"/>
  <c r="CS26" i="6"/>
  <c r="BM26" i="6"/>
  <c r="AG26" i="6"/>
  <c r="AG18" i="6"/>
  <c r="BC44" i="6"/>
  <c r="BC43" i="6" s="1"/>
  <c r="BD43" i="6"/>
  <c r="AO30" i="6"/>
  <c r="AO26" i="6" s="1"/>
  <c r="O27" i="6"/>
  <c r="AU36" i="6"/>
  <c r="BC30" i="6"/>
  <c r="O29" i="6"/>
  <c r="P29" i="6" s="1"/>
  <c r="H29" i="6" s="1"/>
  <c r="BU26" i="6"/>
  <c r="BI19" i="6"/>
  <c r="BR15" i="6"/>
  <c r="W88" i="6" l="1"/>
  <c r="W30" i="6"/>
  <c r="CC18" i="6"/>
  <c r="CJ18" i="6"/>
  <c r="AY88" i="6"/>
  <c r="BM18" i="6"/>
  <c r="K92" i="6"/>
  <c r="O92" i="6" s="1"/>
  <c r="P92" i="6" s="1"/>
  <c r="K43" i="6"/>
  <c r="AI20" i="6"/>
  <c r="AI15" i="6" s="1"/>
  <c r="S20" i="6"/>
  <c r="S15" i="6" s="1"/>
  <c r="BU43" i="6"/>
  <c r="BD18" i="6"/>
  <c r="AF18" i="6"/>
  <c r="CK51" i="6"/>
  <c r="AE51" i="6"/>
  <c r="BE35" i="6"/>
  <c r="AE35" i="6"/>
  <c r="CQ85" i="6"/>
  <c r="BS45" i="6"/>
  <c r="BW20" i="6"/>
  <c r="BW15" i="6" s="1"/>
  <c r="BS85" i="6"/>
  <c r="Q75" i="6"/>
  <c r="CA45" i="6"/>
  <c r="CA43" i="6" s="1"/>
  <c r="BU83" i="6"/>
  <c r="W43" i="6"/>
  <c r="CM20" i="6"/>
  <c r="CM15" i="6" s="1"/>
  <c r="CM4" i="6" s="1"/>
  <c r="L96" i="6"/>
  <c r="BO20" i="6"/>
  <c r="BO15" i="6" s="1"/>
  <c r="BO17" i="6" s="1"/>
  <c r="BO19" i="6" s="1"/>
  <c r="BC74" i="6"/>
  <c r="BC72" i="6" s="1"/>
  <c r="AN84" i="6"/>
  <c r="AM84" i="6" s="1"/>
  <c r="W97" i="6"/>
  <c r="CE20" i="6"/>
  <c r="CE15" i="6" s="1"/>
  <c r="CE17" i="6" s="1"/>
  <c r="CE19" i="6" s="1"/>
  <c r="CI97" i="6"/>
  <c r="K77" i="6"/>
  <c r="O77" i="6" s="1"/>
  <c r="P77" i="6" s="1"/>
  <c r="H77" i="6" s="1"/>
  <c r="X97" i="6"/>
  <c r="AV18" i="6"/>
  <c r="AE82" i="6"/>
  <c r="AE80" i="6"/>
  <c r="BU18" i="6"/>
  <c r="CS18" i="6"/>
  <c r="AY20" i="6"/>
  <c r="AY15" i="6" s="1"/>
  <c r="AY17" i="6" s="1"/>
  <c r="AY19" i="6" s="1"/>
  <c r="Q44" i="6"/>
  <c r="P44" i="6" s="1"/>
  <c r="AU45" i="6"/>
  <c r="AO43" i="6"/>
  <c r="AM45" i="6"/>
  <c r="AM88" i="6"/>
  <c r="CQ80" i="6"/>
  <c r="O93" i="6"/>
  <c r="P93" i="6" s="1"/>
  <c r="CQ82" i="6"/>
  <c r="AE45" i="6"/>
  <c r="AE18" i="6" s="1"/>
  <c r="S4" i="6"/>
  <c r="AQ17" i="6"/>
  <c r="AQ19" i="6" s="1"/>
  <c r="AQ4" i="6"/>
  <c r="AA17" i="6"/>
  <c r="AA19" i="6" s="1"/>
  <c r="AA4" i="6"/>
  <c r="CM17" i="6"/>
  <c r="CM19" i="6" s="1"/>
  <c r="AI17" i="6"/>
  <c r="AI19" i="6" s="1"/>
  <c r="AI4" i="6"/>
  <c r="BG17" i="6"/>
  <c r="BG19" i="6" s="1"/>
  <c r="BG4" i="6"/>
  <c r="BM20" i="6"/>
  <c r="O65" i="6"/>
  <c r="O68" i="6"/>
  <c r="P68" i="6" s="1"/>
  <c r="H68" i="6" s="1"/>
  <c r="AU84" i="6"/>
  <c r="AU83" i="6" s="1"/>
  <c r="AV83" i="6"/>
  <c r="O85" i="6"/>
  <c r="AD17" i="6"/>
  <c r="AD19" i="6" s="1"/>
  <c r="AD4" i="6"/>
  <c r="CP17" i="6"/>
  <c r="CP19" i="6" s="1"/>
  <c r="CP4" i="6"/>
  <c r="CP9" i="6"/>
  <c r="Y18" i="6"/>
  <c r="AE26" i="6"/>
  <c r="BK26" i="6"/>
  <c r="O64" i="6"/>
  <c r="X51" i="6"/>
  <c r="W52" i="6"/>
  <c r="L80" i="6"/>
  <c r="BO74" i="6"/>
  <c r="X18" i="6"/>
  <c r="BE18" i="6"/>
  <c r="P41" i="6"/>
  <c r="U17" i="6"/>
  <c r="U19" i="6" s="1"/>
  <c r="U4" i="6"/>
  <c r="X35" i="6"/>
  <c r="W36" i="6"/>
  <c r="CK35" i="6"/>
  <c r="CK20" i="6" s="1"/>
  <c r="O45" i="6"/>
  <c r="O43" i="6" s="1"/>
  <c r="CJ51" i="6"/>
  <c r="CI52" i="6"/>
  <c r="CI51" i="6" s="1"/>
  <c r="O98" i="6"/>
  <c r="P98" i="6" s="1"/>
  <c r="P115" i="6"/>
  <c r="P114" i="6" s="1"/>
  <c r="O114" i="6"/>
  <c r="P106" i="6"/>
  <c r="O105" i="6"/>
  <c r="O104" i="6" s="1"/>
  <c r="CK18" i="6"/>
  <c r="BK35" i="6"/>
  <c r="BC26" i="6"/>
  <c r="AU26" i="6"/>
  <c r="P91" i="6"/>
  <c r="AT17" i="6"/>
  <c r="AT19" i="6" s="1"/>
  <c r="AT4" i="6"/>
  <c r="BR4" i="6"/>
  <c r="BR17" i="6"/>
  <c r="BR19" i="6" s="1"/>
  <c r="BW17" i="6"/>
  <c r="BW19" i="6" s="1"/>
  <c r="BW4" i="6"/>
  <c r="BX17" i="6"/>
  <c r="BX19" i="6" s="1"/>
  <c r="BX4" i="6"/>
  <c r="O40" i="6"/>
  <c r="P40" i="6" s="1"/>
  <c r="H40" i="6" s="1"/>
  <c r="Q45" i="6"/>
  <c r="W65" i="6"/>
  <c r="Q65" i="6"/>
  <c r="BK45" i="6"/>
  <c r="BK18" i="6" s="1"/>
  <c r="CB60" i="6"/>
  <c r="CB51" i="6" s="1"/>
  <c r="CA61" i="6"/>
  <c r="CA60" i="6" s="1"/>
  <c r="W68" i="6"/>
  <c r="W58" i="6"/>
  <c r="BC82" i="6"/>
  <c r="CI82" i="6"/>
  <c r="CI80" i="6" s="1"/>
  <c r="AI96" i="6"/>
  <c r="AN96" i="6"/>
  <c r="AM96" i="6" s="1"/>
  <c r="Y83" i="6"/>
  <c r="S88" i="6"/>
  <c r="K89" i="6"/>
  <c r="CH4" i="6"/>
  <c r="CH17" i="6"/>
  <c r="CH19" i="6" s="1"/>
  <c r="CQ26" i="6"/>
  <c r="AM44" i="6"/>
  <c r="AM43" i="6" s="1"/>
  <c r="AN43" i="6"/>
  <c r="BT35" i="6"/>
  <c r="BS36" i="6"/>
  <c r="BS35" i="6" s="1"/>
  <c r="CA52" i="6"/>
  <c r="W64" i="6"/>
  <c r="W60" i="6" s="1"/>
  <c r="Q64" i="6"/>
  <c r="CQ45" i="6"/>
  <c r="CQ43" i="6" s="1"/>
  <c r="Q52" i="6"/>
  <c r="K81" i="6"/>
  <c r="X81" i="6"/>
  <c r="CA77" i="6"/>
  <c r="CA74" i="6" s="1"/>
  <c r="CA72" i="6" s="1"/>
  <c r="CB74" i="6"/>
  <c r="CB72" i="6" s="1"/>
  <c r="CQ84" i="6"/>
  <c r="CR83" i="6"/>
  <c r="AF87" i="6"/>
  <c r="L88" i="6"/>
  <c r="L87" i="6" s="1"/>
  <c r="O37" i="6"/>
  <c r="P37" i="6" s="1"/>
  <c r="H37" i="6" s="1"/>
  <c r="P48" i="6"/>
  <c r="P46" i="6" s="1"/>
  <c r="AU39" i="6"/>
  <c r="AU35" i="6" s="1"/>
  <c r="Q36" i="6"/>
  <c r="K60" i="6"/>
  <c r="K51" i="6" s="1"/>
  <c r="O61" i="6"/>
  <c r="AN51" i="6"/>
  <c r="AM52" i="6"/>
  <c r="AM51" i="6" s="1"/>
  <c r="N70" i="6"/>
  <c r="O70" i="6" s="1"/>
  <c r="V69" i="6"/>
  <c r="V20" i="6" s="1"/>
  <c r="V16" i="6"/>
  <c r="S16" i="6" s="1"/>
  <c r="S17" i="6" s="1"/>
  <c r="S19" i="6" s="1"/>
  <c r="CI85" i="6"/>
  <c r="CI83" i="6" s="1"/>
  <c r="AR17" i="6"/>
  <c r="AR19" i="6" s="1"/>
  <c r="AR4" i="6"/>
  <c r="BL43" i="6"/>
  <c r="AN35" i="6"/>
  <c r="AM36" i="6"/>
  <c r="AM35" i="6" s="1"/>
  <c r="O76" i="6"/>
  <c r="BK84" i="6"/>
  <c r="BK83" i="6" s="1"/>
  <c r="BL83" i="6"/>
  <c r="AV96" i="6"/>
  <c r="AQ96" i="6"/>
  <c r="BD96" i="6"/>
  <c r="BC96" i="6" s="1"/>
  <c r="BC87" i="6" s="1"/>
  <c r="AY96" i="6"/>
  <c r="BK96" i="6"/>
  <c r="BK87" i="6" s="1"/>
  <c r="BL87" i="6"/>
  <c r="Q97" i="6"/>
  <c r="P97" i="6" s="1"/>
  <c r="H97" i="6" s="1"/>
  <c r="W104" i="6"/>
  <c r="O42" i="6"/>
  <c r="AZ17" i="6"/>
  <c r="AZ19" i="6" s="1"/>
  <c r="AZ4" i="6"/>
  <c r="CQ36" i="6"/>
  <c r="CQ35" i="6" s="1"/>
  <c r="CR35" i="6"/>
  <c r="BS44" i="6"/>
  <c r="BS43" i="6" s="1"/>
  <c r="BT43" i="6"/>
  <c r="W71" i="6"/>
  <c r="W69" i="6" s="1"/>
  <c r="X69" i="6"/>
  <c r="W85" i="6"/>
  <c r="W83" i="6" s="1"/>
  <c r="X83" i="6"/>
  <c r="M88" i="6"/>
  <c r="U96" i="6"/>
  <c r="CJ96" i="6"/>
  <c r="CI96" i="6" s="1"/>
  <c r="CI87" i="6" s="1"/>
  <c r="CE96" i="6"/>
  <c r="BJ17" i="6"/>
  <c r="BJ19" i="6" s="1"/>
  <c r="BJ4" i="6"/>
  <c r="BS26" i="6"/>
  <c r="N90" i="6"/>
  <c r="N89" i="6" s="1"/>
  <c r="N88" i="6" s="1"/>
  <c r="N87" i="6" s="1"/>
  <c r="CS83" i="6"/>
  <c r="CS20" i="6" s="1"/>
  <c r="CE88" i="6"/>
  <c r="W26" i="6"/>
  <c r="O34" i="6"/>
  <c r="P34" i="6" s="1"/>
  <c r="H34" i="6"/>
  <c r="Q30" i="6"/>
  <c r="Q26" i="6" s="1"/>
  <c r="P33" i="6"/>
  <c r="AV43" i="6"/>
  <c r="AU44" i="6"/>
  <c r="AU43" i="6" s="1"/>
  <c r="CA39" i="6"/>
  <c r="AV60" i="6"/>
  <c r="AV51" i="6" s="1"/>
  <c r="AU61" i="6"/>
  <c r="AU60" i="6" s="1"/>
  <c r="K69" i="6"/>
  <c r="O75" i="6"/>
  <c r="Q82" i="6"/>
  <c r="Q80" i="6" s="1"/>
  <c r="BD83" i="6"/>
  <c r="BC84" i="6"/>
  <c r="Q89" i="6"/>
  <c r="Q88" i="6" s="1"/>
  <c r="Y88" i="6"/>
  <c r="BD87" i="6"/>
  <c r="O99" i="6"/>
  <c r="P99" i="6" s="1"/>
  <c r="H99" i="6" s="1"/>
  <c r="AU51" i="6"/>
  <c r="Y60" i="6"/>
  <c r="Y51" i="6" s="1"/>
  <c r="P67" i="6"/>
  <c r="H67" i="6" s="1"/>
  <c r="W76" i="6"/>
  <c r="W74" i="6" s="1"/>
  <c r="W72" i="6" s="1"/>
  <c r="Q76" i="6"/>
  <c r="Q74" i="6" s="1"/>
  <c r="Q72" i="6" s="1"/>
  <c r="Y74" i="6"/>
  <c r="Y72" i="6" s="1"/>
  <c r="BS88" i="6"/>
  <c r="O82" i="6"/>
  <c r="BO96" i="6"/>
  <c r="BT96" i="6"/>
  <c r="BS96" i="6" s="1"/>
  <c r="BZ4" i="6"/>
  <c r="BZ17" i="6"/>
  <c r="BZ19" i="6" s="1"/>
  <c r="O100" i="6"/>
  <c r="P100" i="6" s="1"/>
  <c r="H100" i="6"/>
  <c r="X104" i="6"/>
  <c r="AL17" i="6"/>
  <c r="AL19" i="6" s="1"/>
  <c r="AL4" i="6"/>
  <c r="P27" i="6"/>
  <c r="W42" i="6"/>
  <c r="W39" i="6" s="1"/>
  <c r="Q42" i="6"/>
  <c r="Q39" i="6" s="1"/>
  <c r="Y39" i="6"/>
  <c r="Y35" i="6" s="1"/>
  <c r="BC36" i="6"/>
  <c r="BC35" i="6" s="1"/>
  <c r="BD35" i="6"/>
  <c r="BC52" i="6"/>
  <c r="BC51" i="6" s="1"/>
  <c r="BD51" i="6"/>
  <c r="O58" i="6"/>
  <c r="P58" i="6" s="1"/>
  <c r="H58" i="6" s="1"/>
  <c r="O103" i="6"/>
  <c r="P103" i="6" s="1"/>
  <c r="H103" i="6" s="1"/>
  <c r="AM26" i="6"/>
  <c r="BT18" i="6"/>
  <c r="CI26" i="6"/>
  <c r="CA35" i="6"/>
  <c r="BL18" i="6"/>
  <c r="CR18" i="6"/>
  <c r="CF17" i="6"/>
  <c r="CF19" i="6" s="1"/>
  <c r="CF4" i="6"/>
  <c r="O30" i="6"/>
  <c r="O26" i="6" s="1"/>
  <c r="P31" i="6"/>
  <c r="O59" i="6"/>
  <c r="P59" i="6" s="1"/>
  <c r="H59" i="6" s="1"/>
  <c r="CC51" i="6"/>
  <c r="CC20" i="6" s="1"/>
  <c r="O52" i="6"/>
  <c r="BT51" i="6"/>
  <c r="BS52" i="6"/>
  <c r="BS51" i="6" s="1"/>
  <c r="BS77" i="6"/>
  <c r="BT74" i="6"/>
  <c r="BT72" i="6" s="1"/>
  <c r="BS75" i="6"/>
  <c r="BU74" i="6"/>
  <c r="BU72" i="6" s="1"/>
  <c r="BD85" i="6"/>
  <c r="BE85" i="6"/>
  <c r="BE83" i="6" s="1"/>
  <c r="BE20" i="6" s="1"/>
  <c r="O101" i="6"/>
  <c r="P101" i="6" s="1"/>
  <c r="H101" i="6" s="1"/>
  <c r="W37" i="6"/>
  <c r="K39" i="6"/>
  <c r="K35" i="6" s="1"/>
  <c r="AW43" i="6"/>
  <c r="AJ17" i="6"/>
  <c r="AJ19" i="6" s="1"/>
  <c r="AJ4" i="6"/>
  <c r="O36" i="6"/>
  <c r="CI36" i="6"/>
  <c r="CI35" i="6" s="1"/>
  <c r="CJ35" i="6"/>
  <c r="BC81" i="6"/>
  <c r="BD80" i="6"/>
  <c r="AU75" i="6"/>
  <c r="AU74" i="6" s="1"/>
  <c r="AU72" i="6" s="1"/>
  <c r="AW74" i="6"/>
  <c r="AW72" i="6" s="1"/>
  <c r="AN85" i="6"/>
  <c r="AO85" i="6"/>
  <c r="BK82" i="6"/>
  <c r="BK80" i="6" s="1"/>
  <c r="AF84" i="6"/>
  <c r="AG84" i="6"/>
  <c r="K84" i="6"/>
  <c r="BB17" i="6"/>
  <c r="BB19" i="6" s="1"/>
  <c r="BB4" i="6"/>
  <c r="CB96" i="6"/>
  <c r="BW96" i="6"/>
  <c r="AI88" i="6"/>
  <c r="N114" i="6"/>
  <c r="CA26" i="6"/>
  <c r="T17" i="6"/>
  <c r="T19" i="6" s="1"/>
  <c r="T4" i="6"/>
  <c r="BP4" i="6"/>
  <c r="BP17" i="6"/>
  <c r="BP19" i="6" s="1"/>
  <c r="Q61" i="6"/>
  <c r="P63" i="6"/>
  <c r="AM74" i="6"/>
  <c r="AM72" i="6" s="1"/>
  <c r="BT83" i="6"/>
  <c r="BS84" i="6"/>
  <c r="CQ83" i="6" l="1"/>
  <c r="Q43" i="6"/>
  <c r="AM87" i="6"/>
  <c r="AY4" i="6"/>
  <c r="AW20" i="6"/>
  <c r="AQ23" i="6" s="1"/>
  <c r="K74" i="6"/>
  <c r="K72" i="6" s="1"/>
  <c r="AE43" i="6"/>
  <c r="Q60" i="6"/>
  <c r="CA18" i="6"/>
  <c r="BU20" i="6"/>
  <c r="BO23" i="6" s="1"/>
  <c r="BS83" i="6"/>
  <c r="Q85" i="6"/>
  <c r="P85" i="6" s="1"/>
  <c r="H85" i="6" s="1"/>
  <c r="BT87" i="6"/>
  <c r="W18" i="6"/>
  <c r="BS74" i="6"/>
  <c r="BS72" i="6" s="1"/>
  <c r="BD20" i="6"/>
  <c r="AY22" i="6" s="1"/>
  <c r="CR20" i="6"/>
  <c r="CM22" i="6" s="1"/>
  <c r="L20" i="6"/>
  <c r="L15" i="6" s="1"/>
  <c r="L4" i="6" s="1"/>
  <c r="BO4" i="6"/>
  <c r="CE4" i="6"/>
  <c r="BT20" i="6"/>
  <c r="BT15" i="6" s="1"/>
  <c r="BL20" i="6"/>
  <c r="BG22" i="6" s="1"/>
  <c r="AU18" i="6"/>
  <c r="P65" i="6"/>
  <c r="H65" i="6" s="1"/>
  <c r="AY23" i="6"/>
  <c r="BE15" i="6"/>
  <c r="CE23" i="6"/>
  <c r="CK15" i="6"/>
  <c r="BU15" i="6"/>
  <c r="BW23" i="6"/>
  <c r="CC15" i="6"/>
  <c r="O69" i="6"/>
  <c r="P70" i="6"/>
  <c r="P69" i="6" s="1"/>
  <c r="CA96" i="6"/>
  <c r="CA87" i="6" s="1"/>
  <c r="CB87" i="6"/>
  <c r="CB20" i="6" s="1"/>
  <c r="P42" i="6"/>
  <c r="H42" i="6" s="1"/>
  <c r="P61" i="6"/>
  <c r="O60" i="6"/>
  <c r="AE84" i="6"/>
  <c r="AE83" i="6" s="1"/>
  <c r="AF83" i="6"/>
  <c r="AF20" i="6" s="1"/>
  <c r="AM85" i="6"/>
  <c r="BC80" i="6"/>
  <c r="AW15" i="6"/>
  <c r="AM83" i="6"/>
  <c r="AM20" i="6" s="1"/>
  <c r="AM15" i="6" s="1"/>
  <c r="CI18" i="6"/>
  <c r="CM23" i="6"/>
  <c r="CS15" i="6"/>
  <c r="P82" i="6"/>
  <c r="H82" i="6" s="1"/>
  <c r="BS18" i="6"/>
  <c r="P76" i="6"/>
  <c r="H76" i="6" s="1"/>
  <c r="O81" i="6"/>
  <c r="K80" i="6"/>
  <c r="H81" i="6"/>
  <c r="CQ18" i="6"/>
  <c r="O89" i="6"/>
  <c r="BK43" i="6"/>
  <c r="BC18" i="6"/>
  <c r="O39" i="6"/>
  <c r="O35" i="6" s="1"/>
  <c r="AO83" i="6"/>
  <c r="AO20" i="6" s="1"/>
  <c r="Q18" i="6"/>
  <c r="H84" i="6"/>
  <c r="O84" i="6"/>
  <c r="K83" i="6"/>
  <c r="P30" i="6"/>
  <c r="H30" i="6" s="1"/>
  <c r="H31" i="6"/>
  <c r="N69" i="6"/>
  <c r="N20" i="6" s="1"/>
  <c r="N15" i="6" s="1"/>
  <c r="N16" i="6"/>
  <c r="AG83" i="6"/>
  <c r="AG20" i="6" s="1"/>
  <c r="Q84" i="6"/>
  <c r="BC85" i="6"/>
  <c r="BC83" i="6" s="1"/>
  <c r="BC20" i="6" s="1"/>
  <c r="BC15" i="6" s="1"/>
  <c r="AM18" i="6"/>
  <c r="H27" i="6"/>
  <c r="O90" i="6"/>
  <c r="P90" i="6" s="1"/>
  <c r="M96" i="6"/>
  <c r="M87" i="6" s="1"/>
  <c r="M20" i="6" s="1"/>
  <c r="M15" i="6" s="1"/>
  <c r="M4" i="6" s="1"/>
  <c r="Y96" i="6"/>
  <c r="Y87" i="6" s="1"/>
  <c r="Y20" i="6" s="1"/>
  <c r="S96" i="6"/>
  <c r="K96" i="6" s="1"/>
  <c r="O96" i="6" s="1"/>
  <c r="W81" i="6"/>
  <c r="W80" i="6" s="1"/>
  <c r="X80" i="6"/>
  <c r="X20" i="6" s="1"/>
  <c r="CA51" i="6"/>
  <c r="W35" i="6"/>
  <c r="CJ87" i="6"/>
  <c r="CJ20" i="6" s="1"/>
  <c r="W51" i="6"/>
  <c r="P36" i="6"/>
  <c r="AN83" i="6"/>
  <c r="P52" i="6"/>
  <c r="O51" i="6"/>
  <c r="CI20" i="6"/>
  <c r="CI15" i="6" s="1"/>
  <c r="O18" i="6"/>
  <c r="BS87" i="6"/>
  <c r="P75" i="6"/>
  <c r="O74" i="6"/>
  <c r="O72" i="6" s="1"/>
  <c r="H44" i="6"/>
  <c r="AU96" i="6"/>
  <c r="AU87" i="6" s="1"/>
  <c r="AU20" i="6" s="1"/>
  <c r="AU15" i="6" s="1"/>
  <c r="AV87" i="6"/>
  <c r="AV20" i="6" s="1"/>
  <c r="N22" i="6"/>
  <c r="V15" i="6"/>
  <c r="Q35" i="6"/>
  <c r="Q51" i="6"/>
  <c r="CQ20" i="6"/>
  <c r="CQ15" i="6" s="1"/>
  <c r="K88" i="6"/>
  <c r="P105" i="6"/>
  <c r="P104" i="6" s="1"/>
  <c r="H106" i="6"/>
  <c r="AN87" i="6"/>
  <c r="P45" i="6"/>
  <c r="H45" i="6" s="1"/>
  <c r="P64" i="6"/>
  <c r="H64" i="6" s="1"/>
  <c r="BK20" i="6"/>
  <c r="BK15" i="6" s="1"/>
  <c r="BG23" i="6"/>
  <c r="BM15" i="6"/>
  <c r="CR15" i="6" l="1"/>
  <c r="Q83" i="6"/>
  <c r="AE20" i="6"/>
  <c r="AE15" i="6" s="1"/>
  <c r="AE17" i="6" s="1"/>
  <c r="AE19" i="6" s="1"/>
  <c r="BS20" i="6"/>
  <c r="BS15" i="6" s="1"/>
  <c r="BS4" i="6" s="1"/>
  <c r="P39" i="6"/>
  <c r="AY21" i="6"/>
  <c r="AY24" i="6" s="1"/>
  <c r="BO22" i="6"/>
  <c r="BL15" i="6"/>
  <c r="P18" i="6"/>
  <c r="BD15" i="6"/>
  <c r="BD17" i="6" s="1"/>
  <c r="BD19" i="6" s="1"/>
  <c r="CA20" i="6"/>
  <c r="CA15" i="6" s="1"/>
  <c r="CA17" i="6" s="1"/>
  <c r="CA19" i="6" s="1"/>
  <c r="AN20" i="6"/>
  <c r="AI22" i="6" s="1"/>
  <c r="K87" i="6"/>
  <c r="K20" i="6" s="1"/>
  <c r="K15" i="6" s="1"/>
  <c r="K4" i="6" s="1"/>
  <c r="AU17" i="6"/>
  <c r="AU19" i="6" s="1"/>
  <c r="AU4" i="6"/>
  <c r="BC17" i="6"/>
  <c r="BC19" i="6" s="1"/>
  <c r="BC4" i="6"/>
  <c r="BS17" i="6"/>
  <c r="BS19" i="6" s="1"/>
  <c r="S23" i="6"/>
  <c r="Q22" i="6"/>
  <c r="Q24" i="6" s="1"/>
  <c r="Y15" i="6"/>
  <c r="AM17" i="6"/>
  <c r="AM19" i="6" s="1"/>
  <c r="AM4" i="6"/>
  <c r="S22" i="6"/>
  <c r="X15" i="6"/>
  <c r="AQ22" i="6"/>
  <c r="AQ21" i="6" s="1"/>
  <c r="AQ24" i="6" s="1"/>
  <c r="AV15" i="6"/>
  <c r="BK17" i="6"/>
  <c r="BK19" i="6" s="1"/>
  <c r="BK4" i="6"/>
  <c r="CQ9" i="6"/>
  <c r="CQ17" i="6"/>
  <c r="CQ19" i="6" s="1"/>
  <c r="CQ4" i="6"/>
  <c r="P35" i="6"/>
  <c r="H36" i="6"/>
  <c r="BW22" i="6"/>
  <c r="BW21" i="6" s="1"/>
  <c r="CB15" i="6"/>
  <c r="BG21" i="6"/>
  <c r="BG24" i="6" s="1"/>
  <c r="BD4" i="6"/>
  <c r="P43" i="6"/>
  <c r="H52" i="6"/>
  <c r="N17" i="6"/>
  <c r="N19" i="6" s="1"/>
  <c r="N4" i="6"/>
  <c r="CS17" i="6"/>
  <c r="CS19" i="6" s="1"/>
  <c r="CS4" i="6"/>
  <c r="CS9" i="6"/>
  <c r="BU4" i="6"/>
  <c r="BU17" i="6"/>
  <c r="BU19" i="6" s="1"/>
  <c r="CR9" i="6"/>
  <c r="CR17" i="6"/>
  <c r="CR19" i="6" s="1"/>
  <c r="CR4" i="6"/>
  <c r="BM17" i="6"/>
  <c r="BM19" i="6" s="1"/>
  <c r="BM4" i="6"/>
  <c r="AW4" i="6"/>
  <c r="AW17" i="6"/>
  <c r="AW19" i="6" s="1"/>
  <c r="AA22" i="6"/>
  <c r="AF15" i="6"/>
  <c r="BO21" i="6"/>
  <c r="CC4" i="6"/>
  <c r="CC17" i="6"/>
  <c r="CC19" i="6" s="1"/>
  <c r="CM21" i="6"/>
  <c r="CM24" i="6" s="1"/>
  <c r="BE17" i="6"/>
  <c r="BE19" i="6" s="1"/>
  <c r="BE4" i="6"/>
  <c r="V17" i="6"/>
  <c r="V19" i="6" s="1"/>
  <c r="V9" i="6"/>
  <c r="V4" i="6"/>
  <c r="P74" i="6"/>
  <c r="P72" i="6" s="1"/>
  <c r="H75" i="6"/>
  <c r="CI17" i="6"/>
  <c r="CI19" i="6" s="1"/>
  <c r="CI4" i="6"/>
  <c r="CE22" i="6"/>
  <c r="CE21" i="6" s="1"/>
  <c r="CE24" i="6" s="1"/>
  <c r="CJ15" i="6"/>
  <c r="Q96" i="6"/>
  <c r="Q87" i="6" s="1"/>
  <c r="Q20" i="6" s="1"/>
  <c r="Q15" i="6" s="1"/>
  <c r="W96" i="6"/>
  <c r="W87" i="6" s="1"/>
  <c r="W20" i="6" s="1"/>
  <c r="P26" i="6"/>
  <c r="AA23" i="6"/>
  <c r="AG15" i="6"/>
  <c r="P84" i="6"/>
  <c r="P83" i="6" s="1"/>
  <c r="O83" i="6"/>
  <c r="AO15" i="6"/>
  <c r="AI23" i="6"/>
  <c r="O88" i="6"/>
  <c r="O87" i="6" s="1"/>
  <c r="P89" i="6"/>
  <c r="P88" i="6" s="1"/>
  <c r="O80" i="6"/>
  <c r="P81" i="6"/>
  <c r="P80" i="6" s="1"/>
  <c r="P60" i="6"/>
  <c r="P51" i="6" s="1"/>
  <c r="H61" i="6"/>
  <c r="BT17" i="6"/>
  <c r="BT19" i="6" s="1"/>
  <c r="BT4" i="6"/>
  <c r="BL17" i="6"/>
  <c r="BL19" i="6" s="1"/>
  <c r="BL4" i="6"/>
  <c r="CK17" i="6"/>
  <c r="CK19" i="6" s="1"/>
  <c r="CK4" i="6"/>
  <c r="AE4" i="6" l="1"/>
  <c r="CA4" i="6"/>
  <c r="BO24" i="6"/>
  <c r="O20" i="6"/>
  <c r="O15" i="6" s="1"/>
  <c r="BW24" i="6"/>
  <c r="AA21" i="6"/>
  <c r="AA24" i="6" s="1"/>
  <c r="P22" i="6"/>
  <c r="AN15" i="6"/>
  <c r="Q4" i="6"/>
  <c r="Q17" i="6"/>
  <c r="AG17" i="6"/>
  <c r="AG19" i="6" s="1"/>
  <c r="AG4" i="6"/>
  <c r="AO4" i="6"/>
  <c r="AO17" i="6"/>
  <c r="AO19" i="6" s="1"/>
  <c r="CJ17" i="6"/>
  <c r="CJ19" i="6" s="1"/>
  <c r="CJ4" i="6"/>
  <c r="AV17" i="6"/>
  <c r="AV19" i="6" s="1"/>
  <c r="AV4" i="6"/>
  <c r="S21" i="6"/>
  <c r="K22" i="6"/>
  <c r="K23" i="6"/>
  <c r="P24" i="6"/>
  <c r="H88" i="6"/>
  <c r="CB17" i="6"/>
  <c r="CB19" i="6" s="1"/>
  <c r="CB4" i="6"/>
  <c r="AI21" i="6"/>
  <c r="AI24" i="6" s="1"/>
  <c r="P96" i="6"/>
  <c r="H96" i="6" s="1"/>
  <c r="O22" i="6"/>
  <c r="O24" i="6" s="1"/>
  <c r="W15" i="6"/>
  <c r="AF17" i="6"/>
  <c r="AF19" i="6" s="1"/>
  <c r="AF4" i="6"/>
  <c r="X9" i="6"/>
  <c r="X17" i="6"/>
  <c r="X19" i="6" s="1"/>
  <c r="X4" i="6"/>
  <c r="AN4" i="6"/>
  <c r="AN17" i="6"/>
  <c r="AN19" i="6" s="1"/>
  <c r="Y17" i="6"/>
  <c r="Y19" i="6" s="1"/>
  <c r="Y4" i="6"/>
  <c r="Y9" i="6"/>
  <c r="Q19" i="6" l="1"/>
  <c r="O17" i="6"/>
  <c r="O19" i="6" s="1"/>
  <c r="P19" i="6" s="1"/>
  <c r="O10" i="6"/>
  <c r="O4" i="6"/>
  <c r="W9" i="6"/>
  <c r="W17" i="6"/>
  <c r="W19" i="6" s="1"/>
  <c r="W4" i="6"/>
  <c r="P87" i="6"/>
  <c r="P20" i="6" s="1"/>
  <c r="S24" i="6"/>
  <c r="K21" i="6"/>
  <c r="L24" i="6" s="1"/>
  <c r="P23" i="6" l="1"/>
  <c r="P15" i="6"/>
  <c r="P17" i="6" l="1"/>
  <c r="P4" i="6"/>
  <c r="D11" i="19" l="1"/>
  <c r="E11" i="19"/>
  <c r="F11" i="19"/>
  <c r="G11" i="19"/>
  <c r="H11" i="19"/>
  <c r="I11" i="19"/>
  <c r="J11" i="19"/>
  <c r="K11" i="19"/>
  <c r="L11" i="19"/>
  <c r="M11" i="19"/>
  <c r="C17" i="19"/>
  <c r="P29" i="82" l="1"/>
  <c r="F71" i="65" l="1"/>
  <c r="H70" i="65"/>
  <c r="G70" i="65"/>
  <c r="F70" i="65"/>
  <c r="B99" i="5" l="1"/>
  <c r="E62" i="5"/>
  <c r="E29" i="19" l="1"/>
  <c r="F29" i="19"/>
  <c r="G29" i="19"/>
  <c r="H29" i="19"/>
  <c r="I29" i="19"/>
  <c r="J29" i="19"/>
  <c r="K29" i="19"/>
  <c r="L29" i="19"/>
  <c r="M29" i="19"/>
  <c r="E28" i="19"/>
  <c r="F28" i="19"/>
  <c r="G28" i="19"/>
  <c r="H28" i="19"/>
  <c r="I28" i="19"/>
  <c r="J28" i="19"/>
  <c r="K28" i="19"/>
  <c r="L28" i="19"/>
  <c r="M28" i="19"/>
  <c r="D28" i="19"/>
  <c r="E27" i="19"/>
  <c r="F27" i="19"/>
  <c r="G27" i="19"/>
  <c r="H27" i="19"/>
  <c r="I27" i="19"/>
  <c r="J27" i="19"/>
  <c r="K27" i="19"/>
  <c r="L27" i="19"/>
  <c r="M27" i="19"/>
  <c r="D27" i="19"/>
  <c r="C58" i="5"/>
  <c r="C38" i="5"/>
  <c r="C30" i="5"/>
  <c r="C25" i="5"/>
  <c r="C29" i="19" l="1"/>
  <c r="C27" i="19"/>
  <c r="C26" i="19"/>
  <c r="C28" i="19"/>
  <c r="E12" i="64" l="1"/>
  <c r="E50" i="60" s="1"/>
  <c r="F12" i="64"/>
  <c r="F50" i="60" s="1"/>
  <c r="G12" i="64"/>
  <c r="G50" i="60" s="1"/>
  <c r="H12" i="64"/>
  <c r="H50" i="60" s="1"/>
  <c r="I12" i="64"/>
  <c r="I50" i="60" s="1"/>
  <c r="J12" i="64"/>
  <c r="J50" i="60" s="1"/>
  <c r="K12" i="64"/>
  <c r="K50" i="60" s="1"/>
  <c r="L12" i="64"/>
  <c r="L50" i="60" s="1"/>
  <c r="M12" i="64"/>
  <c r="M50" i="60" s="1"/>
  <c r="D12" i="64"/>
  <c r="D50" i="60" s="1"/>
  <c r="C21" i="64"/>
  <c r="C17" i="64"/>
  <c r="C18" i="64"/>
  <c r="C19" i="64"/>
  <c r="C20" i="64"/>
  <c r="C14" i="64"/>
  <c r="C15" i="64"/>
  <c r="C16" i="64"/>
  <c r="C13" i="64"/>
  <c r="C50" i="60" l="1"/>
  <c r="C12" i="64"/>
  <c r="D8" i="64" l="1"/>
  <c r="E8" i="64"/>
  <c r="F8" i="64"/>
  <c r="G8" i="64"/>
  <c r="H8" i="64"/>
  <c r="I8" i="64"/>
  <c r="J8" i="64"/>
  <c r="K8" i="64"/>
  <c r="L8" i="64"/>
  <c r="M8" i="64"/>
  <c r="H72" i="65"/>
  <c r="F77" i="65"/>
  <c r="G73" i="65"/>
  <c r="G72" i="65" s="1"/>
  <c r="F76" i="65"/>
  <c r="F75" i="65"/>
  <c r="F74" i="65"/>
  <c r="F68" i="65"/>
  <c r="F69" i="65"/>
  <c r="F67" i="65"/>
  <c r="H66" i="65"/>
  <c r="H64" i="65" s="1"/>
  <c r="G66" i="65"/>
  <c r="F73" i="65" l="1"/>
  <c r="F72" i="65"/>
  <c r="G64" i="65"/>
  <c r="G63" i="65" s="1"/>
  <c r="F66" i="65"/>
  <c r="F64" i="65" s="1"/>
  <c r="BD20" i="1"/>
  <c r="AZ20" i="1"/>
  <c r="AV20" i="1"/>
  <c r="AR20" i="1"/>
  <c r="AN20" i="1"/>
  <c r="AJ20" i="1"/>
  <c r="AF20" i="1"/>
  <c r="AB20" i="1"/>
  <c r="T20" i="1"/>
  <c r="X20" i="1"/>
  <c r="BC23" i="1"/>
  <c r="BA23" i="1"/>
  <c r="AY23" i="1"/>
  <c r="AW23" i="1"/>
  <c r="AU23" i="1"/>
  <c r="AS23" i="1"/>
  <c r="AQ23" i="1"/>
  <c r="AO23" i="1"/>
  <c r="AM23" i="1"/>
  <c r="AK23" i="1"/>
  <c r="AI23" i="1"/>
  <c r="AG23" i="1"/>
  <c r="AE23" i="1"/>
  <c r="AC23" i="1"/>
  <c r="AA23" i="1"/>
  <c r="Y23" i="1"/>
  <c r="W23" i="1"/>
  <c r="U23" i="1"/>
  <c r="S23" i="1"/>
  <c r="Q23" i="1"/>
  <c r="AS4" i="1"/>
  <c r="I16" i="36" l="1"/>
  <c r="I15" i="36"/>
  <c r="C49" i="19" l="1"/>
  <c r="H78" i="65" l="1"/>
  <c r="F78" i="65" l="1"/>
  <c r="F63" i="65" s="1"/>
  <c r="P63" i="65" s="1"/>
  <c r="H63" i="65"/>
  <c r="I14" i="5" l="1"/>
  <c r="I18" i="5"/>
  <c r="I19" i="5"/>
  <c r="I21" i="5"/>
  <c r="I27" i="5"/>
  <c r="I29" i="5"/>
  <c r="I33" i="5"/>
  <c r="I34" i="5"/>
  <c r="I35" i="5"/>
  <c r="I36" i="5"/>
  <c r="I37" i="5"/>
  <c r="I40" i="5"/>
  <c r="I41" i="5"/>
  <c r="I42" i="5"/>
  <c r="I47" i="5"/>
  <c r="I48" i="5"/>
  <c r="I50" i="5"/>
  <c r="I61" i="5"/>
  <c r="I68" i="5"/>
  <c r="I69" i="5"/>
  <c r="I82" i="5"/>
  <c r="I93" i="5"/>
  <c r="I103" i="5"/>
  <c r="I113" i="5"/>
  <c r="I114" i="5"/>
  <c r="I115" i="5"/>
  <c r="I30" i="4"/>
  <c r="J25" i="4"/>
  <c r="J30" i="4" l="1"/>
  <c r="N29" i="4" l="1"/>
  <c r="M39" i="4"/>
  <c r="G55" i="65"/>
  <c r="E23" i="54"/>
  <c r="F23" i="54"/>
  <c r="G23" i="54"/>
  <c r="H23" i="54"/>
  <c r="I23" i="54"/>
  <c r="J23" i="54"/>
  <c r="K23" i="54"/>
  <c r="L23" i="54"/>
  <c r="M23" i="54"/>
  <c r="N23" i="54"/>
  <c r="O23" i="54"/>
  <c r="D26" i="54"/>
  <c r="D23" i="54" s="1"/>
  <c r="C27" i="54"/>
  <c r="D20" i="54" l="1"/>
  <c r="D28" i="54"/>
  <c r="F28" i="54"/>
  <c r="G28" i="54"/>
  <c r="H28" i="54"/>
  <c r="I28" i="54"/>
  <c r="J28" i="54"/>
  <c r="K28" i="54"/>
  <c r="L28" i="54"/>
  <c r="M28" i="54"/>
  <c r="N28" i="54"/>
  <c r="O28" i="54"/>
  <c r="E29" i="54"/>
  <c r="E28" i="54" s="1"/>
  <c r="D22" i="54"/>
  <c r="F12" i="54"/>
  <c r="G12" i="54"/>
  <c r="H12" i="54"/>
  <c r="I12" i="54"/>
  <c r="J12" i="54"/>
  <c r="K12" i="54"/>
  <c r="L12" i="54"/>
  <c r="M12" i="54"/>
  <c r="N12" i="54"/>
  <c r="O12" i="54"/>
  <c r="D12" i="54"/>
  <c r="C17" i="54"/>
  <c r="O22" i="54" l="1"/>
  <c r="M21" i="19"/>
  <c r="G22" i="54"/>
  <c r="E21" i="19"/>
  <c r="J22" i="54"/>
  <c r="H21" i="19"/>
  <c r="M22" i="54"/>
  <c r="K21" i="19"/>
  <c r="K22" i="54"/>
  <c r="I21" i="19"/>
  <c r="N22" i="54"/>
  <c r="L21" i="19"/>
  <c r="F22" i="54"/>
  <c r="D21" i="19"/>
  <c r="I22" i="54"/>
  <c r="G21" i="19"/>
  <c r="L22" i="54"/>
  <c r="J21" i="19"/>
  <c r="H22" i="54"/>
  <c r="F21" i="19"/>
  <c r="E22" i="54"/>
  <c r="V44" i="4"/>
  <c r="C29" i="54"/>
  <c r="C28" i="54" s="1"/>
  <c r="P99" i="82"/>
  <c r="E88" i="5"/>
  <c r="E87" i="5"/>
  <c r="E86" i="5"/>
  <c r="E72" i="5"/>
  <c r="E71" i="5"/>
  <c r="E70" i="5"/>
  <c r="E67" i="5"/>
  <c r="E60" i="5"/>
  <c r="E59" i="5"/>
  <c r="E57" i="5"/>
  <c r="E56" i="5"/>
  <c r="E54" i="5"/>
  <c r="E53" i="5"/>
  <c r="E52" i="5"/>
  <c r="I52" i="5" s="1"/>
  <c r="E51" i="5"/>
  <c r="E45" i="5"/>
  <c r="E43" i="5"/>
  <c r="E44" i="5"/>
  <c r="E39" i="5"/>
  <c r="E32" i="5"/>
  <c r="E31" i="5"/>
  <c r="E25" i="5"/>
  <c r="E24" i="5"/>
  <c r="E23" i="5"/>
  <c r="E15" i="5"/>
  <c r="E16" i="5"/>
  <c r="E13" i="5"/>
  <c r="E97" i="5" l="1"/>
  <c r="E96" i="5"/>
  <c r="E99" i="5"/>
  <c r="F65" i="5" l="1"/>
  <c r="I65" i="5" s="1"/>
  <c r="E84" i="5"/>
  <c r="F77" i="5"/>
  <c r="I77" i="5" s="1"/>
  <c r="F46" i="5"/>
  <c r="I46" i="5" s="1"/>
  <c r="F76" i="5"/>
  <c r="I76" i="5" s="1"/>
  <c r="E98" i="5"/>
  <c r="F79" i="5"/>
  <c r="I79" i="5" s="1"/>
  <c r="F63" i="5"/>
  <c r="I63" i="5" s="1"/>
  <c r="F17" i="5"/>
  <c r="I17" i="5" s="1"/>
  <c r="F26" i="5"/>
  <c r="I26" i="5" s="1"/>
  <c r="F20" i="5"/>
  <c r="I20" i="5" s="1"/>
  <c r="F62" i="5" l="1"/>
  <c r="E85" i="5"/>
  <c r="F71" i="5"/>
  <c r="F66" i="5"/>
  <c r="I66" i="5" s="1"/>
  <c r="F80" i="5"/>
  <c r="I80" i="5" s="1"/>
  <c r="F49" i="5"/>
  <c r="I49" i="5" s="1"/>
  <c r="F64" i="5" l="1"/>
  <c r="I64" i="5" s="1"/>
  <c r="K71" i="5"/>
  <c r="M30" i="4"/>
  <c r="I71" i="5"/>
  <c r="E73" i="5"/>
  <c r="F28" i="5"/>
  <c r="I28" i="5" s="1"/>
  <c r="F81" i="5" l="1"/>
  <c r="I81" i="5" s="1"/>
  <c r="S68" i="1" l="1"/>
  <c r="T68" i="1" s="1"/>
  <c r="S33" i="36" l="1"/>
  <c r="Q33" i="36"/>
  <c r="H33" i="36"/>
  <c r="T30" i="36"/>
  <c r="S30" i="36" s="1"/>
  <c r="S31" i="36" s="1"/>
  <c r="Q30" i="36"/>
  <c r="Q31" i="36" s="1"/>
  <c r="P30" i="36"/>
  <c r="P31" i="36" s="1"/>
  <c r="O30" i="36"/>
  <c r="O32" i="36" s="1"/>
  <c r="H30" i="36"/>
  <c r="S29" i="36"/>
  <c r="T29" i="36" s="1"/>
  <c r="H29" i="36"/>
  <c r="C29" i="36" s="1"/>
  <c r="Q28" i="36"/>
  <c r="P28" i="36"/>
  <c r="H28" i="36"/>
  <c r="C28" i="36"/>
  <c r="Q27" i="36"/>
  <c r="P27" i="36"/>
  <c r="H27" i="36"/>
  <c r="I26" i="36"/>
  <c r="Q26" i="36" s="1"/>
  <c r="C26" i="36"/>
  <c r="I25" i="36"/>
  <c r="P25" i="36" s="1"/>
  <c r="C25" i="36"/>
  <c r="V24" i="36"/>
  <c r="U24" i="36"/>
  <c r="R24" i="36"/>
  <c r="O24" i="36"/>
  <c r="K24" i="36"/>
  <c r="J24" i="36"/>
  <c r="G24" i="36"/>
  <c r="F24" i="36"/>
  <c r="E24" i="36"/>
  <c r="D24" i="36"/>
  <c r="Q23" i="36"/>
  <c r="P23" i="36"/>
  <c r="O23" i="36"/>
  <c r="H23" i="36"/>
  <c r="D23" i="36"/>
  <c r="Q22" i="36"/>
  <c r="P22" i="36"/>
  <c r="O22" i="36"/>
  <c r="H22" i="36"/>
  <c r="D22" i="36"/>
  <c r="Q21" i="36"/>
  <c r="P21" i="36"/>
  <c r="O21" i="36"/>
  <c r="H21" i="36"/>
  <c r="D21" i="36"/>
  <c r="Q20" i="36"/>
  <c r="P20" i="36"/>
  <c r="O20" i="36"/>
  <c r="H20" i="36"/>
  <c r="D20" i="36"/>
  <c r="Q19" i="36"/>
  <c r="P19" i="36"/>
  <c r="O19" i="36"/>
  <c r="H19" i="36"/>
  <c r="D19" i="36"/>
  <c r="U18" i="36"/>
  <c r="R18" i="36"/>
  <c r="K18" i="36"/>
  <c r="J18" i="36"/>
  <c r="I18" i="36"/>
  <c r="G18" i="36"/>
  <c r="F18" i="36"/>
  <c r="E18" i="36"/>
  <c r="Q17" i="36"/>
  <c r="P17" i="36"/>
  <c r="O17" i="36"/>
  <c r="H17" i="36"/>
  <c r="D17" i="36"/>
  <c r="Q16" i="36"/>
  <c r="P16" i="36"/>
  <c r="O16" i="36"/>
  <c r="H16" i="36"/>
  <c r="D16" i="36"/>
  <c r="Q15" i="36"/>
  <c r="P15" i="36"/>
  <c r="O15" i="36"/>
  <c r="H15" i="36"/>
  <c r="D15" i="36"/>
  <c r="Q14" i="36"/>
  <c r="P14" i="36"/>
  <c r="O14" i="36"/>
  <c r="H14" i="36"/>
  <c r="D14" i="36"/>
  <c r="R13" i="36"/>
  <c r="K13" i="36"/>
  <c r="J13" i="36"/>
  <c r="J12" i="36" s="1"/>
  <c r="J11" i="36" s="1"/>
  <c r="J10" i="36" s="1"/>
  <c r="J9" i="36" s="1"/>
  <c r="I13" i="36"/>
  <c r="I12" i="36" s="1"/>
  <c r="G13" i="36"/>
  <c r="F13" i="36"/>
  <c r="E13" i="36"/>
  <c r="C13" i="36"/>
  <c r="V12" i="36"/>
  <c r="L11" i="36"/>
  <c r="L10" i="36" s="1"/>
  <c r="L9" i="36" s="1"/>
  <c r="T31" i="36" l="1"/>
  <c r="E12" i="36"/>
  <c r="E11" i="36"/>
  <c r="E9" i="36" s="1"/>
  <c r="P13" i="36"/>
  <c r="V11" i="36"/>
  <c r="G12" i="36"/>
  <c r="G11" i="36" s="1"/>
  <c r="G9" i="36" s="1"/>
  <c r="R12" i="36"/>
  <c r="R11" i="36" s="1"/>
  <c r="R10" i="36" s="1"/>
  <c r="R9" i="36" s="1"/>
  <c r="K12" i="36"/>
  <c r="K11" i="36" s="1"/>
  <c r="K10" i="36" s="1"/>
  <c r="K9" i="36" s="1"/>
  <c r="F91" i="5" s="1"/>
  <c r="I91" i="5" s="1"/>
  <c r="C24" i="36"/>
  <c r="C19" i="36"/>
  <c r="P18" i="36"/>
  <c r="P12" i="36" s="1"/>
  <c r="F12" i="36"/>
  <c r="F11" i="36" s="1"/>
  <c r="F9" i="36" s="1"/>
  <c r="O18" i="36"/>
  <c r="F90" i="5"/>
  <c r="I90" i="5" s="1"/>
  <c r="O13" i="36"/>
  <c r="P26" i="36"/>
  <c r="P24" i="36" s="1"/>
  <c r="N33" i="36"/>
  <c r="M33" i="36" s="1"/>
  <c r="H13" i="36"/>
  <c r="D13" i="36"/>
  <c r="H26" i="36"/>
  <c r="V30" i="36"/>
  <c r="V32" i="36" s="1"/>
  <c r="Q13" i="36"/>
  <c r="Q18" i="36"/>
  <c r="H18" i="36"/>
  <c r="D18" i="36"/>
  <c r="M31" i="36"/>
  <c r="Q25" i="36"/>
  <c r="Q24" i="36" s="1"/>
  <c r="I24" i="36"/>
  <c r="I11" i="36" s="1"/>
  <c r="I10" i="36" s="1"/>
  <c r="I9" i="36" s="1"/>
  <c r="M29" i="36"/>
  <c r="C20" i="36"/>
  <c r="H25" i="36"/>
  <c r="C18" i="36" l="1"/>
  <c r="C12" i="36" s="1"/>
  <c r="C11" i="36"/>
  <c r="C9" i="36" s="1"/>
  <c r="O12" i="36"/>
  <c r="O11" i="36" s="1"/>
  <c r="H12" i="36"/>
  <c r="D12" i="36"/>
  <c r="D11" i="36" s="1"/>
  <c r="D9" i="36" s="1"/>
  <c r="P11" i="36"/>
  <c r="P10" i="36" s="1"/>
  <c r="P9" i="36" s="1"/>
  <c r="S44" i="4" s="1"/>
  <c r="V10" i="36"/>
  <c r="V9" i="36" s="1"/>
  <c r="X46" i="4" s="1"/>
  <c r="W46" i="4" s="1"/>
  <c r="M30" i="36"/>
  <c r="Q12" i="36"/>
  <c r="Q11" i="36" s="1"/>
  <c r="Q10" i="36" s="1"/>
  <c r="Q9" i="36" s="1"/>
  <c r="S45" i="4" s="1"/>
  <c r="Q45" i="4" s="1"/>
  <c r="M45" i="4" s="1"/>
  <c r="F92" i="5"/>
  <c r="I92" i="5" s="1"/>
  <c r="O10" i="36"/>
  <c r="O9" i="36" s="1"/>
  <c r="S43" i="4"/>
  <c r="H24" i="36"/>
  <c r="H11" i="36" l="1"/>
  <c r="T44" i="4"/>
  <c r="Q44" i="4"/>
  <c r="H10" i="36"/>
  <c r="N10" i="36" l="1"/>
  <c r="H9" i="36"/>
  <c r="N9" i="36" l="1"/>
  <c r="Y9" i="36" s="1"/>
  <c r="W1" i="36"/>
  <c r="N19" i="36" l="1"/>
  <c r="N17" i="36"/>
  <c r="N27" i="36"/>
  <c r="S27" i="36" s="1"/>
  <c r="T27" i="36" s="1"/>
  <c r="N16" i="36"/>
  <c r="N15" i="36"/>
  <c r="N25" i="36"/>
  <c r="S25" i="36" s="1"/>
  <c r="N14" i="36"/>
  <c r="S14" i="36" s="1"/>
  <c r="N22" i="36"/>
  <c r="S22" i="36" s="1"/>
  <c r="T22" i="36" s="1"/>
  <c r="N20" i="36"/>
  <c r="N21" i="36"/>
  <c r="S21" i="36" s="1"/>
  <c r="T21" i="36" s="1"/>
  <c r="N28" i="36"/>
  <c r="N26" i="36"/>
  <c r="N23" i="36"/>
  <c r="S23" i="36" s="1"/>
  <c r="T23" i="36" s="1"/>
  <c r="M21" i="36" l="1"/>
  <c r="M22" i="36"/>
  <c r="M27" i="36"/>
  <c r="S26" i="36"/>
  <c r="T26" i="36" s="1"/>
  <c r="S16" i="36"/>
  <c r="T16" i="36"/>
  <c r="S20" i="36"/>
  <c r="T20" i="36" s="1"/>
  <c r="S28" i="36"/>
  <c r="T28" i="36" s="1"/>
  <c r="T14" i="36"/>
  <c r="N13" i="36"/>
  <c r="M23" i="36"/>
  <c r="M25" i="36"/>
  <c r="N24" i="36"/>
  <c r="S17" i="36"/>
  <c r="T17" i="36"/>
  <c r="S15" i="36"/>
  <c r="T15" i="36"/>
  <c r="Y19" i="36"/>
  <c r="N18" i="36"/>
  <c r="S19" i="36"/>
  <c r="M26" i="36" l="1"/>
  <c r="T13" i="36"/>
  <c r="U16" i="36"/>
  <c r="S24" i="36"/>
  <c r="T25" i="36"/>
  <c r="T24" i="36" s="1"/>
  <c r="S13" i="36"/>
  <c r="M14" i="36"/>
  <c r="U14" i="36"/>
  <c r="M20" i="36"/>
  <c r="U15" i="36"/>
  <c r="M16" i="36"/>
  <c r="T19" i="36"/>
  <c r="T18" i="36" s="1"/>
  <c r="S18" i="36"/>
  <c r="M17" i="36"/>
  <c r="U17" i="36"/>
  <c r="M15" i="36"/>
  <c r="N12" i="36"/>
  <c r="N11" i="36" s="1"/>
  <c r="M28" i="36"/>
  <c r="M24" i="36" s="1"/>
  <c r="M19" i="36"/>
  <c r="V101" i="82"/>
  <c r="U101" i="82"/>
  <c r="F89" i="5"/>
  <c r="W101" i="82" l="1"/>
  <c r="T12" i="36"/>
  <c r="T11" i="36" s="1"/>
  <c r="T10" i="36" s="1"/>
  <c r="T9" i="36" s="1"/>
  <c r="S12" i="36"/>
  <c r="S11" i="36" s="1"/>
  <c r="S10" i="36" s="1"/>
  <c r="M42" i="4"/>
  <c r="I89" i="5"/>
  <c r="U13" i="36"/>
  <c r="U12" i="36" s="1"/>
  <c r="U11" i="36" s="1"/>
  <c r="U10" i="36" s="1"/>
  <c r="U9" i="36" s="1"/>
  <c r="Y10" i="36"/>
  <c r="Z10" i="36" s="1"/>
  <c r="M18" i="36"/>
  <c r="M13" i="36"/>
  <c r="BC62" i="1"/>
  <c r="AY62" i="1"/>
  <c r="AU62" i="1"/>
  <c r="AQ62" i="1"/>
  <c r="AM62" i="1"/>
  <c r="AI62" i="1"/>
  <c r="AE62" i="1"/>
  <c r="AA62" i="1"/>
  <c r="W62" i="1"/>
  <c r="S62" i="1"/>
  <c r="C45" i="19"/>
  <c r="C44" i="19"/>
  <c r="C43" i="19"/>
  <c r="M42" i="19"/>
  <c r="L42" i="19"/>
  <c r="K42" i="19"/>
  <c r="J42" i="19"/>
  <c r="I42" i="19"/>
  <c r="H42" i="19"/>
  <c r="G42" i="19"/>
  <c r="F42" i="19"/>
  <c r="E42" i="19"/>
  <c r="D42" i="19"/>
  <c r="C41" i="19"/>
  <c r="C40" i="19"/>
  <c r="C38" i="19"/>
  <c r="S9" i="36" l="1"/>
  <c r="S46" i="4" s="1"/>
  <c r="M12" i="36"/>
  <c r="M11" i="36" s="1"/>
  <c r="C42" i="19"/>
  <c r="Q46" i="4" l="1"/>
  <c r="T46" i="4"/>
  <c r="M10" i="36"/>
  <c r="M9" i="36" s="1"/>
  <c r="M46" i="4" l="1"/>
  <c r="R46" i="4"/>
  <c r="P46" i="4" l="1"/>
  <c r="N46" i="4"/>
  <c r="BB62" i="1" l="1"/>
  <c r="BB61" i="1"/>
  <c r="BB60" i="1"/>
  <c r="AX62" i="1"/>
  <c r="AX61" i="1"/>
  <c r="AX60" i="1"/>
  <c r="AT62" i="1"/>
  <c r="AT61" i="1"/>
  <c r="AT60" i="1"/>
  <c r="AP62" i="1"/>
  <c r="AP61" i="1"/>
  <c r="AP60" i="1"/>
  <c r="AL62" i="1"/>
  <c r="AL61" i="1"/>
  <c r="AL60" i="1"/>
  <c r="AH62" i="1"/>
  <c r="AH61" i="1"/>
  <c r="AH60" i="1"/>
  <c r="AD62" i="1"/>
  <c r="AD61" i="1"/>
  <c r="AD60" i="1"/>
  <c r="Z62" i="1"/>
  <c r="Z61" i="1"/>
  <c r="Z60" i="1"/>
  <c r="V62" i="1"/>
  <c r="V61" i="1"/>
  <c r="V60" i="1"/>
  <c r="R62" i="1"/>
  <c r="R61" i="1"/>
  <c r="R60" i="1"/>
  <c r="O60" i="1"/>
  <c r="N60" i="1" s="1"/>
  <c r="O61" i="1"/>
  <c r="N61" i="1" s="1"/>
  <c r="O62" i="1"/>
  <c r="N62" i="1" s="1"/>
  <c r="E23" i="19" l="1"/>
  <c r="F23" i="19"/>
  <c r="G23" i="19"/>
  <c r="H23" i="19"/>
  <c r="I23" i="19"/>
  <c r="J23" i="19"/>
  <c r="K23" i="19"/>
  <c r="L23" i="19"/>
  <c r="M23" i="19"/>
  <c r="D23" i="19"/>
  <c r="C48" i="19"/>
  <c r="E49" i="60" l="1"/>
  <c r="F49" i="60"/>
  <c r="G49" i="60"/>
  <c r="H49" i="60"/>
  <c r="I49" i="60"/>
  <c r="J49" i="60"/>
  <c r="K49" i="60"/>
  <c r="L49" i="60"/>
  <c r="M49" i="60"/>
  <c r="D49" i="60"/>
  <c r="U63" i="4"/>
  <c r="G43" i="65"/>
  <c r="E119" i="5"/>
  <c r="I57" i="4" s="1"/>
  <c r="U55" i="4"/>
  <c r="W55" i="4"/>
  <c r="X55" i="4"/>
  <c r="Y55" i="4"/>
  <c r="Z55" i="4"/>
  <c r="U49" i="4"/>
  <c r="V49" i="4"/>
  <c r="W49" i="4"/>
  <c r="X49" i="4"/>
  <c r="Y49" i="4"/>
  <c r="J49" i="4"/>
  <c r="J48" i="4" s="1"/>
  <c r="K49" i="4"/>
  <c r="K48" i="4" s="1"/>
  <c r="N48" i="4"/>
  <c r="O48" i="4"/>
  <c r="N34" i="4"/>
  <c r="J39" i="4"/>
  <c r="I39" i="4"/>
  <c r="N39" i="4"/>
  <c r="X48" i="4" l="1"/>
  <c r="Y48" i="4"/>
  <c r="U48" i="4"/>
  <c r="C49" i="60"/>
  <c r="O37" i="4"/>
  <c r="M31" i="4"/>
  <c r="N31" i="4"/>
  <c r="O31" i="4"/>
  <c r="M32" i="4"/>
  <c r="N32" i="4"/>
  <c r="O32" i="4"/>
  <c r="M33" i="4"/>
  <c r="N33" i="4"/>
  <c r="O33" i="4"/>
  <c r="M35" i="4"/>
  <c r="N35" i="4"/>
  <c r="O35" i="4"/>
  <c r="M36" i="4"/>
  <c r="N36" i="4"/>
  <c r="O36" i="4"/>
  <c r="O30" i="4"/>
  <c r="N30" i="4" s="1"/>
  <c r="M25" i="4"/>
  <c r="N25" i="4"/>
  <c r="O25" i="4"/>
  <c r="O29" i="4"/>
  <c r="U16" i="4"/>
  <c r="U15" i="4" s="1"/>
  <c r="N17" i="4"/>
  <c r="M17" i="4"/>
  <c r="M19" i="4" s="1"/>
  <c r="M16" i="4"/>
  <c r="N16" i="4"/>
  <c r="O15" i="4"/>
  <c r="U29" i="4"/>
  <c r="K34" i="4"/>
  <c r="F56" i="65"/>
  <c r="F55" i="65"/>
  <c r="F53" i="65"/>
  <c r="F52" i="65"/>
  <c r="F51" i="65"/>
  <c r="F50" i="65"/>
  <c r="F49" i="65"/>
  <c r="F48" i="65"/>
  <c r="F47" i="65"/>
  <c r="F46" i="65"/>
  <c r="F45" i="65"/>
  <c r="F44" i="65"/>
  <c r="F40" i="65"/>
  <c r="F41" i="65"/>
  <c r="F39" i="65"/>
  <c r="Y41" i="4"/>
  <c r="W36" i="4"/>
  <c r="W35" i="4"/>
  <c r="W28" i="4"/>
  <c r="W27" i="4"/>
  <c r="W26" i="4"/>
  <c r="W18" i="4"/>
  <c r="W19" i="4"/>
  <c r="W20" i="4"/>
  <c r="W21" i="4"/>
  <c r="Y15" i="4"/>
  <c r="N19" i="4" l="1"/>
  <c r="T19" i="4" s="1"/>
  <c r="S19" i="4" s="1"/>
  <c r="Q19" i="4" s="1"/>
  <c r="R19" i="4" s="1"/>
  <c r="I34" i="4"/>
  <c r="O34" i="4"/>
  <c r="O23" i="4"/>
  <c r="O14" i="4" l="1"/>
  <c r="O13" i="4" s="1"/>
  <c r="O12" i="4" s="1"/>
  <c r="K23" i="4"/>
  <c r="J15" i="4"/>
  <c r="K15" i="4"/>
  <c r="K14" i="4" s="1"/>
  <c r="K13" i="4" s="1"/>
  <c r="K12" i="4" s="1"/>
  <c r="C47" i="19" l="1"/>
  <c r="BE36" i="1" l="1"/>
  <c r="BE34" i="1"/>
  <c r="BE33" i="1"/>
  <c r="BE30" i="1"/>
  <c r="BE29" i="1"/>
  <c r="BA36" i="1"/>
  <c r="BA34" i="1"/>
  <c r="BA33" i="1"/>
  <c r="BA30" i="1"/>
  <c r="BA29" i="1"/>
  <c r="AW36" i="1"/>
  <c r="AW34" i="1"/>
  <c r="AW33" i="1"/>
  <c r="AW30" i="1"/>
  <c r="AW29" i="1"/>
  <c r="AS36" i="1"/>
  <c r="AS34" i="1"/>
  <c r="AS33" i="1"/>
  <c r="AS30" i="1"/>
  <c r="AS29" i="1"/>
  <c r="AO36" i="1"/>
  <c r="AO34" i="1"/>
  <c r="AO33" i="1"/>
  <c r="AO30" i="1"/>
  <c r="AO29" i="1"/>
  <c r="AK36" i="1"/>
  <c r="AK34" i="1"/>
  <c r="AK33" i="1"/>
  <c r="AK30" i="1"/>
  <c r="AK29" i="1"/>
  <c r="AG36" i="1"/>
  <c r="AG34" i="1"/>
  <c r="AG33" i="1"/>
  <c r="AG30" i="1"/>
  <c r="AG29" i="1"/>
  <c r="AC36" i="1"/>
  <c r="AC34" i="1"/>
  <c r="AC33" i="1"/>
  <c r="AC30" i="1"/>
  <c r="AC29" i="1"/>
  <c r="Y36" i="1"/>
  <c r="Y34" i="1"/>
  <c r="Y33" i="1"/>
  <c r="Y30" i="1"/>
  <c r="Y29" i="1"/>
  <c r="U36" i="1"/>
  <c r="U34" i="1"/>
  <c r="U33" i="1"/>
  <c r="U30" i="1"/>
  <c r="U29" i="1"/>
  <c r="C11" i="64"/>
  <c r="H62" i="65" s="1"/>
  <c r="F62" i="65" s="1"/>
  <c r="C10" i="64"/>
  <c r="C9" i="64"/>
  <c r="I63" i="65"/>
  <c r="O63" i="65"/>
  <c r="K61" i="65"/>
  <c r="F61" i="65"/>
  <c r="I60" i="65"/>
  <c r="G60" i="65"/>
  <c r="I59" i="65"/>
  <c r="F59" i="65"/>
  <c r="I58" i="65"/>
  <c r="F58" i="65"/>
  <c r="I57" i="65"/>
  <c r="F57" i="65"/>
  <c r="D43" i="65"/>
  <c r="I43" i="65" s="1"/>
  <c r="G38" i="65"/>
  <c r="F38" i="65" s="1"/>
  <c r="D38" i="65"/>
  <c r="I38" i="65" s="1"/>
  <c r="O37" i="65"/>
  <c r="I37" i="65"/>
  <c r="F37" i="65"/>
  <c r="F36" i="65"/>
  <c r="F35" i="65"/>
  <c r="F34" i="65"/>
  <c r="I33" i="65"/>
  <c r="H33" i="65"/>
  <c r="H31" i="65" s="1"/>
  <c r="G33" i="65"/>
  <c r="G31" i="65" s="1"/>
  <c r="E33" i="65"/>
  <c r="D33" i="65"/>
  <c r="F32" i="65"/>
  <c r="I31" i="65"/>
  <c r="I30" i="65"/>
  <c r="I29" i="65"/>
  <c r="F29" i="65"/>
  <c r="I28" i="65"/>
  <c r="F28" i="65"/>
  <c r="I27" i="65"/>
  <c r="F27" i="65"/>
  <c r="I26" i="65"/>
  <c r="F26" i="65"/>
  <c r="I25" i="65"/>
  <c r="F25" i="65"/>
  <c r="I24" i="65"/>
  <c r="F24" i="65"/>
  <c r="I23" i="65"/>
  <c r="F23" i="65"/>
  <c r="I22" i="65"/>
  <c r="F22" i="65"/>
  <c r="I21" i="65"/>
  <c r="F21" i="65"/>
  <c r="I20" i="65"/>
  <c r="F20" i="65"/>
  <c r="I19" i="65"/>
  <c r="F19" i="65"/>
  <c r="I18" i="65"/>
  <c r="F18" i="65"/>
  <c r="I17" i="65"/>
  <c r="F17" i="65"/>
  <c r="I16" i="65"/>
  <c r="F16" i="65"/>
  <c r="H15" i="65"/>
  <c r="G15" i="65"/>
  <c r="E15" i="65"/>
  <c r="D15" i="65"/>
  <c r="D14" i="65" s="1"/>
  <c r="E13" i="65"/>
  <c r="E11" i="65" s="1"/>
  <c r="I12" i="65"/>
  <c r="F12" i="65"/>
  <c r="F15" i="65" l="1"/>
  <c r="H30" i="65"/>
  <c r="H14" i="65" s="1"/>
  <c r="C8" i="64"/>
  <c r="D13" i="65"/>
  <c r="D11" i="65" s="1"/>
  <c r="I15" i="65"/>
  <c r="I14" i="65" s="1"/>
  <c r="I13" i="65" s="1"/>
  <c r="I11" i="65" s="1"/>
  <c r="O38" i="65"/>
  <c r="F60" i="65"/>
  <c r="O31" i="65"/>
  <c r="H54" i="65"/>
  <c r="F30" i="65"/>
  <c r="F14" i="65" s="1"/>
  <c r="G14" i="65"/>
  <c r="G13" i="65" s="1"/>
  <c r="G11" i="65" s="1"/>
  <c r="F33" i="65"/>
  <c r="F31" i="65" s="1"/>
  <c r="L13" i="65"/>
  <c r="L14" i="65" s="1"/>
  <c r="H60" i="65"/>
  <c r="O60" i="65" s="1"/>
  <c r="H43" i="65" l="1"/>
  <c r="O43" i="65" s="1"/>
  <c r="F54" i="65"/>
  <c r="F43" i="65" s="1"/>
  <c r="F13" i="65" s="1"/>
  <c r="F11" i="65" s="1"/>
  <c r="O14" i="65"/>
  <c r="H13" i="65" l="1"/>
  <c r="F97" i="5"/>
  <c r="F96" i="5"/>
  <c r="I96" i="5" s="1"/>
  <c r="F88" i="5"/>
  <c r="F70" i="5"/>
  <c r="F67" i="5"/>
  <c r="I67" i="5" s="1"/>
  <c r="G65" i="5"/>
  <c r="I62" i="5"/>
  <c r="F60" i="5"/>
  <c r="I60" i="5" s="1"/>
  <c r="F57" i="5"/>
  <c r="F54" i="5"/>
  <c r="F39" i="5"/>
  <c r="I39" i="5" s="1"/>
  <c r="F32" i="5"/>
  <c r="I32" i="5" s="1"/>
  <c r="F31" i="5"/>
  <c r="F24" i="5"/>
  <c r="I24" i="5" s="1"/>
  <c r="F23" i="5"/>
  <c r="F16" i="5"/>
  <c r="F13" i="5"/>
  <c r="I13" i="5" s="1"/>
  <c r="F78" i="5"/>
  <c r="I78" i="5" s="1"/>
  <c r="F75" i="5"/>
  <c r="I75" i="5" s="1"/>
  <c r="G63" i="5"/>
  <c r="F129" i="5"/>
  <c r="F128" i="5"/>
  <c r="I128" i="5" s="1"/>
  <c r="E127" i="5"/>
  <c r="F126" i="5"/>
  <c r="I126" i="5" s="1"/>
  <c r="F125" i="5"/>
  <c r="E124" i="5"/>
  <c r="F123" i="5"/>
  <c r="I123" i="5" s="1"/>
  <c r="F119" i="5"/>
  <c r="G118" i="5"/>
  <c r="F118" i="5"/>
  <c r="E117" i="5"/>
  <c r="G116" i="5"/>
  <c r="F116" i="5"/>
  <c r="I116" i="5" s="1"/>
  <c r="G115" i="5"/>
  <c r="G114" i="5"/>
  <c r="G113" i="5"/>
  <c r="F112" i="5"/>
  <c r="E111" i="5"/>
  <c r="D110" i="5"/>
  <c r="F109" i="5"/>
  <c r="I109" i="5" s="1"/>
  <c r="E108" i="5"/>
  <c r="E107" i="5" s="1"/>
  <c r="D104" i="5"/>
  <c r="D101" i="5" s="1"/>
  <c r="F99" i="5"/>
  <c r="I99" i="5" s="1"/>
  <c r="F98" i="5"/>
  <c r="G98" i="5" s="1"/>
  <c r="D94" i="5"/>
  <c r="F87" i="5"/>
  <c r="I87" i="5" s="1"/>
  <c r="D83" i="5"/>
  <c r="H82" i="5"/>
  <c r="G82" i="5"/>
  <c r="G81" i="5"/>
  <c r="G78" i="5"/>
  <c r="D78" i="5"/>
  <c r="G75" i="5"/>
  <c r="D75" i="5"/>
  <c r="G74" i="5"/>
  <c r="F73" i="5"/>
  <c r="I73" i="5" s="1"/>
  <c r="D73" i="5"/>
  <c r="G69" i="5"/>
  <c r="G68" i="5"/>
  <c r="D67" i="5"/>
  <c r="G64" i="5"/>
  <c r="F59" i="5"/>
  <c r="D58" i="5"/>
  <c r="D55" i="5"/>
  <c r="C55" i="5"/>
  <c r="F53" i="5"/>
  <c r="H52" i="5"/>
  <c r="G52" i="5"/>
  <c r="H50" i="5"/>
  <c r="G50" i="5"/>
  <c r="H49" i="5"/>
  <c r="G49" i="5"/>
  <c r="H48" i="5"/>
  <c r="G48" i="5"/>
  <c r="H47" i="5"/>
  <c r="G47" i="5"/>
  <c r="H46" i="5"/>
  <c r="G46" i="5"/>
  <c r="F45" i="5"/>
  <c r="I45" i="5" s="1"/>
  <c r="F44" i="5"/>
  <c r="F43" i="5"/>
  <c r="I43" i="5" s="1"/>
  <c r="G42" i="5"/>
  <c r="G41" i="5"/>
  <c r="G40" i="5"/>
  <c r="H37" i="5"/>
  <c r="G37" i="5"/>
  <c r="H36" i="5"/>
  <c r="G36" i="5"/>
  <c r="H35" i="5"/>
  <c r="G35" i="5"/>
  <c r="H34" i="5"/>
  <c r="G34" i="5"/>
  <c r="H33" i="5"/>
  <c r="G33" i="5"/>
  <c r="H29" i="5"/>
  <c r="G29" i="5"/>
  <c r="H28" i="5"/>
  <c r="G28" i="5"/>
  <c r="H27" i="5"/>
  <c r="G27" i="5"/>
  <c r="H26" i="5"/>
  <c r="G26" i="5"/>
  <c r="F25" i="5"/>
  <c r="I25" i="5" s="1"/>
  <c r="D22" i="5"/>
  <c r="C22" i="5"/>
  <c r="H21" i="5"/>
  <c r="G21" i="5"/>
  <c r="H20" i="5"/>
  <c r="G20" i="5"/>
  <c r="H19" i="5"/>
  <c r="G19" i="5"/>
  <c r="H18" i="5"/>
  <c r="G18" i="5"/>
  <c r="H17" i="5"/>
  <c r="G17" i="5"/>
  <c r="F15" i="5"/>
  <c r="G14" i="5"/>
  <c r="D12" i="5"/>
  <c r="C12" i="5"/>
  <c r="G1" i="5"/>
  <c r="G123" i="5" l="1"/>
  <c r="H123" i="5"/>
  <c r="H128" i="5"/>
  <c r="D74" i="5"/>
  <c r="D72" i="5" s="1"/>
  <c r="H126" i="5"/>
  <c r="G15" i="5"/>
  <c r="I15" i="5"/>
  <c r="H98" i="5"/>
  <c r="I98" i="5"/>
  <c r="G112" i="5"/>
  <c r="I112" i="5"/>
  <c r="H118" i="5"/>
  <c r="I118" i="5"/>
  <c r="I60" i="4"/>
  <c r="G23" i="5"/>
  <c r="I23" i="5"/>
  <c r="G88" i="5"/>
  <c r="I88" i="5"/>
  <c r="G44" i="5"/>
  <c r="I44" i="5"/>
  <c r="H125" i="5"/>
  <c r="I125" i="5"/>
  <c r="I61" i="4"/>
  <c r="F127" i="5"/>
  <c r="G127" i="5" s="1"/>
  <c r="I129" i="5"/>
  <c r="G54" i="5"/>
  <c r="I54" i="5"/>
  <c r="H119" i="5"/>
  <c r="I119" i="5"/>
  <c r="H129" i="5"/>
  <c r="G31" i="5"/>
  <c r="I31" i="5"/>
  <c r="G57" i="5"/>
  <c r="I57" i="5"/>
  <c r="G97" i="5"/>
  <c r="I97" i="5"/>
  <c r="G53" i="5"/>
  <c r="I53" i="5"/>
  <c r="G59" i="5"/>
  <c r="I59" i="5"/>
  <c r="F108" i="5"/>
  <c r="I108" i="5" s="1"/>
  <c r="G126" i="5"/>
  <c r="G128" i="5"/>
  <c r="G16" i="5"/>
  <c r="I16" i="5"/>
  <c r="H70" i="5"/>
  <c r="I70" i="5"/>
  <c r="H11" i="65"/>
  <c r="O11" i="65" s="1"/>
  <c r="O13" i="65"/>
  <c r="E55" i="5"/>
  <c r="H89" i="5"/>
  <c r="G129" i="5"/>
  <c r="G125" i="5"/>
  <c r="G119" i="5"/>
  <c r="C10" i="5"/>
  <c r="C11" i="5" s="1"/>
  <c r="F95" i="5"/>
  <c r="F94" i="5" s="1"/>
  <c r="D100" i="5"/>
  <c r="H67" i="5"/>
  <c r="G67" i="5"/>
  <c r="E106" i="5"/>
  <c r="F124" i="5"/>
  <c r="G124" i="5" s="1"/>
  <c r="G66" i="5"/>
  <c r="G25" i="5"/>
  <c r="G39" i="5"/>
  <c r="G45" i="5"/>
  <c r="F74" i="5"/>
  <c r="I74" i="5" s="1"/>
  <c r="G62" i="5"/>
  <c r="F106" i="5"/>
  <c r="G32" i="5"/>
  <c r="F30" i="5"/>
  <c r="F58" i="5"/>
  <c r="G60" i="5"/>
  <c r="G24" i="5"/>
  <c r="F22" i="5"/>
  <c r="F38" i="5"/>
  <c r="F12" i="5"/>
  <c r="G13" i="5"/>
  <c r="E38" i="5"/>
  <c r="G43" i="5"/>
  <c r="F51" i="5"/>
  <c r="H53" i="5"/>
  <c r="H54" i="5"/>
  <c r="F56" i="5"/>
  <c r="G70" i="5"/>
  <c r="F72" i="5"/>
  <c r="F84" i="5"/>
  <c r="F85" i="5"/>
  <c r="F86" i="5"/>
  <c r="H88" i="5"/>
  <c r="G96" i="5"/>
  <c r="F111" i="5"/>
  <c r="H111" i="5" s="1"/>
  <c r="F117" i="5"/>
  <c r="H117" i="5" s="1"/>
  <c r="E83" i="5"/>
  <c r="E12" i="5"/>
  <c r="E22" i="5"/>
  <c r="E30" i="5"/>
  <c r="E58" i="5"/>
  <c r="E95" i="5"/>
  <c r="I30" i="5" l="1"/>
  <c r="I58" i="5"/>
  <c r="I12" i="5"/>
  <c r="G117" i="5"/>
  <c r="F107" i="5"/>
  <c r="G107" i="5" s="1"/>
  <c r="H127" i="5"/>
  <c r="C9" i="5"/>
  <c r="I22" i="5"/>
  <c r="I95" i="5"/>
  <c r="G108" i="5"/>
  <c r="H85" i="5"/>
  <c r="I85" i="5"/>
  <c r="F55" i="5"/>
  <c r="H55" i="5" s="1"/>
  <c r="I56" i="5"/>
  <c r="I111" i="5"/>
  <c r="G84" i="5"/>
  <c r="I84" i="5"/>
  <c r="I38" i="5"/>
  <c r="H72" i="5"/>
  <c r="I72" i="5"/>
  <c r="I127" i="5"/>
  <c r="E121" i="5"/>
  <c r="F122" i="5"/>
  <c r="I122" i="5" s="1"/>
  <c r="G111" i="5"/>
  <c r="H86" i="5"/>
  <c r="I86" i="5"/>
  <c r="H51" i="5"/>
  <c r="I51" i="5"/>
  <c r="I106" i="5"/>
  <c r="I117" i="5"/>
  <c r="I124" i="5"/>
  <c r="G85" i="5"/>
  <c r="G51" i="5"/>
  <c r="G106" i="5"/>
  <c r="N42" i="4"/>
  <c r="M41" i="4"/>
  <c r="H124" i="5"/>
  <c r="G56" i="5"/>
  <c r="H106" i="5"/>
  <c r="H58" i="5"/>
  <c r="G58" i="5"/>
  <c r="G72" i="5"/>
  <c r="H30" i="5"/>
  <c r="D30" i="5"/>
  <c r="G30" i="5"/>
  <c r="G86" i="5"/>
  <c r="F83" i="5"/>
  <c r="H83" i="5" s="1"/>
  <c r="H84" i="5"/>
  <c r="H22" i="5"/>
  <c r="G22" i="5"/>
  <c r="G38" i="5"/>
  <c r="H38" i="5"/>
  <c r="D38" i="5"/>
  <c r="H95" i="5"/>
  <c r="E94" i="5"/>
  <c r="I94" i="5" s="1"/>
  <c r="G95" i="5"/>
  <c r="E10" i="5"/>
  <c r="H12" i="5"/>
  <c r="G12" i="5"/>
  <c r="I107" i="5" l="1"/>
  <c r="G55" i="5"/>
  <c r="H122" i="5"/>
  <c r="G122" i="5"/>
  <c r="F121" i="5"/>
  <c r="I121" i="5" s="1"/>
  <c r="I59" i="4"/>
  <c r="E120" i="5"/>
  <c r="I55" i="5"/>
  <c r="I83" i="5"/>
  <c r="M40" i="4"/>
  <c r="N41" i="4"/>
  <c r="H71" i="5"/>
  <c r="H10" i="5" s="1"/>
  <c r="G71" i="5"/>
  <c r="G83" i="5"/>
  <c r="D10" i="5"/>
  <c r="D9" i="5" s="1"/>
  <c r="F10" i="5"/>
  <c r="G94" i="5"/>
  <c r="H94" i="5"/>
  <c r="E104" i="5"/>
  <c r="E11" i="5"/>
  <c r="E9" i="5"/>
  <c r="H121" i="5" l="1"/>
  <c r="G121" i="5"/>
  <c r="F120" i="5"/>
  <c r="F110" i="5" s="1"/>
  <c r="E110" i="5"/>
  <c r="F104" i="5"/>
  <c r="I104" i="5" s="1"/>
  <c r="I10" i="5"/>
  <c r="N40" i="4"/>
  <c r="N37" i="4" s="1"/>
  <c r="D11" i="5"/>
  <c r="M37" i="4"/>
  <c r="F9" i="5"/>
  <c r="L9" i="5" s="1"/>
  <c r="G10" i="5"/>
  <c r="F11" i="5"/>
  <c r="E101" i="5"/>
  <c r="E105" i="5"/>
  <c r="H9" i="5"/>
  <c r="I120" i="5" l="1"/>
  <c r="H120" i="5"/>
  <c r="G110" i="5"/>
  <c r="G120" i="5"/>
  <c r="I110" i="5"/>
  <c r="H110" i="5"/>
  <c r="F105" i="5"/>
  <c r="I105" i="5" s="1"/>
  <c r="G9" i="5"/>
  <c r="I9" i="5"/>
  <c r="G11" i="5"/>
  <c r="I11" i="5"/>
  <c r="G104" i="5"/>
  <c r="H104" i="5"/>
  <c r="F101" i="5"/>
  <c r="I101" i="5" s="1"/>
  <c r="H11" i="5"/>
  <c r="E100" i="5"/>
  <c r="E102" i="5"/>
  <c r="H105" i="5" l="1"/>
  <c r="G105" i="5"/>
  <c r="G101" i="5"/>
  <c r="F100" i="5"/>
  <c r="I100" i="5" s="1"/>
  <c r="F102" i="5"/>
  <c r="I102" i="5" s="1"/>
  <c r="H101" i="5"/>
  <c r="G100" i="5" l="1"/>
  <c r="H100" i="5"/>
  <c r="E24" i="19"/>
  <c r="F24" i="19"/>
  <c r="G24" i="19"/>
  <c r="H24" i="19"/>
  <c r="I24" i="19"/>
  <c r="J24" i="19"/>
  <c r="K24" i="19"/>
  <c r="L24" i="19"/>
  <c r="M24" i="19"/>
  <c r="D24" i="19"/>
  <c r="M65" i="4"/>
  <c r="M64" i="4"/>
  <c r="S16" i="1"/>
  <c r="C24" i="19" l="1"/>
  <c r="Q64" i="4"/>
  <c r="V29" i="4" l="1"/>
  <c r="V37" i="4"/>
  <c r="D25" i="19"/>
  <c r="E25" i="19"/>
  <c r="F25" i="19"/>
  <c r="G25" i="19"/>
  <c r="H25" i="19"/>
  <c r="I25" i="19"/>
  <c r="J25" i="19"/>
  <c r="K25" i="19"/>
  <c r="L25" i="19"/>
  <c r="M25" i="19"/>
  <c r="C46" i="19"/>
  <c r="C39" i="19"/>
  <c r="C35" i="19"/>
  <c r="C34" i="19"/>
  <c r="M33" i="19"/>
  <c r="L33" i="19"/>
  <c r="K33" i="19"/>
  <c r="J33" i="19"/>
  <c r="I33" i="19"/>
  <c r="H33" i="19"/>
  <c r="G33" i="19"/>
  <c r="F33" i="19"/>
  <c r="E33" i="19"/>
  <c r="D33" i="19"/>
  <c r="C32" i="19"/>
  <c r="C31" i="19"/>
  <c r="C30" i="19"/>
  <c r="C25" i="19" l="1"/>
  <c r="V30" i="4" s="1"/>
  <c r="C33" i="19"/>
  <c r="Y101" i="82" l="1"/>
  <c r="W100" i="82"/>
  <c r="K101" i="82"/>
  <c r="K100" i="82" s="1"/>
  <c r="V100" i="82"/>
  <c r="U100" i="82"/>
  <c r="T100" i="82"/>
  <c r="S100" i="82"/>
  <c r="R100" i="82"/>
  <c r="Q100" i="82"/>
  <c r="P100" i="82"/>
  <c r="O100" i="82"/>
  <c r="Y100" i="82" s="1"/>
  <c r="N100" i="82"/>
  <c r="M100" i="82"/>
  <c r="L100" i="82"/>
  <c r="J100" i="82"/>
  <c r="I100" i="82"/>
  <c r="H100" i="82"/>
  <c r="G100" i="82"/>
  <c r="F100" i="82"/>
  <c r="E100" i="82"/>
  <c r="D100" i="82"/>
  <c r="C100" i="82"/>
  <c r="Y99" i="82"/>
  <c r="D99" i="82"/>
  <c r="P98" i="82"/>
  <c r="D98" i="82"/>
  <c r="D97" i="82" s="1"/>
  <c r="W97" i="82"/>
  <c r="V97" i="82"/>
  <c r="U97" i="82"/>
  <c r="T97" i="82"/>
  <c r="S97" i="82"/>
  <c r="R97" i="82"/>
  <c r="O97" i="82"/>
  <c r="N97" i="82"/>
  <c r="M97" i="82"/>
  <c r="L97" i="82"/>
  <c r="K97" i="82"/>
  <c r="J97" i="82"/>
  <c r="I97" i="82"/>
  <c r="H97" i="82"/>
  <c r="G97" i="82"/>
  <c r="F97" i="82"/>
  <c r="C97" i="82"/>
  <c r="P96" i="82"/>
  <c r="Q96" i="82" s="1"/>
  <c r="Y96" i="82" s="1"/>
  <c r="D96" i="82"/>
  <c r="E96" i="82" s="1"/>
  <c r="P95" i="82"/>
  <c r="D95" i="82"/>
  <c r="E95" i="82" s="1"/>
  <c r="P94" i="82"/>
  <c r="D94" i="82"/>
  <c r="E94" i="82" s="1"/>
  <c r="P93" i="82"/>
  <c r="Q93" i="82" s="1"/>
  <c r="Y93" i="82" s="1"/>
  <c r="D93" i="82"/>
  <c r="E93" i="82" s="1"/>
  <c r="P92" i="82"/>
  <c r="Q92" i="82" s="1"/>
  <c r="D92" i="82"/>
  <c r="T91" i="82"/>
  <c r="S91" i="82"/>
  <c r="R91" i="82"/>
  <c r="O91" i="82"/>
  <c r="M91" i="82"/>
  <c r="L91" i="82"/>
  <c r="H91" i="82"/>
  <c r="G91" i="82"/>
  <c r="F91" i="82"/>
  <c r="C91" i="82"/>
  <c r="P90" i="82"/>
  <c r="Q90" i="82" s="1"/>
  <c r="Q89" i="82" s="1"/>
  <c r="D90" i="82"/>
  <c r="T89" i="82"/>
  <c r="S89" i="82"/>
  <c r="R89" i="82"/>
  <c r="O89" i="82"/>
  <c r="M89" i="82"/>
  <c r="L89" i="82"/>
  <c r="H89" i="82"/>
  <c r="G89" i="82"/>
  <c r="F89" i="82"/>
  <c r="C89" i="82"/>
  <c r="S88" i="82"/>
  <c r="S87" i="82" s="1"/>
  <c r="P88" i="82"/>
  <c r="Q88" i="82" s="1"/>
  <c r="Q87" i="82" s="1"/>
  <c r="G88" i="82"/>
  <c r="G87" i="82" s="1"/>
  <c r="D88" i="82"/>
  <c r="E88" i="82" s="1"/>
  <c r="E87" i="82" s="1"/>
  <c r="T87" i="82"/>
  <c r="R87" i="82"/>
  <c r="O87" i="82"/>
  <c r="M87" i="82"/>
  <c r="L87" i="82"/>
  <c r="H87" i="82"/>
  <c r="F87" i="82"/>
  <c r="C87" i="82"/>
  <c r="Q86" i="82"/>
  <c r="Y86" i="82" s="1"/>
  <c r="D86" i="82"/>
  <c r="E86" i="82" s="1"/>
  <c r="Q85" i="82"/>
  <c r="Y85" i="82" s="1"/>
  <c r="D85" i="82"/>
  <c r="E85" i="82" s="1"/>
  <c r="Q84" i="82"/>
  <c r="Y84" i="82" s="1"/>
  <c r="D84" i="82"/>
  <c r="E84" i="82" s="1"/>
  <c r="S83" i="82"/>
  <c r="S81" i="82" s="1"/>
  <c r="Q83" i="82"/>
  <c r="Y83" i="82" s="1"/>
  <c r="G83" i="82"/>
  <c r="G81" i="82" s="1"/>
  <c r="E83" i="82"/>
  <c r="Q82" i="82"/>
  <c r="D82" i="82"/>
  <c r="E82" i="82" s="1"/>
  <c r="W81" i="82"/>
  <c r="V81" i="82"/>
  <c r="U81" i="82"/>
  <c r="T81" i="82"/>
  <c r="R81" i="82"/>
  <c r="P81" i="82"/>
  <c r="O81" i="82"/>
  <c r="N81" i="82"/>
  <c r="M81" i="82"/>
  <c r="L81" i="82"/>
  <c r="K81" i="82"/>
  <c r="J81" i="82"/>
  <c r="I81" i="82"/>
  <c r="H81" i="82"/>
  <c r="F81" i="82"/>
  <c r="C81" i="82"/>
  <c r="P80" i="82"/>
  <c r="D80" i="82"/>
  <c r="E80" i="82" s="1"/>
  <c r="P79" i="82"/>
  <c r="D79" i="82"/>
  <c r="E79" i="82" s="1"/>
  <c r="P78" i="82"/>
  <c r="Q78" i="82" s="1"/>
  <c r="Y78" i="82" s="1"/>
  <c r="D78" i="82"/>
  <c r="E78" i="82" s="1"/>
  <c r="P77" i="82"/>
  <c r="Q77" i="82" s="1"/>
  <c r="Y77" i="82" s="1"/>
  <c r="D77" i="82"/>
  <c r="P76" i="82"/>
  <c r="D76" i="82"/>
  <c r="E76" i="82" s="1"/>
  <c r="P75" i="82"/>
  <c r="D75" i="82"/>
  <c r="E75" i="82" s="1"/>
  <c r="W74" i="82"/>
  <c r="V74" i="82"/>
  <c r="U74" i="82"/>
  <c r="T74" i="82"/>
  <c r="S74" i="82"/>
  <c r="R74" i="82"/>
  <c r="O74" i="82"/>
  <c r="N74" i="82"/>
  <c r="M74" i="82"/>
  <c r="L74" i="82"/>
  <c r="K74" i="82"/>
  <c r="J74" i="82"/>
  <c r="I74" i="82"/>
  <c r="H74" i="82"/>
  <c r="G74" i="82"/>
  <c r="F74" i="82"/>
  <c r="C74" i="82"/>
  <c r="Y73" i="82"/>
  <c r="T73" i="82"/>
  <c r="T71" i="82" s="1"/>
  <c r="H73" i="82"/>
  <c r="H71" i="82" s="1"/>
  <c r="Y72" i="82"/>
  <c r="S71" i="82"/>
  <c r="R71" i="82"/>
  <c r="Q71" i="82"/>
  <c r="P71" i="82"/>
  <c r="O71" i="82"/>
  <c r="M71" i="82"/>
  <c r="L71" i="82"/>
  <c r="G71" i="82"/>
  <c r="F71" i="82"/>
  <c r="E71" i="82"/>
  <c r="D71" i="82"/>
  <c r="C71" i="82"/>
  <c r="Y70" i="82"/>
  <c r="H70" i="82"/>
  <c r="Y69" i="82"/>
  <c r="Q68" i="82"/>
  <c r="Y68" i="82" s="1"/>
  <c r="D68" i="82"/>
  <c r="E68" i="82" s="1"/>
  <c r="Z67" i="82"/>
  <c r="Q67" i="82"/>
  <c r="Y67" i="82" s="1"/>
  <c r="E67" i="82"/>
  <c r="Q66" i="82"/>
  <c r="D66" i="82"/>
  <c r="E66" i="82" s="1"/>
  <c r="T65" i="82"/>
  <c r="S65" i="82"/>
  <c r="S64" i="82" s="1"/>
  <c r="R65" i="82"/>
  <c r="P65" i="82"/>
  <c r="O65" i="82"/>
  <c r="M65" i="82"/>
  <c r="L65" i="82"/>
  <c r="H65" i="82"/>
  <c r="G65" i="82"/>
  <c r="F65" i="82"/>
  <c r="C65" i="82"/>
  <c r="Y63" i="82"/>
  <c r="S63" i="82"/>
  <c r="S58" i="82" s="1"/>
  <c r="G63" i="82"/>
  <c r="G58" i="82" s="1"/>
  <c r="P62" i="82"/>
  <c r="Q62" i="82" s="1"/>
  <c r="Y62" i="82" s="1"/>
  <c r="O61" i="82"/>
  <c r="P61" i="82" s="1"/>
  <c r="Q61" i="82" s="1"/>
  <c r="L61" i="82"/>
  <c r="L58" i="82" s="1"/>
  <c r="D61" i="82"/>
  <c r="E61" i="82" s="1"/>
  <c r="P60" i="82"/>
  <c r="D60" i="82"/>
  <c r="E60" i="82" s="1"/>
  <c r="P59" i="82"/>
  <c r="Q59" i="82" s="1"/>
  <c r="D59" i="82"/>
  <c r="E59" i="82" s="1"/>
  <c r="W58" i="82"/>
  <c r="V58" i="82"/>
  <c r="U58" i="82"/>
  <c r="T58" i="82"/>
  <c r="R58" i="82"/>
  <c r="O58" i="82"/>
  <c r="N58" i="82"/>
  <c r="M58" i="82"/>
  <c r="K58" i="82"/>
  <c r="J58" i="82"/>
  <c r="I58" i="82"/>
  <c r="H58" i="82"/>
  <c r="F58" i="82"/>
  <c r="C58" i="82"/>
  <c r="Q57" i="82"/>
  <c r="Y57" i="82" s="1"/>
  <c r="D57" i="82"/>
  <c r="E57" i="82" s="1"/>
  <c r="Q56" i="82"/>
  <c r="Y56" i="82" s="1"/>
  <c r="D56" i="82"/>
  <c r="E56" i="82" s="1"/>
  <c r="T55" i="82"/>
  <c r="S55" i="82"/>
  <c r="R55" i="82"/>
  <c r="P55" i="82"/>
  <c r="O55" i="82"/>
  <c r="M55" i="82"/>
  <c r="L55" i="82"/>
  <c r="H55" i="82"/>
  <c r="G55" i="82"/>
  <c r="F55" i="82"/>
  <c r="C55" i="82"/>
  <c r="P54" i="82"/>
  <c r="D54" i="82"/>
  <c r="E54" i="82" s="1"/>
  <c r="P53" i="82"/>
  <c r="D53" i="82"/>
  <c r="E53" i="82" s="1"/>
  <c r="P52" i="82"/>
  <c r="Q52" i="82" s="1"/>
  <c r="Y52" i="82" s="1"/>
  <c r="D52" i="82"/>
  <c r="E52" i="82" s="1"/>
  <c r="T51" i="82"/>
  <c r="S51" i="82"/>
  <c r="R51" i="82"/>
  <c r="O51" i="82"/>
  <c r="M51" i="82"/>
  <c r="H51" i="82"/>
  <c r="G51" i="82"/>
  <c r="F51" i="82"/>
  <c r="C51" i="82"/>
  <c r="Y50" i="82"/>
  <c r="D50" i="82"/>
  <c r="E50" i="82" s="1"/>
  <c r="Y49" i="82"/>
  <c r="D49" i="82"/>
  <c r="E49" i="82" s="1"/>
  <c r="Y48" i="82"/>
  <c r="D48" i="82"/>
  <c r="E48" i="82" s="1"/>
  <c r="Y47" i="82"/>
  <c r="D47" i="82"/>
  <c r="E47" i="82" s="1"/>
  <c r="Y46" i="82"/>
  <c r="D46" i="82"/>
  <c r="E46" i="82" s="1"/>
  <c r="Y45" i="82"/>
  <c r="D45" i="82"/>
  <c r="E45" i="82" s="1"/>
  <c r="Y44" i="82"/>
  <c r="D44" i="82"/>
  <c r="E44" i="82" s="1"/>
  <c r="T43" i="82"/>
  <c r="T42" i="82" s="1"/>
  <c r="S43" i="82"/>
  <c r="R43" i="82"/>
  <c r="R42" i="82" s="1"/>
  <c r="Q43" i="82"/>
  <c r="Q42" i="82" s="1"/>
  <c r="P43" i="82"/>
  <c r="P42" i="82" s="1"/>
  <c r="O43" i="82"/>
  <c r="M43" i="82"/>
  <c r="M42" i="82" s="1"/>
  <c r="L43" i="82"/>
  <c r="L42" i="82" s="1"/>
  <c r="H43" i="82"/>
  <c r="H42" i="82" s="1"/>
  <c r="G43" i="82"/>
  <c r="F43" i="82"/>
  <c r="F42" i="82" s="1"/>
  <c r="C43" i="82"/>
  <c r="C42" i="82" s="1"/>
  <c r="S42" i="82"/>
  <c r="O42" i="82"/>
  <c r="G42" i="82"/>
  <c r="Y40" i="82"/>
  <c r="T40" i="82"/>
  <c r="T39" i="82" s="1"/>
  <c r="S40" i="82"/>
  <c r="S39" i="82" s="1"/>
  <c r="F40" i="82"/>
  <c r="G40" i="82" s="1"/>
  <c r="G39" i="82" s="1"/>
  <c r="R39" i="82"/>
  <c r="Q39" i="82"/>
  <c r="P39" i="82"/>
  <c r="O39" i="82"/>
  <c r="M39" i="82"/>
  <c r="L39" i="82"/>
  <c r="H39" i="82"/>
  <c r="F39" i="82"/>
  <c r="E39" i="82"/>
  <c r="D39" i="82"/>
  <c r="C39" i="82"/>
  <c r="Y38" i="82"/>
  <c r="S38" i="82"/>
  <c r="T38" i="82" s="1"/>
  <c r="T37" i="82" s="1"/>
  <c r="G38" i="82"/>
  <c r="H38" i="82" s="1"/>
  <c r="H37" i="82" s="1"/>
  <c r="R37" i="82"/>
  <c r="Q37" i="82"/>
  <c r="P37" i="82"/>
  <c r="O37" i="82"/>
  <c r="M37" i="82"/>
  <c r="L37" i="82"/>
  <c r="F37" i="82"/>
  <c r="E37" i="82"/>
  <c r="D37" i="82"/>
  <c r="C37" i="82"/>
  <c r="Y36" i="82"/>
  <c r="T36" i="82"/>
  <c r="T35" i="82" s="1"/>
  <c r="S36" i="82"/>
  <c r="S35" i="82" s="1"/>
  <c r="H36" i="82"/>
  <c r="H35" i="82" s="1"/>
  <c r="G36" i="82"/>
  <c r="R35" i="82"/>
  <c r="Q35" i="82"/>
  <c r="P35" i="82"/>
  <c r="O35" i="82"/>
  <c r="M35" i="82"/>
  <c r="L35" i="82"/>
  <c r="G35" i="82"/>
  <c r="F35" i="82"/>
  <c r="E35" i="82"/>
  <c r="D35" i="82"/>
  <c r="C35" i="82"/>
  <c r="Y34" i="82"/>
  <c r="S34" i="82"/>
  <c r="S33" i="82" s="1"/>
  <c r="G34" i="82"/>
  <c r="G33" i="82" s="1"/>
  <c r="T33" i="82"/>
  <c r="R33" i="82"/>
  <c r="Q33" i="82"/>
  <c r="P33" i="82"/>
  <c r="O33" i="82"/>
  <c r="M33" i="82"/>
  <c r="L33" i="82"/>
  <c r="H33" i="82"/>
  <c r="F33" i="82"/>
  <c r="F32" i="82" s="1"/>
  <c r="E33" i="82"/>
  <c r="D33" i="82"/>
  <c r="C33" i="82"/>
  <c r="P31" i="82"/>
  <c r="Q31" i="82" s="1"/>
  <c r="Q30" i="82" s="1"/>
  <c r="D31" i="82"/>
  <c r="T30" i="82"/>
  <c r="S30" i="82"/>
  <c r="R30" i="82"/>
  <c r="O30" i="82"/>
  <c r="M30" i="82"/>
  <c r="L30" i="82"/>
  <c r="H30" i="82"/>
  <c r="G30" i="82"/>
  <c r="F30" i="82"/>
  <c r="C30" i="82"/>
  <c r="Q29" i="82"/>
  <c r="Q28" i="82" s="1"/>
  <c r="D29" i="82"/>
  <c r="W28" i="82"/>
  <c r="V28" i="82"/>
  <c r="U28" i="82"/>
  <c r="T28" i="82"/>
  <c r="S28" i="82"/>
  <c r="R28" i="82"/>
  <c r="O28" i="82"/>
  <c r="N28" i="82"/>
  <c r="M28" i="82"/>
  <c r="L28" i="82"/>
  <c r="H28" i="82"/>
  <c r="G28" i="82"/>
  <c r="F28" i="82"/>
  <c r="C28" i="82"/>
  <c r="P27" i="82"/>
  <c r="Q27" i="82" s="1"/>
  <c r="Y27" i="82" s="1"/>
  <c r="D27" i="82"/>
  <c r="E27" i="82" s="1"/>
  <c r="P26" i="82"/>
  <c r="D26" i="82"/>
  <c r="E26" i="82" s="1"/>
  <c r="P25" i="82"/>
  <c r="D25" i="82"/>
  <c r="E25" i="82" s="1"/>
  <c r="T24" i="82"/>
  <c r="S24" i="82"/>
  <c r="R24" i="82"/>
  <c r="O24" i="82"/>
  <c r="M24" i="82"/>
  <c r="L24" i="82"/>
  <c r="H24" i="82"/>
  <c r="G24" i="82"/>
  <c r="F24" i="82"/>
  <c r="C24" i="82"/>
  <c r="Q23" i="82"/>
  <c r="Y23" i="82" s="1"/>
  <c r="Y22" i="82"/>
  <c r="D22" i="82"/>
  <c r="E22" i="82" s="1"/>
  <c r="Y21" i="82"/>
  <c r="D21" i="82"/>
  <c r="E21" i="82" s="1"/>
  <c r="Y20" i="82"/>
  <c r="D20" i="82"/>
  <c r="E20" i="82" s="1"/>
  <c r="Q19" i="82"/>
  <c r="Y19" i="82" s="1"/>
  <c r="Q18" i="82"/>
  <c r="Y18" i="82" s="1"/>
  <c r="Q17" i="82"/>
  <c r="Y17" i="82" s="1"/>
  <c r="Y16" i="82"/>
  <c r="D16" i="82"/>
  <c r="E16" i="82" s="1"/>
  <c r="Y15" i="82"/>
  <c r="D15" i="82"/>
  <c r="E15" i="82" s="1"/>
  <c r="Y14" i="82"/>
  <c r="D14" i="82"/>
  <c r="E14" i="82" s="1"/>
  <c r="W13" i="82"/>
  <c r="V13" i="82"/>
  <c r="U13" i="82"/>
  <c r="U12" i="82" s="1"/>
  <c r="U11" i="82" s="1"/>
  <c r="U10" i="82" s="1"/>
  <c r="T13" i="82"/>
  <c r="S13" i="82"/>
  <c r="R13" i="82"/>
  <c r="P13" i="82"/>
  <c r="O13" i="82"/>
  <c r="N13" i="82"/>
  <c r="M13" i="82"/>
  <c r="L13" i="82"/>
  <c r="K13" i="82"/>
  <c r="J13" i="82"/>
  <c r="J12" i="82" s="1"/>
  <c r="J11" i="82" s="1"/>
  <c r="I13" i="82"/>
  <c r="I12" i="82" s="1"/>
  <c r="I11" i="82" s="1"/>
  <c r="H13" i="82"/>
  <c r="G13" i="82"/>
  <c r="F13" i="82"/>
  <c r="C13" i="82"/>
  <c r="K12" i="82"/>
  <c r="K11" i="82" s="1"/>
  <c r="I36" i="83"/>
  <c r="E36" i="83"/>
  <c r="I35" i="83"/>
  <c r="E35" i="83"/>
  <c r="I34" i="83"/>
  <c r="E34" i="83"/>
  <c r="I33" i="83"/>
  <c r="E33" i="83"/>
  <c r="I32" i="83"/>
  <c r="E32" i="83"/>
  <c r="I31" i="83"/>
  <c r="E31" i="83"/>
  <c r="I30" i="83"/>
  <c r="E30" i="83"/>
  <c r="H29" i="83"/>
  <c r="G29" i="83"/>
  <c r="F29" i="83"/>
  <c r="D29" i="83"/>
  <c r="C29" i="83"/>
  <c r="I28" i="83"/>
  <c r="E28" i="83"/>
  <c r="I27" i="83"/>
  <c r="E27" i="83"/>
  <c r="E26" i="83"/>
  <c r="E25" i="83"/>
  <c r="E24" i="83"/>
  <c r="I23" i="83"/>
  <c r="E23" i="83"/>
  <c r="E22" i="83"/>
  <c r="E21" i="83"/>
  <c r="E20" i="83"/>
  <c r="I20" i="83" s="1"/>
  <c r="I14" i="83"/>
  <c r="H14" i="83"/>
  <c r="H13" i="83" s="1"/>
  <c r="G14" i="83"/>
  <c r="G13" i="83" s="1"/>
  <c r="F14" i="83"/>
  <c r="E14" i="83"/>
  <c r="D14" i="83"/>
  <c r="D13" i="83" s="1"/>
  <c r="C14" i="83"/>
  <c r="C13" i="83" s="1"/>
  <c r="F13" i="83"/>
  <c r="I11" i="83"/>
  <c r="H11" i="83"/>
  <c r="G11" i="83"/>
  <c r="F11" i="83"/>
  <c r="E11" i="83"/>
  <c r="D11" i="83"/>
  <c r="C11" i="83"/>
  <c r="H64" i="82" l="1"/>
  <c r="F12" i="82"/>
  <c r="F11" i="82" s="1"/>
  <c r="S12" i="82"/>
  <c r="W12" i="82"/>
  <c r="W11" i="82" s="1"/>
  <c r="W10" i="82" s="1"/>
  <c r="H41" i="82"/>
  <c r="D10" i="83"/>
  <c r="I29" i="83"/>
  <c r="P24" i="82"/>
  <c r="P28" i="82"/>
  <c r="Y28" i="82" s="1"/>
  <c r="R32" i="82"/>
  <c r="G37" i="82"/>
  <c r="G32" i="82" s="1"/>
  <c r="Y37" i="82"/>
  <c r="F64" i="82"/>
  <c r="F41" i="82" s="1"/>
  <c r="F10" i="82" s="1"/>
  <c r="G64" i="82"/>
  <c r="G41" i="82" s="1"/>
  <c r="O64" i="82"/>
  <c r="O41" i="82" s="1"/>
  <c r="T64" i="82"/>
  <c r="T41" i="82" s="1"/>
  <c r="I41" i="82"/>
  <c r="I10" i="82" s="1"/>
  <c r="D9" i="83"/>
  <c r="C12" i="82"/>
  <c r="M12" i="82"/>
  <c r="E24" i="82"/>
  <c r="V12" i="82"/>
  <c r="V11" i="82" s="1"/>
  <c r="V10" i="82" s="1"/>
  <c r="Y29" i="82"/>
  <c r="P30" i="82"/>
  <c r="M64" i="82"/>
  <c r="M41" i="82" s="1"/>
  <c r="P89" i="82"/>
  <c r="D13" i="82"/>
  <c r="Q13" i="82"/>
  <c r="Y13" i="82" s="1"/>
  <c r="J41" i="82"/>
  <c r="J10" i="82" s="1"/>
  <c r="N12" i="82"/>
  <c r="N11" i="82" s="1"/>
  <c r="N10" i="82" s="1"/>
  <c r="E13" i="82"/>
  <c r="M32" i="82"/>
  <c r="Y35" i="82"/>
  <c r="C64" i="82"/>
  <c r="C41" i="82" s="1"/>
  <c r="D87" i="82"/>
  <c r="G12" i="82"/>
  <c r="O12" i="82"/>
  <c r="P58" i="82"/>
  <c r="D43" i="82"/>
  <c r="D42" i="82" s="1"/>
  <c r="E98" i="82"/>
  <c r="E97" i="82" s="1"/>
  <c r="R12" i="82"/>
  <c r="R11" i="82" s="1"/>
  <c r="C32" i="82"/>
  <c r="D51" i="82"/>
  <c r="D58" i="82"/>
  <c r="H12" i="82"/>
  <c r="L12" i="82"/>
  <c r="T12" i="82"/>
  <c r="D24" i="82"/>
  <c r="D32" i="82"/>
  <c r="H32" i="82"/>
  <c r="P32" i="82"/>
  <c r="Y39" i="82"/>
  <c r="E51" i="82"/>
  <c r="D65" i="82"/>
  <c r="D64" i="82" s="1"/>
  <c r="L64" i="82"/>
  <c r="L41" i="82" s="1"/>
  <c r="R64" i="82"/>
  <c r="R41" i="82" s="1"/>
  <c r="D81" i="82"/>
  <c r="P87" i="82"/>
  <c r="Y87" i="82" s="1"/>
  <c r="Y88" i="82"/>
  <c r="L32" i="82"/>
  <c r="Q32" i="82"/>
  <c r="S37" i="82"/>
  <c r="S32" i="82" s="1"/>
  <c r="S41" i="82"/>
  <c r="Y43" i="82"/>
  <c r="D55" i="82"/>
  <c r="Y71" i="82"/>
  <c r="K41" i="82"/>
  <c r="K10" i="82" s="1"/>
  <c r="P51" i="82"/>
  <c r="Q53" i="82"/>
  <c r="E29" i="82"/>
  <c r="E28" i="82" s="1"/>
  <c r="D28" i="82"/>
  <c r="Y31" i="82"/>
  <c r="Y33" i="82"/>
  <c r="O32" i="82"/>
  <c r="E43" i="82"/>
  <c r="E42" i="82" s="1"/>
  <c r="E55" i="82"/>
  <c r="P64" i="82"/>
  <c r="E65" i="82"/>
  <c r="E64" i="82" s="1"/>
  <c r="E81" i="82"/>
  <c r="Y90" i="82"/>
  <c r="E31" i="82"/>
  <c r="E30" i="82" s="1"/>
  <c r="D30" i="82"/>
  <c r="E32" i="82"/>
  <c r="Y42" i="82"/>
  <c r="Y59" i="82"/>
  <c r="D91" i="82"/>
  <c r="E92" i="82"/>
  <c r="E91" i="82" s="1"/>
  <c r="Q25" i="82"/>
  <c r="Y25" i="82" s="1"/>
  <c r="Y30" i="82"/>
  <c r="T32" i="82"/>
  <c r="E58" i="82"/>
  <c r="Q60" i="82"/>
  <c r="Y60" i="82" s="1"/>
  <c r="Y61" i="82"/>
  <c r="Y66" i="82"/>
  <c r="Q65" i="82"/>
  <c r="Q64" i="82" s="1"/>
  <c r="Q79" i="82"/>
  <c r="Y79" i="82" s="1"/>
  <c r="Q81" i="82"/>
  <c r="Y81" i="82" s="1"/>
  <c r="Y82" i="82"/>
  <c r="Y89" i="82"/>
  <c r="Y92" i="82"/>
  <c r="Q75" i="82"/>
  <c r="P74" i="82"/>
  <c r="E77" i="82"/>
  <c r="E74" i="82" s="1"/>
  <c r="D74" i="82"/>
  <c r="D89" i="82"/>
  <c r="E90" i="82"/>
  <c r="E89" i="82" s="1"/>
  <c r="P91" i="82"/>
  <c r="Q94" i="82"/>
  <c r="Q26" i="82"/>
  <c r="Y26" i="82" s="1"/>
  <c r="Q54" i="82"/>
  <c r="Y54" i="82" s="1"/>
  <c r="Q55" i="82"/>
  <c r="Y55" i="82" s="1"/>
  <c r="Q76" i="82"/>
  <c r="Y76" i="82" s="1"/>
  <c r="Q80" i="82"/>
  <c r="Y80" i="82" s="1"/>
  <c r="Q95" i="82"/>
  <c r="Y95" i="82" s="1"/>
  <c r="P97" i="82"/>
  <c r="Q98" i="82"/>
  <c r="Q97" i="82" s="1"/>
  <c r="G10" i="83"/>
  <c r="G9" i="83" s="1"/>
  <c r="F10" i="83"/>
  <c r="F9" i="83" s="1"/>
  <c r="H10" i="83"/>
  <c r="H9" i="83" s="1"/>
  <c r="C10" i="83"/>
  <c r="C9" i="83" s="1"/>
  <c r="E29" i="83"/>
  <c r="E13" i="83"/>
  <c r="E10" i="83" s="1"/>
  <c r="I13" i="83"/>
  <c r="I10" i="83" s="1"/>
  <c r="G11" i="82" l="1"/>
  <c r="I9" i="83"/>
  <c r="Y64" i="82"/>
  <c r="S11" i="82"/>
  <c r="C11" i="82"/>
  <c r="C10" i="82" s="1"/>
  <c r="M11" i="82"/>
  <c r="M10" i="82" s="1"/>
  <c r="P12" i="82"/>
  <c r="G10" i="82"/>
  <c r="Q51" i="82"/>
  <c r="Y51" i="82" s="1"/>
  <c r="S10" i="82"/>
  <c r="Q91" i="82"/>
  <c r="Y91" i="82" s="1"/>
  <c r="D41" i="82"/>
  <c r="D12" i="82"/>
  <c r="D11" i="82" s="1"/>
  <c r="D10" i="82" s="1"/>
  <c r="H11" i="82"/>
  <c r="H10" i="82" s="1"/>
  <c r="R10" i="82"/>
  <c r="Y97" i="82"/>
  <c r="Q58" i="82"/>
  <c r="Y58" i="82" s="1"/>
  <c r="Y32" i="82"/>
  <c r="P11" i="82"/>
  <c r="T11" i="82"/>
  <c r="T10" i="82" s="1"/>
  <c r="O11" i="82"/>
  <c r="O10" i="82" s="1"/>
  <c r="E12" i="82"/>
  <c r="E11" i="82" s="1"/>
  <c r="L11" i="82"/>
  <c r="L10" i="82" s="1"/>
  <c r="Q74" i="82"/>
  <c r="Y74" i="82" s="1"/>
  <c r="Y98" i="82"/>
  <c r="Y75" i="82"/>
  <c r="Y53" i="82"/>
  <c r="Y94" i="82"/>
  <c r="Y65" i="82"/>
  <c r="E41" i="82"/>
  <c r="Q24" i="82"/>
  <c r="P41" i="82"/>
  <c r="E9" i="83"/>
  <c r="C5" i="82" l="1"/>
  <c r="P10" i="82"/>
  <c r="E10" i="82"/>
  <c r="Y24" i="82"/>
  <c r="Q12" i="82"/>
  <c r="Q41" i="82"/>
  <c r="Y41" i="82" s="1"/>
  <c r="Q11" i="82" l="1"/>
  <c r="Y12" i="82"/>
  <c r="Q10" i="82" l="1"/>
  <c r="Y10" i="82" s="1"/>
  <c r="Y11" i="82"/>
  <c r="D67" i="1" l="1"/>
  <c r="C67" i="1" s="1"/>
  <c r="E64" i="1"/>
  <c r="F64" i="1"/>
  <c r="G64" i="1"/>
  <c r="H64" i="1"/>
  <c r="I64" i="1"/>
  <c r="J64" i="1"/>
  <c r="K64" i="1"/>
  <c r="L64" i="1"/>
  <c r="M64" i="1"/>
  <c r="D64" i="1"/>
  <c r="E55" i="1"/>
  <c r="F55" i="1"/>
  <c r="G55" i="1"/>
  <c r="H55" i="1"/>
  <c r="I55" i="1"/>
  <c r="J55" i="1"/>
  <c r="K55" i="1"/>
  <c r="L55" i="1"/>
  <c r="M55" i="1"/>
  <c r="D55" i="1"/>
  <c r="E53" i="1"/>
  <c r="F53" i="1"/>
  <c r="G53" i="1"/>
  <c r="H53" i="1"/>
  <c r="I53" i="1"/>
  <c r="J53" i="1"/>
  <c r="K53" i="1"/>
  <c r="L53" i="1"/>
  <c r="M53" i="1"/>
  <c r="D53" i="1"/>
  <c r="E37" i="1"/>
  <c r="F37" i="1"/>
  <c r="G37" i="1"/>
  <c r="H37" i="1"/>
  <c r="I37" i="1"/>
  <c r="J37" i="1"/>
  <c r="K37" i="1"/>
  <c r="L37" i="1"/>
  <c r="M37" i="1"/>
  <c r="D37" i="1"/>
  <c r="E31" i="1"/>
  <c r="F31" i="1"/>
  <c r="G31" i="1"/>
  <c r="H31" i="1"/>
  <c r="I31" i="1"/>
  <c r="J31" i="1"/>
  <c r="K31" i="1"/>
  <c r="L31" i="1"/>
  <c r="M31" i="1"/>
  <c r="E32" i="1"/>
  <c r="F32" i="1"/>
  <c r="G32" i="1"/>
  <c r="H32" i="1"/>
  <c r="I32" i="1"/>
  <c r="J32" i="1"/>
  <c r="K32" i="1"/>
  <c r="L32" i="1"/>
  <c r="M32" i="1"/>
  <c r="D32" i="1"/>
  <c r="D31" i="1"/>
  <c r="E16" i="1"/>
  <c r="E15" i="1" s="1"/>
  <c r="F16" i="1"/>
  <c r="F15" i="1" s="1"/>
  <c r="G16" i="1"/>
  <c r="H16" i="1"/>
  <c r="I16" i="1"/>
  <c r="J16" i="1"/>
  <c r="J15" i="1" s="1"/>
  <c r="K16" i="1"/>
  <c r="K15" i="1" s="1"/>
  <c r="L16" i="1"/>
  <c r="L15" i="1" s="1"/>
  <c r="M16" i="1"/>
  <c r="M15" i="1" s="1"/>
  <c r="D16" i="1"/>
  <c r="G15" i="1"/>
  <c r="H15" i="1"/>
  <c r="I15" i="1"/>
  <c r="E14" i="1"/>
  <c r="F14" i="1"/>
  <c r="G14" i="1"/>
  <c r="H14" i="1"/>
  <c r="I14" i="1"/>
  <c r="J14" i="1"/>
  <c r="K14" i="1"/>
  <c r="L14" i="1"/>
  <c r="M14" i="1"/>
  <c r="D14" i="1"/>
  <c r="E13" i="1"/>
  <c r="F13" i="1"/>
  <c r="G13" i="1"/>
  <c r="H13" i="1"/>
  <c r="I13" i="1"/>
  <c r="J13" i="1"/>
  <c r="K13" i="1"/>
  <c r="L13" i="1"/>
  <c r="M13" i="1"/>
  <c r="D13" i="1"/>
  <c r="E12" i="1"/>
  <c r="F12" i="1"/>
  <c r="G12" i="1"/>
  <c r="H12" i="1"/>
  <c r="I12" i="1"/>
  <c r="J12" i="1"/>
  <c r="K12" i="1"/>
  <c r="L12" i="1"/>
  <c r="M12" i="1"/>
  <c r="D12" i="1"/>
  <c r="E11" i="1"/>
  <c r="F11" i="1"/>
  <c r="G11" i="1"/>
  <c r="H11" i="1"/>
  <c r="I11" i="1"/>
  <c r="J11" i="1"/>
  <c r="K11" i="1"/>
  <c r="L11" i="1"/>
  <c r="M11" i="1"/>
  <c r="D11" i="1"/>
  <c r="E10" i="1"/>
  <c r="F10" i="1"/>
  <c r="G10" i="1"/>
  <c r="H10" i="1"/>
  <c r="I10" i="1"/>
  <c r="J10" i="1"/>
  <c r="K10" i="1"/>
  <c r="L10" i="1"/>
  <c r="M10" i="1"/>
  <c r="D10" i="1"/>
  <c r="C17" i="1"/>
  <c r="C18" i="1"/>
  <c r="C19" i="1"/>
  <c r="C20" i="1"/>
  <c r="C21" i="1"/>
  <c r="C22" i="1"/>
  <c r="C24" i="1"/>
  <c r="C25" i="1"/>
  <c r="C27" i="1"/>
  <c r="C29" i="1"/>
  <c r="Q29" i="1" s="1"/>
  <c r="C30" i="1"/>
  <c r="Q30" i="1" s="1"/>
  <c r="C33" i="1"/>
  <c r="C34" i="1"/>
  <c r="C36" i="1"/>
  <c r="C38" i="1"/>
  <c r="C39" i="1"/>
  <c r="C40" i="1"/>
  <c r="C41" i="1"/>
  <c r="C42" i="1"/>
  <c r="C43" i="1"/>
  <c r="C44" i="1"/>
  <c r="C45" i="1"/>
  <c r="C46" i="1"/>
  <c r="C47" i="1"/>
  <c r="C48" i="1"/>
  <c r="C49" i="1"/>
  <c r="C50" i="1"/>
  <c r="C51" i="1"/>
  <c r="C52" i="1"/>
  <c r="C54" i="1"/>
  <c r="C56" i="1"/>
  <c r="C57" i="1"/>
  <c r="C58" i="1"/>
  <c r="C63" i="1"/>
  <c r="C66" i="1"/>
  <c r="C68" i="1"/>
  <c r="C69" i="1"/>
  <c r="C70" i="1"/>
  <c r="C71" i="1"/>
  <c r="C72" i="1"/>
  <c r="C73" i="1"/>
  <c r="C74" i="1"/>
  <c r="C75" i="1"/>
  <c r="C76" i="1"/>
  <c r="S18" i="1"/>
  <c r="BC18" i="1"/>
  <c r="BB18" i="1" s="1"/>
  <c r="AY18" i="1"/>
  <c r="AX18" i="1" s="1"/>
  <c r="AU18" i="1"/>
  <c r="AT18" i="1" s="1"/>
  <c r="AQ18" i="1"/>
  <c r="AP18" i="1" s="1"/>
  <c r="AM18" i="1"/>
  <c r="AL18" i="1" s="1"/>
  <c r="AI18" i="1"/>
  <c r="AH18" i="1" s="1"/>
  <c r="AE18" i="1"/>
  <c r="AD18" i="1" s="1"/>
  <c r="AA18" i="1"/>
  <c r="Z18" i="1" s="1"/>
  <c r="W18" i="1"/>
  <c r="V18" i="1" s="1"/>
  <c r="BB17" i="1"/>
  <c r="AX17" i="1"/>
  <c r="AT17" i="1"/>
  <c r="AP17" i="1"/>
  <c r="AL17" i="1"/>
  <c r="AH17" i="1"/>
  <c r="AD17" i="1"/>
  <c r="Z17" i="1"/>
  <c r="V17" i="1"/>
  <c r="R17" i="1"/>
  <c r="O17" i="1"/>
  <c r="N17" i="1" s="1"/>
  <c r="K28" i="1" l="1"/>
  <c r="G28" i="1"/>
  <c r="I9" i="1"/>
  <c r="H28" i="1"/>
  <c r="M35" i="1"/>
  <c r="I35" i="1"/>
  <c r="E35" i="1"/>
  <c r="M28" i="1"/>
  <c r="I28" i="1"/>
  <c r="E28" i="1"/>
  <c r="G9" i="1"/>
  <c r="K35" i="1"/>
  <c r="G35" i="1"/>
  <c r="M9" i="1"/>
  <c r="C16" i="1"/>
  <c r="J9" i="1"/>
  <c r="F9" i="1"/>
  <c r="C55" i="1"/>
  <c r="C13" i="1"/>
  <c r="D15" i="1"/>
  <c r="D9" i="1" s="1"/>
  <c r="E9" i="1"/>
  <c r="J28" i="1"/>
  <c r="F28" i="1"/>
  <c r="F35" i="1"/>
  <c r="C64" i="1"/>
  <c r="K9" i="1"/>
  <c r="L28" i="1"/>
  <c r="H9" i="1"/>
  <c r="C14" i="1"/>
  <c r="L9" i="1"/>
  <c r="D28" i="1"/>
  <c r="J35" i="1"/>
  <c r="L35" i="1"/>
  <c r="H35" i="1"/>
  <c r="C53" i="1"/>
  <c r="D35" i="1"/>
  <c r="C37" i="1"/>
  <c r="C31" i="1"/>
  <c r="C32" i="1"/>
  <c r="C12" i="1"/>
  <c r="C11" i="1"/>
  <c r="C10" i="1"/>
  <c r="O18" i="1"/>
  <c r="N18" i="1" s="1"/>
  <c r="R18" i="1"/>
  <c r="I26" i="1" l="1"/>
  <c r="K26" i="1"/>
  <c r="H26" i="1"/>
  <c r="G26" i="1"/>
  <c r="E26" i="1"/>
  <c r="F26" i="1"/>
  <c r="M26" i="1"/>
  <c r="L26" i="1"/>
  <c r="J26" i="1"/>
  <c r="C15" i="1"/>
  <c r="C9" i="1" s="1"/>
  <c r="C28" i="1"/>
  <c r="D26" i="1"/>
  <c r="C35" i="1"/>
  <c r="C26" i="1" l="1"/>
  <c r="AQ16" i="1" l="1"/>
  <c r="P53" i="1"/>
  <c r="P51" i="1"/>
  <c r="BC57" i="1" l="1"/>
  <c r="BC39" i="1"/>
  <c r="AU57" i="1"/>
  <c r="AI57" i="1"/>
  <c r="AU31" i="1"/>
  <c r="AW31" i="1" s="1"/>
  <c r="AM57" i="1"/>
  <c r="AE57" i="1"/>
  <c r="AE39" i="1"/>
  <c r="W57" i="1"/>
  <c r="S39" i="1"/>
  <c r="BC54" i="1"/>
  <c r="BC50" i="1"/>
  <c r="AY54" i="1"/>
  <c r="AY50" i="1"/>
  <c r="AU54" i="1"/>
  <c r="AU50" i="1"/>
  <c r="AQ54" i="1"/>
  <c r="AQ50" i="1"/>
  <c r="AM54" i="1"/>
  <c r="AM50" i="1"/>
  <c r="AI54" i="1"/>
  <c r="AI50" i="1"/>
  <c r="AE54" i="1"/>
  <c r="AE50" i="1"/>
  <c r="AA54" i="1"/>
  <c r="AA50" i="1"/>
  <c r="W54" i="1"/>
  <c r="W50" i="1"/>
  <c r="S67" i="1"/>
  <c r="S65" i="1" s="1"/>
  <c r="S54" i="1"/>
  <c r="S50" i="1"/>
  <c r="W63" i="1"/>
  <c r="AU39" i="1"/>
  <c r="AM39" i="1"/>
  <c r="BC31" i="1"/>
  <c r="BE31" i="1" s="1"/>
  <c r="AM31" i="1"/>
  <c r="AO31" i="1" s="1"/>
  <c r="AE31" i="1"/>
  <c r="AG31" i="1" s="1"/>
  <c r="W31" i="1"/>
  <c r="Y31" i="1" s="1"/>
  <c r="U67" i="1" l="1"/>
  <c r="X42" i="4"/>
  <c r="W42" i="4" s="1"/>
  <c r="O65" i="1"/>
  <c r="O54" i="1"/>
  <c r="AY57" i="1"/>
  <c r="AA57" i="1"/>
  <c r="AQ57" i="1"/>
  <c r="AA31" i="1"/>
  <c r="AC31" i="1" s="1"/>
  <c r="AE63" i="1"/>
  <c r="AI31" i="1"/>
  <c r="AK31" i="1" s="1"/>
  <c r="AM63" i="1"/>
  <c r="AQ31" i="1"/>
  <c r="AS31" i="1" s="1"/>
  <c r="AU63" i="1"/>
  <c r="AY31" i="1"/>
  <c r="BA31" i="1" s="1"/>
  <c r="BC63" i="1"/>
  <c r="AA39" i="1"/>
  <c r="AA63" i="1"/>
  <c r="AI39" i="1"/>
  <c r="AI63" i="1"/>
  <c r="AQ39" i="1"/>
  <c r="AQ63" i="1"/>
  <c r="AY39" i="1"/>
  <c r="AY63" i="1"/>
  <c r="W39" i="1"/>
  <c r="S57" i="1"/>
  <c r="S63" i="1"/>
  <c r="N65" i="1" l="1"/>
  <c r="X40" i="4"/>
  <c r="W40" i="4" s="1"/>
  <c r="Q40" i="4" s="1"/>
  <c r="S40" i="4" s="1"/>
  <c r="X41" i="4"/>
  <c r="S42" i="4"/>
  <c r="W64" i="1"/>
  <c r="BC16" i="1"/>
  <c r="AM16" i="1"/>
  <c r="Q42" i="4" l="1"/>
  <c r="V64" i="1"/>
  <c r="Y64" i="1"/>
  <c r="AQ64" i="1"/>
  <c r="AU64" i="1"/>
  <c r="AE64" i="1"/>
  <c r="AI16" i="1"/>
  <c r="AY16" i="1"/>
  <c r="AT64" i="1" l="1"/>
  <c r="AW64" i="1"/>
  <c r="AP64" i="1"/>
  <c r="AS64" i="1"/>
  <c r="AD64" i="1"/>
  <c r="AG64" i="1"/>
  <c r="BC64" i="1"/>
  <c r="AY64" i="1"/>
  <c r="AM64" i="1"/>
  <c r="AE16" i="1"/>
  <c r="AA16" i="1"/>
  <c r="AU16" i="1"/>
  <c r="W16" i="1"/>
  <c r="AX64" i="1" l="1"/>
  <c r="BA64" i="1"/>
  <c r="BB64" i="1"/>
  <c r="BE64" i="1"/>
  <c r="AL64" i="1"/>
  <c r="AO64" i="1"/>
  <c r="AA64" i="1"/>
  <c r="AI64" i="1"/>
  <c r="AE13" i="1"/>
  <c r="AY11" i="1"/>
  <c r="BC14" i="1"/>
  <c r="AM11" i="1"/>
  <c r="BC11" i="1"/>
  <c r="AQ14" i="1"/>
  <c r="W13" i="1"/>
  <c r="BC13" i="1"/>
  <c r="AQ32" i="1"/>
  <c r="AS32" i="1" s="1"/>
  <c r="S11" i="1"/>
  <c r="W14" i="1"/>
  <c r="AU13" i="1"/>
  <c r="W32" i="1"/>
  <c r="Y32" i="1" s="1"/>
  <c r="BC32" i="1"/>
  <c r="BE32" i="1" s="1"/>
  <c r="AA11" i="1"/>
  <c r="AQ11" i="1"/>
  <c r="AM13" i="1"/>
  <c r="AI11" i="1"/>
  <c r="AE11" i="1"/>
  <c r="AU11" i="1"/>
  <c r="S14" i="1"/>
  <c r="AI14" i="1"/>
  <c r="AY14" i="1"/>
  <c r="AI13" i="1"/>
  <c r="AA13" i="1"/>
  <c r="AQ13" i="1"/>
  <c r="S32" i="1"/>
  <c r="U32" i="1" s="1"/>
  <c r="AI32" i="1"/>
  <c r="AK32" i="1" s="1"/>
  <c r="AY32" i="1"/>
  <c r="BA32" i="1" s="1"/>
  <c r="AH64" i="1" l="1"/>
  <c r="AK64" i="1"/>
  <c r="Z64" i="1"/>
  <c r="AC64" i="1"/>
  <c r="S64" i="1"/>
  <c r="U64" i="1" s="1"/>
  <c r="AY69" i="1"/>
  <c r="AZ69" i="1" s="1"/>
  <c r="AQ69" i="1"/>
  <c r="AR69" i="1" s="1"/>
  <c r="AE69" i="1"/>
  <c r="AF69" i="1" s="1"/>
  <c r="AU69" i="1"/>
  <c r="AV69" i="1" s="1"/>
  <c r="AU32" i="1"/>
  <c r="AW32" i="1" s="1"/>
  <c r="AM14" i="1"/>
  <c r="AM32" i="1"/>
  <c r="AO32" i="1" s="1"/>
  <c r="AU14" i="1"/>
  <c r="AA14" i="1"/>
  <c r="S13" i="1"/>
  <c r="AE14" i="1"/>
  <c r="AM69" i="1"/>
  <c r="AN69" i="1" s="1"/>
  <c r="AI69" i="1"/>
  <c r="AJ69" i="1" s="1"/>
  <c r="AE32" i="1"/>
  <c r="AG32" i="1" s="1"/>
  <c r="AA32" i="1"/>
  <c r="AC32" i="1" s="1"/>
  <c r="AY13" i="1"/>
  <c r="W11" i="1"/>
  <c r="R64" i="1" l="1"/>
  <c r="BC69" i="1"/>
  <c r="BD69" i="1" s="1"/>
  <c r="AA69" i="1"/>
  <c r="AB69" i="1" s="1"/>
  <c r="W69" i="1" l="1"/>
  <c r="X69" i="1" s="1"/>
  <c r="S69" i="1" l="1"/>
  <c r="T69" i="1" s="1"/>
  <c r="P71" i="1" l="1"/>
  <c r="P74" i="1"/>
  <c r="N52" i="1" l="1"/>
  <c r="N30" i="1"/>
  <c r="N29" i="1"/>
  <c r="BB67" i="1"/>
  <c r="BB56" i="1"/>
  <c r="BB52" i="1"/>
  <c r="BB44" i="1"/>
  <c r="BB43" i="1"/>
  <c r="BB36" i="1"/>
  <c r="BB34" i="1"/>
  <c r="BB33" i="1"/>
  <c r="BB30" i="1"/>
  <c r="BB29" i="1"/>
  <c r="BB22" i="1"/>
  <c r="BB21" i="1"/>
  <c r="AX67" i="1"/>
  <c r="AX58" i="1"/>
  <c r="AX56" i="1"/>
  <c r="AX52" i="1"/>
  <c r="AX44" i="1"/>
  <c r="AX43" i="1"/>
  <c r="AX36" i="1"/>
  <c r="AX34" i="1"/>
  <c r="AX33" i="1"/>
  <c r="AX30" i="1"/>
  <c r="AX29" i="1"/>
  <c r="AX22" i="1"/>
  <c r="AX21" i="1"/>
  <c r="AT67" i="1"/>
  <c r="AT56" i="1"/>
  <c r="AT52" i="1"/>
  <c r="AT44" i="1"/>
  <c r="AT43" i="1"/>
  <c r="AT36" i="1"/>
  <c r="AT34" i="1"/>
  <c r="AT33" i="1"/>
  <c r="AT30" i="1"/>
  <c r="AT29" i="1"/>
  <c r="AT22" i="1"/>
  <c r="AT21" i="1"/>
  <c r="AP67" i="1"/>
  <c r="AP56" i="1"/>
  <c r="AP52" i="1"/>
  <c r="AP44" i="1"/>
  <c r="AP43" i="1"/>
  <c r="AP36" i="1"/>
  <c r="AP34" i="1"/>
  <c r="AP33" i="1"/>
  <c r="AP30" i="1"/>
  <c r="AP29" i="1"/>
  <c r="AP22" i="1"/>
  <c r="AP21" i="1"/>
  <c r="AL67" i="1"/>
  <c r="AL56" i="1"/>
  <c r="AL52" i="1"/>
  <c r="AL44" i="1"/>
  <c r="AL43" i="1"/>
  <c r="AL36" i="1"/>
  <c r="AL34" i="1"/>
  <c r="AL33" i="1"/>
  <c r="AL30" i="1"/>
  <c r="AL29" i="1"/>
  <c r="AL22" i="1"/>
  <c r="AL21" i="1"/>
  <c r="AH67" i="1"/>
  <c r="AH56" i="1"/>
  <c r="AH52" i="1"/>
  <c r="AH44" i="1"/>
  <c r="AH43" i="1"/>
  <c r="AH36" i="1"/>
  <c r="AH34" i="1"/>
  <c r="AH33" i="1"/>
  <c r="AH30" i="1"/>
  <c r="AH29" i="1"/>
  <c r="AH22" i="1"/>
  <c r="AH21" i="1"/>
  <c r="AD67" i="1"/>
  <c r="AD56" i="1"/>
  <c r="AD52" i="1"/>
  <c r="AD44" i="1"/>
  <c r="AD43" i="1"/>
  <c r="AD36" i="1"/>
  <c r="AD34" i="1"/>
  <c r="AD33" i="1"/>
  <c r="AD30" i="1"/>
  <c r="AD29" i="1"/>
  <c r="AD22" i="1"/>
  <c r="AD21" i="1"/>
  <c r="Z67" i="1"/>
  <c r="Z56" i="1"/>
  <c r="Z52" i="1"/>
  <c r="Z44" i="1"/>
  <c r="Z43" i="1"/>
  <c r="Z36" i="1"/>
  <c r="Z34" i="1"/>
  <c r="Z33" i="1"/>
  <c r="Z30" i="1"/>
  <c r="Z29" i="1"/>
  <c r="Z22" i="1"/>
  <c r="Z21" i="1"/>
  <c r="V67" i="1"/>
  <c r="V56" i="1"/>
  <c r="V52" i="1"/>
  <c r="V44" i="1"/>
  <c r="V43" i="1"/>
  <c r="V36" i="1"/>
  <c r="V34" i="1"/>
  <c r="V33" i="1"/>
  <c r="V30" i="1"/>
  <c r="V29" i="1"/>
  <c r="V22" i="1"/>
  <c r="V21" i="1"/>
  <c r="R21" i="1"/>
  <c r="R22" i="1"/>
  <c r="R29" i="1"/>
  <c r="R30" i="1"/>
  <c r="R33" i="1"/>
  <c r="R34" i="1"/>
  <c r="R36" i="1"/>
  <c r="R43" i="1"/>
  <c r="R44" i="1"/>
  <c r="R52" i="1"/>
  <c r="R56" i="1"/>
  <c r="P10" i="1"/>
  <c r="P11" i="1"/>
  <c r="P12" i="1"/>
  <c r="P13" i="1"/>
  <c r="P14" i="1"/>
  <c r="P16" i="1"/>
  <c r="P21" i="1"/>
  <c r="P22" i="1"/>
  <c r="E93" i="3" l="1"/>
  <c r="O91" i="3"/>
  <c r="N91" i="3"/>
  <c r="M91" i="3"/>
  <c r="L91" i="3"/>
  <c r="K91" i="3"/>
  <c r="J91" i="3"/>
  <c r="I91" i="3"/>
  <c r="H91" i="3"/>
  <c r="G91" i="3"/>
  <c r="F91" i="3"/>
  <c r="E91" i="3" s="1"/>
  <c r="E90" i="3"/>
  <c r="E89" i="3"/>
  <c r="O88" i="3"/>
  <c r="N88" i="3"/>
  <c r="M88" i="3"/>
  <c r="L88" i="3"/>
  <c r="K88" i="3"/>
  <c r="J88" i="3"/>
  <c r="I88" i="3"/>
  <c r="H88" i="3"/>
  <c r="G88" i="3"/>
  <c r="F88" i="3"/>
  <c r="O87" i="3"/>
  <c r="O85" i="3" s="1"/>
  <c r="N87" i="3"/>
  <c r="N85" i="3" s="1"/>
  <c r="M87" i="3"/>
  <c r="M85" i="3" s="1"/>
  <c r="L87" i="3"/>
  <c r="L85" i="3" s="1"/>
  <c r="K87" i="3"/>
  <c r="K85" i="3" s="1"/>
  <c r="J87" i="3"/>
  <c r="J85" i="3" s="1"/>
  <c r="I87" i="3"/>
  <c r="I85" i="3" s="1"/>
  <c r="H87" i="3"/>
  <c r="H85" i="3" s="1"/>
  <c r="G87" i="3"/>
  <c r="G85" i="3" s="1"/>
  <c r="F85" i="3"/>
  <c r="O84" i="3"/>
  <c r="O82" i="3" s="1"/>
  <c r="N84" i="3"/>
  <c r="N82" i="3" s="1"/>
  <c r="M84" i="3"/>
  <c r="M82" i="3" s="1"/>
  <c r="L84" i="3"/>
  <c r="L82" i="3" s="1"/>
  <c r="K84" i="3"/>
  <c r="K82" i="3" s="1"/>
  <c r="J84" i="3"/>
  <c r="J82" i="3" s="1"/>
  <c r="I84" i="3"/>
  <c r="I82" i="3" s="1"/>
  <c r="G84" i="3"/>
  <c r="G82" i="3" s="1"/>
  <c r="F84" i="3"/>
  <c r="E81" i="3"/>
  <c r="C81" i="3" s="1"/>
  <c r="O78" i="3"/>
  <c r="N78" i="3"/>
  <c r="M78" i="3"/>
  <c r="L78" i="3"/>
  <c r="K78" i="3"/>
  <c r="I78" i="3"/>
  <c r="H78" i="3"/>
  <c r="G78" i="3"/>
  <c r="F78" i="3"/>
  <c r="J78" i="3"/>
  <c r="O74" i="3"/>
  <c r="N74" i="3"/>
  <c r="M74" i="3"/>
  <c r="L74" i="3"/>
  <c r="K74" i="3"/>
  <c r="J74" i="3"/>
  <c r="I74" i="3"/>
  <c r="G74" i="3"/>
  <c r="H74" i="3"/>
  <c r="O71" i="3"/>
  <c r="K71" i="3"/>
  <c r="H71" i="3"/>
  <c r="F71" i="3"/>
  <c r="N71" i="3"/>
  <c r="N70" i="3" s="1"/>
  <c r="M71" i="3"/>
  <c r="L71" i="3"/>
  <c r="L70" i="3" s="1"/>
  <c r="J71" i="3"/>
  <c r="I71" i="3"/>
  <c r="E63" i="3"/>
  <c r="C63" i="3" s="1"/>
  <c r="E61" i="3"/>
  <c r="E60" i="3"/>
  <c r="O59" i="3"/>
  <c r="N59" i="3"/>
  <c r="M59" i="3"/>
  <c r="L59" i="3"/>
  <c r="K59" i="3"/>
  <c r="J59" i="3"/>
  <c r="I59" i="3"/>
  <c r="H59" i="3"/>
  <c r="G59" i="3"/>
  <c r="F59" i="3"/>
  <c r="E58" i="3"/>
  <c r="O56" i="3"/>
  <c r="N56" i="3"/>
  <c r="M56" i="3"/>
  <c r="L56" i="3"/>
  <c r="K56" i="3"/>
  <c r="J56" i="3"/>
  <c r="I56" i="3"/>
  <c r="H56" i="3"/>
  <c r="G56" i="3"/>
  <c r="F56" i="3"/>
  <c r="O55" i="3"/>
  <c r="O53" i="3" s="1"/>
  <c r="N55" i="3"/>
  <c r="M55" i="3"/>
  <c r="L55" i="3"/>
  <c r="K55" i="3"/>
  <c r="K53" i="3" s="1"/>
  <c r="I55" i="3"/>
  <c r="I53" i="3" s="1"/>
  <c r="J55" i="3"/>
  <c r="J53" i="3" s="1"/>
  <c r="H55" i="3"/>
  <c r="H53" i="3" s="1"/>
  <c r="G55" i="3"/>
  <c r="N53" i="3"/>
  <c r="M53" i="3"/>
  <c r="L53" i="3"/>
  <c r="F53" i="3"/>
  <c r="O52" i="3"/>
  <c r="O50" i="3" s="1"/>
  <c r="N52" i="3"/>
  <c r="N50" i="3" s="1"/>
  <c r="M52" i="3"/>
  <c r="M50" i="3" s="1"/>
  <c r="L52" i="3"/>
  <c r="L50" i="3" s="1"/>
  <c r="K52" i="3"/>
  <c r="K50" i="3" s="1"/>
  <c r="J52" i="3"/>
  <c r="J50" i="3" s="1"/>
  <c r="I52" i="3"/>
  <c r="I50" i="3" s="1"/>
  <c r="H52" i="3"/>
  <c r="H50" i="3" s="1"/>
  <c r="G52" i="3"/>
  <c r="G50" i="3" s="1"/>
  <c r="E49" i="3"/>
  <c r="C49" i="3" s="1"/>
  <c r="L46" i="3"/>
  <c r="H46" i="3"/>
  <c r="O46" i="3"/>
  <c r="N46" i="3"/>
  <c r="M46" i="3"/>
  <c r="K46" i="3"/>
  <c r="J46" i="3"/>
  <c r="I46" i="3"/>
  <c r="G46" i="3"/>
  <c r="M42" i="3"/>
  <c r="L42" i="3"/>
  <c r="I42" i="3"/>
  <c r="H42" i="3"/>
  <c r="O42" i="3"/>
  <c r="N42" i="3"/>
  <c r="K42" i="3"/>
  <c r="J42" i="3"/>
  <c r="G42" i="3"/>
  <c r="F42" i="3"/>
  <c r="N37" i="3"/>
  <c r="J37" i="3"/>
  <c r="F37" i="3"/>
  <c r="M37" i="3"/>
  <c r="E32" i="3"/>
  <c r="C32" i="3" s="1"/>
  <c r="E31" i="3"/>
  <c r="C31" i="3" s="1"/>
  <c r="E30" i="3"/>
  <c r="C30" i="3" s="1"/>
  <c r="O29" i="3"/>
  <c r="N29" i="3"/>
  <c r="M29" i="3"/>
  <c r="L29" i="3"/>
  <c r="K29" i="3"/>
  <c r="J29" i="3"/>
  <c r="I29" i="3"/>
  <c r="H29" i="3"/>
  <c r="G29" i="3"/>
  <c r="F29" i="3"/>
  <c r="D29" i="3"/>
  <c r="E28" i="3"/>
  <c r="C28" i="3" s="1"/>
  <c r="E27" i="3"/>
  <c r="C27" i="3" s="1"/>
  <c r="O26" i="3"/>
  <c r="N26" i="3"/>
  <c r="M26" i="3"/>
  <c r="L26" i="3"/>
  <c r="K26" i="3"/>
  <c r="J26" i="3"/>
  <c r="I26" i="3"/>
  <c r="H26" i="3"/>
  <c r="G26" i="3"/>
  <c r="F26" i="3"/>
  <c r="D26" i="3"/>
  <c r="E25" i="3"/>
  <c r="E24" i="3"/>
  <c r="O23" i="3"/>
  <c r="N23" i="3"/>
  <c r="M23" i="3"/>
  <c r="L23" i="3"/>
  <c r="K23" i="3"/>
  <c r="J23" i="3"/>
  <c r="I23" i="3"/>
  <c r="H23" i="3"/>
  <c r="G23" i="3"/>
  <c r="F23" i="3"/>
  <c r="E22" i="3"/>
  <c r="C22" i="3" s="1"/>
  <c r="O21" i="3"/>
  <c r="N21" i="3"/>
  <c r="M21" i="3"/>
  <c r="L21" i="3"/>
  <c r="K21" i="3"/>
  <c r="J21" i="3"/>
  <c r="I21" i="3"/>
  <c r="H21" i="3"/>
  <c r="G21" i="3"/>
  <c r="F21" i="3"/>
  <c r="O20" i="3"/>
  <c r="N20" i="3"/>
  <c r="M20" i="3"/>
  <c r="L20" i="3"/>
  <c r="K20" i="3"/>
  <c r="J20" i="3"/>
  <c r="I20" i="3"/>
  <c r="H20" i="3"/>
  <c r="G20" i="3"/>
  <c r="F20" i="3"/>
  <c r="E19" i="3"/>
  <c r="C19" i="3" s="1"/>
  <c r="E18" i="3"/>
  <c r="F17" i="3"/>
  <c r="E17" i="3" s="1"/>
  <c r="C17" i="3" s="1"/>
  <c r="O16" i="3"/>
  <c r="N16" i="3"/>
  <c r="M16" i="3"/>
  <c r="L16" i="3"/>
  <c r="K16" i="3"/>
  <c r="J16" i="3"/>
  <c r="I16" i="3"/>
  <c r="H16" i="3"/>
  <c r="G16" i="3"/>
  <c r="F16" i="3"/>
  <c r="E14" i="3"/>
  <c r="C14" i="3" s="1"/>
  <c r="E13" i="3"/>
  <c r="C13" i="3" s="1"/>
  <c r="O12" i="3"/>
  <c r="O10" i="3" s="1"/>
  <c r="O33" i="3" s="1"/>
  <c r="N12" i="3"/>
  <c r="N10" i="3" s="1"/>
  <c r="N33" i="3" s="1"/>
  <c r="M12" i="3"/>
  <c r="M10" i="3" s="1"/>
  <c r="L12" i="3"/>
  <c r="L10" i="3" s="1"/>
  <c r="K12" i="3"/>
  <c r="K10" i="3" s="1"/>
  <c r="J12" i="3"/>
  <c r="J10" i="3" s="1"/>
  <c r="J33" i="3" s="1"/>
  <c r="I12" i="3"/>
  <c r="I10" i="3" s="1"/>
  <c r="H12" i="3"/>
  <c r="H10" i="3" s="1"/>
  <c r="H8" i="3" s="1"/>
  <c r="G12" i="3"/>
  <c r="G10" i="3" s="1"/>
  <c r="G33" i="3" s="1"/>
  <c r="F12" i="3"/>
  <c r="D12" i="3"/>
  <c r="D10" i="3" s="1"/>
  <c r="D8" i="3" s="1"/>
  <c r="E11" i="3"/>
  <c r="C11" i="3" s="1"/>
  <c r="E7" i="3"/>
  <c r="C7" i="3" s="1"/>
  <c r="B103" i="3"/>
  <c r="C109" i="3"/>
  <c r="M15" i="3" l="1"/>
  <c r="O70" i="3"/>
  <c r="E88" i="3"/>
  <c r="J8" i="3"/>
  <c r="E23" i="3"/>
  <c r="L45" i="3"/>
  <c r="E59" i="3"/>
  <c r="H70" i="3"/>
  <c r="H45" i="3"/>
  <c r="J70" i="3"/>
  <c r="L15" i="3"/>
  <c r="L34" i="3" s="1"/>
  <c r="E56" i="3"/>
  <c r="L8" i="3"/>
  <c r="E21" i="3"/>
  <c r="C21" i="3" s="1"/>
  <c r="K70" i="3"/>
  <c r="K95" i="3" s="1"/>
  <c r="D18" i="3"/>
  <c r="K15" i="3"/>
  <c r="K34" i="3" s="1"/>
  <c r="O15" i="3"/>
  <c r="E20" i="3"/>
  <c r="C20" i="3" s="1"/>
  <c r="I15" i="3"/>
  <c r="I34" i="3" s="1"/>
  <c r="J15" i="3"/>
  <c r="N15" i="3"/>
  <c r="E67" i="3"/>
  <c r="C67" i="3" s="1"/>
  <c r="K45" i="3"/>
  <c r="K64" i="3" s="1"/>
  <c r="E92" i="3"/>
  <c r="C92" i="3" s="1"/>
  <c r="G37" i="3"/>
  <c r="E79" i="3"/>
  <c r="C79" i="3" s="1"/>
  <c r="N77" i="3"/>
  <c r="N97" i="3" s="1"/>
  <c r="E57" i="3"/>
  <c r="C57" i="3" s="1"/>
  <c r="E75" i="3"/>
  <c r="C75" i="3" s="1"/>
  <c r="E44" i="3"/>
  <c r="C44" i="3" s="1"/>
  <c r="E68" i="3"/>
  <c r="C68" i="3" s="1"/>
  <c r="E39" i="3"/>
  <c r="C39" i="3" s="1"/>
  <c r="K37" i="3"/>
  <c r="O37" i="3"/>
  <c r="I37" i="3"/>
  <c r="G77" i="3"/>
  <c r="E38" i="3"/>
  <c r="C38" i="3" s="1"/>
  <c r="E51" i="3"/>
  <c r="C51" i="3" s="1"/>
  <c r="G53" i="3"/>
  <c r="G45" i="3" s="1"/>
  <c r="G64" i="3" s="1"/>
  <c r="E55" i="3"/>
  <c r="E36" i="3"/>
  <c r="C36" i="3" s="1"/>
  <c r="E41" i="3"/>
  <c r="C41" i="3" s="1"/>
  <c r="E43" i="3"/>
  <c r="C43" i="3" s="1"/>
  <c r="E54" i="3"/>
  <c r="E62" i="3"/>
  <c r="C62" i="3" s="1"/>
  <c r="M70" i="3"/>
  <c r="M95" i="3" s="1"/>
  <c r="E76" i="3"/>
  <c r="C76" i="3" s="1"/>
  <c r="J77" i="3"/>
  <c r="J97" i="3" s="1"/>
  <c r="O77" i="3"/>
  <c r="O97" i="3" s="1"/>
  <c r="N45" i="3"/>
  <c r="N64" i="3" s="1"/>
  <c r="E48" i="3"/>
  <c r="F52" i="3"/>
  <c r="F50" i="3" s="1"/>
  <c r="E50" i="3" s="1"/>
  <c r="C50" i="3" s="1"/>
  <c r="E69" i="3"/>
  <c r="C69" i="3" s="1"/>
  <c r="E72" i="3"/>
  <c r="C72" i="3" s="1"/>
  <c r="E80" i="3"/>
  <c r="I77" i="3"/>
  <c r="E94" i="3"/>
  <c r="C94" i="3" s="1"/>
  <c r="K77" i="3"/>
  <c r="K97" i="3" s="1"/>
  <c r="E9" i="3"/>
  <c r="C9" i="3" s="1"/>
  <c r="E42" i="3"/>
  <c r="M45" i="3"/>
  <c r="M64" i="3" s="1"/>
  <c r="I70" i="3"/>
  <c r="E83" i="3"/>
  <c r="C83" i="3" s="1"/>
  <c r="E86" i="3"/>
  <c r="E87" i="3"/>
  <c r="H64" i="3"/>
  <c r="H37" i="3"/>
  <c r="E40" i="3"/>
  <c r="C60" i="3"/>
  <c r="D61" i="3"/>
  <c r="K8" i="3"/>
  <c r="I45" i="3"/>
  <c r="I64" i="3" s="1"/>
  <c r="E53" i="3"/>
  <c r="G71" i="3"/>
  <c r="E73" i="3"/>
  <c r="C73" i="3" s="1"/>
  <c r="O95" i="3"/>
  <c r="O96" i="3" s="1"/>
  <c r="M77" i="3"/>
  <c r="C89" i="3"/>
  <c r="D90" i="3"/>
  <c r="H15" i="3"/>
  <c r="H34" i="3" s="1"/>
  <c r="E16" i="3"/>
  <c r="M34" i="3"/>
  <c r="M8" i="3"/>
  <c r="M33" i="3"/>
  <c r="P42" i="3"/>
  <c r="O8" i="3"/>
  <c r="O34" i="3"/>
  <c r="C24" i="3"/>
  <c r="D25" i="3"/>
  <c r="J34" i="3"/>
  <c r="J45" i="3"/>
  <c r="J64" i="3" s="1"/>
  <c r="O45" i="3"/>
  <c r="O64" i="3" s="1"/>
  <c r="L95" i="3"/>
  <c r="I95" i="3"/>
  <c r="N95" i="3"/>
  <c r="N96" i="3" s="1"/>
  <c r="H95" i="3"/>
  <c r="E78" i="3"/>
  <c r="H84" i="3"/>
  <c r="H82" i="3" s="1"/>
  <c r="H77" i="3" s="1"/>
  <c r="E12" i="3"/>
  <c r="C12" i="3" s="1"/>
  <c r="F10" i="3"/>
  <c r="L37" i="3"/>
  <c r="L64" i="3"/>
  <c r="N8" i="3"/>
  <c r="G8" i="3"/>
  <c r="E26" i="3"/>
  <c r="C26" i="3" s="1"/>
  <c r="G15" i="3"/>
  <c r="G34" i="3" s="1"/>
  <c r="I8" i="3"/>
  <c r="I33" i="3"/>
  <c r="E29" i="3"/>
  <c r="C29" i="3" s="1"/>
  <c r="F15" i="3"/>
  <c r="K33" i="3"/>
  <c r="N34" i="3"/>
  <c r="E47" i="3"/>
  <c r="J95" i="3"/>
  <c r="J96" i="3" s="1"/>
  <c r="D70" i="3"/>
  <c r="H33" i="3"/>
  <c r="L33" i="3"/>
  <c r="C86" i="3"/>
  <c r="D42" i="3"/>
  <c r="F46" i="3"/>
  <c r="L77" i="3"/>
  <c r="L97" i="3" s="1"/>
  <c r="E85" i="3"/>
  <c r="F74" i="3"/>
  <c r="F82" i="3"/>
  <c r="D55" i="3" l="1"/>
  <c r="M97" i="3"/>
  <c r="L98" i="3"/>
  <c r="L99" i="3" s="1"/>
  <c r="E52" i="3"/>
  <c r="C52" i="3" s="1"/>
  <c r="D93" i="3"/>
  <c r="C93" i="3" s="1"/>
  <c r="D58" i="3"/>
  <c r="C58" i="3" s="1"/>
  <c r="I97" i="3"/>
  <c r="I98" i="3" s="1"/>
  <c r="I99" i="3" s="1"/>
  <c r="L65" i="3"/>
  <c r="L66" i="3" s="1"/>
  <c r="H97" i="3"/>
  <c r="H98" i="3" s="1"/>
  <c r="H99" i="3" s="1"/>
  <c r="J65" i="3"/>
  <c r="J66" i="3" s="1"/>
  <c r="K98" i="3"/>
  <c r="K99" i="3" s="1"/>
  <c r="N65" i="3"/>
  <c r="N66" i="3" s="1"/>
  <c r="I96" i="3"/>
  <c r="K96" i="3"/>
  <c r="M65" i="3"/>
  <c r="M66" i="3" s="1"/>
  <c r="E15" i="3"/>
  <c r="M98" i="3"/>
  <c r="M99" i="3" s="1"/>
  <c r="J98" i="3"/>
  <c r="J99" i="3" s="1"/>
  <c r="H96" i="3"/>
  <c r="O65" i="3"/>
  <c r="O66" i="3" s="1"/>
  <c r="C18" i="3"/>
  <c r="D16" i="3"/>
  <c r="D33" i="3" s="1"/>
  <c r="D87" i="3"/>
  <c r="C87" i="3" s="1"/>
  <c r="D80" i="3"/>
  <c r="D78" i="3" s="1"/>
  <c r="G65" i="3"/>
  <c r="G66" i="3" s="1"/>
  <c r="E37" i="3"/>
  <c r="C54" i="3"/>
  <c r="K65" i="3"/>
  <c r="K66" i="3" s="1"/>
  <c r="D59" i="3"/>
  <c r="C59" i="3" s="1"/>
  <c r="C61" i="3"/>
  <c r="H65" i="3"/>
  <c r="H66" i="3" s="1"/>
  <c r="E82" i="3"/>
  <c r="F77" i="3"/>
  <c r="E77" i="3" s="1"/>
  <c r="M96" i="3"/>
  <c r="D53" i="3"/>
  <c r="C53" i="3" s="1"/>
  <c r="C55" i="3"/>
  <c r="F33" i="3"/>
  <c r="E10" i="3"/>
  <c r="F8" i="3"/>
  <c r="F34" i="3"/>
  <c r="E34" i="3" s="1"/>
  <c r="N98" i="3"/>
  <c r="N99" i="3" s="1"/>
  <c r="L96" i="3"/>
  <c r="O98" i="3"/>
  <c r="O99" i="3" s="1"/>
  <c r="D91" i="3"/>
  <c r="C91" i="3" s="1"/>
  <c r="F45" i="3"/>
  <c r="F64" i="3" s="1"/>
  <c r="E46" i="3"/>
  <c r="E45" i="3" s="1"/>
  <c r="E64" i="3" s="1"/>
  <c r="C47" i="3"/>
  <c r="D48" i="3"/>
  <c r="D23" i="3"/>
  <c r="C25" i="3"/>
  <c r="C42" i="3"/>
  <c r="D40" i="3"/>
  <c r="E74" i="3"/>
  <c r="C74" i="3" s="1"/>
  <c r="F70" i="3"/>
  <c r="E84" i="3"/>
  <c r="D84" i="3" s="1"/>
  <c r="C90" i="3"/>
  <c r="D88" i="3"/>
  <c r="C88" i="3" s="1"/>
  <c r="G70" i="3"/>
  <c r="E71" i="3"/>
  <c r="C71" i="3" s="1"/>
  <c r="I65" i="3"/>
  <c r="I66" i="3" s="1"/>
  <c r="Q10" i="3"/>
  <c r="C80" i="3" l="1"/>
  <c r="C16" i="3"/>
  <c r="D85" i="3"/>
  <c r="C85" i="3" s="1"/>
  <c r="D56" i="3"/>
  <c r="C56" i="3" s="1"/>
  <c r="R40" i="3"/>
  <c r="AP69" i="1"/>
  <c r="AT69" i="1"/>
  <c r="AL69" i="1"/>
  <c r="AH69" i="1"/>
  <c r="C40" i="3"/>
  <c r="D37" i="3"/>
  <c r="C37" i="3" s="1"/>
  <c r="C23" i="3"/>
  <c r="C15" i="3" s="1"/>
  <c r="D15" i="3"/>
  <c r="D34" i="3" s="1"/>
  <c r="C34" i="3" s="1"/>
  <c r="D82" i="3"/>
  <c r="C82" i="3" s="1"/>
  <c r="C84" i="3"/>
  <c r="F65" i="3"/>
  <c r="G95" i="3"/>
  <c r="G96" i="3" s="1"/>
  <c r="G97" i="3"/>
  <c r="G98" i="3" s="1"/>
  <c r="G99" i="3" s="1"/>
  <c r="C78" i="3"/>
  <c r="C48" i="3"/>
  <c r="D46" i="3"/>
  <c r="Q40" i="3" s="1"/>
  <c r="Q45" i="3" s="1"/>
  <c r="F95" i="3"/>
  <c r="F96" i="3" s="1"/>
  <c r="E70" i="3"/>
  <c r="F97" i="3"/>
  <c r="E33" i="3"/>
  <c r="C33" i="3" s="1"/>
  <c r="C10" i="3"/>
  <c r="C8" i="3" s="1"/>
  <c r="R10" i="3"/>
  <c r="E8" i="3"/>
  <c r="D95" i="3"/>
  <c r="R45" i="3" l="1"/>
  <c r="D77" i="3"/>
  <c r="AX69" i="1"/>
  <c r="BB69" i="1"/>
  <c r="Z69" i="1"/>
  <c r="AD69" i="1"/>
  <c r="E95" i="3"/>
  <c r="E96" i="3" s="1"/>
  <c r="C70" i="3"/>
  <c r="E65" i="3"/>
  <c r="F66" i="3"/>
  <c r="E66" i="3" s="1"/>
  <c r="C77" i="3"/>
  <c r="D97" i="3"/>
  <c r="D96" i="3"/>
  <c r="C46" i="3"/>
  <c r="D45" i="3"/>
  <c r="D64" i="3" s="1"/>
  <c r="D65" i="3" s="1"/>
  <c r="E97" i="3"/>
  <c r="F98" i="3"/>
  <c r="P10" i="3"/>
  <c r="V69" i="1" l="1"/>
  <c r="C95" i="3"/>
  <c r="C96" i="3" s="1"/>
  <c r="F99" i="3"/>
  <c r="E98" i="3"/>
  <c r="D108" i="3" s="1"/>
  <c r="D109" i="3" s="1"/>
  <c r="D66" i="3"/>
  <c r="C66" i="3" s="1"/>
  <c r="C65" i="3"/>
  <c r="D98" i="3"/>
  <c r="C97" i="3"/>
  <c r="C45" i="3"/>
  <c r="C64" i="3" s="1"/>
  <c r="Q48" i="3"/>
  <c r="E99" i="3" l="1"/>
  <c r="C98" i="3"/>
  <c r="D99" i="3"/>
  <c r="D111" i="3"/>
  <c r="C99" i="3" l="1"/>
  <c r="O69" i="1"/>
  <c r="P69" i="1"/>
  <c r="D113" i="3"/>
  <c r="R69" i="1" l="1"/>
  <c r="N69" i="1"/>
  <c r="AD11" i="1" l="1"/>
  <c r="AD13" i="1"/>
  <c r="AD14" i="1"/>
  <c r="AD16" i="1"/>
  <c r="AE20" i="1"/>
  <c r="AE19" i="1" s="1"/>
  <c r="AD31" i="1"/>
  <c r="AD32" i="1"/>
  <c r="AD39" i="1"/>
  <c r="AE46" i="1"/>
  <c r="AD46" i="1" s="1"/>
  <c r="AE47" i="1"/>
  <c r="AD47" i="1" s="1"/>
  <c r="AE48" i="1"/>
  <c r="AD48" i="1" s="1"/>
  <c r="AE49" i="1"/>
  <c r="AD49" i="1" s="1"/>
  <c r="AD50" i="1"/>
  <c r="AD57" i="1"/>
  <c r="AD63" i="1"/>
  <c r="O36" i="1"/>
  <c r="W20" i="1"/>
  <c r="W19" i="1" s="1"/>
  <c r="AA20" i="1"/>
  <c r="AA19" i="1" s="1"/>
  <c r="AI20" i="1"/>
  <c r="AI19" i="1" s="1"/>
  <c r="AM20" i="1"/>
  <c r="AM19" i="1" s="1"/>
  <c r="AQ20" i="1"/>
  <c r="AQ19" i="1" s="1"/>
  <c r="AU20" i="1"/>
  <c r="AU19" i="1" s="1"/>
  <c r="AY20" i="1"/>
  <c r="AY19" i="1" s="1"/>
  <c r="BC20" i="1"/>
  <c r="BC19" i="1" s="1"/>
  <c r="S20" i="1"/>
  <c r="S19" i="1" s="1"/>
  <c r="O25" i="1"/>
  <c r="O24" i="1"/>
  <c r="O22" i="1"/>
  <c r="N22" i="1" s="1"/>
  <c r="O21" i="1"/>
  <c r="N21" i="1" s="1"/>
  <c r="O23" i="1" l="1"/>
  <c r="N36" i="1"/>
  <c r="Q36" i="1"/>
  <c r="G12" i="60"/>
  <c r="G13" i="60"/>
  <c r="AE53" i="1"/>
  <c r="AD54" i="1"/>
  <c r="AE15" i="1"/>
  <c r="AE28" i="1"/>
  <c r="AG28" i="1" s="1"/>
  <c r="AE12" i="1"/>
  <c r="AE45" i="1"/>
  <c r="O20" i="1"/>
  <c r="O19" i="1"/>
  <c r="G20" i="54"/>
  <c r="H20" i="54"/>
  <c r="I20" i="54"/>
  <c r="J20" i="54"/>
  <c r="K20" i="54"/>
  <c r="L20" i="54"/>
  <c r="M20" i="54"/>
  <c r="N20" i="54"/>
  <c r="O20" i="54"/>
  <c r="F20" i="54"/>
  <c r="AD53" i="1" l="1"/>
  <c r="G17" i="60" s="1"/>
  <c r="AG53" i="1"/>
  <c r="AD28" i="1"/>
  <c r="AE38" i="1"/>
  <c r="AD45" i="1"/>
  <c r="AE10" i="1"/>
  <c r="AD12" i="1"/>
  <c r="G30" i="60" s="1"/>
  <c r="AE9" i="1" l="1"/>
  <c r="AD10" i="1"/>
  <c r="C26" i="54" l="1"/>
  <c r="C25" i="54"/>
  <c r="C24" i="54"/>
  <c r="E21" i="54"/>
  <c r="E19" i="54"/>
  <c r="C19" i="54" s="1"/>
  <c r="C18" i="54" s="1"/>
  <c r="E18" i="54"/>
  <c r="D18" i="54"/>
  <c r="E16" i="54"/>
  <c r="C16" i="54" s="1"/>
  <c r="E15" i="54"/>
  <c r="C15" i="54" s="1"/>
  <c r="E14" i="54"/>
  <c r="C14" i="54" s="1"/>
  <c r="E13" i="54"/>
  <c r="O11" i="54"/>
  <c r="N11" i="54"/>
  <c r="N10" i="54" s="1"/>
  <c r="L20" i="19" s="1"/>
  <c r="M11" i="54"/>
  <c r="M10" i="54" s="1"/>
  <c r="K20" i="19" s="1"/>
  <c r="L11" i="54"/>
  <c r="L10" i="54" s="1"/>
  <c r="J20" i="19" s="1"/>
  <c r="K11" i="54"/>
  <c r="K10" i="54" s="1"/>
  <c r="I20" i="19" s="1"/>
  <c r="J11" i="54"/>
  <c r="J10" i="54" s="1"/>
  <c r="H20" i="19" s="1"/>
  <c r="I11" i="54"/>
  <c r="I10" i="54" s="1"/>
  <c r="G20" i="19" s="1"/>
  <c r="H11" i="54"/>
  <c r="H10" i="54" s="1"/>
  <c r="F20" i="19" s="1"/>
  <c r="G11" i="54"/>
  <c r="G10" i="54" s="1"/>
  <c r="F11" i="54"/>
  <c r="F10" i="54" s="1"/>
  <c r="D20" i="19" s="1"/>
  <c r="G9" i="54" l="1"/>
  <c r="E20" i="19"/>
  <c r="C23" i="54"/>
  <c r="C22" i="54" s="1"/>
  <c r="C21" i="54"/>
  <c r="C20" i="54" s="1"/>
  <c r="E20" i="54"/>
  <c r="C13" i="54"/>
  <c r="C12" i="54" s="1"/>
  <c r="E12" i="54"/>
  <c r="E11" i="54" s="1"/>
  <c r="K9" i="54"/>
  <c r="I43" i="60" s="1"/>
  <c r="J9" i="54"/>
  <c r="H43" i="60" s="1"/>
  <c r="H9" i="54"/>
  <c r="F43" i="60" s="1"/>
  <c r="N9" i="54"/>
  <c r="L43" i="60" s="1"/>
  <c r="I9" i="54"/>
  <c r="G43" i="60" s="1"/>
  <c r="M9" i="54"/>
  <c r="K43" i="60" s="1"/>
  <c r="L9" i="54"/>
  <c r="J43" i="60" s="1"/>
  <c r="F9" i="54"/>
  <c r="D43" i="60" s="1"/>
  <c r="D11" i="54"/>
  <c r="D10" i="54" s="1"/>
  <c r="O10" i="54"/>
  <c r="O9" i="54" l="1"/>
  <c r="M20" i="19"/>
  <c r="E43" i="60"/>
  <c r="E10" i="54"/>
  <c r="D9" i="54"/>
  <c r="C11" i="54"/>
  <c r="C10" i="54" s="1"/>
  <c r="L48" i="60"/>
  <c r="M43" i="60" l="1"/>
  <c r="E9" i="54"/>
  <c r="V20" i="4"/>
  <c r="C48" i="60"/>
  <c r="C9" i="54"/>
  <c r="E44" i="60"/>
  <c r="F44" i="60"/>
  <c r="G44" i="60"/>
  <c r="H44" i="60"/>
  <c r="I44" i="60"/>
  <c r="J44" i="60"/>
  <c r="K44" i="60"/>
  <c r="L44" i="60"/>
  <c r="M44" i="60"/>
  <c r="D44" i="60"/>
  <c r="V41" i="4" l="1"/>
  <c r="E26" i="60" l="1"/>
  <c r="F26" i="60"/>
  <c r="G26" i="60"/>
  <c r="H26" i="60"/>
  <c r="I26" i="60"/>
  <c r="J26" i="60"/>
  <c r="K26" i="60"/>
  <c r="L26" i="60"/>
  <c r="M26" i="60"/>
  <c r="AI15" i="1" l="1"/>
  <c r="AH16" i="1"/>
  <c r="AQ15" i="1" l="1"/>
  <c r="AP16" i="1"/>
  <c r="BC15" i="1"/>
  <c r="BB16" i="1"/>
  <c r="T43" i="4"/>
  <c r="AM15" i="1" l="1"/>
  <c r="AL16" i="1"/>
  <c r="W15" i="1"/>
  <c r="V16" i="1"/>
  <c r="AA15" i="1"/>
  <c r="Z16" i="1"/>
  <c r="S15" i="1"/>
  <c r="R16" i="1"/>
  <c r="AU15" i="1"/>
  <c r="AT16" i="1"/>
  <c r="T45" i="4"/>
  <c r="AY15" i="1" l="1"/>
  <c r="AX16" i="1"/>
  <c r="O16" i="1"/>
  <c r="O15" i="1" l="1"/>
  <c r="N16" i="1"/>
  <c r="AH32" i="1" l="1"/>
  <c r="AL31" i="1"/>
  <c r="AH31" i="1"/>
  <c r="H12" i="60" l="1"/>
  <c r="I12" i="60"/>
  <c r="H13" i="60"/>
  <c r="R67" i="1"/>
  <c r="D21" i="60" s="1"/>
  <c r="V32" i="1"/>
  <c r="BB32" i="1"/>
  <c r="V31" i="1"/>
  <c r="BB31" i="1"/>
  <c r="AL32" i="1"/>
  <c r="Z31" i="1"/>
  <c r="AP31" i="1"/>
  <c r="Z32" i="1"/>
  <c r="AP32" i="1"/>
  <c r="AT31" i="1"/>
  <c r="O67" i="1"/>
  <c r="N67" i="1" s="1"/>
  <c r="AT32" i="1"/>
  <c r="AX31" i="1"/>
  <c r="T42" i="4"/>
  <c r="R32" i="1"/>
  <c r="AX32" i="1"/>
  <c r="L12" i="60" l="1"/>
  <c r="M12" i="60"/>
  <c r="J12" i="60"/>
  <c r="E12" i="60"/>
  <c r="K12" i="60"/>
  <c r="F12" i="60"/>
  <c r="I13" i="60"/>
  <c r="L13" i="60"/>
  <c r="F13" i="60"/>
  <c r="J13" i="60"/>
  <c r="E13" i="60"/>
  <c r="K13" i="60"/>
  <c r="M13" i="60"/>
  <c r="D13" i="60"/>
  <c r="S41" i="4"/>
  <c r="T41" i="4" s="1"/>
  <c r="C37" i="19"/>
  <c r="C36" i="19"/>
  <c r="C22" i="19" s="1"/>
  <c r="O22" i="19" s="1"/>
  <c r="C23" i="19"/>
  <c r="V25" i="4" l="1"/>
  <c r="D45" i="60"/>
  <c r="M45" i="60"/>
  <c r="E45" i="60"/>
  <c r="H45" i="60"/>
  <c r="F45" i="60"/>
  <c r="I45" i="60"/>
  <c r="J45" i="60"/>
  <c r="L45" i="60"/>
  <c r="G45" i="60"/>
  <c r="K45" i="60"/>
  <c r="BB54" i="1" l="1"/>
  <c r="AX54" i="1"/>
  <c r="AT54" i="1"/>
  <c r="AP54" i="1"/>
  <c r="AL54" i="1"/>
  <c r="AH54" i="1"/>
  <c r="Z54" i="1"/>
  <c r="V54" i="1"/>
  <c r="R54" i="1"/>
  <c r="E47" i="60" l="1"/>
  <c r="E46" i="60" s="1"/>
  <c r="F47" i="60"/>
  <c r="F46" i="60" s="1"/>
  <c r="G47" i="60"/>
  <c r="G46" i="60" s="1"/>
  <c r="H47" i="60"/>
  <c r="H46" i="60" s="1"/>
  <c r="I47" i="60"/>
  <c r="I46" i="60" s="1"/>
  <c r="J47" i="60"/>
  <c r="J46" i="60" s="1"/>
  <c r="K47" i="60"/>
  <c r="K46" i="60" s="1"/>
  <c r="L47" i="60"/>
  <c r="L46" i="60" s="1"/>
  <c r="M47" i="60"/>
  <c r="M46" i="60" s="1"/>
  <c r="D26" i="60"/>
  <c r="D47" i="60" l="1"/>
  <c r="D46" i="60" s="1"/>
  <c r="D2" i="65"/>
  <c r="V57" i="4" l="1"/>
  <c r="V55" i="4" s="1"/>
  <c r="E2" i="65"/>
  <c r="F2" i="65" l="1"/>
  <c r="BB50" i="1"/>
  <c r="AX50" i="1"/>
  <c r="AT50" i="1"/>
  <c r="AP50" i="1"/>
  <c r="AL50" i="1"/>
  <c r="AH50" i="1"/>
  <c r="Z50" i="1"/>
  <c r="V50" i="1"/>
  <c r="R50" i="1"/>
  <c r="E38" i="60" l="1"/>
  <c r="F38" i="60"/>
  <c r="G38" i="60"/>
  <c r="H38" i="60"/>
  <c r="I38" i="60"/>
  <c r="J38" i="60"/>
  <c r="K38" i="60"/>
  <c r="L38" i="60"/>
  <c r="M38" i="60"/>
  <c r="E42" i="60"/>
  <c r="F42" i="60"/>
  <c r="G42" i="60"/>
  <c r="H42" i="60"/>
  <c r="I42" i="60"/>
  <c r="J42" i="60"/>
  <c r="K42" i="60"/>
  <c r="L42" i="60"/>
  <c r="M42" i="60"/>
  <c r="D42" i="60"/>
  <c r="E39" i="60"/>
  <c r="F39" i="60"/>
  <c r="G39" i="60"/>
  <c r="H39" i="60"/>
  <c r="I39" i="60"/>
  <c r="J39" i="60"/>
  <c r="K39" i="60"/>
  <c r="L39" i="60"/>
  <c r="M39" i="60"/>
  <c r="D39" i="60"/>
  <c r="D38" i="60"/>
  <c r="E37" i="60"/>
  <c r="F37" i="60"/>
  <c r="G37" i="60"/>
  <c r="H37" i="60"/>
  <c r="I37" i="60"/>
  <c r="J37" i="60"/>
  <c r="K37" i="60"/>
  <c r="L37" i="60"/>
  <c r="M37" i="60"/>
  <c r="D37" i="60"/>
  <c r="E36" i="60"/>
  <c r="F36" i="60"/>
  <c r="G36" i="60"/>
  <c r="H36" i="60"/>
  <c r="I36" i="60"/>
  <c r="J36" i="60"/>
  <c r="K36" i="60"/>
  <c r="L36" i="60"/>
  <c r="M36" i="60"/>
  <c r="D36" i="60"/>
  <c r="E35" i="60"/>
  <c r="F35" i="60"/>
  <c r="G35" i="60"/>
  <c r="H35" i="60"/>
  <c r="I35" i="60"/>
  <c r="J35" i="60"/>
  <c r="K35" i="60"/>
  <c r="L35" i="60"/>
  <c r="M35" i="60"/>
  <c r="D35" i="60"/>
  <c r="J34" i="60" l="1"/>
  <c r="D34" i="60"/>
  <c r="F34" i="60"/>
  <c r="K34" i="60"/>
  <c r="G34" i="60"/>
  <c r="I34" i="60"/>
  <c r="E34" i="60"/>
  <c r="M34" i="60"/>
  <c r="H34" i="60"/>
  <c r="L34" i="60"/>
  <c r="BB63" i="1"/>
  <c r="AX63" i="1"/>
  <c r="AT63" i="1"/>
  <c r="AL63" i="1"/>
  <c r="AH63" i="1"/>
  <c r="Z63" i="1"/>
  <c r="V63" i="1"/>
  <c r="R63" i="1"/>
  <c r="AX57" i="1"/>
  <c r="Z57" i="1"/>
  <c r="C34" i="60" l="1"/>
  <c r="AX39" i="1"/>
  <c r="AP57" i="1"/>
  <c r="V39" i="1"/>
  <c r="BB39" i="1"/>
  <c r="AT57" i="1"/>
  <c r="R39" i="1"/>
  <c r="AH39" i="1"/>
  <c r="Z39" i="1"/>
  <c r="AP39" i="1"/>
  <c r="R57" i="1"/>
  <c r="AH57" i="1"/>
  <c r="AP63" i="1"/>
  <c r="AT39" i="1"/>
  <c r="V57" i="1"/>
  <c r="AL57" i="1"/>
  <c r="BB57" i="1"/>
  <c r="Z24" i="4" l="1"/>
  <c r="R22" i="4"/>
  <c r="R24" i="4"/>
  <c r="R36" i="4"/>
  <c r="R51" i="4"/>
  <c r="R52" i="4"/>
  <c r="R53" i="4"/>
  <c r="P22" i="4"/>
  <c r="P24" i="4"/>
  <c r="P35" i="4"/>
  <c r="P36" i="4"/>
  <c r="P65" i="4"/>
  <c r="L16" i="4"/>
  <c r="L17" i="4"/>
  <c r="L21" i="4"/>
  <c r="L24" i="4"/>
  <c r="L25" i="4"/>
  <c r="L29" i="4"/>
  <c r="L36" i="4"/>
  <c r="L37" i="4"/>
  <c r="L47" i="4"/>
  <c r="L51" i="4"/>
  <c r="L52" i="4"/>
  <c r="L53" i="4"/>
  <c r="L62" i="4"/>
  <c r="L64" i="4"/>
  <c r="L65" i="4"/>
  <c r="M47" i="4" l="1"/>
  <c r="V58" i="4"/>
  <c r="V48" i="4" s="1"/>
  <c r="W58" i="4"/>
  <c r="W48" i="4" s="1"/>
  <c r="M21" i="4"/>
  <c r="N21" i="4" s="1"/>
  <c r="N15" i="4" s="1"/>
  <c r="O63" i="1"/>
  <c r="N63" i="1" s="1"/>
  <c r="N47" i="4" l="1"/>
  <c r="P21" i="4"/>
  <c r="P16" i="4"/>
  <c r="P17" i="4"/>
  <c r="M20" i="4"/>
  <c r="P64" i="4"/>
  <c r="P47" i="4"/>
  <c r="N20" i="4" l="1"/>
  <c r="L30" i="4"/>
  <c r="M61" i="4"/>
  <c r="L61" i="4"/>
  <c r="S61" i="4" l="1"/>
  <c r="P61" i="4"/>
  <c r="Q61" i="4" l="1"/>
  <c r="R61" i="4" s="1"/>
  <c r="T61" i="4"/>
  <c r="C8" i="61"/>
  <c r="M41" i="60" l="1"/>
  <c r="L41" i="60"/>
  <c r="K41" i="60"/>
  <c r="J41" i="60"/>
  <c r="I41" i="60"/>
  <c r="H41" i="60"/>
  <c r="E41" i="60"/>
  <c r="D41" i="60"/>
  <c r="G41" i="60"/>
  <c r="F41" i="60"/>
  <c r="C22" i="60"/>
  <c r="C21" i="60"/>
  <c r="C15" i="60"/>
  <c r="F11" i="60"/>
  <c r="J11" i="60" l="1"/>
  <c r="K11" i="60"/>
  <c r="G11" i="60"/>
  <c r="F33" i="60"/>
  <c r="F32" i="60" s="1"/>
  <c r="L33" i="60"/>
  <c r="L32" i="60" s="1"/>
  <c r="C36" i="60"/>
  <c r="G33" i="60"/>
  <c r="G32" i="60" s="1"/>
  <c r="C43" i="60"/>
  <c r="E11" i="60"/>
  <c r="C37" i="60"/>
  <c r="L11" i="60"/>
  <c r="D33" i="60"/>
  <c r="D32" i="60" s="1"/>
  <c r="I33" i="60"/>
  <c r="I32" i="60" s="1"/>
  <c r="C38" i="60"/>
  <c r="C26" i="60"/>
  <c r="E33" i="60"/>
  <c r="E32" i="60" s="1"/>
  <c r="C35" i="60"/>
  <c r="K33" i="60"/>
  <c r="K32" i="60" s="1"/>
  <c r="C13" i="60"/>
  <c r="C44" i="60"/>
  <c r="M11" i="60"/>
  <c r="C39" i="60"/>
  <c r="H33" i="60"/>
  <c r="H32" i="60" s="1"/>
  <c r="J33" i="60"/>
  <c r="J32" i="60" s="1"/>
  <c r="C47" i="60"/>
  <c r="C46" i="60" s="1"/>
  <c r="H11" i="60"/>
  <c r="I11" i="60"/>
  <c r="C45" i="60"/>
  <c r="C41" i="60"/>
  <c r="M33" i="60"/>
  <c r="M32" i="60" s="1"/>
  <c r="C42" i="60"/>
  <c r="C32" i="60" l="1"/>
  <c r="C33" i="60"/>
  <c r="Q325" i="2"/>
  <c r="P325" i="2"/>
  <c r="O325" i="2"/>
  <c r="N325" i="2"/>
  <c r="M325" i="2"/>
  <c r="L325" i="2"/>
  <c r="K325" i="2"/>
  <c r="J325" i="2"/>
  <c r="I325" i="2"/>
  <c r="H325" i="2"/>
  <c r="Q324" i="2"/>
  <c r="P324" i="2"/>
  <c r="O324" i="2"/>
  <c r="N324" i="2"/>
  <c r="M324" i="2"/>
  <c r="L324" i="2"/>
  <c r="K324" i="2"/>
  <c r="J324" i="2"/>
  <c r="I324" i="2"/>
  <c r="H324" i="2"/>
  <c r="G320" i="2"/>
  <c r="Q317" i="2"/>
  <c r="P317" i="2"/>
  <c r="O317" i="2"/>
  <c r="N317" i="2"/>
  <c r="M317" i="2"/>
  <c r="L317" i="2"/>
  <c r="K317" i="2"/>
  <c r="J317" i="2"/>
  <c r="I317" i="2"/>
  <c r="D315" i="2"/>
  <c r="F311" i="2"/>
  <c r="P308" i="2"/>
  <c r="H308" i="2"/>
  <c r="Q307" i="2"/>
  <c r="Q305" i="2" s="1"/>
  <c r="P307" i="2"/>
  <c r="O307" i="2"/>
  <c r="O305" i="2" s="1"/>
  <c r="N307" i="2"/>
  <c r="N305" i="2" s="1"/>
  <c r="M307" i="2"/>
  <c r="M305" i="2" s="1"/>
  <c r="L307" i="2"/>
  <c r="L305" i="2" s="1"/>
  <c r="K307" i="2"/>
  <c r="K305" i="2" s="1"/>
  <c r="J307" i="2"/>
  <c r="J305" i="2" s="1"/>
  <c r="I307" i="2"/>
  <c r="I305" i="2" s="1"/>
  <c r="H307" i="2"/>
  <c r="G306" i="2"/>
  <c r="E306" i="2" s="1"/>
  <c r="Q304" i="2"/>
  <c r="N304" i="2"/>
  <c r="Q303" i="2"/>
  <c r="P303" i="2"/>
  <c r="O303" i="2"/>
  <c r="N303" i="2"/>
  <c r="M303" i="2"/>
  <c r="L303" i="2"/>
  <c r="K303" i="2"/>
  <c r="J303" i="2"/>
  <c r="I303" i="2"/>
  <c r="H303" i="2"/>
  <c r="Q302" i="2"/>
  <c r="P302" i="2"/>
  <c r="O302" i="2"/>
  <c r="N302" i="2"/>
  <c r="M302" i="2"/>
  <c r="L302" i="2"/>
  <c r="K302" i="2"/>
  <c r="J302" i="2"/>
  <c r="I302" i="2"/>
  <c r="H302" i="2"/>
  <c r="Q301" i="2"/>
  <c r="P301" i="2"/>
  <c r="O301" i="2"/>
  <c r="N301" i="2"/>
  <c r="M301" i="2"/>
  <c r="L301" i="2"/>
  <c r="K301" i="2"/>
  <c r="J301" i="2"/>
  <c r="I301" i="2"/>
  <c r="H301" i="2"/>
  <c r="Q300" i="2"/>
  <c r="P300" i="2"/>
  <c r="O300" i="2"/>
  <c r="N300" i="2"/>
  <c r="M300" i="2"/>
  <c r="L300" i="2"/>
  <c r="K300" i="2"/>
  <c r="J300" i="2"/>
  <c r="I300" i="2"/>
  <c r="H300" i="2"/>
  <c r="F293" i="2"/>
  <c r="G290" i="2"/>
  <c r="F289" i="2"/>
  <c r="G288" i="2"/>
  <c r="G287" i="2" s="1"/>
  <c r="G52" i="2" s="1"/>
  <c r="Q287" i="2"/>
  <c r="Q289" i="2" s="1"/>
  <c r="P287" i="2"/>
  <c r="P289" i="2" s="1"/>
  <c r="O287" i="2"/>
  <c r="O289" i="2" s="1"/>
  <c r="N287" i="2"/>
  <c r="N52" i="2" s="1"/>
  <c r="M287" i="2"/>
  <c r="M289" i="2" s="1"/>
  <c r="L287" i="2"/>
  <c r="L289" i="2" s="1"/>
  <c r="K287" i="2"/>
  <c r="K289" i="2" s="1"/>
  <c r="J287" i="2"/>
  <c r="J52" i="2" s="1"/>
  <c r="I287" i="2"/>
  <c r="I289" i="2" s="1"/>
  <c r="H287" i="2"/>
  <c r="H289" i="2" s="1"/>
  <c r="Q286" i="2"/>
  <c r="P286" i="2"/>
  <c r="O286" i="2"/>
  <c r="J286" i="2"/>
  <c r="I286" i="2"/>
  <c r="H286" i="2"/>
  <c r="Q285" i="2"/>
  <c r="P285" i="2"/>
  <c r="O285" i="2"/>
  <c r="N285" i="2"/>
  <c r="N284" i="2" s="1"/>
  <c r="M285" i="2"/>
  <c r="M284" i="2" s="1"/>
  <c r="L285" i="2"/>
  <c r="L284" i="2" s="1"/>
  <c r="K285" i="2"/>
  <c r="K284" i="2" s="1"/>
  <c r="J285" i="2"/>
  <c r="I285" i="2"/>
  <c r="H285" i="2"/>
  <c r="G277" i="2"/>
  <c r="F278" i="2"/>
  <c r="Q275" i="2"/>
  <c r="P275" i="2"/>
  <c r="O275" i="2"/>
  <c r="Q274" i="2"/>
  <c r="P274" i="2"/>
  <c r="O274" i="2"/>
  <c r="N274" i="2"/>
  <c r="N273" i="2" s="1"/>
  <c r="M274" i="2"/>
  <c r="M273" i="2" s="1"/>
  <c r="L274" i="2"/>
  <c r="L273" i="2" s="1"/>
  <c r="K274" i="2"/>
  <c r="K273" i="2" s="1"/>
  <c r="J274" i="2"/>
  <c r="J273" i="2" s="1"/>
  <c r="I274" i="2"/>
  <c r="I273" i="2" s="1"/>
  <c r="H274" i="2"/>
  <c r="F267" i="2"/>
  <c r="G264" i="2"/>
  <c r="G263" i="2"/>
  <c r="G262" i="2"/>
  <c r="Q261" i="2"/>
  <c r="P261" i="2"/>
  <c r="O261" i="2"/>
  <c r="N261" i="2"/>
  <c r="M261" i="2"/>
  <c r="L261" i="2"/>
  <c r="K261" i="2"/>
  <c r="J261" i="2"/>
  <c r="I261" i="2"/>
  <c r="H261" i="2"/>
  <c r="G260" i="2"/>
  <c r="G259" i="2"/>
  <c r="E259" i="2" s="1"/>
  <c r="G258" i="2"/>
  <c r="E258" i="2" s="1"/>
  <c r="Q257" i="2"/>
  <c r="P257" i="2"/>
  <c r="O257" i="2"/>
  <c r="N257" i="2"/>
  <c r="M257" i="2"/>
  <c r="L257" i="2"/>
  <c r="K257" i="2"/>
  <c r="J257" i="2"/>
  <c r="I257" i="2"/>
  <c r="H257" i="2"/>
  <c r="F251" i="2"/>
  <c r="F244" i="2"/>
  <c r="G243" i="2"/>
  <c r="G236" i="2"/>
  <c r="F237" i="2"/>
  <c r="Q234" i="2"/>
  <c r="P234" i="2"/>
  <c r="O234" i="2"/>
  <c r="N234" i="2"/>
  <c r="M234" i="2"/>
  <c r="L234" i="2"/>
  <c r="K234" i="2"/>
  <c r="J234" i="2"/>
  <c r="I234" i="2"/>
  <c r="H234" i="2"/>
  <c r="Q233" i="2"/>
  <c r="P233" i="2"/>
  <c r="O233" i="2"/>
  <c r="N233" i="2"/>
  <c r="M233" i="2"/>
  <c r="L233" i="2"/>
  <c r="K233" i="2"/>
  <c r="J233" i="2"/>
  <c r="I233" i="2"/>
  <c r="H233" i="2"/>
  <c r="F226" i="2"/>
  <c r="G225" i="2"/>
  <c r="G221" i="2"/>
  <c r="G220" i="2"/>
  <c r="G219" i="2"/>
  <c r="G216" i="2"/>
  <c r="G214" i="2"/>
  <c r="Q213" i="2"/>
  <c r="P213" i="2"/>
  <c r="O213" i="2"/>
  <c r="N213" i="2"/>
  <c r="M213" i="2"/>
  <c r="L213" i="2"/>
  <c r="K213" i="2"/>
  <c r="J213" i="2"/>
  <c r="I213" i="2"/>
  <c r="H213" i="2"/>
  <c r="G212" i="2"/>
  <c r="Q211" i="2"/>
  <c r="P211" i="2"/>
  <c r="O211" i="2"/>
  <c r="N211" i="2"/>
  <c r="M211" i="2"/>
  <c r="L211" i="2"/>
  <c r="K211" i="2"/>
  <c r="J211" i="2"/>
  <c r="I211" i="2"/>
  <c r="H211" i="2"/>
  <c r="G204" i="2"/>
  <c r="Q203" i="2"/>
  <c r="P203" i="2"/>
  <c r="O203" i="2"/>
  <c r="N203" i="2"/>
  <c r="M203" i="2"/>
  <c r="L203" i="2"/>
  <c r="K203" i="2"/>
  <c r="J203" i="2"/>
  <c r="I203" i="2"/>
  <c r="H203" i="2"/>
  <c r="G202" i="2"/>
  <c r="Q201" i="2"/>
  <c r="P201" i="2"/>
  <c r="O201" i="2"/>
  <c r="N201" i="2"/>
  <c r="M201" i="2"/>
  <c r="L201" i="2"/>
  <c r="K201" i="2"/>
  <c r="J201" i="2"/>
  <c r="I201" i="2"/>
  <c r="H201" i="2"/>
  <c r="O199" i="2"/>
  <c r="O197" i="2" s="1"/>
  <c r="N199" i="2"/>
  <c r="N197" i="2" s="1"/>
  <c r="M199" i="2"/>
  <c r="M197" i="2" s="1"/>
  <c r="L199" i="2"/>
  <c r="L197" i="2" s="1"/>
  <c r="K199" i="2"/>
  <c r="K197" i="2" s="1"/>
  <c r="H199" i="2"/>
  <c r="H197" i="2" s="1"/>
  <c r="Q198" i="2"/>
  <c r="Q199" i="2" s="1"/>
  <c r="Q197" i="2" s="1"/>
  <c r="P198" i="2"/>
  <c r="P199" i="2" s="1"/>
  <c r="P197" i="2" s="1"/>
  <c r="J198" i="2"/>
  <c r="J199" i="2" s="1"/>
  <c r="J197" i="2" s="1"/>
  <c r="I198" i="2"/>
  <c r="Q196" i="2"/>
  <c r="Q194" i="2" s="1"/>
  <c r="P196" i="2"/>
  <c r="P194" i="2" s="1"/>
  <c r="O196" i="2"/>
  <c r="O194" i="2" s="1"/>
  <c r="N196" i="2"/>
  <c r="N194" i="2" s="1"/>
  <c r="M196" i="2"/>
  <c r="M194" i="2" s="1"/>
  <c r="L196" i="2"/>
  <c r="L194" i="2" s="1"/>
  <c r="K196" i="2"/>
  <c r="K194" i="2" s="1"/>
  <c r="J196" i="2"/>
  <c r="J194" i="2" s="1"/>
  <c r="I196" i="2"/>
  <c r="I194" i="2" s="1"/>
  <c r="H196" i="2"/>
  <c r="H194" i="2" s="1"/>
  <c r="G195" i="2"/>
  <c r="Q192" i="2"/>
  <c r="Q190" i="2" s="1"/>
  <c r="P192" i="2"/>
  <c r="P190" i="2" s="1"/>
  <c r="O192" i="2"/>
  <c r="O190" i="2" s="1"/>
  <c r="N192" i="2"/>
  <c r="N190" i="2" s="1"/>
  <c r="M192" i="2"/>
  <c r="M190" i="2" s="1"/>
  <c r="L192" i="2"/>
  <c r="L190" i="2" s="1"/>
  <c r="K192" i="2"/>
  <c r="K190" i="2" s="1"/>
  <c r="J192" i="2"/>
  <c r="J190" i="2" s="1"/>
  <c r="I192" i="2"/>
  <c r="I190" i="2" s="1"/>
  <c r="H192" i="2"/>
  <c r="G191" i="2"/>
  <c r="Q189" i="2"/>
  <c r="Q187" i="2" s="1"/>
  <c r="P189" i="2"/>
  <c r="P187" i="2" s="1"/>
  <c r="O189" i="2"/>
  <c r="O187" i="2" s="1"/>
  <c r="N189" i="2"/>
  <c r="N187" i="2" s="1"/>
  <c r="M189" i="2"/>
  <c r="M187" i="2" s="1"/>
  <c r="L189" i="2"/>
  <c r="L187" i="2" s="1"/>
  <c r="K189" i="2"/>
  <c r="K187" i="2" s="1"/>
  <c r="J189" i="2"/>
  <c r="J187" i="2" s="1"/>
  <c r="I189" i="2"/>
  <c r="H189" i="2"/>
  <c r="H187" i="2" s="1"/>
  <c r="G188" i="2"/>
  <c r="Q184" i="2"/>
  <c r="Q182" i="2" s="1"/>
  <c r="P184" i="2"/>
  <c r="P182" i="2" s="1"/>
  <c r="O184" i="2"/>
  <c r="O182" i="2" s="1"/>
  <c r="N184" i="2"/>
  <c r="N182" i="2" s="1"/>
  <c r="M184" i="2"/>
  <c r="M182" i="2" s="1"/>
  <c r="L184" i="2"/>
  <c r="L182" i="2" s="1"/>
  <c r="K184" i="2"/>
  <c r="K182" i="2" s="1"/>
  <c r="J184" i="2"/>
  <c r="J182" i="2" s="1"/>
  <c r="I184" i="2"/>
  <c r="I182" i="2" s="1"/>
  <c r="H184" i="2"/>
  <c r="H182" i="2" s="1"/>
  <c r="G183" i="2"/>
  <c r="Q181" i="2"/>
  <c r="Q179" i="2" s="1"/>
  <c r="P181" i="2"/>
  <c r="P179" i="2" s="1"/>
  <c r="O181" i="2"/>
  <c r="O179" i="2" s="1"/>
  <c r="N181" i="2"/>
  <c r="N179" i="2" s="1"/>
  <c r="M181" i="2"/>
  <c r="M179" i="2" s="1"/>
  <c r="L181" i="2"/>
  <c r="L179" i="2" s="1"/>
  <c r="K181" i="2"/>
  <c r="K179" i="2" s="1"/>
  <c r="J181" i="2"/>
  <c r="J179" i="2" s="1"/>
  <c r="I181" i="2"/>
  <c r="I179" i="2" s="1"/>
  <c r="H181" i="2"/>
  <c r="H179" i="2" s="1"/>
  <c r="G180" i="2"/>
  <c r="Q174" i="2"/>
  <c r="Q173" i="2" s="1"/>
  <c r="P174" i="2"/>
  <c r="P173" i="2" s="1"/>
  <c r="O174" i="2"/>
  <c r="O173" i="2" s="1"/>
  <c r="N174" i="2"/>
  <c r="N173" i="2" s="1"/>
  <c r="M174" i="2"/>
  <c r="M173" i="2" s="1"/>
  <c r="L174" i="2"/>
  <c r="L173" i="2" s="1"/>
  <c r="K174" i="2"/>
  <c r="K173" i="2" s="1"/>
  <c r="J174" i="2"/>
  <c r="J173" i="2" s="1"/>
  <c r="I174" i="2"/>
  <c r="I173" i="2" s="1"/>
  <c r="H174" i="2"/>
  <c r="H173" i="2" s="1"/>
  <c r="G169" i="2"/>
  <c r="G168" i="2"/>
  <c r="Q167" i="2"/>
  <c r="P167" i="2"/>
  <c r="O167" i="2"/>
  <c r="N167" i="2"/>
  <c r="M167" i="2"/>
  <c r="M166" i="2" s="1"/>
  <c r="L167" i="2"/>
  <c r="K167" i="2"/>
  <c r="J167" i="2"/>
  <c r="I167" i="2"/>
  <c r="H167" i="2"/>
  <c r="Q162" i="2"/>
  <c r="O162" i="2"/>
  <c r="N162" i="2"/>
  <c r="M162" i="2"/>
  <c r="L162" i="2"/>
  <c r="K162" i="2"/>
  <c r="J162" i="2"/>
  <c r="I162" i="2"/>
  <c r="H162" i="2"/>
  <c r="Q161" i="2"/>
  <c r="P161" i="2"/>
  <c r="O161" i="2"/>
  <c r="N161" i="2"/>
  <c r="M161" i="2"/>
  <c r="L161" i="2"/>
  <c r="K161" i="2"/>
  <c r="J161" i="2"/>
  <c r="I161" i="2"/>
  <c r="H161" i="2"/>
  <c r="G155" i="2"/>
  <c r="G154" i="2"/>
  <c r="Q153" i="2"/>
  <c r="Q149" i="2" s="1"/>
  <c r="P153" i="2"/>
  <c r="P149" i="2" s="1"/>
  <c r="O153" i="2"/>
  <c r="O149" i="2" s="1"/>
  <c r="N153" i="2"/>
  <c r="N149" i="2" s="1"/>
  <c r="M153" i="2"/>
  <c r="M149" i="2" s="1"/>
  <c r="L153" i="2"/>
  <c r="L149" i="2" s="1"/>
  <c r="K153" i="2"/>
  <c r="K149" i="2" s="1"/>
  <c r="J153" i="2"/>
  <c r="J149" i="2" s="1"/>
  <c r="I153" i="2"/>
  <c r="I149" i="2" s="1"/>
  <c r="H153" i="2"/>
  <c r="H149" i="2" s="1"/>
  <c r="P152" i="2"/>
  <c r="P162" i="2" s="1"/>
  <c r="G151" i="2"/>
  <c r="Q150" i="2"/>
  <c r="O150" i="2"/>
  <c r="N150" i="2"/>
  <c r="M150" i="2"/>
  <c r="L150" i="2"/>
  <c r="K150" i="2"/>
  <c r="J150" i="2"/>
  <c r="I150" i="2"/>
  <c r="H150" i="2"/>
  <c r="Q146" i="2"/>
  <c r="P146" i="2"/>
  <c r="O146" i="2"/>
  <c r="N146" i="2"/>
  <c r="M146" i="2"/>
  <c r="L146" i="2"/>
  <c r="K146" i="2"/>
  <c r="J146" i="2"/>
  <c r="I146" i="2"/>
  <c r="H146" i="2"/>
  <c r="Q145" i="2"/>
  <c r="P145" i="2"/>
  <c r="O145" i="2"/>
  <c r="N145" i="2"/>
  <c r="M145" i="2"/>
  <c r="L145" i="2"/>
  <c r="K145" i="2"/>
  <c r="J145" i="2"/>
  <c r="I145" i="2"/>
  <c r="H145" i="2"/>
  <c r="F137" i="2"/>
  <c r="G136" i="2"/>
  <c r="E134" i="2"/>
  <c r="E133" i="2"/>
  <c r="E132" i="2"/>
  <c r="E131" i="2"/>
  <c r="E130" i="2"/>
  <c r="E129" i="2"/>
  <c r="G128" i="2"/>
  <c r="E128" i="2" s="1"/>
  <c r="G127" i="2"/>
  <c r="E127" i="2" s="1"/>
  <c r="Q126" i="2"/>
  <c r="P126" i="2"/>
  <c r="O126" i="2"/>
  <c r="N126" i="2"/>
  <c r="M126" i="2"/>
  <c r="L126" i="2"/>
  <c r="K126" i="2"/>
  <c r="J126" i="2"/>
  <c r="I126" i="2"/>
  <c r="H126" i="2"/>
  <c r="F126" i="2"/>
  <c r="F125" i="2" s="1"/>
  <c r="F124" i="2"/>
  <c r="G123" i="2"/>
  <c r="E56" i="2"/>
  <c r="Q122" i="2"/>
  <c r="Q124" i="2" s="1"/>
  <c r="P122" i="2"/>
  <c r="P124" i="2" s="1"/>
  <c r="O122" i="2"/>
  <c r="O124" i="2" s="1"/>
  <c r="N122" i="2"/>
  <c r="N124" i="2" s="1"/>
  <c r="M122" i="2"/>
  <c r="M124" i="2" s="1"/>
  <c r="L122" i="2"/>
  <c r="L124" i="2" s="1"/>
  <c r="K122" i="2"/>
  <c r="K124" i="2" s="1"/>
  <c r="J122" i="2"/>
  <c r="J124" i="2" s="1"/>
  <c r="I122" i="2"/>
  <c r="I124" i="2" s="1"/>
  <c r="H122" i="2"/>
  <c r="H124" i="2" s="1"/>
  <c r="G121" i="2"/>
  <c r="G120" i="2" s="1"/>
  <c r="Q120" i="2"/>
  <c r="P120" i="2"/>
  <c r="O120" i="2"/>
  <c r="N120" i="2"/>
  <c r="M120" i="2"/>
  <c r="L120" i="2"/>
  <c r="K120" i="2"/>
  <c r="J120" i="2"/>
  <c r="I120" i="2"/>
  <c r="H120" i="2"/>
  <c r="G115" i="2"/>
  <c r="G114" i="2"/>
  <c r="G113" i="2"/>
  <c r="G112" i="2"/>
  <c r="G111" i="2"/>
  <c r="Q110" i="2"/>
  <c r="Q117" i="2" s="1"/>
  <c r="Q118" i="2" s="1"/>
  <c r="P110" i="2"/>
  <c r="O110" i="2"/>
  <c r="O117" i="2" s="1"/>
  <c r="O118" i="2" s="1"/>
  <c r="N110" i="2"/>
  <c r="M110" i="2"/>
  <c r="M117" i="2" s="1"/>
  <c r="M118" i="2" s="1"/>
  <c r="L110" i="2"/>
  <c r="K110" i="2"/>
  <c r="K117" i="2" s="1"/>
  <c r="K118" i="2" s="1"/>
  <c r="J110" i="2"/>
  <c r="I110" i="2"/>
  <c r="I117" i="2" s="1"/>
  <c r="I118" i="2" s="1"/>
  <c r="H110" i="2"/>
  <c r="G103" i="2"/>
  <c r="F103" i="2" s="1"/>
  <c r="F102" i="2" s="1"/>
  <c r="Q102" i="2"/>
  <c r="Q50" i="2" s="1"/>
  <c r="P102" i="2"/>
  <c r="P50" i="2" s="1"/>
  <c r="O102" i="2"/>
  <c r="O50" i="2" s="1"/>
  <c r="N102" i="2"/>
  <c r="N50" i="2" s="1"/>
  <c r="M102" i="2"/>
  <c r="M50" i="2" s="1"/>
  <c r="L102" i="2"/>
  <c r="L50" i="2" s="1"/>
  <c r="K102" i="2"/>
  <c r="K50" i="2" s="1"/>
  <c r="J102" i="2"/>
  <c r="J50" i="2" s="1"/>
  <c r="I102" i="2"/>
  <c r="I50" i="2" s="1"/>
  <c r="H102" i="2"/>
  <c r="H50" i="2" s="1"/>
  <c r="E102" i="2"/>
  <c r="E50" i="2" s="1"/>
  <c r="G100" i="2"/>
  <c r="E100" i="2" s="1"/>
  <c r="G99" i="2"/>
  <c r="E99" i="2" s="1"/>
  <c r="G98" i="2"/>
  <c r="E98" i="2" s="1"/>
  <c r="G97" i="2"/>
  <c r="E97" i="2" s="1"/>
  <c r="Q96" i="2"/>
  <c r="P96" i="2"/>
  <c r="O96" i="2"/>
  <c r="N96" i="2"/>
  <c r="M96" i="2"/>
  <c r="L96" i="2"/>
  <c r="K96" i="2"/>
  <c r="J96" i="2"/>
  <c r="I96" i="2"/>
  <c r="H96" i="2"/>
  <c r="F96" i="2"/>
  <c r="E92" i="2"/>
  <c r="E91" i="2"/>
  <c r="G90" i="2"/>
  <c r="G89" i="2"/>
  <c r="E89" i="2" s="1"/>
  <c r="Q88" i="2"/>
  <c r="P88" i="2"/>
  <c r="O88" i="2"/>
  <c r="N88" i="2"/>
  <c r="M88" i="2"/>
  <c r="L88" i="2"/>
  <c r="K88" i="2"/>
  <c r="AE42" i="1" s="1"/>
  <c r="AD42" i="1" s="1"/>
  <c r="J88" i="2"/>
  <c r="I88" i="2"/>
  <c r="H88" i="2"/>
  <c r="F88" i="2"/>
  <c r="F80" i="2"/>
  <c r="F68" i="2" s="1"/>
  <c r="F83" i="2" s="1"/>
  <c r="F84" i="2" s="1"/>
  <c r="F85" i="2" s="1"/>
  <c r="G79" i="2"/>
  <c r="P76" i="2"/>
  <c r="P75" i="2" s="1"/>
  <c r="M76" i="2"/>
  <c r="M75" i="2" s="1"/>
  <c r="K76" i="2"/>
  <c r="K75" i="2" s="1"/>
  <c r="I76" i="2"/>
  <c r="I75" i="2" s="1"/>
  <c r="H76" i="2"/>
  <c r="H75" i="2" s="1"/>
  <c r="G74" i="2"/>
  <c r="G71" i="2"/>
  <c r="Q70" i="2"/>
  <c r="Q76" i="2" s="1"/>
  <c r="Q75" i="2" s="1"/>
  <c r="O70" i="2"/>
  <c r="O76" i="2" s="1"/>
  <c r="O75" i="2" s="1"/>
  <c r="N70" i="2"/>
  <c r="N76" i="2" s="1"/>
  <c r="N75" i="2" s="1"/>
  <c r="L70" i="2"/>
  <c r="L76" i="2" s="1"/>
  <c r="L75" i="2" s="1"/>
  <c r="J70" i="2"/>
  <c r="J76" i="2" s="1"/>
  <c r="J75" i="2" s="1"/>
  <c r="Q69" i="2"/>
  <c r="P69" i="2"/>
  <c r="O69" i="2"/>
  <c r="N69" i="2"/>
  <c r="M69" i="2"/>
  <c r="L69" i="2"/>
  <c r="K69" i="2"/>
  <c r="J69" i="2"/>
  <c r="I69" i="2"/>
  <c r="H69" i="2"/>
  <c r="G60" i="2"/>
  <c r="Q56" i="2"/>
  <c r="P56" i="2"/>
  <c r="O56" i="2"/>
  <c r="N56" i="2"/>
  <c r="M56" i="2"/>
  <c r="L56" i="2"/>
  <c r="K56" i="2"/>
  <c r="J56" i="2"/>
  <c r="I56" i="2"/>
  <c r="H56" i="2"/>
  <c r="F56" i="2"/>
  <c r="Q53" i="2"/>
  <c r="P53" i="2"/>
  <c r="O53" i="2"/>
  <c r="N53" i="2"/>
  <c r="M53" i="2"/>
  <c r="L53" i="2"/>
  <c r="K53" i="2"/>
  <c r="J53" i="2"/>
  <c r="I53" i="2"/>
  <c r="H53" i="2"/>
  <c r="F53" i="2"/>
  <c r="E53" i="2"/>
  <c r="O52" i="2"/>
  <c r="F52" i="2"/>
  <c r="F49" i="2"/>
  <c r="G45" i="2"/>
  <c r="G44" i="2"/>
  <c r="G43" i="2"/>
  <c r="G40" i="2"/>
  <c r="G39" i="2"/>
  <c r="G38" i="2"/>
  <c r="G37" i="2"/>
  <c r="G36" i="2"/>
  <c r="G35" i="2"/>
  <c r="G34" i="2"/>
  <c r="G33" i="2"/>
  <c r="Q26" i="2"/>
  <c r="P26" i="2"/>
  <c r="O26" i="2"/>
  <c r="N26" i="2"/>
  <c r="M26" i="2"/>
  <c r="L26" i="2"/>
  <c r="K26" i="2"/>
  <c r="J26" i="2"/>
  <c r="I26" i="2"/>
  <c r="H26" i="2"/>
  <c r="Q25" i="2"/>
  <c r="P25" i="2"/>
  <c r="O25" i="2"/>
  <c r="N25" i="2"/>
  <c r="M25" i="2"/>
  <c r="L25" i="2"/>
  <c r="K25" i="2"/>
  <c r="J25" i="2"/>
  <c r="I25" i="2"/>
  <c r="H25" i="2"/>
  <c r="Q24" i="2"/>
  <c r="P24" i="2"/>
  <c r="O24" i="2"/>
  <c r="N24" i="2"/>
  <c r="M24" i="2"/>
  <c r="L24" i="2"/>
  <c r="K24" i="2"/>
  <c r="J24" i="2"/>
  <c r="I24" i="2"/>
  <c r="H24" i="2"/>
  <c r="Q23" i="2"/>
  <c r="P23" i="2"/>
  <c r="O23" i="2"/>
  <c r="N23" i="2"/>
  <c r="M23" i="2"/>
  <c r="L23" i="2"/>
  <c r="K23" i="2"/>
  <c r="J23" i="2"/>
  <c r="I23" i="2"/>
  <c r="H23" i="2"/>
  <c r="G21" i="2"/>
  <c r="G20" i="2"/>
  <c r="G19" i="2"/>
  <c r="G18" i="2"/>
  <c r="Q17" i="2"/>
  <c r="P17" i="2"/>
  <c r="O17" i="2"/>
  <c r="N17" i="2"/>
  <c r="M17" i="2"/>
  <c r="L17" i="2"/>
  <c r="K17" i="2"/>
  <c r="J17" i="2"/>
  <c r="I17" i="2"/>
  <c r="H17" i="2"/>
  <c r="G16" i="2"/>
  <c r="G15" i="2"/>
  <c r="G14" i="2"/>
  <c r="G13" i="2"/>
  <c r="Q12" i="2"/>
  <c r="Q30" i="2" s="1"/>
  <c r="P12" i="2"/>
  <c r="P31" i="2" s="1"/>
  <c r="O12" i="2"/>
  <c r="O29" i="2" s="1"/>
  <c r="N12" i="2"/>
  <c r="N29" i="2" s="1"/>
  <c r="M12" i="2"/>
  <c r="M31" i="2" s="1"/>
  <c r="L12" i="2"/>
  <c r="L31" i="2" s="1"/>
  <c r="K12" i="2"/>
  <c r="K29" i="2" s="1"/>
  <c r="J12" i="2"/>
  <c r="J29" i="2" s="1"/>
  <c r="I12" i="2"/>
  <c r="I30" i="2" s="1"/>
  <c r="H12" i="2"/>
  <c r="H31" i="2" s="1"/>
  <c r="H323" i="2" l="1"/>
  <c r="L52" i="2"/>
  <c r="P52" i="2"/>
  <c r="P54" i="2" s="1"/>
  <c r="Q166" i="2"/>
  <c r="M160" i="2"/>
  <c r="M159" i="2" s="1"/>
  <c r="M148" i="2" s="1"/>
  <c r="I52" i="2"/>
  <c r="O232" i="2"/>
  <c r="O54" i="2"/>
  <c r="P150" i="2"/>
  <c r="P160" i="2" s="1"/>
  <c r="P159" i="2" s="1"/>
  <c r="P148" i="2" s="1"/>
  <c r="Q273" i="2"/>
  <c r="N22" i="2"/>
  <c r="N232" i="2"/>
  <c r="G275" i="2"/>
  <c r="G218" i="2"/>
  <c r="O200" i="2"/>
  <c r="H166" i="2"/>
  <c r="Q160" i="2"/>
  <c r="Q159" i="2" s="1"/>
  <c r="Q148" i="2" s="1"/>
  <c r="N200" i="2"/>
  <c r="K232" i="2"/>
  <c r="J166" i="2"/>
  <c r="Q323" i="2"/>
  <c r="L54" i="2"/>
  <c r="H178" i="2"/>
  <c r="K186" i="2"/>
  <c r="I47" i="2"/>
  <c r="M232" i="2"/>
  <c r="G261" i="2"/>
  <c r="P166" i="2"/>
  <c r="M193" i="2"/>
  <c r="M215" i="2" s="1"/>
  <c r="M210" i="2" s="1"/>
  <c r="G153" i="2"/>
  <c r="M47" i="2"/>
  <c r="O68" i="2"/>
  <c r="O83" i="2" s="1"/>
  <c r="O84" i="2" s="1"/>
  <c r="O86" i="2" s="1"/>
  <c r="O93" i="2" s="1"/>
  <c r="O94" i="2" s="1"/>
  <c r="G88" i="2"/>
  <c r="N166" i="2"/>
  <c r="P178" i="2"/>
  <c r="J193" i="2"/>
  <c r="J215" i="2" s="1"/>
  <c r="J210" i="2" s="1"/>
  <c r="J289" i="2"/>
  <c r="N47" i="2"/>
  <c r="G161" i="2"/>
  <c r="N186" i="2"/>
  <c r="K193" i="2"/>
  <c r="K215" i="2" s="1"/>
  <c r="K210" i="2" s="1"/>
  <c r="L299" i="2"/>
  <c r="P305" i="2"/>
  <c r="J22" i="2"/>
  <c r="P22" i="2"/>
  <c r="G53" i="2"/>
  <c r="G54" i="2" s="1"/>
  <c r="H68" i="2"/>
  <c r="H83" i="2" s="1"/>
  <c r="H84" i="2" s="1"/>
  <c r="P68" i="2"/>
  <c r="P83" i="2" s="1"/>
  <c r="P84" i="2" s="1"/>
  <c r="P86" i="2" s="1"/>
  <c r="P93" i="2" s="1"/>
  <c r="P94" i="2" s="1"/>
  <c r="O47" i="2"/>
  <c r="L193" i="2"/>
  <c r="L215" i="2" s="1"/>
  <c r="L210" i="2" s="1"/>
  <c r="H200" i="2"/>
  <c r="P200" i="2"/>
  <c r="N54" i="2"/>
  <c r="I144" i="2"/>
  <c r="Q144" i="2"/>
  <c r="O144" i="2"/>
  <c r="N178" i="2"/>
  <c r="Q200" i="2"/>
  <c r="K52" i="2"/>
  <c r="K54" i="2" s="1"/>
  <c r="Q47" i="2"/>
  <c r="G174" i="2"/>
  <c r="J200" i="2"/>
  <c r="G25" i="2"/>
  <c r="Q52" i="2"/>
  <c r="Q54" i="2" s="1"/>
  <c r="I68" i="2"/>
  <c r="I83" i="2" s="1"/>
  <c r="I84" i="2" s="1"/>
  <c r="I86" i="2" s="1"/>
  <c r="I93" i="2" s="1"/>
  <c r="I94" i="2" s="1"/>
  <c r="M144" i="2"/>
  <c r="L166" i="2"/>
  <c r="J178" i="2"/>
  <c r="L200" i="2"/>
  <c r="I232" i="2"/>
  <c r="G285" i="2"/>
  <c r="M323" i="2"/>
  <c r="M68" i="2"/>
  <c r="M83" i="2" s="1"/>
  <c r="M84" i="2" s="1"/>
  <c r="M86" i="2" s="1"/>
  <c r="M93" i="2" s="1"/>
  <c r="M94" i="2" s="1"/>
  <c r="L178" i="2"/>
  <c r="J284" i="2"/>
  <c r="O323" i="2"/>
  <c r="G70" i="2"/>
  <c r="G76" i="2" s="1"/>
  <c r="P144" i="2"/>
  <c r="J232" i="2"/>
  <c r="P323" i="2"/>
  <c r="G23" i="2"/>
  <c r="F54" i="2"/>
  <c r="Q193" i="2"/>
  <c r="Q215" i="2" s="1"/>
  <c r="Q210" i="2" s="1"/>
  <c r="I22" i="2"/>
  <c r="G102" i="2"/>
  <c r="G50" i="2" s="1"/>
  <c r="J186" i="2"/>
  <c r="N289" i="2"/>
  <c r="G146" i="2"/>
  <c r="G152" i="2"/>
  <c r="G150" i="2" s="1"/>
  <c r="J54" i="2"/>
  <c r="G307" i="2"/>
  <c r="E307" i="2" s="1"/>
  <c r="K22" i="2"/>
  <c r="K47" i="2"/>
  <c r="G181" i="2"/>
  <c r="G179" i="2" s="1"/>
  <c r="M186" i="2"/>
  <c r="G301" i="2"/>
  <c r="N144" i="2"/>
  <c r="K31" i="2"/>
  <c r="L47" i="2"/>
  <c r="I160" i="2"/>
  <c r="I159" i="2" s="1"/>
  <c r="I148" i="2" s="1"/>
  <c r="I178" i="2"/>
  <c r="H299" i="2"/>
  <c r="I284" i="2"/>
  <c r="L68" i="2"/>
  <c r="L83" i="2" s="1"/>
  <c r="L84" i="2" s="1"/>
  <c r="L86" i="2" s="1"/>
  <c r="L93" i="2" s="1"/>
  <c r="L94" i="2" s="1"/>
  <c r="E96" i="2"/>
  <c r="J160" i="2"/>
  <c r="J159" i="2" s="1"/>
  <c r="J148" i="2" s="1"/>
  <c r="Q284" i="2"/>
  <c r="M299" i="2"/>
  <c r="O193" i="2"/>
  <c r="O215" i="2" s="1"/>
  <c r="O210" i="2" s="1"/>
  <c r="H193" i="2"/>
  <c r="H215" i="2" s="1"/>
  <c r="H210" i="2" s="1"/>
  <c r="N160" i="2"/>
  <c r="N159" i="2" s="1"/>
  <c r="N148" i="2" s="1"/>
  <c r="P273" i="2"/>
  <c r="G12" i="2"/>
  <c r="L22" i="2"/>
  <c r="M52" i="2"/>
  <c r="M54" i="2" s="1"/>
  <c r="G126" i="2"/>
  <c r="E126" i="2"/>
  <c r="O160" i="2"/>
  <c r="O159" i="2" s="1"/>
  <c r="O148" i="2" s="1"/>
  <c r="G196" i="2"/>
  <c r="G194" i="2" s="1"/>
  <c r="K200" i="2"/>
  <c r="Q232" i="2"/>
  <c r="M200" i="2"/>
  <c r="O273" i="2"/>
  <c r="M22" i="2"/>
  <c r="I31" i="2"/>
  <c r="G96" i="2"/>
  <c r="J144" i="2"/>
  <c r="K144" i="2"/>
  <c r="K178" i="2"/>
  <c r="G234" i="2"/>
  <c r="J323" i="2"/>
  <c r="O186" i="2"/>
  <c r="L186" i="2"/>
  <c r="G17" i="2"/>
  <c r="O22" i="2"/>
  <c r="G26" i="2"/>
  <c r="Q31" i="2"/>
  <c r="E47" i="2"/>
  <c r="J68" i="2"/>
  <c r="J83" i="2" s="1"/>
  <c r="J84" i="2" s="1"/>
  <c r="J86" i="2" s="1"/>
  <c r="J93" i="2" s="1"/>
  <c r="J94" i="2" s="1"/>
  <c r="L144" i="2"/>
  <c r="H160" i="2"/>
  <c r="H159" i="2" s="1"/>
  <c r="H148" i="2" s="1"/>
  <c r="M178" i="2"/>
  <c r="G233" i="2"/>
  <c r="O284" i="2"/>
  <c r="N299" i="2"/>
  <c r="Q299" i="2"/>
  <c r="L323" i="2"/>
  <c r="Q68" i="2"/>
  <c r="Q83" i="2" s="1"/>
  <c r="Q84" i="2" s="1"/>
  <c r="Q86" i="2" s="1"/>
  <c r="Q93" i="2" s="1"/>
  <c r="Q94" i="2" s="1"/>
  <c r="Q186" i="2"/>
  <c r="P299" i="2"/>
  <c r="K323" i="2"/>
  <c r="Q22" i="2"/>
  <c r="H52" i="2"/>
  <c r="H54" i="2" s="1"/>
  <c r="P47" i="2"/>
  <c r="I166" i="2"/>
  <c r="O178" i="2"/>
  <c r="N193" i="2"/>
  <c r="N215" i="2" s="1"/>
  <c r="N210" i="2" s="1"/>
  <c r="G24" i="2"/>
  <c r="P186" i="2"/>
  <c r="G286" i="2"/>
  <c r="L160" i="2"/>
  <c r="L159" i="2" s="1"/>
  <c r="L148" i="2" s="1"/>
  <c r="Q178" i="2"/>
  <c r="G189" i="2"/>
  <c r="G187" i="2" s="1"/>
  <c r="P193" i="2"/>
  <c r="P215" i="2" s="1"/>
  <c r="P210" i="2" s="1"/>
  <c r="G203" i="2"/>
  <c r="I299" i="2"/>
  <c r="H47" i="2"/>
  <c r="J47" i="2"/>
  <c r="I187" i="2"/>
  <c r="I186" i="2" s="1"/>
  <c r="G75" i="2"/>
  <c r="K68" i="2"/>
  <c r="F86" i="2"/>
  <c r="F93" i="2" s="1"/>
  <c r="F82" i="2"/>
  <c r="F104" i="2"/>
  <c r="J28" i="2"/>
  <c r="N28" i="2"/>
  <c r="N27" i="2" s="1"/>
  <c r="H29" i="2"/>
  <c r="L29" i="2"/>
  <c r="P29" i="2"/>
  <c r="J30" i="2"/>
  <c r="N30" i="2"/>
  <c r="N31" i="2"/>
  <c r="N68" i="2"/>
  <c r="G110" i="2"/>
  <c r="H117" i="2"/>
  <c r="H118" i="2" s="1"/>
  <c r="L117" i="2"/>
  <c r="L118" i="2" s="1"/>
  <c r="P117" i="2"/>
  <c r="P118" i="2" s="1"/>
  <c r="K160" i="2"/>
  <c r="K159" i="2" s="1"/>
  <c r="K148" i="2" s="1"/>
  <c r="K28" i="2"/>
  <c r="O28" i="2"/>
  <c r="O27" i="2" s="1"/>
  <c r="I29" i="2"/>
  <c r="M29" i="2"/>
  <c r="Q29" i="2"/>
  <c r="K30" i="2"/>
  <c r="O30" i="2"/>
  <c r="J31" i="2"/>
  <c r="O31" i="2"/>
  <c r="E90" i="2"/>
  <c r="E88" i="2" s="1"/>
  <c r="G198" i="2"/>
  <c r="I199" i="2"/>
  <c r="H22" i="2"/>
  <c r="H28" i="2"/>
  <c r="L28" i="2"/>
  <c r="P28" i="2"/>
  <c r="P27" i="2" s="1"/>
  <c r="H30" i="2"/>
  <c r="L30" i="2"/>
  <c r="P30" i="2"/>
  <c r="I54" i="2"/>
  <c r="G69" i="2"/>
  <c r="J117" i="2"/>
  <c r="J118" i="2" s="1"/>
  <c r="N117" i="2"/>
  <c r="N118" i="2" s="1"/>
  <c r="G173" i="2"/>
  <c r="I28" i="2"/>
  <c r="M28" i="2"/>
  <c r="Q28" i="2"/>
  <c r="Q27" i="2" s="1"/>
  <c r="M30" i="2"/>
  <c r="G122" i="2"/>
  <c r="G192" i="2"/>
  <c r="G190" i="2" s="1"/>
  <c r="H190" i="2"/>
  <c r="H186" i="2" s="1"/>
  <c r="G201" i="2"/>
  <c r="I200" i="2"/>
  <c r="H144" i="2"/>
  <c r="G145" i="2"/>
  <c r="G149" i="2"/>
  <c r="G167" i="2"/>
  <c r="K166" i="2"/>
  <c r="O166" i="2"/>
  <c r="G184" i="2"/>
  <c r="G182" i="2" s="1"/>
  <c r="J299" i="2"/>
  <c r="G300" i="2"/>
  <c r="I323" i="2"/>
  <c r="G324" i="2"/>
  <c r="G213" i="2"/>
  <c r="G211" i="2"/>
  <c r="H232" i="2"/>
  <c r="L232" i="2"/>
  <c r="P232" i="2"/>
  <c r="R287" i="2"/>
  <c r="E287" i="2"/>
  <c r="G289" i="2"/>
  <c r="G257" i="2"/>
  <c r="H273" i="2"/>
  <c r="G274" i="2"/>
  <c r="H305" i="2"/>
  <c r="G308" i="2"/>
  <c r="G302" i="2"/>
  <c r="G292" i="2"/>
  <c r="K299" i="2"/>
  <c r="O299" i="2"/>
  <c r="N323" i="2"/>
  <c r="G325" i="2"/>
  <c r="H284" i="2"/>
  <c r="P284" i="2"/>
  <c r="G303" i="2"/>
  <c r="G310" i="2"/>
  <c r="G160" i="2" l="1"/>
  <c r="G305" i="2"/>
  <c r="O185" i="2"/>
  <c r="O147" i="2" s="1"/>
  <c r="G232" i="2"/>
  <c r="M185" i="2"/>
  <c r="M147" i="2" s="1"/>
  <c r="G284" i="2"/>
  <c r="G200" i="2"/>
  <c r="G273" i="2"/>
  <c r="L185" i="2"/>
  <c r="L147" i="2" s="1"/>
  <c r="G162" i="2"/>
  <c r="H185" i="2"/>
  <c r="H147" i="2" s="1"/>
  <c r="Q185" i="2"/>
  <c r="Q147" i="2" s="1"/>
  <c r="G178" i="2"/>
  <c r="J185" i="2"/>
  <c r="J147" i="2" s="1"/>
  <c r="G144" i="2"/>
  <c r="R52" i="2"/>
  <c r="P185" i="2"/>
  <c r="P147" i="2" s="1"/>
  <c r="K185" i="2"/>
  <c r="K147" i="2" s="1"/>
  <c r="G186" i="2"/>
  <c r="G68" i="2"/>
  <c r="G22" i="2"/>
  <c r="I27" i="2"/>
  <c r="I315" i="2" s="1"/>
  <c r="G323" i="2"/>
  <c r="N185" i="2"/>
  <c r="N147" i="2" s="1"/>
  <c r="G159" i="2"/>
  <c r="G148" i="2" s="1"/>
  <c r="P313" i="2"/>
  <c r="P296" i="2"/>
  <c r="P316" i="2"/>
  <c r="P315" i="2"/>
  <c r="P298" i="2"/>
  <c r="P297" i="2"/>
  <c r="P283" i="2"/>
  <c r="P282" i="2"/>
  <c r="P281" i="2"/>
  <c r="P272" i="2"/>
  <c r="P256" i="2"/>
  <c r="P246" i="2"/>
  <c r="P241" i="2"/>
  <c r="P228" i="2"/>
  <c r="P314" i="2"/>
  <c r="P295" i="2"/>
  <c r="P280" i="2"/>
  <c r="P269" i="2"/>
  <c r="P271" i="2"/>
  <c r="P248" i="2"/>
  <c r="P247" i="2"/>
  <c r="P245" i="2"/>
  <c r="P140" i="2"/>
  <c r="P255" i="2"/>
  <c r="P254" i="2"/>
  <c r="P253" i="2"/>
  <c r="P240" i="2"/>
  <c r="P238" i="2"/>
  <c r="P142" i="2"/>
  <c r="P109" i="2"/>
  <c r="P141" i="2"/>
  <c r="P230" i="2"/>
  <c r="P107" i="2"/>
  <c r="P65" i="2"/>
  <c r="P239" i="2"/>
  <c r="P229" i="2"/>
  <c r="P108" i="2"/>
  <c r="P66" i="2"/>
  <c r="P106" i="2"/>
  <c r="P64" i="2"/>
  <c r="P63" i="2"/>
  <c r="P270" i="2"/>
  <c r="P143" i="2"/>
  <c r="P231" i="2"/>
  <c r="I197" i="2"/>
  <c r="I193" i="2" s="1"/>
  <c r="G199" i="2"/>
  <c r="G197" i="2" s="1"/>
  <c r="G193" i="2" s="1"/>
  <c r="R110" i="2"/>
  <c r="G117" i="2"/>
  <c r="K27" i="2"/>
  <c r="H86" i="2"/>
  <c r="Q315" i="2"/>
  <c r="Q314" i="2"/>
  <c r="Q297" i="2"/>
  <c r="Q281" i="2"/>
  <c r="Q296" i="2"/>
  <c r="Q295" i="2"/>
  <c r="Q280" i="2"/>
  <c r="Q269" i="2"/>
  <c r="Q253" i="2"/>
  <c r="Q247" i="2"/>
  <c r="Q238" i="2"/>
  <c r="Q229" i="2"/>
  <c r="Q313" i="2"/>
  <c r="Q270" i="2"/>
  <c r="Q246" i="2"/>
  <c r="Q245" i="2"/>
  <c r="Q241" i="2"/>
  <c r="Q272" i="2"/>
  <c r="Q256" i="2"/>
  <c r="Q255" i="2"/>
  <c r="Q254" i="2"/>
  <c r="Q316" i="2"/>
  <c r="Q282" i="2"/>
  <c r="Q271" i="2"/>
  <c r="Q240" i="2"/>
  <c r="Q141" i="2"/>
  <c r="Q108" i="2"/>
  <c r="Q298" i="2"/>
  <c r="Q283" i="2"/>
  <c r="Q239" i="2"/>
  <c r="Q231" i="2"/>
  <c r="Q230" i="2"/>
  <c r="Q143" i="2"/>
  <c r="Q228" i="2"/>
  <c r="Q142" i="2"/>
  <c r="Q109" i="2"/>
  <c r="Q66" i="2"/>
  <c r="Q107" i="2"/>
  <c r="Q106" i="2"/>
  <c r="Q65" i="2"/>
  <c r="Q64" i="2"/>
  <c r="Q63" i="2"/>
  <c r="Q140" i="2"/>
  <c r="Q248" i="2"/>
  <c r="H27" i="2"/>
  <c r="N316" i="2"/>
  <c r="N298" i="2"/>
  <c r="N282" i="2"/>
  <c r="N270" i="2"/>
  <c r="N254" i="2"/>
  <c r="N248" i="2"/>
  <c r="N239" i="2"/>
  <c r="N230" i="2"/>
  <c r="N283" i="2"/>
  <c r="N271" i="2"/>
  <c r="N315" i="2"/>
  <c r="N281" i="2"/>
  <c r="N269" i="2"/>
  <c r="N256" i="2"/>
  <c r="N255" i="2"/>
  <c r="N297" i="2"/>
  <c r="N296" i="2"/>
  <c r="N295" i="2"/>
  <c r="N247" i="2"/>
  <c r="N246" i="2"/>
  <c r="N245" i="2"/>
  <c r="N241" i="2"/>
  <c r="N240" i="2"/>
  <c r="N314" i="2"/>
  <c r="N231" i="2"/>
  <c r="N142" i="2"/>
  <c r="N109" i="2"/>
  <c r="N280" i="2"/>
  <c r="N229" i="2"/>
  <c r="N228" i="2"/>
  <c r="N313" i="2"/>
  <c r="N272" i="2"/>
  <c r="N253" i="2"/>
  <c r="N238" i="2"/>
  <c r="N140" i="2"/>
  <c r="N143" i="2"/>
  <c r="N63" i="2"/>
  <c r="N141" i="2"/>
  <c r="N108" i="2"/>
  <c r="N107" i="2"/>
  <c r="N106" i="2"/>
  <c r="N66" i="2"/>
  <c r="N65" i="2"/>
  <c r="N64" i="2"/>
  <c r="F94" i="2"/>
  <c r="O295" i="2"/>
  <c r="O283" i="2"/>
  <c r="O271" i="2"/>
  <c r="O255" i="2"/>
  <c r="O245" i="2"/>
  <c r="O240" i="2"/>
  <c r="O231" i="2"/>
  <c r="O316" i="2"/>
  <c r="O315" i="2"/>
  <c r="O298" i="2"/>
  <c r="O297" i="2"/>
  <c r="O296" i="2"/>
  <c r="O282" i="2"/>
  <c r="O281" i="2"/>
  <c r="O272" i="2"/>
  <c r="O314" i="2"/>
  <c r="O313" i="2"/>
  <c r="O280" i="2"/>
  <c r="O254" i="2"/>
  <c r="O253" i="2"/>
  <c r="O270" i="2"/>
  <c r="O239" i="2"/>
  <c r="O238" i="2"/>
  <c r="O248" i="2"/>
  <c r="O247" i="2"/>
  <c r="O246" i="2"/>
  <c r="O230" i="2"/>
  <c r="O229" i="2"/>
  <c r="O228" i="2"/>
  <c r="O143" i="2"/>
  <c r="O256" i="2"/>
  <c r="O269" i="2"/>
  <c r="O141" i="2"/>
  <c r="O108" i="2"/>
  <c r="O241" i="2"/>
  <c r="O140" i="2"/>
  <c r="O106" i="2"/>
  <c r="O64" i="2"/>
  <c r="O109" i="2"/>
  <c r="O142" i="2"/>
  <c r="O107" i="2"/>
  <c r="O66" i="2"/>
  <c r="O65" i="2"/>
  <c r="O63" i="2"/>
  <c r="F50" i="2"/>
  <c r="F61" i="2"/>
  <c r="L27" i="2"/>
  <c r="G166" i="2"/>
  <c r="G56" i="2"/>
  <c r="G47" i="2" s="1"/>
  <c r="E289" i="2"/>
  <c r="E52" i="2"/>
  <c r="E54" i="2" s="1"/>
  <c r="G299" i="2"/>
  <c r="G124" i="2"/>
  <c r="R122" i="2"/>
  <c r="E122" i="2"/>
  <c r="M27" i="2"/>
  <c r="G118" i="2"/>
  <c r="N83" i="2"/>
  <c r="N84" i="2" s="1"/>
  <c r="N86" i="2" s="1"/>
  <c r="N93" i="2" s="1"/>
  <c r="N94" i="2" s="1"/>
  <c r="J27" i="2"/>
  <c r="K83" i="2"/>
  <c r="K84" i="2" s="1"/>
  <c r="K86" i="2" s="1"/>
  <c r="K93" i="2" s="1"/>
  <c r="K94" i="2" s="1"/>
  <c r="I271" i="2" l="1"/>
  <c r="I296" i="2"/>
  <c r="I63" i="2"/>
  <c r="I230" i="2"/>
  <c r="I298" i="2"/>
  <c r="I107" i="2"/>
  <c r="I241" i="2"/>
  <c r="I247" i="2"/>
  <c r="I142" i="2"/>
  <c r="I254" i="2"/>
  <c r="I281" i="2"/>
  <c r="I64" i="2"/>
  <c r="I140" i="2"/>
  <c r="I228" i="2"/>
  <c r="I231" i="2"/>
  <c r="I255" i="2"/>
  <c r="I316" i="2"/>
  <c r="I297" i="2"/>
  <c r="I65" i="2"/>
  <c r="I66" i="2"/>
  <c r="I143" i="2"/>
  <c r="I108" i="2"/>
  <c r="I239" i="2"/>
  <c r="I246" i="2"/>
  <c r="I256" i="2"/>
  <c r="I282" i="2"/>
  <c r="I229" i="2"/>
  <c r="I269" i="2"/>
  <c r="I314" i="2"/>
  <c r="I313" i="2"/>
  <c r="I245" i="2"/>
  <c r="I270" i="2"/>
  <c r="I253" i="2"/>
  <c r="I106" i="2"/>
  <c r="I109" i="2"/>
  <c r="I248" i="2"/>
  <c r="I141" i="2"/>
  <c r="I240" i="2"/>
  <c r="I272" i="2"/>
  <c r="I295" i="2"/>
  <c r="I283" i="2"/>
  <c r="I238" i="2"/>
  <c r="I280" i="2"/>
  <c r="P279" i="2"/>
  <c r="P276" i="2" s="1"/>
  <c r="P278" i="2" s="1"/>
  <c r="G185" i="2"/>
  <c r="G147" i="2" s="1"/>
  <c r="P227" i="2"/>
  <c r="P224" i="2" s="1"/>
  <c r="P226" i="2" s="1"/>
  <c r="N62" i="2"/>
  <c r="N85" i="2" s="1"/>
  <c r="N82" i="2" s="1"/>
  <c r="N67" i="2" s="1"/>
  <c r="N242" i="2"/>
  <c r="N244" i="2" s="1"/>
  <c r="O279" i="2"/>
  <c r="O276" i="2" s="1"/>
  <c r="O278" i="2" s="1"/>
  <c r="P252" i="2"/>
  <c r="P249" i="2" s="1"/>
  <c r="P251" i="2" s="1"/>
  <c r="G84" i="2"/>
  <c r="N268" i="2"/>
  <c r="N265" i="2" s="1"/>
  <c r="N267" i="2" s="1"/>
  <c r="O252" i="2"/>
  <c r="O249" i="2" s="1"/>
  <c r="O251" i="2" s="1"/>
  <c r="Q235" i="2"/>
  <c r="Q237" i="2" s="1"/>
  <c r="P312" i="2"/>
  <c r="P309" i="2" s="1"/>
  <c r="P311" i="2" s="1"/>
  <c r="O227" i="2"/>
  <c r="O224" i="2" s="1"/>
  <c r="O226" i="2" s="1"/>
  <c r="O312" i="2"/>
  <c r="O309" i="2" s="1"/>
  <c r="O311" i="2" s="1"/>
  <c r="Q139" i="2"/>
  <c r="Q138" i="2" s="1"/>
  <c r="G83" i="2"/>
  <c r="E83" i="2" s="1"/>
  <c r="E84" i="2" s="1"/>
  <c r="E86" i="2" s="1"/>
  <c r="N252" i="2"/>
  <c r="N249" i="2" s="1"/>
  <c r="N251" i="2" s="1"/>
  <c r="P242" i="2"/>
  <c r="P244" i="2" s="1"/>
  <c r="N105" i="2"/>
  <c r="N119" i="2" s="1"/>
  <c r="N116" i="2" s="1"/>
  <c r="N101" i="2" s="1"/>
  <c r="N104" i="2" s="1"/>
  <c r="M315" i="2"/>
  <c r="M314" i="2"/>
  <c r="M297" i="2"/>
  <c r="M281" i="2"/>
  <c r="M313" i="2"/>
  <c r="M280" i="2"/>
  <c r="M269" i="2"/>
  <c r="M253" i="2"/>
  <c r="M247" i="2"/>
  <c r="M238" i="2"/>
  <c r="M229" i="2"/>
  <c r="M270" i="2"/>
  <c r="M316" i="2"/>
  <c r="M283" i="2"/>
  <c r="M282" i="2"/>
  <c r="M272" i="2"/>
  <c r="M298" i="2"/>
  <c r="M248" i="2"/>
  <c r="M295" i="2"/>
  <c r="M241" i="2"/>
  <c r="M239" i="2"/>
  <c r="M141" i="2"/>
  <c r="M108" i="2"/>
  <c r="M271" i="2"/>
  <c r="M246" i="2"/>
  <c r="M245" i="2"/>
  <c r="M231" i="2"/>
  <c r="M230" i="2"/>
  <c r="M296" i="2"/>
  <c r="M256" i="2"/>
  <c r="M255" i="2"/>
  <c r="M254" i="2"/>
  <c r="M240" i="2"/>
  <c r="M228" i="2"/>
  <c r="M143" i="2"/>
  <c r="M142" i="2"/>
  <c r="M66" i="2"/>
  <c r="M109" i="2"/>
  <c r="M140" i="2"/>
  <c r="M107" i="2"/>
  <c r="M106" i="2"/>
  <c r="M65" i="2"/>
  <c r="M64" i="2"/>
  <c r="M63" i="2"/>
  <c r="Q242" i="2"/>
  <c r="Q244" i="2" s="1"/>
  <c r="Q268" i="2"/>
  <c r="Q265" i="2" s="1"/>
  <c r="Q267" i="2" s="1"/>
  <c r="P268" i="2"/>
  <c r="P265" i="2" s="1"/>
  <c r="P267" i="2" s="1"/>
  <c r="E124" i="2"/>
  <c r="E125" i="2"/>
  <c r="F47" i="2"/>
  <c r="F51" i="2"/>
  <c r="O105" i="2"/>
  <c r="O242" i="2"/>
  <c r="O244" i="2" s="1"/>
  <c r="O294" i="2"/>
  <c r="O291" i="2" s="1"/>
  <c r="O293" i="2" s="1"/>
  <c r="N279" i="2"/>
  <c r="N276" i="2" s="1"/>
  <c r="N278" i="2" s="1"/>
  <c r="Q105" i="2"/>
  <c r="Q279" i="2"/>
  <c r="Q276" i="2" s="1"/>
  <c r="Q278" i="2" s="1"/>
  <c r="H93" i="2"/>
  <c r="G86" i="2"/>
  <c r="I215" i="2"/>
  <c r="I185" i="2"/>
  <c r="I147" i="2" s="1"/>
  <c r="P62" i="2"/>
  <c r="O62" i="2"/>
  <c r="O139" i="2"/>
  <c r="O138" i="2" s="1"/>
  <c r="O268" i="2"/>
  <c r="O265" i="2" s="1"/>
  <c r="O267" i="2" s="1"/>
  <c r="N139" i="2"/>
  <c r="N138" i="2" s="1"/>
  <c r="N312" i="2"/>
  <c r="N309" i="2" s="1"/>
  <c r="N311" i="2" s="1"/>
  <c r="H313" i="2"/>
  <c r="H296" i="2"/>
  <c r="H272" i="2"/>
  <c r="H256" i="2"/>
  <c r="H246" i="2"/>
  <c r="H241" i="2"/>
  <c r="H228" i="2"/>
  <c r="H280" i="2"/>
  <c r="H269" i="2"/>
  <c r="H316" i="2"/>
  <c r="H315" i="2"/>
  <c r="H298" i="2"/>
  <c r="H297" i="2"/>
  <c r="H271" i="2"/>
  <c r="H283" i="2"/>
  <c r="H282" i="2"/>
  <c r="H281" i="2"/>
  <c r="H248" i="2"/>
  <c r="H247" i="2"/>
  <c r="H255" i="2"/>
  <c r="H254" i="2"/>
  <c r="H253" i="2"/>
  <c r="H140" i="2"/>
  <c r="H314" i="2"/>
  <c r="H295" i="2"/>
  <c r="H270" i="2"/>
  <c r="H240" i="2"/>
  <c r="H238" i="2"/>
  <c r="H231" i="2"/>
  <c r="H230" i="2"/>
  <c r="H229" i="2"/>
  <c r="H142" i="2"/>
  <c r="H109" i="2"/>
  <c r="H239" i="2"/>
  <c r="H141" i="2"/>
  <c r="H107" i="2"/>
  <c r="H65" i="2"/>
  <c r="H245" i="2"/>
  <c r="H143" i="2"/>
  <c r="H66" i="2"/>
  <c r="H108" i="2"/>
  <c r="H106" i="2"/>
  <c r="H64" i="2"/>
  <c r="H63" i="2"/>
  <c r="Q62" i="2"/>
  <c r="Q227" i="2"/>
  <c r="Q224" i="2" s="1"/>
  <c r="Q226" i="2" s="1"/>
  <c r="Q294" i="2"/>
  <c r="Q291" i="2" s="1"/>
  <c r="Q293" i="2" s="1"/>
  <c r="K295" i="2"/>
  <c r="K283" i="2"/>
  <c r="K316" i="2"/>
  <c r="K315" i="2"/>
  <c r="K298" i="2"/>
  <c r="K297" i="2"/>
  <c r="K296" i="2"/>
  <c r="K282" i="2"/>
  <c r="K281" i="2"/>
  <c r="K271" i="2"/>
  <c r="K255" i="2"/>
  <c r="K245" i="2"/>
  <c r="K240" i="2"/>
  <c r="K231" i="2"/>
  <c r="K314" i="2"/>
  <c r="K313" i="2"/>
  <c r="K272" i="2"/>
  <c r="K270" i="2"/>
  <c r="K248" i="2"/>
  <c r="K247" i="2"/>
  <c r="K246" i="2"/>
  <c r="K280" i="2"/>
  <c r="K256" i="2"/>
  <c r="K238" i="2"/>
  <c r="K143" i="2"/>
  <c r="K241" i="2"/>
  <c r="K239" i="2"/>
  <c r="K141" i="2"/>
  <c r="K108" i="2"/>
  <c r="K269" i="2"/>
  <c r="K254" i="2"/>
  <c r="K229" i="2"/>
  <c r="K140" i="2"/>
  <c r="K253" i="2"/>
  <c r="K230" i="2"/>
  <c r="K228" i="2"/>
  <c r="K106" i="2"/>
  <c r="K64" i="2"/>
  <c r="K107" i="2"/>
  <c r="K66" i="2"/>
  <c r="K65" i="2"/>
  <c r="K63" i="2"/>
  <c r="K142" i="2"/>
  <c r="K109" i="2"/>
  <c r="P235" i="2"/>
  <c r="P237" i="2" s="1"/>
  <c r="P294" i="2"/>
  <c r="P291" i="2" s="1"/>
  <c r="P293" i="2" s="1"/>
  <c r="J316" i="2"/>
  <c r="J298" i="2"/>
  <c r="J282" i="2"/>
  <c r="J283" i="2"/>
  <c r="J270" i="2"/>
  <c r="J254" i="2"/>
  <c r="J248" i="2"/>
  <c r="J239" i="2"/>
  <c r="J230" i="2"/>
  <c r="J315" i="2"/>
  <c r="J297" i="2"/>
  <c r="J296" i="2"/>
  <c r="J295" i="2"/>
  <c r="J281" i="2"/>
  <c r="J271" i="2"/>
  <c r="J253" i="2"/>
  <c r="J314" i="2"/>
  <c r="J313" i="2"/>
  <c r="J269" i="2"/>
  <c r="J238" i="2"/>
  <c r="J240" i="2"/>
  <c r="J229" i="2"/>
  <c r="J228" i="2"/>
  <c r="J142" i="2"/>
  <c r="J109" i="2"/>
  <c r="J280" i="2"/>
  <c r="J247" i="2"/>
  <c r="J246" i="2"/>
  <c r="J245" i="2"/>
  <c r="J241" i="2"/>
  <c r="J140" i="2"/>
  <c r="J231" i="2"/>
  <c r="J143" i="2"/>
  <c r="J272" i="2"/>
  <c r="J256" i="2"/>
  <c r="J63" i="2"/>
  <c r="J141" i="2"/>
  <c r="J107" i="2"/>
  <c r="J106" i="2"/>
  <c r="J66" i="2"/>
  <c r="J65" i="2"/>
  <c r="J64" i="2"/>
  <c r="J108" i="2"/>
  <c r="J255" i="2"/>
  <c r="L313" i="2"/>
  <c r="L296" i="2"/>
  <c r="L314" i="2"/>
  <c r="L295" i="2"/>
  <c r="L272" i="2"/>
  <c r="L256" i="2"/>
  <c r="L246" i="2"/>
  <c r="L241" i="2"/>
  <c r="L228" i="2"/>
  <c r="L280" i="2"/>
  <c r="L269" i="2"/>
  <c r="L316" i="2"/>
  <c r="L245" i="2"/>
  <c r="L315" i="2"/>
  <c r="L271" i="2"/>
  <c r="L255" i="2"/>
  <c r="L254" i="2"/>
  <c r="L253" i="2"/>
  <c r="L297" i="2"/>
  <c r="L270" i="2"/>
  <c r="L140" i="2"/>
  <c r="L282" i="2"/>
  <c r="L248" i="2"/>
  <c r="L247" i="2"/>
  <c r="L239" i="2"/>
  <c r="L298" i="2"/>
  <c r="L231" i="2"/>
  <c r="L230" i="2"/>
  <c r="L229" i="2"/>
  <c r="L142" i="2"/>
  <c r="L109" i="2"/>
  <c r="L283" i="2"/>
  <c r="L281" i="2"/>
  <c r="L238" i="2"/>
  <c r="L240" i="2"/>
  <c r="L141" i="2"/>
  <c r="L108" i="2"/>
  <c r="L107" i="2"/>
  <c r="L65" i="2"/>
  <c r="L106" i="2"/>
  <c r="L64" i="2"/>
  <c r="L63" i="2"/>
  <c r="L143" i="2"/>
  <c r="L66" i="2"/>
  <c r="O235" i="2"/>
  <c r="O237" i="2" s="1"/>
  <c r="I139" i="2"/>
  <c r="I138" i="2" s="1"/>
  <c r="N235" i="2"/>
  <c r="N237" i="2" s="1"/>
  <c r="N227" i="2"/>
  <c r="N224" i="2" s="1"/>
  <c r="N226" i="2" s="1"/>
  <c r="N294" i="2"/>
  <c r="N291" i="2" s="1"/>
  <c r="N293" i="2" s="1"/>
  <c r="Q312" i="2"/>
  <c r="Q309" i="2" s="1"/>
  <c r="Q311" i="2" s="1"/>
  <c r="Q252" i="2"/>
  <c r="Q249" i="2" s="1"/>
  <c r="Q251" i="2" s="1"/>
  <c r="P105" i="2"/>
  <c r="P139" i="2"/>
  <c r="P138" i="2" s="1"/>
  <c r="I312" i="2" l="1"/>
  <c r="I309" i="2" s="1"/>
  <c r="I311" i="2" s="1"/>
  <c r="I227" i="2"/>
  <c r="I224" i="2" s="1"/>
  <c r="I226" i="2" s="1"/>
  <c r="I235" i="2"/>
  <c r="I105" i="2"/>
  <c r="I294" i="2"/>
  <c r="I291" i="2" s="1"/>
  <c r="I293" i="2" s="1"/>
  <c r="I252" i="2"/>
  <c r="I249" i="2" s="1"/>
  <c r="I251" i="2" s="1"/>
  <c r="I279" i="2"/>
  <c r="I276" i="2" s="1"/>
  <c r="I278" i="2" s="1"/>
  <c r="I268" i="2"/>
  <c r="I265" i="2" s="1"/>
  <c r="I267" i="2" s="1"/>
  <c r="I242" i="2"/>
  <c r="I62" i="2"/>
  <c r="I85" i="2" s="1"/>
  <c r="I82" i="2" s="1"/>
  <c r="I67" i="2" s="1"/>
  <c r="I59" i="2" s="1"/>
  <c r="N59" i="2"/>
  <c r="N49" i="2" s="1"/>
  <c r="Q207" i="2"/>
  <c r="Q208" i="2" s="1"/>
  <c r="Q206" i="2" s="1"/>
  <c r="K62" i="2"/>
  <c r="J242" i="2"/>
  <c r="J244" i="2" s="1"/>
  <c r="L105" i="2"/>
  <c r="L119" i="2" s="1"/>
  <c r="L116" i="2" s="1"/>
  <c r="L101" i="2" s="1"/>
  <c r="L104" i="2" s="1"/>
  <c r="K279" i="2"/>
  <c r="K276" i="2" s="1"/>
  <c r="K278" i="2" s="1"/>
  <c r="L294" i="2"/>
  <c r="L291" i="2" s="1"/>
  <c r="L293" i="2" s="1"/>
  <c r="M235" i="2"/>
  <c r="M237" i="2" s="1"/>
  <c r="K268" i="2"/>
  <c r="K265" i="2" s="1"/>
  <c r="K267" i="2" s="1"/>
  <c r="G281" i="2"/>
  <c r="M294" i="2"/>
  <c r="M291" i="2" s="1"/>
  <c r="M293" i="2" s="1"/>
  <c r="M268" i="2"/>
  <c r="M265" i="2" s="1"/>
  <c r="M267" i="2" s="1"/>
  <c r="G271" i="2"/>
  <c r="M139" i="2"/>
  <c r="M138" i="2" s="1"/>
  <c r="M207" i="2" s="1"/>
  <c r="M208" i="2" s="1"/>
  <c r="M206" i="2" s="1"/>
  <c r="M242" i="2"/>
  <c r="M244" i="2" s="1"/>
  <c r="J294" i="2"/>
  <c r="J291" i="2" s="1"/>
  <c r="J293" i="2" s="1"/>
  <c r="G106" i="2"/>
  <c r="H105" i="2"/>
  <c r="G239" i="2"/>
  <c r="G270" i="2"/>
  <c r="H252" i="2"/>
  <c r="H249" i="2" s="1"/>
  <c r="G253" i="2"/>
  <c r="G316" i="2"/>
  <c r="O119" i="2"/>
  <c r="O116" i="2" s="1"/>
  <c r="O101" i="2" s="1"/>
  <c r="O104" i="2" s="1"/>
  <c r="J252" i="2"/>
  <c r="J249" i="2" s="1"/>
  <c r="J251" i="2" s="1"/>
  <c r="Q85" i="2"/>
  <c r="Q82" i="2" s="1"/>
  <c r="Q67" i="2" s="1"/>
  <c r="Q59" i="2" s="1"/>
  <c r="G65" i="2"/>
  <c r="G231" i="2"/>
  <c r="G254" i="2"/>
  <c r="G297" i="2"/>
  <c r="H268" i="2"/>
  <c r="H265" i="2" s="1"/>
  <c r="G269" i="2"/>
  <c r="G313" i="2"/>
  <c r="H312" i="2"/>
  <c r="M227" i="2"/>
  <c r="M224" i="2" s="1"/>
  <c r="M226" i="2" s="1"/>
  <c r="M279" i="2"/>
  <c r="M276" i="2" s="1"/>
  <c r="M278" i="2" s="1"/>
  <c r="P207" i="2"/>
  <c r="P208" i="2" s="1"/>
  <c r="P206" i="2" s="1"/>
  <c r="P135" i="2" s="1"/>
  <c r="I207" i="2"/>
  <c r="I208" i="2" s="1"/>
  <c r="I206" i="2" s="1"/>
  <c r="I209" i="2" s="1"/>
  <c r="L62" i="2"/>
  <c r="L235" i="2"/>
  <c r="L237" i="2" s="1"/>
  <c r="L252" i="2"/>
  <c r="L249" i="2" s="1"/>
  <c r="L251" i="2" s="1"/>
  <c r="L279" i="2"/>
  <c r="L276" i="2" s="1"/>
  <c r="L278" i="2" s="1"/>
  <c r="J105" i="2"/>
  <c r="J139" i="2"/>
  <c r="J138" i="2" s="1"/>
  <c r="J227" i="2"/>
  <c r="J224" i="2" s="1"/>
  <c r="J226" i="2" s="1"/>
  <c r="J268" i="2"/>
  <c r="J265" i="2" s="1"/>
  <c r="J267" i="2" s="1"/>
  <c r="K105" i="2"/>
  <c r="K139" i="2"/>
  <c r="K138" i="2" s="1"/>
  <c r="K294" i="2"/>
  <c r="K291" i="2" s="1"/>
  <c r="K293" i="2" s="1"/>
  <c r="G63" i="2"/>
  <c r="H62" i="2"/>
  <c r="G66" i="2"/>
  <c r="G107" i="2"/>
  <c r="G142" i="2"/>
  <c r="H235" i="2"/>
  <c r="G238" i="2"/>
  <c r="G314" i="2"/>
  <c r="G255" i="2"/>
  <c r="G282" i="2"/>
  <c r="G298" i="2"/>
  <c r="H279" i="2"/>
  <c r="H276" i="2" s="1"/>
  <c r="G280" i="2"/>
  <c r="G256" i="2"/>
  <c r="O207" i="2"/>
  <c r="O208" i="2" s="1"/>
  <c r="O206" i="2" s="1"/>
  <c r="O209" i="2" s="1"/>
  <c r="I210" i="2"/>
  <c r="G215" i="2"/>
  <c r="G210" i="2" s="1"/>
  <c r="Q119" i="2"/>
  <c r="Q116" i="2" s="1"/>
  <c r="Q101" i="2" s="1"/>
  <c r="Q104" i="2" s="1"/>
  <c r="M105" i="2"/>
  <c r="M312" i="2"/>
  <c r="M309" i="2" s="1"/>
  <c r="M311" i="2" s="1"/>
  <c r="G245" i="2"/>
  <c r="H242" i="2"/>
  <c r="G230" i="2"/>
  <c r="G248" i="2"/>
  <c r="G241" i="2"/>
  <c r="G296" i="2"/>
  <c r="P85" i="2"/>
  <c r="P82" i="2" s="1"/>
  <c r="P67" i="2" s="1"/>
  <c r="P59" i="2" s="1"/>
  <c r="H94" i="2"/>
  <c r="G93" i="2"/>
  <c r="L268" i="2"/>
  <c r="L265" i="2" s="1"/>
  <c r="L267" i="2" s="1"/>
  <c r="J62" i="2"/>
  <c r="J235" i="2"/>
  <c r="J237" i="2" s="1"/>
  <c r="K252" i="2"/>
  <c r="K249" i="2" s="1"/>
  <c r="K251" i="2" s="1"/>
  <c r="G108" i="2"/>
  <c r="G109" i="2"/>
  <c r="G295" i="2"/>
  <c r="H294" i="2"/>
  <c r="H291" i="2" s="1"/>
  <c r="G246" i="2"/>
  <c r="I119" i="2"/>
  <c r="I116" i="2" s="1"/>
  <c r="I101" i="2" s="1"/>
  <c r="I104" i="2" s="1"/>
  <c r="P119" i="2"/>
  <c r="P116" i="2" s="1"/>
  <c r="P101" i="2" s="1"/>
  <c r="P104" i="2" s="1"/>
  <c r="L139" i="2"/>
  <c r="L138" i="2" s="1"/>
  <c r="L242" i="2"/>
  <c r="L244" i="2" s="1"/>
  <c r="L227" i="2"/>
  <c r="L224" i="2" s="1"/>
  <c r="L226" i="2" s="1"/>
  <c r="L312" i="2"/>
  <c r="L309" i="2" s="1"/>
  <c r="L311" i="2" s="1"/>
  <c r="J279" i="2"/>
  <c r="J276" i="2" s="1"/>
  <c r="J278" i="2" s="1"/>
  <c r="J312" i="2"/>
  <c r="J309" i="2" s="1"/>
  <c r="J311" i="2" s="1"/>
  <c r="K227" i="2"/>
  <c r="K224" i="2" s="1"/>
  <c r="K226" i="2" s="1"/>
  <c r="K235" i="2"/>
  <c r="K237" i="2" s="1"/>
  <c r="K312" i="2"/>
  <c r="K309" i="2" s="1"/>
  <c r="K311" i="2" s="1"/>
  <c r="K242" i="2"/>
  <c r="K244" i="2" s="1"/>
  <c r="G64" i="2"/>
  <c r="G143" i="2"/>
  <c r="G141" i="2"/>
  <c r="G229" i="2"/>
  <c r="G240" i="2"/>
  <c r="G140" i="2"/>
  <c r="H139" i="2"/>
  <c r="H138" i="2" s="1"/>
  <c r="G247" i="2"/>
  <c r="G283" i="2"/>
  <c r="G315" i="2"/>
  <c r="G228" i="2"/>
  <c r="H227" i="2"/>
  <c r="H224" i="2" s="1"/>
  <c r="G272" i="2"/>
  <c r="N207" i="2"/>
  <c r="N208" i="2" s="1"/>
  <c r="N206" i="2" s="1"/>
  <c r="O85" i="2"/>
  <c r="O82" i="2" s="1"/>
  <c r="O67" i="2" s="1"/>
  <c r="O59" i="2" s="1"/>
  <c r="M62" i="2"/>
  <c r="M252" i="2"/>
  <c r="M249" i="2" s="1"/>
  <c r="M251" i="2" s="1"/>
  <c r="N61" i="2" l="1"/>
  <c r="K85" i="2"/>
  <c r="K82" i="2" s="1"/>
  <c r="K67" i="2" s="1"/>
  <c r="AE40" i="1"/>
  <c r="AD40" i="1" s="1"/>
  <c r="Q209" i="2"/>
  <c r="Q135" i="2"/>
  <c r="Q322" i="2" s="1"/>
  <c r="Q319" i="2" s="1"/>
  <c r="Q321" i="2" s="1"/>
  <c r="G62" i="2"/>
  <c r="G105" i="2"/>
  <c r="R105" i="2" s="1"/>
  <c r="P209" i="2"/>
  <c r="I135" i="2"/>
  <c r="I137" i="2" s="1"/>
  <c r="G268" i="2"/>
  <c r="P137" i="2"/>
  <c r="Q61" i="2"/>
  <c r="Q49" i="2"/>
  <c r="O61" i="2"/>
  <c r="O49" i="2"/>
  <c r="P322" i="2"/>
  <c r="P319" i="2" s="1"/>
  <c r="P321" i="2" s="1"/>
  <c r="P61" i="2"/>
  <c r="P49" i="2"/>
  <c r="M209" i="2"/>
  <c r="M135" i="2"/>
  <c r="N209" i="2"/>
  <c r="N135" i="2"/>
  <c r="I49" i="2"/>
  <c r="I61" i="2"/>
  <c r="H226" i="2"/>
  <c r="G224" i="2"/>
  <c r="H293" i="2"/>
  <c r="G291" i="2"/>
  <c r="J85" i="2"/>
  <c r="J82" i="2" s="1"/>
  <c r="J67" i="2" s="1"/>
  <c r="J59" i="2" s="1"/>
  <c r="G235" i="2"/>
  <c r="H237" i="2"/>
  <c r="K119" i="2"/>
  <c r="K116" i="2" s="1"/>
  <c r="K101" i="2" s="1"/>
  <c r="L85" i="2"/>
  <c r="L82" i="2" s="1"/>
  <c r="L67" i="2" s="1"/>
  <c r="L59" i="2" s="1"/>
  <c r="G252" i="2"/>
  <c r="H207" i="2"/>
  <c r="G294" i="2"/>
  <c r="G279" i="2"/>
  <c r="G139" i="2"/>
  <c r="G138" i="2" s="1"/>
  <c r="N51" i="2"/>
  <c r="O135" i="2"/>
  <c r="G276" i="2"/>
  <c r="H278" i="2"/>
  <c r="H318" i="2"/>
  <c r="H244" i="2"/>
  <c r="G242" i="2"/>
  <c r="H85" i="2"/>
  <c r="J119" i="2"/>
  <c r="J116" i="2" s="1"/>
  <c r="J101" i="2" s="1"/>
  <c r="J104" i="2" s="1"/>
  <c r="H119" i="2"/>
  <c r="G227" i="2"/>
  <c r="L207" i="2"/>
  <c r="L208" i="2" s="1"/>
  <c r="L206" i="2" s="1"/>
  <c r="L135" i="2" s="1"/>
  <c r="H267" i="2"/>
  <c r="G265" i="2"/>
  <c r="H251" i="2"/>
  <c r="G249" i="2"/>
  <c r="G94" i="2"/>
  <c r="E93" i="2"/>
  <c r="M85" i="2"/>
  <c r="M82" i="2" s="1"/>
  <c r="M67" i="2" s="1"/>
  <c r="M59" i="2" s="1"/>
  <c r="M119" i="2"/>
  <c r="M116" i="2" s="1"/>
  <c r="M101" i="2" s="1"/>
  <c r="M104" i="2" s="1"/>
  <c r="K207" i="2"/>
  <c r="K208" i="2" s="1"/>
  <c r="K206" i="2" s="1"/>
  <c r="K135" i="2" s="1"/>
  <c r="J207" i="2"/>
  <c r="J208" i="2" s="1"/>
  <c r="J206" i="2" s="1"/>
  <c r="G312" i="2"/>
  <c r="Q137" i="2" l="1"/>
  <c r="K104" i="2"/>
  <c r="AE51" i="1"/>
  <c r="K59" i="2"/>
  <c r="K61" i="2" s="1"/>
  <c r="AE41" i="1"/>
  <c r="AD41" i="1" s="1"/>
  <c r="I322" i="2"/>
  <c r="I319" i="2" s="1"/>
  <c r="I321" i="2" s="1"/>
  <c r="G207" i="2"/>
  <c r="J209" i="2"/>
  <c r="J135" i="2"/>
  <c r="J322" i="2" s="1"/>
  <c r="J319" i="2" s="1"/>
  <c r="J321" i="2" s="1"/>
  <c r="L209" i="2"/>
  <c r="J61" i="2"/>
  <c r="J49" i="2"/>
  <c r="L137" i="2"/>
  <c r="K137" i="2"/>
  <c r="M322" i="2"/>
  <c r="M319" i="2" s="1"/>
  <c r="M321" i="2" s="1"/>
  <c r="M61" i="2"/>
  <c r="M49" i="2"/>
  <c r="G318" i="2"/>
  <c r="G317" i="2" s="1"/>
  <c r="H317" i="2"/>
  <c r="H309" i="2" s="1"/>
  <c r="G237" i="2"/>
  <c r="R235" i="2"/>
  <c r="E235" i="2"/>
  <c r="E237" i="2" s="1"/>
  <c r="N137" i="2"/>
  <c r="N322" i="2"/>
  <c r="N319" i="2" s="1"/>
  <c r="N321" i="2" s="1"/>
  <c r="H116" i="2"/>
  <c r="G119" i="2"/>
  <c r="G226" i="2"/>
  <c r="R224" i="2"/>
  <c r="E224" i="2"/>
  <c r="E226" i="2" s="1"/>
  <c r="K209" i="2"/>
  <c r="G267" i="2"/>
  <c r="R265" i="2"/>
  <c r="E265" i="2"/>
  <c r="E267" i="2" s="1"/>
  <c r="G278" i="2"/>
  <c r="R276" i="2"/>
  <c r="E276" i="2"/>
  <c r="E278" i="2" s="1"/>
  <c r="Q51" i="2"/>
  <c r="G251" i="2"/>
  <c r="R249" i="2"/>
  <c r="E249" i="2"/>
  <c r="E251" i="2" s="1"/>
  <c r="L322" i="2"/>
  <c r="L319" i="2" s="1"/>
  <c r="L321" i="2" s="1"/>
  <c r="L61" i="2"/>
  <c r="L49" i="2"/>
  <c r="O51" i="2"/>
  <c r="G85" i="2"/>
  <c r="G82" i="2" s="1"/>
  <c r="G67" i="2" s="1"/>
  <c r="H82" i="2"/>
  <c r="H67" i="2" s="1"/>
  <c r="H59" i="2" s="1"/>
  <c r="I51" i="2"/>
  <c r="M137" i="2"/>
  <c r="Q327" i="2"/>
  <c r="R242" i="2"/>
  <c r="E242" i="2"/>
  <c r="E244" i="2" s="1"/>
  <c r="G244" i="2"/>
  <c r="O137" i="2"/>
  <c r="H208" i="2"/>
  <c r="G293" i="2"/>
  <c r="E291" i="2"/>
  <c r="E293" i="2" s="1"/>
  <c r="R291" i="2"/>
  <c r="P51" i="2"/>
  <c r="P327" i="2"/>
  <c r="P326" i="2" s="1"/>
  <c r="P58" i="2" s="1"/>
  <c r="O322" i="2"/>
  <c r="O319" i="2" s="1"/>
  <c r="K322" i="2" l="1"/>
  <c r="K319" i="2" s="1"/>
  <c r="K321" i="2" s="1"/>
  <c r="K49" i="2"/>
  <c r="AD51" i="1"/>
  <c r="AE37" i="1"/>
  <c r="I327" i="2"/>
  <c r="I326" i="2" s="1"/>
  <c r="I58" i="2" s="1"/>
  <c r="J137" i="2"/>
  <c r="N327" i="2"/>
  <c r="N326" i="2" s="1"/>
  <c r="N58" i="2" s="1"/>
  <c r="M327" i="2"/>
  <c r="M326" i="2" s="1"/>
  <c r="M55" i="2" s="1"/>
  <c r="M57" i="2" s="1"/>
  <c r="H206" i="2"/>
  <c r="G208" i="2"/>
  <c r="G206" i="2" s="1"/>
  <c r="G209" i="2" s="1"/>
  <c r="G116" i="2"/>
  <c r="R116" i="2" s="1"/>
  <c r="H101" i="2"/>
  <c r="H49" i="2" s="1"/>
  <c r="P55" i="2"/>
  <c r="H311" i="2"/>
  <c r="G309" i="2"/>
  <c r="M51" i="2"/>
  <c r="R327" i="2"/>
  <c r="Q326" i="2"/>
  <c r="K51" i="2"/>
  <c r="K327" i="2"/>
  <c r="K326" i="2" s="1"/>
  <c r="O321" i="2"/>
  <c r="O327" i="2"/>
  <c r="O326" i="2" s="1"/>
  <c r="O55" i="2" s="1"/>
  <c r="H61" i="2"/>
  <c r="G59" i="2"/>
  <c r="L51" i="2"/>
  <c r="L327" i="2"/>
  <c r="L326" i="2" s="1"/>
  <c r="J51" i="2"/>
  <c r="J327" i="2"/>
  <c r="J326" i="2" s="1"/>
  <c r="N55" i="2" l="1"/>
  <c r="K58" i="2"/>
  <c r="AE58" i="1"/>
  <c r="AG37" i="1"/>
  <c r="I55" i="2"/>
  <c r="I46" i="2" s="1"/>
  <c r="M46" i="2"/>
  <c r="M5" i="2" s="1"/>
  <c r="M58" i="2"/>
  <c r="K55" i="2"/>
  <c r="K57" i="2" s="1"/>
  <c r="O57" i="2"/>
  <c r="O46" i="2"/>
  <c r="N57" i="2"/>
  <c r="N46" i="2"/>
  <c r="G61" i="2"/>
  <c r="R59" i="2"/>
  <c r="E59" i="2"/>
  <c r="P57" i="2"/>
  <c r="P46" i="2"/>
  <c r="I57" i="2"/>
  <c r="Q55" i="2"/>
  <c r="Q58" i="2"/>
  <c r="E309" i="2"/>
  <c r="E311" i="2" s="1"/>
  <c r="G311" i="2"/>
  <c r="R309" i="2"/>
  <c r="G101" i="2"/>
  <c r="H104" i="2"/>
  <c r="H209" i="2"/>
  <c r="H135" i="2"/>
  <c r="L55" i="2"/>
  <c r="L58" i="2"/>
  <c r="J55" i="2"/>
  <c r="J58" i="2"/>
  <c r="O58" i="2"/>
  <c r="H51" i="2"/>
  <c r="M48" i="2" l="1"/>
  <c r="AD58" i="1"/>
  <c r="AE55" i="1"/>
  <c r="K46" i="2"/>
  <c r="K48" i="2" s="1"/>
  <c r="L57" i="2"/>
  <c r="L46" i="2"/>
  <c r="P48" i="2"/>
  <c r="P5" i="2"/>
  <c r="H137" i="2"/>
  <c r="G135" i="2"/>
  <c r="H322" i="2"/>
  <c r="Q57" i="2"/>
  <c r="Q46" i="2"/>
  <c r="E61" i="2"/>
  <c r="N5" i="2"/>
  <c r="N48" i="2"/>
  <c r="I48" i="2"/>
  <c r="I5" i="2"/>
  <c r="O48" i="2"/>
  <c r="O5" i="2"/>
  <c r="J57" i="2"/>
  <c r="J46" i="2"/>
  <c r="G104" i="2"/>
  <c r="R101" i="2"/>
  <c r="E101" i="2"/>
  <c r="E104" i="2" s="1"/>
  <c r="G49" i="2"/>
  <c r="AG55" i="1" l="1"/>
  <c r="AE35" i="1"/>
  <c r="AG35" i="1" s="1"/>
  <c r="K5" i="2"/>
  <c r="H319" i="2"/>
  <c r="G322" i="2"/>
  <c r="E49" i="2"/>
  <c r="Q48" i="2"/>
  <c r="Q5" i="2"/>
  <c r="G137" i="2"/>
  <c r="R135" i="2"/>
  <c r="E135" i="2"/>
  <c r="E137" i="2" s="1"/>
  <c r="L5" i="2"/>
  <c r="L48" i="2"/>
  <c r="G51" i="2"/>
  <c r="R49" i="2"/>
  <c r="J5" i="2"/>
  <c r="J48" i="2"/>
  <c r="E51" i="2" l="1"/>
  <c r="H321" i="2"/>
  <c r="G319" i="2"/>
  <c r="H327" i="2"/>
  <c r="G327" i="2" l="1"/>
  <c r="H326" i="2"/>
  <c r="R319" i="2"/>
  <c r="G321" i="2"/>
  <c r="G326" i="2" l="1"/>
  <c r="H58" i="2"/>
  <c r="H55" i="2"/>
  <c r="H57" i="2" l="1"/>
  <c r="H46" i="2"/>
  <c r="R326" i="2"/>
  <c r="G58" i="2"/>
  <c r="R58" i="2" s="1"/>
  <c r="G55" i="2"/>
  <c r="H48" i="2" l="1"/>
  <c r="H5" i="2"/>
  <c r="G57" i="2"/>
  <c r="R55" i="2"/>
  <c r="G46" i="2"/>
  <c r="F319" i="2" l="1"/>
  <c r="G5" i="2"/>
  <c r="G48" i="2"/>
  <c r="R46" i="2"/>
  <c r="F321" i="2" l="1"/>
  <c r="E319" i="2"/>
  <c r="F55" i="2"/>
  <c r="F58" i="2"/>
  <c r="F57" i="2" l="1"/>
  <c r="E55" i="2"/>
  <c r="F46" i="2"/>
  <c r="E321" i="2"/>
  <c r="E58" i="2"/>
  <c r="F48" i="2" l="1"/>
  <c r="F5" i="2"/>
  <c r="E57" i="2"/>
  <c r="E46" i="2"/>
  <c r="E48" i="2" l="1"/>
  <c r="E5" i="2"/>
  <c r="P40" i="4" l="1"/>
  <c r="P37" i="4" s="1"/>
  <c r="P42" i="4" l="1"/>
  <c r="T40" i="4"/>
  <c r="R40" i="4" l="1"/>
  <c r="R37" i="4" s="1"/>
  <c r="C21" i="19" l="1"/>
  <c r="P19" i="4" l="1"/>
  <c r="D60" i="15" l="1"/>
  <c r="O44" i="1" l="1"/>
  <c r="N44" i="1" s="1"/>
  <c r="O43" i="1"/>
  <c r="N43" i="1" s="1"/>
  <c r="O56" i="1" l="1"/>
  <c r="N56" i="1" s="1"/>
  <c r="Q65" i="4" l="1"/>
  <c r="M51" i="4"/>
  <c r="M52" i="4"/>
  <c r="M53" i="4"/>
  <c r="S51" i="4"/>
  <c r="S52" i="4"/>
  <c r="S53" i="4"/>
  <c r="L57" i="4"/>
  <c r="I54" i="4"/>
  <c r="I50" i="4"/>
  <c r="L50" i="4" l="1"/>
  <c r="I49" i="4"/>
  <c r="L49" i="4" s="1"/>
  <c r="P53" i="4"/>
  <c r="P52" i="4"/>
  <c r="P51" i="4"/>
  <c r="S64" i="4"/>
  <c r="T64" i="4" s="1"/>
  <c r="R64" i="4"/>
  <c r="S65" i="4"/>
  <c r="T65" i="4" s="1"/>
  <c r="R65" i="4"/>
  <c r="M54" i="4"/>
  <c r="L54" i="4"/>
  <c r="M56" i="4"/>
  <c r="L56" i="4"/>
  <c r="I55" i="4"/>
  <c r="L55" i="4" s="1"/>
  <c r="M50" i="4"/>
  <c r="M57" i="4"/>
  <c r="T63" i="4" l="1"/>
  <c r="Q57" i="4"/>
  <c r="S57" i="4" s="1"/>
  <c r="T57" i="4" s="1"/>
  <c r="T55" i="4" s="1"/>
  <c r="P57" i="4"/>
  <c r="Q50" i="4"/>
  <c r="P50" i="4"/>
  <c r="Q56" i="4"/>
  <c r="S56" i="4" s="1"/>
  <c r="P56" i="4"/>
  <c r="Q54" i="4"/>
  <c r="P54" i="4"/>
  <c r="M49" i="4"/>
  <c r="M55" i="4"/>
  <c r="C20" i="19"/>
  <c r="C19" i="19"/>
  <c r="C18" i="19" s="1"/>
  <c r="V21" i="4" s="1"/>
  <c r="M18" i="19"/>
  <c r="L18" i="19"/>
  <c r="K18" i="19"/>
  <c r="J18" i="19"/>
  <c r="I18" i="19"/>
  <c r="H18" i="19"/>
  <c r="G18" i="19"/>
  <c r="F18" i="19"/>
  <c r="E18" i="19"/>
  <c r="D18" i="19"/>
  <c r="C16" i="19"/>
  <c r="C15" i="19"/>
  <c r="C14" i="19"/>
  <c r="C13" i="19"/>
  <c r="C12" i="19"/>
  <c r="C11" i="19" l="1"/>
  <c r="T21" i="4"/>
  <c r="S21" i="4" s="1"/>
  <c r="T20" i="4"/>
  <c r="S20" i="4" s="1"/>
  <c r="S55" i="4"/>
  <c r="P55" i="4"/>
  <c r="P49" i="4"/>
  <c r="V17" i="4"/>
  <c r="Q49" i="4"/>
  <c r="R49" i="4" s="1"/>
  <c r="E10" i="19"/>
  <c r="S54" i="4"/>
  <c r="R54" i="4"/>
  <c r="R56" i="4"/>
  <c r="S50" i="4"/>
  <c r="T50" i="4" s="1"/>
  <c r="T49" i="4" s="1"/>
  <c r="R50" i="4"/>
  <c r="Q55" i="4"/>
  <c r="R55" i="4" s="1"/>
  <c r="R57" i="4"/>
  <c r="L10" i="19"/>
  <c r="D10" i="19"/>
  <c r="H10" i="19"/>
  <c r="M10" i="19"/>
  <c r="G10" i="19"/>
  <c r="F10" i="19"/>
  <c r="I10" i="19"/>
  <c r="J10" i="19"/>
  <c r="K10" i="19"/>
  <c r="V16" i="4"/>
  <c r="Q21" i="4" l="1"/>
  <c r="R21" i="4" s="1"/>
  <c r="Q20" i="4"/>
  <c r="R20" i="4" s="1"/>
  <c r="S49" i="4"/>
  <c r="C10" i="19"/>
  <c r="L9" i="19"/>
  <c r="E9" i="19"/>
  <c r="G9" i="19"/>
  <c r="F9" i="19"/>
  <c r="I9" i="19"/>
  <c r="K9" i="19"/>
  <c r="M9" i="19"/>
  <c r="J9" i="19"/>
  <c r="H9" i="19"/>
  <c r="D9" i="19"/>
  <c r="E64" i="15"/>
  <c r="C64" i="15" s="1"/>
  <c r="E63" i="15"/>
  <c r="E62" i="15"/>
  <c r="C62" i="15" s="1"/>
  <c r="E61" i="15"/>
  <c r="O60" i="15"/>
  <c r="N60" i="15"/>
  <c r="M60" i="15"/>
  <c r="L60" i="15"/>
  <c r="K60" i="15"/>
  <c r="J60" i="15"/>
  <c r="I60" i="15"/>
  <c r="H60" i="15"/>
  <c r="G60" i="15"/>
  <c r="F60" i="15"/>
  <c r="O59" i="15"/>
  <c r="N59" i="15"/>
  <c r="M59" i="15"/>
  <c r="L59" i="15"/>
  <c r="K59" i="15"/>
  <c r="J59" i="15"/>
  <c r="I59" i="15"/>
  <c r="H59" i="15"/>
  <c r="G59" i="15"/>
  <c r="F59" i="15"/>
  <c r="O58" i="15"/>
  <c r="N58" i="15"/>
  <c r="M58" i="15"/>
  <c r="L58" i="15"/>
  <c r="K58" i="15"/>
  <c r="J58" i="15"/>
  <c r="I58" i="15"/>
  <c r="H58" i="15"/>
  <c r="G58" i="15"/>
  <c r="F58" i="15"/>
  <c r="E57" i="15"/>
  <c r="C57" i="15" s="1"/>
  <c r="E55" i="15"/>
  <c r="C55" i="15" s="1"/>
  <c r="E54" i="15"/>
  <c r="C54" i="15" s="1"/>
  <c r="E53" i="15"/>
  <c r="C53" i="15" s="1"/>
  <c r="O52" i="15"/>
  <c r="N52" i="15"/>
  <c r="M52" i="15"/>
  <c r="L52" i="15"/>
  <c r="K52" i="15"/>
  <c r="J52" i="15"/>
  <c r="I52" i="15"/>
  <c r="H52" i="15"/>
  <c r="G52" i="15"/>
  <c r="F52" i="15"/>
  <c r="E51" i="15"/>
  <c r="C51" i="15" s="1"/>
  <c r="O50" i="15"/>
  <c r="N50" i="15"/>
  <c r="M50" i="15"/>
  <c r="L50" i="15"/>
  <c r="K50" i="15"/>
  <c r="J50" i="15"/>
  <c r="I50" i="15"/>
  <c r="H50" i="15"/>
  <c r="G50" i="15"/>
  <c r="F50" i="15"/>
  <c r="C49" i="15"/>
  <c r="E48" i="15"/>
  <c r="C48" i="15" s="1"/>
  <c r="O47" i="15"/>
  <c r="N47" i="15"/>
  <c r="M47" i="15"/>
  <c r="L47" i="15"/>
  <c r="K47" i="15"/>
  <c r="J47" i="15"/>
  <c r="I47" i="15"/>
  <c r="H47" i="15"/>
  <c r="G47" i="15"/>
  <c r="F47" i="15"/>
  <c r="E44" i="15"/>
  <c r="C44" i="15" s="1"/>
  <c r="E43" i="15"/>
  <c r="C43" i="15" s="1"/>
  <c r="O42" i="15"/>
  <c r="N42" i="15"/>
  <c r="M42" i="15"/>
  <c r="L42" i="15"/>
  <c r="K42" i="15"/>
  <c r="J42" i="15"/>
  <c r="I42" i="15"/>
  <c r="H42" i="15"/>
  <c r="G42" i="15"/>
  <c r="F42" i="15"/>
  <c r="D42" i="15"/>
  <c r="D41" i="15" s="1"/>
  <c r="O40" i="15"/>
  <c r="O38" i="15" s="1"/>
  <c r="N40" i="15"/>
  <c r="N38" i="15" s="1"/>
  <c r="M40" i="15"/>
  <c r="M38" i="15" s="1"/>
  <c r="L40" i="15"/>
  <c r="L38" i="15" s="1"/>
  <c r="K40" i="15"/>
  <c r="K38" i="15" s="1"/>
  <c r="J40" i="15"/>
  <c r="J38" i="15" s="1"/>
  <c r="I40" i="15"/>
  <c r="I38" i="15" s="1"/>
  <c r="H40" i="15"/>
  <c r="H38" i="15" s="1"/>
  <c r="G40" i="15"/>
  <c r="G38" i="15" s="1"/>
  <c r="F40" i="15"/>
  <c r="E39" i="15"/>
  <c r="C39" i="15" s="1"/>
  <c r="D38" i="15"/>
  <c r="E37" i="15"/>
  <c r="C37" i="15" s="1"/>
  <c r="E36" i="15"/>
  <c r="C36" i="15" s="1"/>
  <c r="O35" i="15"/>
  <c r="N35" i="15"/>
  <c r="M35" i="15"/>
  <c r="L35" i="15"/>
  <c r="K35" i="15"/>
  <c r="J35" i="15"/>
  <c r="I35" i="15"/>
  <c r="H35" i="15"/>
  <c r="G35" i="15"/>
  <c r="F35" i="15"/>
  <c r="D35" i="15"/>
  <c r="C34" i="15"/>
  <c r="C33" i="15"/>
  <c r="C32" i="15"/>
  <c r="C31" i="15"/>
  <c r="C30" i="15"/>
  <c r="C29" i="15"/>
  <c r="E28" i="15"/>
  <c r="C28" i="15" s="1"/>
  <c r="E27" i="15"/>
  <c r="C27" i="15" s="1"/>
  <c r="O26" i="15"/>
  <c r="N26" i="15"/>
  <c r="M26" i="15"/>
  <c r="L26" i="15"/>
  <c r="K26" i="15"/>
  <c r="J26" i="15"/>
  <c r="I26" i="15"/>
  <c r="H26" i="15"/>
  <c r="G26" i="15"/>
  <c r="F26" i="15"/>
  <c r="D26" i="15"/>
  <c r="E25" i="15"/>
  <c r="E24" i="15"/>
  <c r="C24" i="15" s="1"/>
  <c r="E23" i="15"/>
  <c r="C23" i="15" s="1"/>
  <c r="E22" i="15"/>
  <c r="C22" i="15" s="1"/>
  <c r="O21" i="15"/>
  <c r="N21" i="15"/>
  <c r="M21" i="15"/>
  <c r="L21" i="15"/>
  <c r="K21" i="15"/>
  <c r="J21" i="15"/>
  <c r="I21" i="15"/>
  <c r="H21" i="15"/>
  <c r="G21" i="15"/>
  <c r="F21" i="15"/>
  <c r="D21" i="15"/>
  <c r="E19" i="15"/>
  <c r="C19" i="15" s="1"/>
  <c r="E18" i="15"/>
  <c r="C18" i="15" s="1"/>
  <c r="O17" i="15"/>
  <c r="N17" i="15"/>
  <c r="M17" i="15"/>
  <c r="L17" i="15"/>
  <c r="K17" i="15"/>
  <c r="J17" i="15"/>
  <c r="I17" i="15"/>
  <c r="H17" i="15"/>
  <c r="G17" i="15"/>
  <c r="F17" i="15"/>
  <c r="D17" i="15"/>
  <c r="E16" i="15"/>
  <c r="C16" i="15" s="1"/>
  <c r="E15" i="15"/>
  <c r="E14" i="15"/>
  <c r="C14" i="15" s="1"/>
  <c r="E13" i="15"/>
  <c r="C13" i="15" s="1"/>
  <c r="E12" i="15"/>
  <c r="C12" i="15" s="1"/>
  <c r="O11" i="15"/>
  <c r="N11" i="15"/>
  <c r="M11" i="15"/>
  <c r="L11" i="15"/>
  <c r="K11" i="15"/>
  <c r="J11" i="15"/>
  <c r="I11" i="15"/>
  <c r="H11" i="15"/>
  <c r="G11" i="15"/>
  <c r="F11" i="15"/>
  <c r="D11" i="15"/>
  <c r="I25" i="60" l="1"/>
  <c r="I24" i="60" s="1"/>
  <c r="F25" i="60"/>
  <c r="F24" i="60" s="1"/>
  <c r="G25" i="60"/>
  <c r="G24" i="60" s="1"/>
  <c r="D25" i="60"/>
  <c r="E25" i="60"/>
  <c r="E24" i="60" s="1"/>
  <c r="H25" i="60"/>
  <c r="H24" i="60" s="1"/>
  <c r="L25" i="60"/>
  <c r="L24" i="60" s="1"/>
  <c r="J25" i="60"/>
  <c r="J24" i="60" s="1"/>
  <c r="M25" i="60"/>
  <c r="M24" i="60" s="1"/>
  <c r="K25" i="60"/>
  <c r="K24" i="60" s="1"/>
  <c r="J10" i="15"/>
  <c r="C61" i="15"/>
  <c r="E60" i="15"/>
  <c r="C60" i="15" s="1"/>
  <c r="J56" i="15"/>
  <c r="O46" i="15"/>
  <c r="I10" i="15"/>
  <c r="M46" i="15"/>
  <c r="E26" i="15"/>
  <c r="P26" i="15" s="1"/>
  <c r="E42" i="15"/>
  <c r="D10" i="15"/>
  <c r="F10" i="15"/>
  <c r="C35" i="15"/>
  <c r="K56" i="15"/>
  <c r="F56" i="15"/>
  <c r="G56" i="15"/>
  <c r="I56" i="15"/>
  <c r="O56" i="15"/>
  <c r="J46" i="15"/>
  <c r="E40" i="15"/>
  <c r="E38" i="15" s="1"/>
  <c r="G46" i="15"/>
  <c r="H20" i="15"/>
  <c r="N20" i="15"/>
  <c r="E35" i="15"/>
  <c r="N46" i="15"/>
  <c r="M10" i="15"/>
  <c r="H10" i="15"/>
  <c r="N10" i="15"/>
  <c r="I20" i="15"/>
  <c r="D20" i="15"/>
  <c r="H56" i="15"/>
  <c r="N56" i="15"/>
  <c r="C17" i="15"/>
  <c r="C63" i="15"/>
  <c r="G10" i="15"/>
  <c r="L20" i="15"/>
  <c r="I46" i="15"/>
  <c r="M20" i="15"/>
  <c r="L56" i="15"/>
  <c r="E50" i="15"/>
  <c r="C50" i="15" s="1"/>
  <c r="E52" i="15"/>
  <c r="C52" i="15" s="1"/>
  <c r="H46" i="15"/>
  <c r="L10" i="15"/>
  <c r="K46" i="15"/>
  <c r="O10" i="15"/>
  <c r="F38" i="15"/>
  <c r="F20" i="15" s="1"/>
  <c r="C42" i="15"/>
  <c r="E47" i="15"/>
  <c r="C47" i="15" s="1"/>
  <c r="L46" i="15"/>
  <c r="K10" i="15"/>
  <c r="J20" i="15"/>
  <c r="E21" i="15"/>
  <c r="C25" i="15"/>
  <c r="C21" i="15" s="1"/>
  <c r="E11" i="15"/>
  <c r="C15" i="15"/>
  <c r="C11" i="15" s="1"/>
  <c r="M56" i="15"/>
  <c r="K20" i="15"/>
  <c r="E59" i="15"/>
  <c r="C59" i="15" s="1"/>
  <c r="C26" i="15"/>
  <c r="O20" i="15"/>
  <c r="F46" i="15"/>
  <c r="E58" i="15"/>
  <c r="E17" i="15"/>
  <c r="G20" i="15"/>
  <c r="J9" i="15" l="1"/>
  <c r="C25" i="60"/>
  <c r="D24" i="60"/>
  <c r="C24" i="60" s="1"/>
  <c r="M45" i="15"/>
  <c r="M41" i="15" s="1"/>
  <c r="C9" i="19"/>
  <c r="J45" i="15"/>
  <c r="J41" i="15" s="1"/>
  <c r="J8" i="15" s="1"/>
  <c r="O45" i="15"/>
  <c r="O41" i="15" s="1"/>
  <c r="I9" i="15"/>
  <c r="C10" i="15"/>
  <c r="H45" i="15"/>
  <c r="H41" i="15" s="1"/>
  <c r="F9" i="15"/>
  <c r="C40" i="15"/>
  <c r="C38" i="15" s="1"/>
  <c r="C20" i="15" s="1"/>
  <c r="M9" i="15"/>
  <c r="K9" i="15"/>
  <c r="K45" i="15"/>
  <c r="K41" i="15" s="1"/>
  <c r="G45" i="15"/>
  <c r="G41" i="15" s="1"/>
  <c r="D9" i="15"/>
  <c r="D8" i="15" s="1"/>
  <c r="F45" i="15"/>
  <c r="F41" i="15" s="1"/>
  <c r="N9" i="15"/>
  <c r="I45" i="15"/>
  <c r="I41" i="15" s="1"/>
  <c r="N45" i="15"/>
  <c r="N41" i="15" s="1"/>
  <c r="O9" i="15"/>
  <c r="G9" i="15"/>
  <c r="H9" i="15"/>
  <c r="E46" i="15"/>
  <c r="C46" i="15" s="1"/>
  <c r="L45" i="15"/>
  <c r="L41" i="15" s="1"/>
  <c r="L9" i="15"/>
  <c r="E20" i="15"/>
  <c r="E10" i="15"/>
  <c r="C58" i="15"/>
  <c r="E56" i="15"/>
  <c r="C56" i="15" s="1"/>
  <c r="O9" i="19" l="1"/>
  <c r="O13" i="19" s="1"/>
  <c r="M8" i="15"/>
  <c r="O8" i="15"/>
  <c r="H8" i="15"/>
  <c r="I8" i="15"/>
  <c r="C9" i="15"/>
  <c r="F8" i="15"/>
  <c r="L8" i="15"/>
  <c r="N8" i="15"/>
  <c r="K8" i="15"/>
  <c r="G8" i="15"/>
  <c r="E9" i="15"/>
  <c r="E45" i="15"/>
  <c r="C45" i="15" l="1"/>
  <c r="E41" i="15"/>
  <c r="E8" i="15" s="1"/>
  <c r="C41" i="15" l="1"/>
  <c r="C8" i="15" s="1"/>
  <c r="W49" i="1" l="1"/>
  <c r="V49" i="1" s="1"/>
  <c r="AA49" i="1"/>
  <c r="Z49" i="1" s="1"/>
  <c r="AI49" i="1"/>
  <c r="AH49" i="1" s="1"/>
  <c r="AM49" i="1"/>
  <c r="AL49" i="1" s="1"/>
  <c r="AQ49" i="1"/>
  <c r="AP49" i="1" s="1"/>
  <c r="AU49" i="1"/>
  <c r="AT49" i="1" s="1"/>
  <c r="AY49" i="1"/>
  <c r="AX49" i="1" s="1"/>
  <c r="BC49" i="1"/>
  <c r="BB49" i="1" s="1"/>
  <c r="S49" i="1"/>
  <c r="R49" i="1" s="1"/>
  <c r="W42" i="1"/>
  <c r="V42" i="1" s="1"/>
  <c r="AA42" i="1"/>
  <c r="Z42" i="1" s="1"/>
  <c r="AI42" i="1"/>
  <c r="AH42" i="1" s="1"/>
  <c r="AM42" i="1"/>
  <c r="AL42" i="1" s="1"/>
  <c r="AQ42" i="1"/>
  <c r="AP42" i="1" s="1"/>
  <c r="AU42" i="1"/>
  <c r="AT42" i="1" s="1"/>
  <c r="AY42" i="1"/>
  <c r="AX42" i="1" s="1"/>
  <c r="BC42" i="1"/>
  <c r="BB42" i="1" s="1"/>
  <c r="W46" i="1"/>
  <c r="V46" i="1" s="1"/>
  <c r="AA46" i="1"/>
  <c r="Z46" i="1" s="1"/>
  <c r="AI46" i="1"/>
  <c r="AH46" i="1" s="1"/>
  <c r="AM46" i="1"/>
  <c r="AL46" i="1" s="1"/>
  <c r="AQ46" i="1"/>
  <c r="AP46" i="1" s="1"/>
  <c r="AU46" i="1"/>
  <c r="AT46" i="1" s="1"/>
  <c r="AY46" i="1"/>
  <c r="AX46" i="1" s="1"/>
  <c r="BC46" i="1"/>
  <c r="BB46" i="1" s="1"/>
  <c r="S46" i="1"/>
  <c r="R46" i="1" s="1"/>
  <c r="S42" i="1"/>
  <c r="R42" i="1" s="1"/>
  <c r="O33" i="1" l="1"/>
  <c r="N33" i="1" l="1"/>
  <c r="Q33" i="1"/>
  <c r="AQ41" i="1"/>
  <c r="AP41" i="1" s="1"/>
  <c r="BC40" i="1"/>
  <c r="BB40" i="1" s="1"/>
  <c r="BC41" i="1"/>
  <c r="BB41" i="1" s="1"/>
  <c r="AM41" i="1"/>
  <c r="AL41" i="1" s="1"/>
  <c r="AM40" i="1"/>
  <c r="AL40" i="1" s="1"/>
  <c r="AI41" i="1"/>
  <c r="AH41" i="1" s="1"/>
  <c r="M60" i="4" l="1"/>
  <c r="L60" i="4"/>
  <c r="M59" i="4"/>
  <c r="I58" i="4"/>
  <c r="L59" i="4"/>
  <c r="AQ40" i="1"/>
  <c r="AP40" i="1" s="1"/>
  <c r="AA41" i="1"/>
  <c r="Z41" i="1" s="1"/>
  <c r="W40" i="1"/>
  <c r="V40" i="1" s="1"/>
  <c r="W41" i="1"/>
  <c r="V41" i="1" s="1"/>
  <c r="S40" i="1"/>
  <c r="R40" i="1" s="1"/>
  <c r="AI40" i="1"/>
  <c r="AH40" i="1" s="1"/>
  <c r="AU41" i="1"/>
  <c r="AT41" i="1" s="1"/>
  <c r="AU40" i="1"/>
  <c r="AT40" i="1" s="1"/>
  <c r="AY40" i="1"/>
  <c r="AX40" i="1" s="1"/>
  <c r="AY41" i="1"/>
  <c r="AX41" i="1" s="1"/>
  <c r="P60" i="4" l="1"/>
  <c r="S60" i="4"/>
  <c r="L58" i="4"/>
  <c r="I48" i="4"/>
  <c r="L48" i="4" s="1"/>
  <c r="P59" i="4"/>
  <c r="S59" i="4"/>
  <c r="T59" i="4" s="1"/>
  <c r="M58" i="4"/>
  <c r="AA40" i="1"/>
  <c r="Z40" i="1" s="1"/>
  <c r="Q60" i="4" l="1"/>
  <c r="R60" i="4" s="1"/>
  <c r="T60" i="4"/>
  <c r="T58" i="4" s="1"/>
  <c r="T48" i="4" s="1"/>
  <c r="P58" i="4"/>
  <c r="M48" i="4"/>
  <c r="Q59" i="4"/>
  <c r="S58" i="4"/>
  <c r="S48" i="4" s="1"/>
  <c r="S41" i="1"/>
  <c r="R41" i="1" s="1"/>
  <c r="P48" i="4" l="1"/>
  <c r="Q58" i="4"/>
  <c r="R59" i="4"/>
  <c r="R58" i="4" l="1"/>
  <c r="R48" i="4" s="1"/>
  <c r="Q48" i="4"/>
  <c r="W41" i="4"/>
  <c r="Z41" i="4" s="1"/>
  <c r="P41" i="4"/>
  <c r="Q43" i="4" l="1"/>
  <c r="R43" i="4" l="1"/>
  <c r="M43" i="4"/>
  <c r="R44" i="4"/>
  <c r="M44" i="4"/>
  <c r="N44" i="4" s="1"/>
  <c r="R45" i="4"/>
  <c r="N45" i="4"/>
  <c r="Q41" i="4"/>
  <c r="R41" i="4" s="1"/>
  <c r="R42" i="4"/>
  <c r="N43" i="4" l="1"/>
  <c r="P44" i="4"/>
  <c r="P45" i="4"/>
  <c r="P43" i="4"/>
  <c r="Q47" i="4"/>
  <c r="Q35" i="4"/>
  <c r="V23" i="4"/>
  <c r="M15" i="4"/>
  <c r="V15" i="4"/>
  <c r="I15" i="4"/>
  <c r="S18" i="4"/>
  <c r="S24" i="4"/>
  <c r="S36" i="4"/>
  <c r="T36" i="4" s="1"/>
  <c r="M63" i="4"/>
  <c r="Q63" i="4"/>
  <c r="R63" i="4" s="1"/>
  <c r="S63" i="4"/>
  <c r="V63" i="4"/>
  <c r="W63" i="4"/>
  <c r="I63" i="4"/>
  <c r="L63" i="4" s="1"/>
  <c r="M62" i="4"/>
  <c r="M29" i="4"/>
  <c r="I23" i="4"/>
  <c r="L23" i="4" l="1"/>
  <c r="P29" i="4"/>
  <c r="P63" i="4"/>
  <c r="V14" i="4"/>
  <c r="V13" i="4" s="1"/>
  <c r="V12" i="4" s="1"/>
  <c r="L15" i="4"/>
  <c r="I14" i="4"/>
  <c r="I38" i="4" s="1"/>
  <c r="P15" i="4"/>
  <c r="Q62" i="4"/>
  <c r="P62" i="4"/>
  <c r="S35" i="4"/>
  <c r="T35" i="4" s="1"/>
  <c r="R35" i="4"/>
  <c r="S47" i="4"/>
  <c r="T47" i="4" s="1"/>
  <c r="R47" i="4"/>
  <c r="P20" i="4"/>
  <c r="P25" i="4"/>
  <c r="L14" i="4" l="1"/>
  <c r="M23" i="4"/>
  <c r="P30" i="4"/>
  <c r="S62" i="4"/>
  <c r="T62" i="4" s="1"/>
  <c r="R62" i="4"/>
  <c r="L38" i="4"/>
  <c r="I13" i="4"/>
  <c r="I12" i="4" s="1"/>
  <c r="L12" i="4" s="1"/>
  <c r="L13" i="4" l="1"/>
  <c r="P23" i="4"/>
  <c r="I2" i="4" l="1"/>
  <c r="AM47" i="1" l="1"/>
  <c r="AL47" i="1" s="1"/>
  <c r="AQ47" i="1"/>
  <c r="AP47" i="1" s="1"/>
  <c r="AU48" i="1"/>
  <c r="AT48" i="1" s="1"/>
  <c r="AY48" i="1"/>
  <c r="AX48" i="1" s="1"/>
  <c r="BC48" i="1"/>
  <c r="BB48" i="1" s="1"/>
  <c r="AQ48" i="1"/>
  <c r="AP48" i="1" s="1"/>
  <c r="AM48" i="1"/>
  <c r="AL48" i="1" s="1"/>
  <c r="AI48" i="1"/>
  <c r="AH48" i="1" s="1"/>
  <c r="AA48" i="1"/>
  <c r="Z48" i="1" s="1"/>
  <c r="W48" i="1"/>
  <c r="V48" i="1" s="1"/>
  <c r="S48" i="1"/>
  <c r="R48" i="1" s="1"/>
  <c r="BC47" i="1"/>
  <c r="BB47" i="1" s="1"/>
  <c r="AY47" i="1"/>
  <c r="AX47" i="1" s="1"/>
  <c r="AU47" i="1"/>
  <c r="AT47" i="1" s="1"/>
  <c r="AI47" i="1"/>
  <c r="AH47" i="1" s="1"/>
  <c r="AA47" i="1"/>
  <c r="Z47" i="1" s="1"/>
  <c r="S47" i="1"/>
  <c r="R47" i="1" s="1"/>
  <c r="O42" i="1" l="1"/>
  <c r="N42" i="1" s="1"/>
  <c r="O49" i="1"/>
  <c r="N49" i="1" s="1"/>
  <c r="AU45" i="1"/>
  <c r="AA45" i="1"/>
  <c r="AQ45" i="1"/>
  <c r="S45" i="1"/>
  <c r="BC45" i="1"/>
  <c r="AY45" i="1"/>
  <c r="O48" i="1"/>
  <c r="N48" i="1" s="1"/>
  <c r="W47" i="1"/>
  <c r="BC53" i="1"/>
  <c r="BE53" i="1" s="1"/>
  <c r="AM53" i="1"/>
  <c r="AO53" i="1" s="1"/>
  <c r="AI45" i="1"/>
  <c r="W53" i="1"/>
  <c r="Y53" i="1" s="1"/>
  <c r="AM45" i="1"/>
  <c r="AL45" i="1" s="1"/>
  <c r="AY53" i="1"/>
  <c r="BA53" i="1" s="1"/>
  <c r="AI53" i="1"/>
  <c r="AK53" i="1" s="1"/>
  <c r="AU53" i="1"/>
  <c r="AW53" i="1" s="1"/>
  <c r="AQ53" i="1"/>
  <c r="AS53" i="1" s="1"/>
  <c r="AA53" i="1"/>
  <c r="AC53" i="1" s="1"/>
  <c r="AY38" i="1" l="1"/>
  <c r="AX45" i="1"/>
  <c r="AI38" i="1"/>
  <c r="AH45" i="1"/>
  <c r="AQ38" i="1"/>
  <c r="AP45" i="1"/>
  <c r="AA38" i="1"/>
  <c r="Z45" i="1"/>
  <c r="BC38" i="1"/>
  <c r="BB45" i="1"/>
  <c r="AU38" i="1"/>
  <c r="AT45" i="1"/>
  <c r="W45" i="1"/>
  <c r="V47" i="1"/>
  <c r="S38" i="1"/>
  <c r="R45" i="1"/>
  <c r="Z53" i="1"/>
  <c r="AH53" i="1"/>
  <c r="AX53" i="1"/>
  <c r="AL53" i="1"/>
  <c r="AP53" i="1"/>
  <c r="BB53" i="1"/>
  <c r="AT53" i="1"/>
  <c r="V53" i="1"/>
  <c r="O46" i="1"/>
  <c r="N46" i="1" s="1"/>
  <c r="O47" i="1"/>
  <c r="N47" i="1" s="1"/>
  <c r="S53" i="1"/>
  <c r="U53" i="1" s="1"/>
  <c r="N54" i="1"/>
  <c r="I17" i="60" l="1"/>
  <c r="K17" i="60"/>
  <c r="L17" i="60"/>
  <c r="M17" i="60"/>
  <c r="H17" i="60"/>
  <c r="E17" i="60"/>
  <c r="J17" i="60"/>
  <c r="F17" i="60"/>
  <c r="R53" i="1"/>
  <c r="O53" i="1"/>
  <c r="X29" i="4" s="1"/>
  <c r="T29" i="4" s="1"/>
  <c r="S29" i="4" s="1"/>
  <c r="W38" i="1"/>
  <c r="V45" i="1"/>
  <c r="O45" i="1"/>
  <c r="N45" i="1" s="1"/>
  <c r="W29" i="4" l="1"/>
  <c r="Q29" i="4"/>
  <c r="R29" i="4" s="1"/>
  <c r="N53" i="1"/>
  <c r="Q53" i="1"/>
  <c r="D17" i="60"/>
  <c r="C17" i="60" s="1"/>
  <c r="AI51" i="1"/>
  <c r="AH51" i="1" s="1"/>
  <c r="AY51" i="1"/>
  <c r="AX51" i="1" s="1"/>
  <c r="AU51" i="1"/>
  <c r="AT51" i="1" s="1"/>
  <c r="AQ51" i="1"/>
  <c r="AP51" i="1" s="1"/>
  <c r="Z29" i="4" l="1"/>
  <c r="AM51" i="1"/>
  <c r="AL51" i="1" s="1"/>
  <c r="BC51" i="1"/>
  <c r="BB51" i="1" s="1"/>
  <c r="AA51" i="1"/>
  <c r="Z51" i="1" s="1"/>
  <c r="O40" i="1" l="1"/>
  <c r="N40" i="1" s="1"/>
  <c r="W51" i="1"/>
  <c r="V51" i="1" s="1"/>
  <c r="AU58" i="1"/>
  <c r="AI58" i="1"/>
  <c r="AI55" i="1" l="1"/>
  <c r="AK55" i="1" s="1"/>
  <c r="AH58" i="1"/>
  <c r="AU55" i="1"/>
  <c r="AW55" i="1" s="1"/>
  <c r="AT58" i="1"/>
  <c r="O41" i="1"/>
  <c r="N41" i="1" s="1"/>
  <c r="AY55" i="1"/>
  <c r="BA55" i="1" s="1"/>
  <c r="S51" i="1"/>
  <c r="R51" i="1" s="1"/>
  <c r="BC58" i="1" l="1"/>
  <c r="AA58" i="1"/>
  <c r="AQ58" i="1"/>
  <c r="AA55" i="1" l="1"/>
  <c r="AC55" i="1" s="1"/>
  <c r="Z58" i="1"/>
  <c r="BC55" i="1"/>
  <c r="BE55" i="1" s="1"/>
  <c r="BB58" i="1"/>
  <c r="AQ55" i="1"/>
  <c r="AS55" i="1" s="1"/>
  <c r="AP58" i="1"/>
  <c r="W58" i="1"/>
  <c r="AM58" i="1"/>
  <c r="AM55" i="1" l="1"/>
  <c r="AO55" i="1" s="1"/>
  <c r="AL58" i="1"/>
  <c r="W55" i="1"/>
  <c r="Y55" i="1" s="1"/>
  <c r="V58" i="1"/>
  <c r="S58" i="1"/>
  <c r="R58" i="1" l="1"/>
  <c r="O58" i="1"/>
  <c r="N58" i="1" s="1"/>
  <c r="S55" i="1"/>
  <c r="U55" i="1" s="1"/>
  <c r="O57" i="1"/>
  <c r="N57" i="1" s="1"/>
  <c r="O51" i="1"/>
  <c r="N51" i="1" s="1"/>
  <c r="O50" i="1"/>
  <c r="N50" i="1" s="1"/>
  <c r="BC37" i="1"/>
  <c r="BE37" i="1" s="1"/>
  <c r="AY37" i="1"/>
  <c r="BA37" i="1" s="1"/>
  <c r="AQ37" i="1"/>
  <c r="AS37" i="1" s="1"/>
  <c r="W37" i="1"/>
  <c r="Y37" i="1" s="1"/>
  <c r="AU37" i="1"/>
  <c r="AW37" i="1" s="1"/>
  <c r="AI37" i="1"/>
  <c r="AK37" i="1" s="1"/>
  <c r="O34" i="1"/>
  <c r="BC28" i="1"/>
  <c r="AY28" i="1"/>
  <c r="AU28" i="1"/>
  <c r="AQ28" i="1"/>
  <c r="AM28" i="1"/>
  <c r="AO28" i="1" s="1"/>
  <c r="AI28" i="1"/>
  <c r="AA28" i="1"/>
  <c r="W28" i="1"/>
  <c r="Y28" i="1" s="1"/>
  <c r="AT28" i="1" l="1"/>
  <c r="AW28" i="1"/>
  <c r="Z28" i="1"/>
  <c r="AC28" i="1"/>
  <c r="AH28" i="1"/>
  <c r="AK28" i="1"/>
  <c r="AX28" i="1"/>
  <c r="BA28" i="1"/>
  <c r="AP28" i="1"/>
  <c r="AS28" i="1"/>
  <c r="BB28" i="1"/>
  <c r="BE28" i="1"/>
  <c r="N34" i="1"/>
  <c r="Q34" i="1"/>
  <c r="AL28" i="1"/>
  <c r="V28" i="1"/>
  <c r="BC35" i="1"/>
  <c r="BE35" i="1" s="1"/>
  <c r="AY35" i="1"/>
  <c r="BA35" i="1" s="1"/>
  <c r="AU35" i="1"/>
  <c r="AW35" i="1" s="1"/>
  <c r="AQ35" i="1"/>
  <c r="AS35" i="1" s="1"/>
  <c r="AI35" i="1"/>
  <c r="AK35" i="1" s="1"/>
  <c r="W35" i="1"/>
  <c r="Y35" i="1" s="1"/>
  <c r="O55" i="1"/>
  <c r="E19" i="60"/>
  <c r="O32" i="1"/>
  <c r="X17" i="4" s="1"/>
  <c r="S37" i="1"/>
  <c r="U37" i="1" s="1"/>
  <c r="AA37" i="1"/>
  <c r="AC37" i="1" s="1"/>
  <c r="W17" i="4" l="1"/>
  <c r="T17" i="4"/>
  <c r="S17" i="4" s="1"/>
  <c r="Q17" i="4" s="1"/>
  <c r="R17" i="4" s="1"/>
  <c r="Q55" i="1"/>
  <c r="X30" i="4"/>
  <c r="N32" i="1"/>
  <c r="Q32" i="1"/>
  <c r="AA35" i="1"/>
  <c r="AC35" i="1" s="1"/>
  <c r="S35" i="1"/>
  <c r="U35" i="1" s="1"/>
  <c r="L19" i="60"/>
  <c r="J19" i="60"/>
  <c r="H19" i="60"/>
  <c r="G19" i="60"/>
  <c r="K19" i="60"/>
  <c r="M19" i="60" l="1"/>
  <c r="F19" i="60"/>
  <c r="Z17" i="4"/>
  <c r="AL13" i="1" l="1"/>
  <c r="Z13" i="1"/>
  <c r="AH14" i="1"/>
  <c r="AX11" i="1"/>
  <c r="AL14" i="1"/>
  <c r="AH13" i="1"/>
  <c r="Z11" i="1"/>
  <c r="AT14" i="1"/>
  <c r="AP13" i="1"/>
  <c r="AX14" i="1"/>
  <c r="AP14" i="1"/>
  <c r="AH11" i="1"/>
  <c r="BB14" i="1"/>
  <c r="AX13" i="1"/>
  <c r="V11" i="1"/>
  <c r="AL11" i="1"/>
  <c r="V13" i="1"/>
  <c r="BB13" i="1"/>
  <c r="AP11" i="1"/>
  <c r="AT11" i="1"/>
  <c r="R14" i="1"/>
  <c r="AT13" i="1"/>
  <c r="BB11" i="1"/>
  <c r="Z14" i="1"/>
  <c r="R11" i="1" l="1"/>
  <c r="O11" i="1"/>
  <c r="N11" i="1" s="1"/>
  <c r="AA12" i="1"/>
  <c r="Z12" i="1" s="1"/>
  <c r="F30" i="60" s="1"/>
  <c r="AM12" i="1"/>
  <c r="AL12" i="1" s="1"/>
  <c r="I30" i="60" s="1"/>
  <c r="AY12" i="1"/>
  <c r="BC12" i="1"/>
  <c r="R13" i="1"/>
  <c r="AI12" i="1"/>
  <c r="AQ12" i="1"/>
  <c r="AU12" i="1"/>
  <c r="AU10" i="1" l="1"/>
  <c r="AT12" i="1"/>
  <c r="K30" i="60" s="1"/>
  <c r="AQ10" i="1"/>
  <c r="AP12" i="1"/>
  <c r="J30" i="60" s="1"/>
  <c r="AI10" i="1"/>
  <c r="AH12" i="1"/>
  <c r="H30" i="60" s="1"/>
  <c r="BC10" i="1"/>
  <c r="BB12" i="1"/>
  <c r="M30" i="60" s="1"/>
  <c r="AY10" i="1"/>
  <c r="AX12" i="1"/>
  <c r="L30" i="60" s="1"/>
  <c r="O14" i="1"/>
  <c r="N14" i="1" s="1"/>
  <c r="V14" i="1"/>
  <c r="AM10" i="1"/>
  <c r="AA10" i="1"/>
  <c r="W12" i="1"/>
  <c r="O13" i="1"/>
  <c r="N13" i="1" s="1"/>
  <c r="S12" i="1"/>
  <c r="AA9" i="1" l="1"/>
  <c r="Z10" i="1"/>
  <c r="BC9" i="1"/>
  <c r="BB10" i="1"/>
  <c r="AQ9" i="1"/>
  <c r="AP10" i="1"/>
  <c r="W10" i="1"/>
  <c r="V12" i="1"/>
  <c r="E30" i="60" s="1"/>
  <c r="AM9" i="1"/>
  <c r="AL10" i="1"/>
  <c r="S10" i="1"/>
  <c r="R12" i="1"/>
  <c r="D30" i="60" s="1"/>
  <c r="AY9" i="1"/>
  <c r="AX10" i="1"/>
  <c r="AI9" i="1"/>
  <c r="AH10" i="1"/>
  <c r="AT10" i="1"/>
  <c r="AU9" i="1"/>
  <c r="O12" i="1"/>
  <c r="N12" i="1" s="1"/>
  <c r="O10" i="1" l="1"/>
  <c r="N10" i="1" s="1"/>
  <c r="S9" i="1"/>
  <c r="R10" i="1"/>
  <c r="W9" i="1"/>
  <c r="V10" i="1"/>
  <c r="C30" i="60"/>
  <c r="O9" i="1" l="1"/>
  <c r="AL39" i="1" l="1"/>
  <c r="AM38" i="1" l="1"/>
  <c r="O39" i="1"/>
  <c r="O38" i="1" l="1"/>
  <c r="N39" i="1"/>
  <c r="AM37" i="1"/>
  <c r="O37" i="1" l="1"/>
  <c r="AO37" i="1"/>
  <c r="AM35" i="1"/>
  <c r="AO35" i="1" s="1"/>
  <c r="Q37" i="1" l="1"/>
  <c r="X25" i="4"/>
  <c r="T25" i="4" s="1"/>
  <c r="O35" i="1"/>
  <c r="Q35" i="1" l="1"/>
  <c r="X23" i="4"/>
  <c r="I19" i="60"/>
  <c r="S31" i="1" l="1"/>
  <c r="R31" i="1" l="1"/>
  <c r="D12" i="60" s="1"/>
  <c r="C12" i="60" s="1"/>
  <c r="C11" i="60" s="1"/>
  <c r="U31" i="1"/>
  <c r="O31" i="1"/>
  <c r="S28" i="1"/>
  <c r="U28" i="1" s="1"/>
  <c r="Q31" i="1" l="1"/>
  <c r="X16" i="4"/>
  <c r="T16" i="4" s="1"/>
  <c r="D11" i="60"/>
  <c r="N31" i="1"/>
  <c r="O28" i="1"/>
  <c r="O64" i="1"/>
  <c r="D19" i="60"/>
  <c r="R28" i="1"/>
  <c r="S16" i="4" l="1"/>
  <c r="T15" i="4"/>
  <c r="Q64" i="1"/>
  <c r="X37" i="4"/>
  <c r="W37" i="4" s="1"/>
  <c r="X15" i="4"/>
  <c r="W16" i="4"/>
  <c r="Z16" i="4" s="1"/>
  <c r="N28" i="1"/>
  <c r="Q28" i="1"/>
  <c r="N64" i="1"/>
  <c r="X39" i="4" s="1"/>
  <c r="W39" i="4" s="1"/>
  <c r="S39" i="4" s="1"/>
  <c r="S37" i="4" s="1"/>
  <c r="C19" i="60"/>
  <c r="Q16" i="4" l="1"/>
  <c r="R16" i="4" s="1"/>
  <c r="W15" i="4"/>
  <c r="Q15" i="4"/>
  <c r="Z15" i="4" l="1"/>
  <c r="T39" i="4"/>
  <c r="R15" i="4"/>
  <c r="S15" i="4"/>
  <c r="Z37" i="4" l="1"/>
  <c r="T37" i="4"/>
  <c r="Q39" i="4"/>
  <c r="Q37" i="4" s="1"/>
  <c r="BC68" i="1" l="1"/>
  <c r="BD68" i="1" s="1"/>
  <c r="BD25" i="1" s="1"/>
  <c r="BB25" i="1" s="1"/>
  <c r="AU68" i="1"/>
  <c r="AV68" i="1" s="1"/>
  <c r="AV25" i="1" s="1"/>
  <c r="AT25" i="1" s="1"/>
  <c r="AA68" i="1"/>
  <c r="AQ68" i="1"/>
  <c r="AR68" i="1" s="1"/>
  <c r="AR25" i="1" s="1"/>
  <c r="AP25" i="1" s="1"/>
  <c r="AE68" i="1"/>
  <c r="AF68" i="1" l="1"/>
  <c r="AF24" i="1" s="1"/>
  <c r="AF25" i="1"/>
  <c r="AB68" i="1"/>
  <c r="AB25" i="1" s="1"/>
  <c r="Z25" i="1" s="1"/>
  <c r="T24" i="1"/>
  <c r="AD24" i="1"/>
  <c r="AD20" i="1"/>
  <c r="S26" i="1"/>
  <c r="U26" i="1" s="1"/>
  <c r="S74" i="1"/>
  <c r="T25" i="1" s="1"/>
  <c r="S71" i="1"/>
  <c r="R68" i="1"/>
  <c r="D23" i="60" s="1"/>
  <c r="AU26" i="1"/>
  <c r="AW26" i="1" s="1"/>
  <c r="AU71" i="1"/>
  <c r="AT68" i="1"/>
  <c r="K23" i="60" s="1"/>
  <c r="AU74" i="1"/>
  <c r="AV24" i="1"/>
  <c r="AV23" i="1" s="1"/>
  <c r="AV19" i="1" s="1"/>
  <c r="AQ26" i="1"/>
  <c r="AS26" i="1" s="1"/>
  <c r="AQ71" i="1"/>
  <c r="AQ72" i="1" s="1"/>
  <c r="AR24" i="1"/>
  <c r="AR23" i="1" s="1"/>
  <c r="AR19" i="1" s="1"/>
  <c r="AP68" i="1"/>
  <c r="J23" i="60" s="1"/>
  <c r="AQ74" i="1"/>
  <c r="AE74" i="1"/>
  <c r="AE26" i="1"/>
  <c r="AG26" i="1" s="1"/>
  <c r="AE71" i="1"/>
  <c r="AA26" i="1"/>
  <c r="AC26" i="1" s="1"/>
  <c r="AA71" i="1"/>
  <c r="AB24" i="1"/>
  <c r="AA74" i="1"/>
  <c r="BC71" i="1"/>
  <c r="BC26" i="1"/>
  <c r="BE26" i="1" s="1"/>
  <c r="BB68" i="1"/>
  <c r="M23" i="60" s="1"/>
  <c r="BD24" i="1"/>
  <c r="BD23" i="1" s="1"/>
  <c r="BD19" i="1" s="1"/>
  <c r="BC74" i="1"/>
  <c r="AM68" i="1"/>
  <c r="W68" i="1"/>
  <c r="AI68" i="1"/>
  <c r="AJ68" i="1" s="1"/>
  <c r="AJ25" i="1" s="1"/>
  <c r="AH25" i="1" s="1"/>
  <c r="AY68" i="1"/>
  <c r="AZ68" i="1" s="1"/>
  <c r="AZ25" i="1" s="1"/>
  <c r="AX25" i="1" s="1"/>
  <c r="Z68" i="1" l="1"/>
  <c r="F23" i="60" s="1"/>
  <c r="AD68" i="1"/>
  <c r="G23" i="60" s="1"/>
  <c r="AN68" i="1"/>
  <c r="AN24" i="1" s="1"/>
  <c r="AL24" i="1" s="1"/>
  <c r="AN25" i="1"/>
  <c r="X68" i="1"/>
  <c r="X24" i="1" s="1"/>
  <c r="X25" i="1"/>
  <c r="AB23" i="1"/>
  <c r="AB19" i="1" s="1"/>
  <c r="T23" i="1"/>
  <c r="T19" i="1" s="1"/>
  <c r="AF23" i="1"/>
  <c r="AF19" i="1" s="1"/>
  <c r="AL20" i="1"/>
  <c r="R20" i="1"/>
  <c r="R24" i="1"/>
  <c r="O68" i="1"/>
  <c r="Z24" i="1"/>
  <c r="Z23" i="1" s="1"/>
  <c r="AE75" i="1"/>
  <c r="AQ73" i="1"/>
  <c r="AP55" i="1" s="1"/>
  <c r="AT24" i="1"/>
  <c r="AT23" i="1" s="1"/>
  <c r="AU27" i="1"/>
  <c r="BC27" i="1"/>
  <c r="AQ27" i="1"/>
  <c r="AY26" i="1"/>
  <c r="BA26" i="1" s="1"/>
  <c r="AY71" i="1"/>
  <c r="AY74" i="1"/>
  <c r="AZ24" i="1"/>
  <c r="AZ23" i="1" s="1"/>
  <c r="AZ19" i="1" s="1"/>
  <c r="AX68" i="1"/>
  <c r="L23" i="60" s="1"/>
  <c r="AI26" i="1"/>
  <c r="AK26" i="1" s="1"/>
  <c r="AI71" i="1"/>
  <c r="AH68" i="1"/>
  <c r="H23" i="60" s="1"/>
  <c r="AJ24" i="1"/>
  <c r="AJ23" i="1" s="1"/>
  <c r="AJ19" i="1" s="1"/>
  <c r="AI74" i="1"/>
  <c r="AM74" i="1"/>
  <c r="AM26" i="1"/>
  <c r="AO26" i="1" s="1"/>
  <c r="AM71" i="1"/>
  <c r="BC72" i="1"/>
  <c r="AA72" i="1"/>
  <c r="AD25" i="1"/>
  <c r="AD23" i="1" s="1"/>
  <c r="S75" i="1"/>
  <c r="W26" i="1"/>
  <c r="Y26" i="1" s="1"/>
  <c r="W74" i="1"/>
  <c r="W71" i="1"/>
  <c r="BB24" i="1"/>
  <c r="BB23" i="1" s="1"/>
  <c r="AA27" i="1"/>
  <c r="AE27" i="1"/>
  <c r="AP24" i="1"/>
  <c r="AP23" i="1" s="1"/>
  <c r="AU72" i="1"/>
  <c r="S27" i="1"/>
  <c r="AL68" i="1" l="1"/>
  <c r="I23" i="60" s="1"/>
  <c r="X23" i="1"/>
  <c r="X19" i="1" s="1"/>
  <c r="P68" i="1"/>
  <c r="Y34" i="4" s="1"/>
  <c r="U34" i="4" s="1"/>
  <c r="V68" i="1"/>
  <c r="E23" i="60" s="1"/>
  <c r="V24" i="1"/>
  <c r="AN23" i="1"/>
  <c r="AN19" i="1" s="1"/>
  <c r="V20" i="1"/>
  <c r="R19" i="1"/>
  <c r="X34" i="4"/>
  <c r="AT27" i="1"/>
  <c r="AW27" i="1"/>
  <c r="Z27" i="1"/>
  <c r="AC27" i="1"/>
  <c r="AP27" i="1"/>
  <c r="AS27" i="1"/>
  <c r="AD27" i="1"/>
  <c r="AG27" i="1"/>
  <c r="O71" i="1"/>
  <c r="N71" i="1" s="1"/>
  <c r="BB27" i="1"/>
  <c r="BE27" i="1"/>
  <c r="R38" i="1"/>
  <c r="J18" i="60"/>
  <c r="O74" i="1"/>
  <c r="N74" i="1" s="1"/>
  <c r="AE76" i="1"/>
  <c r="AD55" i="1" s="1"/>
  <c r="AA73" i="1"/>
  <c r="AU73" i="1"/>
  <c r="AT55" i="1" s="1"/>
  <c r="BC73" i="1"/>
  <c r="BB55" i="1" s="1"/>
  <c r="W27" i="1"/>
  <c r="AI27" i="1"/>
  <c r="AY72" i="1"/>
  <c r="AT20" i="1"/>
  <c r="AL25" i="1"/>
  <c r="AL23" i="1" s="1"/>
  <c r="AH24" i="1"/>
  <c r="AH23" i="1" s="1"/>
  <c r="AY27" i="1"/>
  <c r="AP20" i="1"/>
  <c r="R27" i="1"/>
  <c r="AV37" i="1"/>
  <c r="AT38" i="1"/>
  <c r="V25" i="1"/>
  <c r="R25" i="1"/>
  <c r="R23" i="1" s="1"/>
  <c r="P25" i="1"/>
  <c r="N25" i="1" s="1"/>
  <c r="AF15" i="1"/>
  <c r="AD19" i="1"/>
  <c r="BB38" i="1"/>
  <c r="BD37" i="1"/>
  <c r="AM27" i="1"/>
  <c r="AX24" i="1"/>
  <c r="AX23" i="1" s="1"/>
  <c r="AP38" i="1"/>
  <c r="AR37" i="1"/>
  <c r="Z20" i="1"/>
  <c r="O26" i="1"/>
  <c r="Q26" i="1" s="1"/>
  <c r="BB20" i="1"/>
  <c r="W75" i="1"/>
  <c r="S76" i="1"/>
  <c r="AB37" i="1"/>
  <c r="Z38" i="1"/>
  <c r="AM75" i="1"/>
  <c r="AI72" i="1"/>
  <c r="AF37" i="1"/>
  <c r="AD38" i="1"/>
  <c r="P24" i="1"/>
  <c r="C23" i="60" l="1"/>
  <c r="N68" i="1"/>
  <c r="W34" i="4" s="1"/>
  <c r="N24" i="1"/>
  <c r="N23" i="1" s="1"/>
  <c r="P23" i="1"/>
  <c r="V23" i="1"/>
  <c r="V19" i="1"/>
  <c r="T34" i="4"/>
  <c r="X14" i="4"/>
  <c r="X13" i="4" s="1"/>
  <c r="X12" i="4" s="1"/>
  <c r="AX27" i="1"/>
  <c r="BA27" i="1"/>
  <c r="AH27" i="1"/>
  <c r="AK27" i="1"/>
  <c r="V27" i="1"/>
  <c r="Y27" i="1"/>
  <c r="AL27" i="1"/>
  <c r="AO27" i="1"/>
  <c r="T37" i="1"/>
  <c r="T35" i="1" s="1"/>
  <c r="Z55" i="1"/>
  <c r="F18" i="60" s="1"/>
  <c r="O72" i="1"/>
  <c r="N72" i="1" s="1"/>
  <c r="O75" i="1"/>
  <c r="N75" i="1" s="1"/>
  <c r="G18" i="60"/>
  <c r="M18" i="60"/>
  <c r="K18" i="60"/>
  <c r="O27" i="1"/>
  <c r="N27" i="1" s="1"/>
  <c r="AY73" i="1"/>
  <c r="AX55" i="1" s="1"/>
  <c r="W76" i="1"/>
  <c r="V55" i="1" s="1"/>
  <c r="AI73" i="1"/>
  <c r="AH55" i="1" s="1"/>
  <c r="P38" i="1"/>
  <c r="N38" i="1" s="1"/>
  <c r="AX20" i="1"/>
  <c r="T15" i="1"/>
  <c r="AN15" i="1"/>
  <c r="AL19" i="1"/>
  <c r="AV15" i="1"/>
  <c r="AT19" i="1"/>
  <c r="AF9" i="1"/>
  <c r="AD15" i="1"/>
  <c r="AD9" i="1" s="1"/>
  <c r="AH20" i="1"/>
  <c r="BD15" i="1"/>
  <c r="BB19" i="1"/>
  <c r="AJ37" i="1"/>
  <c r="AH38" i="1"/>
  <c r="Z37" i="1"/>
  <c r="AB35" i="1"/>
  <c r="AL38" i="1"/>
  <c r="AN37" i="1"/>
  <c r="BD35" i="1"/>
  <c r="BB37" i="1"/>
  <c r="X15" i="1"/>
  <c r="AV35" i="1"/>
  <c r="AT37" i="1"/>
  <c r="AR15" i="1"/>
  <c r="AP19" i="1"/>
  <c r="AB15" i="1"/>
  <c r="Z19" i="1"/>
  <c r="X37" i="1"/>
  <c r="V38" i="1"/>
  <c r="AR35" i="1"/>
  <c r="AP37" i="1"/>
  <c r="R55" i="1"/>
  <c r="AF35" i="1"/>
  <c r="AD37" i="1"/>
  <c r="AM76" i="1"/>
  <c r="AL55" i="1" s="1"/>
  <c r="P20" i="1"/>
  <c r="N20" i="1" s="1"/>
  <c r="AX38" i="1"/>
  <c r="AZ37" i="1"/>
  <c r="R37" i="1" l="1"/>
  <c r="P19" i="1"/>
  <c r="S34" i="4"/>
  <c r="Q34" i="4" s="1"/>
  <c r="M34" i="4" s="1"/>
  <c r="M14" i="4" s="1"/>
  <c r="P37" i="1"/>
  <c r="O73" i="1"/>
  <c r="N73" i="1" s="1"/>
  <c r="O76" i="1"/>
  <c r="N76" i="1" s="1"/>
  <c r="I18" i="60"/>
  <c r="J16" i="60"/>
  <c r="J14" i="60" s="1"/>
  <c r="J9" i="60" s="1"/>
  <c r="K16" i="60"/>
  <c r="K14" i="60" s="1"/>
  <c r="K9" i="60" s="1"/>
  <c r="M16" i="60"/>
  <c r="M14" i="60" s="1"/>
  <c r="M9" i="60" s="1"/>
  <c r="E18" i="60"/>
  <c r="G16" i="60"/>
  <c r="G14" i="60" s="1"/>
  <c r="G9" i="60" s="1"/>
  <c r="H18" i="60"/>
  <c r="D18" i="60"/>
  <c r="D16" i="60"/>
  <c r="F16" i="60"/>
  <c r="F14" i="60" s="1"/>
  <c r="F9" i="60" s="1"/>
  <c r="L18" i="60"/>
  <c r="P55" i="1"/>
  <c r="AT35" i="1"/>
  <c r="AV26" i="1"/>
  <c r="AT26" i="1" s="1"/>
  <c r="K31" i="60" s="1"/>
  <c r="BB35" i="1"/>
  <c r="BD26" i="1"/>
  <c r="BB26" i="1" s="1"/>
  <c r="M31" i="60" s="1"/>
  <c r="AD35" i="1"/>
  <c r="AF26" i="1"/>
  <c r="AD26" i="1" s="1"/>
  <c r="G31" i="60" s="1"/>
  <c r="Z35" i="1"/>
  <c r="AB26" i="1"/>
  <c r="Z26" i="1" s="1"/>
  <c r="AP35" i="1"/>
  <c r="AR26" i="1"/>
  <c r="AP26" i="1" s="1"/>
  <c r="V15" i="1"/>
  <c r="V9" i="1" s="1"/>
  <c r="X9" i="1"/>
  <c r="BD9" i="1"/>
  <c r="BB15" i="1"/>
  <c r="BB9" i="1" s="1"/>
  <c r="AV9" i="1"/>
  <c r="AT15" i="1"/>
  <c r="AT9" i="1" s="1"/>
  <c r="T9" i="1"/>
  <c r="R15" i="1"/>
  <c r="R9" i="1" s="1"/>
  <c r="AX37" i="1"/>
  <c r="AZ35" i="1"/>
  <c r="AN35" i="1"/>
  <c r="AL37" i="1"/>
  <c r="AR9" i="1"/>
  <c r="AP15" i="1"/>
  <c r="AP9" i="1" s="1"/>
  <c r="AP66" i="1" s="1"/>
  <c r="R35" i="1"/>
  <c r="T26" i="1"/>
  <c r="R26" i="1" s="1"/>
  <c r="AJ35" i="1"/>
  <c r="AH37" i="1"/>
  <c r="AJ15" i="1"/>
  <c r="AH19" i="1"/>
  <c r="AN9" i="1"/>
  <c r="AL15" i="1"/>
  <c r="AL9" i="1" s="1"/>
  <c r="AB9" i="1"/>
  <c r="Z15" i="1"/>
  <c r="Z9" i="1" s="1"/>
  <c r="X35" i="1"/>
  <c r="V37" i="1"/>
  <c r="AZ15" i="1"/>
  <c r="AX19" i="1"/>
  <c r="N19" i="1" l="1"/>
  <c r="P34" i="4"/>
  <c r="P14" i="4" s="1"/>
  <c r="P15" i="1"/>
  <c r="N15" i="1" s="1"/>
  <c r="N9" i="1" s="1"/>
  <c r="K101" i="5" s="1"/>
  <c r="N55" i="1"/>
  <c r="Y30" i="4"/>
  <c r="N37" i="1"/>
  <c r="Y25" i="4"/>
  <c r="C18" i="60"/>
  <c r="I16" i="60"/>
  <c r="I14" i="60" s="1"/>
  <c r="D14" i="60"/>
  <c r="D9" i="60" s="1"/>
  <c r="L16" i="60"/>
  <c r="L14" i="60" s="1"/>
  <c r="L9" i="60" s="1"/>
  <c r="E16" i="60"/>
  <c r="E14" i="60" s="1"/>
  <c r="E9" i="60" s="1"/>
  <c r="H16" i="60"/>
  <c r="H14" i="60" s="1"/>
  <c r="H9" i="60" s="1"/>
  <c r="J31" i="60"/>
  <c r="G29" i="60"/>
  <c r="G28" i="60" s="1"/>
  <c r="G27" i="60" s="1"/>
  <c r="G10" i="60"/>
  <c r="K10" i="60"/>
  <c r="K29" i="60"/>
  <c r="K28" i="60" s="1"/>
  <c r="K27" i="60" s="1"/>
  <c r="D31" i="60"/>
  <c r="F31" i="60"/>
  <c r="M10" i="60"/>
  <c r="M29" i="60"/>
  <c r="M28" i="60" s="1"/>
  <c r="M27" i="60" s="1"/>
  <c r="BB66" i="1"/>
  <c r="AT66" i="1"/>
  <c r="AD66" i="1"/>
  <c r="Z66" i="1"/>
  <c r="R66" i="1"/>
  <c r="V35" i="1"/>
  <c r="X26" i="1"/>
  <c r="V26" i="1" s="1"/>
  <c r="AL35" i="1"/>
  <c r="AN26" i="1"/>
  <c r="AL26" i="1" s="1"/>
  <c r="I31" i="60" s="1"/>
  <c r="AX35" i="1"/>
  <c r="AZ26" i="1"/>
  <c r="AX26" i="1" s="1"/>
  <c r="L31" i="60" s="1"/>
  <c r="AH35" i="1"/>
  <c r="AJ26" i="1"/>
  <c r="AH26" i="1" s="1"/>
  <c r="H31" i="60" s="1"/>
  <c r="AH15" i="1"/>
  <c r="AH9" i="1" s="1"/>
  <c r="AJ9" i="1"/>
  <c r="AZ9" i="1"/>
  <c r="AX15" i="1"/>
  <c r="AX9" i="1" s="1"/>
  <c r="P35" i="1"/>
  <c r="Y23" i="4" s="1"/>
  <c r="U23" i="4" s="1"/>
  <c r="U14" i="4" s="1"/>
  <c r="U13" i="4" s="1"/>
  <c r="U12" i="4" s="1"/>
  <c r="M38" i="4" l="1"/>
  <c r="P9" i="1"/>
  <c r="M13" i="4"/>
  <c r="W25" i="4"/>
  <c r="U25" i="4"/>
  <c r="S25" i="4" s="1"/>
  <c r="Q25" i="4" s="1"/>
  <c r="R25" i="4" s="1"/>
  <c r="W30" i="4"/>
  <c r="U30" i="4"/>
  <c r="Y14" i="4"/>
  <c r="Y13" i="4" s="1"/>
  <c r="Y12" i="4" s="1"/>
  <c r="W23" i="4"/>
  <c r="C16" i="60"/>
  <c r="C14" i="60"/>
  <c r="C9" i="60" s="1"/>
  <c r="I9" i="60"/>
  <c r="D29" i="60"/>
  <c r="D28" i="60" s="1"/>
  <c r="D27" i="60" s="1"/>
  <c r="D10" i="60"/>
  <c r="G20" i="60"/>
  <c r="G8" i="60"/>
  <c r="H10" i="60"/>
  <c r="H29" i="60"/>
  <c r="H28" i="60" s="1"/>
  <c r="H27" i="60" s="1"/>
  <c r="M20" i="60"/>
  <c r="M8" i="60"/>
  <c r="E31" i="60"/>
  <c r="C31" i="60" s="1"/>
  <c r="C29" i="60" s="1"/>
  <c r="C28" i="60" s="1"/>
  <c r="C27" i="60" s="1"/>
  <c r="F29" i="60"/>
  <c r="F28" i="60" s="1"/>
  <c r="F27" i="60" s="1"/>
  <c r="F10" i="60"/>
  <c r="J10" i="60"/>
  <c r="J29" i="60"/>
  <c r="J28" i="60" s="1"/>
  <c r="J27" i="60" s="1"/>
  <c r="I10" i="60"/>
  <c r="I29" i="60"/>
  <c r="I28" i="60" s="1"/>
  <c r="I27" i="60" s="1"/>
  <c r="L10" i="60"/>
  <c r="L29" i="60"/>
  <c r="L28" i="60" s="1"/>
  <c r="L27" i="60" s="1"/>
  <c r="K20" i="60"/>
  <c r="K8" i="60"/>
  <c r="AX66" i="1"/>
  <c r="AL66" i="1"/>
  <c r="AH66" i="1"/>
  <c r="V66" i="1"/>
  <c r="N35" i="1"/>
  <c r="P26" i="1"/>
  <c r="N26" i="1" s="1"/>
  <c r="M2" i="4" l="1"/>
  <c r="P13" i="4"/>
  <c r="M12" i="4"/>
  <c r="P38" i="4"/>
  <c r="Z25" i="4"/>
  <c r="C8" i="60"/>
  <c r="C20" i="60"/>
  <c r="I20" i="60"/>
  <c r="I8" i="60"/>
  <c r="N66" i="1"/>
  <c r="J8" i="60"/>
  <c r="J20" i="60"/>
  <c r="H20" i="60"/>
  <c r="H8" i="60"/>
  <c r="E10" i="60"/>
  <c r="E29" i="60"/>
  <c r="E28" i="60" s="1"/>
  <c r="E27" i="60" s="1"/>
  <c r="L20" i="60"/>
  <c r="L8" i="60"/>
  <c r="F20" i="60"/>
  <c r="F8" i="60"/>
  <c r="P12" i="4" l="1"/>
  <c r="Z23" i="4"/>
  <c r="W14" i="4"/>
  <c r="W38" i="4" s="1"/>
  <c r="D20" i="60"/>
  <c r="D8" i="60"/>
  <c r="E8" i="60"/>
  <c r="E20" i="60"/>
  <c r="C10" i="60"/>
  <c r="Z30" i="4" l="1"/>
  <c r="Z38" i="4"/>
  <c r="W13" i="4"/>
  <c r="Z14" i="4"/>
  <c r="Z13" i="4" l="1"/>
  <c r="W12" i="4"/>
  <c r="Z12" i="4" s="1"/>
  <c r="N23" i="4" l="1"/>
  <c r="N14" i="4" s="1"/>
  <c r="N13" i="4" s="1"/>
  <c r="N12" i="4" s="1"/>
  <c r="J23" i="4"/>
  <c r="J14" i="4" l="1"/>
  <c r="J13" i="4" s="1"/>
  <c r="J12" i="4" s="1"/>
  <c r="T30" i="4"/>
  <c r="S30" i="4" l="1"/>
  <c r="T23" i="4"/>
  <c r="T14" i="4" l="1"/>
  <c r="T13" i="4" s="1"/>
  <c r="T12" i="4" s="1"/>
  <c r="S23" i="4"/>
  <c r="Q30" i="4"/>
  <c r="S14" i="4" l="1"/>
  <c r="S13" i="4" s="1"/>
  <c r="S12" i="4" s="1"/>
  <c r="R30" i="4"/>
  <c r="Q23" i="4"/>
  <c r="Q14" i="4" l="1"/>
  <c r="Q38" i="4" s="1"/>
  <c r="R23" i="4"/>
  <c r="R14" i="4" s="1"/>
  <c r="Q13" i="4" l="1"/>
  <c r="R38" i="4"/>
  <c r="R13" i="4" l="1"/>
  <c r="Q12" i="4"/>
  <c r="R12" i="4" s="1"/>
</calcChain>
</file>

<file path=xl/sharedStrings.xml><?xml version="1.0" encoding="utf-8"?>
<sst xmlns="http://schemas.openxmlformats.org/spreadsheetml/2006/main" count="6088" uniqueCount="2566">
  <si>
    <t>ĐVT: Triệu đồng</t>
  </si>
  <si>
    <t>STT</t>
  </si>
  <si>
    <t>Nội dung chi</t>
  </si>
  <si>
    <t>Chi tiết từng  huyện</t>
  </si>
  <si>
    <t>Kon Tum</t>
  </si>
  <si>
    <t>Đăk Hà</t>
  </si>
  <si>
    <t>ĐăkTô</t>
  </si>
  <si>
    <t>Ngọc Hồi</t>
  </si>
  <si>
    <t>Đăk Glei</t>
  </si>
  <si>
    <t>Sa Thầy</t>
  </si>
  <si>
    <t>Ia'H Drai</t>
  </si>
  <si>
    <t>Kon Rẫy</t>
  </si>
  <si>
    <t>Kon Plong</t>
  </si>
  <si>
    <t>Tu Mơ Rông</t>
  </si>
  <si>
    <t>A</t>
  </si>
  <si>
    <t>Dự toán thu chi cân đối ngân sách địa phương</t>
  </si>
  <si>
    <t>I</t>
  </si>
  <si>
    <t>Thu cân đối ngân sách huyện</t>
  </si>
  <si>
    <t>1</t>
  </si>
  <si>
    <t>Thu NSNN trên địa bàn huyện được hưởng</t>
  </si>
  <si>
    <t>*</t>
  </si>
  <si>
    <t>Thu NSNN trên địa bàn</t>
  </si>
  <si>
    <t>Thu trên địa bàn NS huyện được hưởng</t>
  </si>
  <si>
    <t>-</t>
  </si>
  <si>
    <t>Khoản thu NS địa phương hưởng 100% theo luật</t>
  </si>
  <si>
    <t>Khoản thu hưởng theo tỷ lệ điều tiết</t>
  </si>
  <si>
    <t>2</t>
  </si>
  <si>
    <t>Bổ sung cân đối ngân sách huyện</t>
  </si>
  <si>
    <t>II</t>
  </si>
  <si>
    <t xml:space="preserve">Dự toán chi cân đối ngân sách huyện </t>
  </si>
  <si>
    <t>Trong đó chi cân đối ngân sách huyện tính tỷ lệ điều tiết, số bổ sung cân đối ngân sách từ ngân sách cấp tỉnh cho huyện</t>
  </si>
  <si>
    <t>Chi đầu tư phát triển (1)</t>
  </si>
  <si>
    <t>Trong đó: Chi giáo dục đào tạo</t>
  </si>
  <si>
    <t xml:space="preserve">                    Chi khoa học công nghệ</t>
  </si>
  <si>
    <t>1.1</t>
  </si>
  <si>
    <t>Chi đầu tư xây dụng cơ bản vốn trong nước</t>
  </si>
  <si>
    <t>1.2</t>
  </si>
  <si>
    <t xml:space="preserve">Chi đầu tư từ nguồn thu sử dụng đất </t>
  </si>
  <si>
    <t>1.3</t>
  </si>
  <si>
    <t>Chi đầu tư từ nguồn thu xổ số kiến thiết</t>
  </si>
  <si>
    <t>Chi thường xuyên (2)</t>
  </si>
  <si>
    <t>Trong đó: 10% tiết kiệm tạo  nguồn thực hiện cải cách tiền lương</t>
  </si>
  <si>
    <t>2.1</t>
  </si>
  <si>
    <t>Chi  giáo dục - đào tạo và dạy nghề</t>
  </si>
  <si>
    <t>2.1.1</t>
  </si>
  <si>
    <t>a</t>
  </si>
  <si>
    <t>Chi thường xuyên GD trong phạm vi CĐNS</t>
  </si>
  <si>
    <t>b</t>
  </si>
  <si>
    <t>Bổ sung đảm bảo cơ cấu quĩ lương</t>
  </si>
  <si>
    <t>c</t>
  </si>
  <si>
    <t>Kinh phí thực hiện chính sách</t>
  </si>
  <si>
    <t>2.1.2</t>
  </si>
  <si>
    <t>2.2</t>
  </si>
  <si>
    <t>2.3</t>
  </si>
  <si>
    <t>Chi sự nghiệp khoa học và công nghệ</t>
  </si>
  <si>
    <t xml:space="preserve"> Chi  nhiệm vụ ứng dụng và chuyển giao công nghệ</t>
  </si>
  <si>
    <t>2.4</t>
  </si>
  <si>
    <t>Chi thường xuyên theo định mức phân bổ</t>
  </si>
  <si>
    <t>Ngân sách tỉnh hỗ trợ hụt chi thường xuyên</t>
  </si>
  <si>
    <t>3</t>
  </si>
  <si>
    <t>Dự phòng ngân sách</t>
  </si>
  <si>
    <t>Tỷ lệ dự phòng/chi CĐNS huyện (%)</t>
  </si>
  <si>
    <t>NỘI DUNG</t>
  </si>
  <si>
    <t>Đơn vị tính</t>
  </si>
  <si>
    <t>Định mức chi HĐND tỉnh duyệt năm 2022</t>
  </si>
  <si>
    <t>Trong đó</t>
  </si>
  <si>
    <t>IAH'Drai</t>
  </si>
  <si>
    <t>Khối tỉnh</t>
  </si>
  <si>
    <t>Khối huyện (theo ĐM dự kiến trình HĐND tỉnh)</t>
  </si>
  <si>
    <t>B</t>
  </si>
  <si>
    <t>C</t>
  </si>
  <si>
    <t>D</t>
  </si>
  <si>
    <t>2=1-3</t>
  </si>
  <si>
    <t>4</t>
  </si>
  <si>
    <t>5</t>
  </si>
  <si>
    <t>6</t>
  </si>
  <si>
    <t>7</t>
  </si>
  <si>
    <t>8</t>
  </si>
  <si>
    <t>9</t>
  </si>
  <si>
    <t>10</t>
  </si>
  <si>
    <t>11</t>
  </si>
  <si>
    <t>12</t>
  </si>
  <si>
    <t>13</t>
  </si>
  <si>
    <t>Chỉ tiêu kinh tế xã hội</t>
  </si>
  <si>
    <t>Dân số trung bình năm 2022 (Cục Thống kê dự kiến tại VB số 234/CTK XH ngày 22/7/2021)</t>
  </si>
  <si>
    <t>Người</t>
  </si>
  <si>
    <t>Vùng đô thị</t>
  </si>
  <si>
    <t xml:space="preserve">Vùng khác còn lại </t>
  </si>
  <si>
    <t>Vùng đặc biệt khó khăn</t>
  </si>
  <si>
    <t>Vùng khó khăn</t>
  </si>
  <si>
    <t>Dân số độ tuổi từ 1-18</t>
  </si>
  <si>
    <t>III</t>
  </si>
  <si>
    <t>Dân số (Không kể dân số độ tuổi từ 1-18)</t>
  </si>
  <si>
    <t>IV</t>
  </si>
  <si>
    <t>Hệ số bổ sung vùng có dân số thấp</t>
  </si>
  <si>
    <t>%</t>
  </si>
  <si>
    <t>Huyện có dân số dưới 30 nghìn dân</t>
  </si>
  <si>
    <t>x</t>
  </si>
  <si>
    <t>Huyện có dân số từ 30 đến dưới 40  nghìn dân</t>
  </si>
  <si>
    <t>Huyện có dân số từ 40 đến dưới 50  nghìn dân</t>
  </si>
  <si>
    <t>Huyện có dân số từ 50 đến dưới 60  nghìn dân</t>
  </si>
  <si>
    <t>V</t>
  </si>
  <si>
    <t>Đơn vị hành chính</t>
  </si>
  <si>
    <t>Xã thuộc vùng đồng bào dân tộc thiểu số, miền núi</t>
  </si>
  <si>
    <t>Xã</t>
  </si>
  <si>
    <t>Xã thuộc vùng khác còn lại</t>
  </si>
  <si>
    <t>Huyện thuộc vùng hải đảo</t>
  </si>
  <si>
    <t>Huyện</t>
  </si>
  <si>
    <t>Huyện thuộc vùng khác còn lại</t>
  </si>
  <si>
    <t>Xã biên giới còn lại</t>
  </si>
  <si>
    <t xml:space="preserve">Xã có biên giới đất liền với Lào, Campuchia </t>
  </si>
  <si>
    <t>Xã tiếp giáp biên giới hai tỉnh nước bạn</t>
  </si>
  <si>
    <t>VI</t>
  </si>
  <si>
    <t>Đô thị</t>
  </si>
  <si>
    <t>Đô thị loại II</t>
  </si>
  <si>
    <t>Đô thị loại III</t>
  </si>
  <si>
    <t>Đô thị loại IV</t>
  </si>
  <si>
    <t>Đô thị loại V</t>
  </si>
  <si>
    <t>Tổng DT chi thường xuyên 2022 theo định mức phân bổ</t>
  </si>
  <si>
    <t>Triệu đồng</t>
  </si>
  <si>
    <t>Mặt bằng chi dự toán 2021 theo lương 1,49 trđ</t>
  </si>
  <si>
    <t>Tỷ lệ chi TX 2022/ mặt bằng chi 2021</t>
  </si>
  <si>
    <t>Chi giáo dục đào tạo</t>
  </si>
  <si>
    <t>Chi khoa học công nghệ</t>
  </si>
  <si>
    <t>Chi thường xuyên khác</t>
  </si>
  <si>
    <t>Chi tiết DT chi thường xuyên 2022 theo định mức phân bổ</t>
  </si>
  <si>
    <t>SN giáo dục</t>
  </si>
  <si>
    <t>Dự toán chi theo định mức dân số (1-18 tuổi)</t>
  </si>
  <si>
    <t>Định mức vùng đô thị</t>
  </si>
  <si>
    <t>Đồng/người/năm</t>
  </si>
  <si>
    <t xml:space="preserve">Định mức vùng khác còn lại </t>
  </si>
  <si>
    <t>Định mức vùng đặc biệt khó khăn</t>
  </si>
  <si>
    <t>Định mức vùng khó khăn</t>
  </si>
  <si>
    <t>Tổng quỹ tiền lương, học bổng</t>
  </si>
  <si>
    <t xml:space="preserve"> Tổng quỹ tiền lương tại thời điểm tháng 6 năm 2021 (Lương 1,49 trđ)</t>
  </si>
  <si>
    <t xml:space="preserve"> Biên chế được  giao </t>
  </si>
  <si>
    <t xml:space="preserve"> Biên chế có mặt tại 01/6/2021</t>
  </si>
  <si>
    <t xml:space="preserve">Hệ số lương CB bình quân </t>
  </si>
  <si>
    <t>Hệ số</t>
  </si>
  <si>
    <t>Hệ số phụ cấp bình quân</t>
  </si>
  <si>
    <t>Tỷ lệ các khoản theo lương/ lương và phụ cấp</t>
  </si>
  <si>
    <t xml:space="preserve">Quĩ lương tiền lương biên chế chưa tuyển </t>
  </si>
  <si>
    <t>Biên chế chưa tuyển dụng</t>
  </si>
  <si>
    <t>Hệ số lương CB bình quân</t>
  </si>
  <si>
    <t>Học bổng nội trú</t>
  </si>
  <si>
    <t>Số học sinh</t>
  </si>
  <si>
    <t>HS</t>
  </si>
  <si>
    <t xml:space="preserve"> </t>
  </si>
  <si>
    <t>Tổng quỹ tiền lương, PC, học bổng</t>
  </si>
  <si>
    <t>Đề án địa phương ban hành</t>
  </si>
  <si>
    <t xml:space="preserve">Đề án nâng cao chất lượng HSDTTS </t>
  </si>
  <si>
    <t>Chính sách trung ương ban hành</t>
  </si>
  <si>
    <t>Kinh phí thực hiện chính sách phát triển giáo dục mầm non NĐ 105 (*)</t>
  </si>
  <si>
    <t>Kinh phí hỗ trợ học bổng, chi phí học tập cho học sinh khuyết tật Thông tư 42</t>
  </si>
  <si>
    <t>Kinh phí hỗ trợ học sinh và Trường phổ thông xã, thôn đặc biệt khó khăn NĐ 116</t>
  </si>
  <si>
    <t>Kinh phí hỗ trợ miễn'giảm học phí và hỗ trợ chi phí học tập theo NĐ 86</t>
  </si>
  <si>
    <t>SN đào tạo và dạy nghề</t>
  </si>
  <si>
    <t>DT 2017</t>
  </si>
  <si>
    <t>Dự toán chi theo định mức dân số (không kể dân số 1-18 tuổi)</t>
  </si>
  <si>
    <t>Quỹ tiền lương trung tâm chính trị</t>
  </si>
  <si>
    <t>Biên chế được duyệt</t>
  </si>
  <si>
    <t>Hệ số lương cơ bản bình quân</t>
  </si>
  <si>
    <t>Hệ số lương phụ cấp bình quân</t>
  </si>
  <si>
    <t>Các khoản đóng góp bình quân</t>
  </si>
  <si>
    <t>Hoạt động  giáo dục thường xuyên</t>
  </si>
  <si>
    <t>Tổng quỹ tiền lương, PC, học bỗng</t>
  </si>
  <si>
    <t>Chi sự nghiệp y tế, dân số và gia đình</t>
  </si>
  <si>
    <t>BHYT đối tượng BTXH</t>
  </si>
  <si>
    <t>BHYT cựu chiến binh, người trực tiếp tham gia kháng chiến, BVTQ, làm nhiệm vụ quốc tế Lào, CPC, TNXP</t>
  </si>
  <si>
    <t>Chi quản lý hành chính nhà nước, đảng, đoàn thể</t>
  </si>
  <si>
    <t>Chi theo định mức phân bổ và tiêu chí phụ</t>
  </si>
  <si>
    <t xml:space="preserve">Dự toán chi theo định mức dân số </t>
  </si>
  <si>
    <t>Phân bổ theo đơn vị hành chính xã</t>
  </si>
  <si>
    <t>Trđ/xã</t>
  </si>
  <si>
    <t xml:space="preserve"> Tổng quỹ tiền lương (theo lương 1,49 trđ) </t>
  </si>
  <si>
    <t>Quĩ tiền lương biên chế hành chính</t>
  </si>
  <si>
    <t xml:space="preserve"> Tính theo số biên chế có mặt 01/6/2021</t>
  </si>
  <si>
    <t>Biên chế được duyệt 2021</t>
  </si>
  <si>
    <t xml:space="preserve">  + QLNN</t>
  </si>
  <si>
    <t xml:space="preserve">  + Đảng, đoàn thể (Đã loại trừ BC của TT chính trị và LĐLĐ)</t>
  </si>
  <si>
    <t>Biên chế có mặt ngày 01/6/2021</t>
  </si>
  <si>
    <t>Các khoản theo lương</t>
  </si>
  <si>
    <t xml:space="preserve">Tính cho số biên chế chưa tuyển </t>
  </si>
  <si>
    <t>Quĩ lương CBCC xã</t>
  </si>
  <si>
    <t>Cho số biên chế có mặt 01/6/2021</t>
  </si>
  <si>
    <t>Biên chế kế hoạch 2021</t>
  </si>
  <si>
    <t xml:space="preserve">Cho số biên chế chưa tuyển </t>
  </si>
  <si>
    <t>Biên chế chưa tuyển</t>
  </si>
  <si>
    <t>Phụ cấp HĐND</t>
  </si>
  <si>
    <t>Số đại biểu HĐND huyện</t>
  </si>
  <si>
    <t xml:space="preserve"> + Số lượng</t>
  </si>
  <si>
    <t xml:space="preserve"> + Mức phụ cấp</t>
  </si>
  <si>
    <t>Số đại biểu HĐND xã</t>
  </si>
  <si>
    <t>QL, PC CB không chuyên trách NĐ 34/CP, NQ 36/HĐND</t>
  </si>
  <si>
    <t xml:space="preserve">  Qũy PC Cán bộ không chuyên trách cấp xã theo NQ 36/HĐND</t>
  </si>
  <si>
    <t xml:space="preserve"> Xã loại 1: </t>
  </si>
  <si>
    <t xml:space="preserve">  + Số lượng</t>
  </si>
  <si>
    <t xml:space="preserve">  + Quỹ Phụ cấp</t>
  </si>
  <si>
    <t xml:space="preserve"> Xã loại 2: </t>
  </si>
  <si>
    <t>Quỹ PC không chuyên trách thôn</t>
  </si>
  <si>
    <t xml:space="preserve"> -</t>
  </si>
  <si>
    <t>Thôn có từ 350 hộ gia đình trở lên; thôn thuộc xã trọng điểm, phức tạp về an ninh, trật tự theo quyết định của cấp có thẩm quyền.</t>
  </si>
  <si>
    <t xml:space="preserve"> + Quỹ phụ cấp</t>
  </si>
  <si>
    <t>Thôn, tổ dân phố còn lại</t>
  </si>
  <si>
    <t>2.5</t>
  </si>
  <si>
    <t>Phụ cấp uỷ viên các cấp</t>
  </si>
  <si>
    <t xml:space="preserve"> -Huyện ủy viên</t>
  </si>
  <si>
    <t xml:space="preserve"> - Cấp xã </t>
  </si>
  <si>
    <t>2.6</t>
  </si>
  <si>
    <t xml:space="preserve">Chế độ bồi dưỡng phục vụ hoạt động cấp uỷ thuộc cấp tỉnh theo Quy định số 3115-QĐ/VPTW </t>
  </si>
  <si>
    <t>Bổ sung để đảm bảo cơ cấu chi khác 25%</t>
  </si>
  <si>
    <t>Tổng chi quản lý hành chính</t>
  </si>
  <si>
    <t>Bổ sung để đảm bảo đủ theo cơ cấu 25% chi khác</t>
  </si>
  <si>
    <t>Tỷ lệ chi lương / tổng chi hành chính (%)</t>
  </si>
  <si>
    <t>Kinh phí theo NQ 36/HĐND</t>
  </si>
  <si>
    <t>Khoán kinh phí hoạt động thôn theo NQ 36/HĐND</t>
  </si>
  <si>
    <t>Số thôn, tổ dân phố</t>
  </si>
  <si>
    <t>Hỗ trợ thêm kinh phí hoạt động cho các tổ chức chính trị - xã hội cấp xã</t>
  </si>
  <si>
    <t>Số xã</t>
  </si>
  <si>
    <t>Hỗ trợ đóng bảo hiểm y tế người hoạt động không chuyên trách ở thôn, tổ dân phố.</t>
  </si>
  <si>
    <t xml:space="preserve">  Phụ cấp thường xuyên cho Đội trưởng, đội phó Dân phòng theo NĐ 136/2020/NĐ-CP</t>
  </si>
  <si>
    <t>Đội trường (20% lương tối thiểu vùng)</t>
  </si>
  <si>
    <t>Đội phó (15% lương tối thiểu vùng)</t>
  </si>
  <si>
    <t>Chi sự nghiệp văn hoá thông tin</t>
  </si>
  <si>
    <t>Chi theo định mức phân bổ</t>
  </si>
  <si>
    <t>Phân bổ theo tiêu chí bổ sung</t>
  </si>
  <si>
    <t>Hỗ trợ thêm cho đô thị loại III</t>
  </si>
  <si>
    <t>triệu đồng/huyện</t>
  </si>
  <si>
    <t>Hỗ trợ thêm cho đô thị loại IV</t>
  </si>
  <si>
    <t>Chi sự nghiệp Phát thanh, truyền hình, thông tấn</t>
  </si>
  <si>
    <t>VII</t>
  </si>
  <si>
    <t>Chi sự nghiệp Thể dục và thể thao</t>
  </si>
  <si>
    <t>VIII</t>
  </si>
  <si>
    <t>Chi sự nghiệp Đảm bảo xã hội</t>
  </si>
  <si>
    <t>Kinh phí bảo trợ xã hội  NĐ136, NĐ 20/NĐ CP</t>
  </si>
  <si>
    <t xml:space="preserve">KP thực hiện hỗ trợ CS tiền điện </t>
  </si>
  <si>
    <t>IX</t>
  </si>
  <si>
    <t>Chi quốc phòng</t>
  </si>
  <si>
    <t>Hỗ trợ bổ sung xã biên giới</t>
  </si>
  <si>
    <t xml:space="preserve">Hỗ trợ xã biên giới </t>
  </si>
  <si>
    <t>Hỗ trợ chi quốc phòng đối với nhóm huyện không thuộc huyện biên giới còn khó khăn (Kon Plong, Kon Rẫy, Tu Mơ Rông)</t>
  </si>
  <si>
    <t>Trđ/huyện</t>
  </si>
  <si>
    <t>X</t>
  </si>
  <si>
    <t>Chi an ninh</t>
  </si>
  <si>
    <t>Hỗ trợ xã biên giới</t>
  </si>
  <si>
    <t>Hỗ trợ thêm cho các huyện, thành phố (không thuộc huyện biên giới) để chi an ninh, trật tự, an toàn xã hội</t>
  </si>
  <si>
    <t>XI</t>
  </si>
  <si>
    <t xml:space="preserve">Chi  khoa học và CN </t>
  </si>
  <si>
    <t>Định mức 2017 (1,5 tỷ/10 Huyện)</t>
  </si>
  <si>
    <t>XII</t>
  </si>
  <si>
    <t>Chi SN kinh tế</t>
  </si>
  <si>
    <t>Phân bổ theo tỷ trọng tổng các khoản chi thường xuyên đã tính được theo định mức phân bổ dự toán chi ngân sách quy định ở trên (từ mục 1 đến mục 11).</t>
  </si>
  <si>
    <t>Bổ sung đô thị được cấp có thẩm quyền công nhận</t>
  </si>
  <si>
    <t>Trđ/đô thị</t>
  </si>
  <si>
    <t>Hỗ trợ các huyện chưa được công nhận đô thị loại V</t>
  </si>
  <si>
    <t>Kinh phí miễn thu thuỷ lợi phí</t>
  </si>
  <si>
    <t>Hỗ trợ quảng bá, xúc tiến, thu hút đầu tư cho các huyện, thành phố thuộc vùng kinh tế động lực của tỉnh</t>
  </si>
  <si>
    <t>trđ/huyện</t>
  </si>
  <si>
    <t>XIII</t>
  </si>
  <si>
    <t>Chi SN Môi trường</t>
  </si>
  <si>
    <t>XIV</t>
  </si>
  <si>
    <t>Chi khác ngân sách</t>
  </si>
  <si>
    <t>Phân bổ theo tiêu chí bổ sung: Đối với các huyện có biên giới đất liền với Lào, Campuchia</t>
  </si>
  <si>
    <t xml:space="preserve">Đối với các huyện có biên giới đất liền với Lào, Campuchia </t>
  </si>
  <si>
    <t>Đối với huyện tiếp giáp biên giới hai tỉnh nước bạn được phân bổ thêm</t>
  </si>
  <si>
    <t>XV</t>
  </si>
  <si>
    <t xml:space="preserve">Bù hụt chi thường xuyên các lĩnh vực khác đảm bảo bằng mặt bằng chi 2021 </t>
  </si>
  <si>
    <t>Tổng chi thường xuyên theo ĐM</t>
  </si>
  <si>
    <t>Kinh phí Đề án cơ sở vật chất giáo dục</t>
  </si>
  <si>
    <t>Kinh phí thực hiện chính sách phát triển giáo dục mầm non NĐ 105</t>
  </si>
  <si>
    <t>e</t>
  </si>
  <si>
    <t>CHI TIẾT THU NGÂN SÁCH ĐỊA PHƯƠNG</t>
  </si>
  <si>
    <t>ĐVT Triệu đồng</t>
  </si>
  <si>
    <t>Nội dung</t>
  </si>
  <si>
    <t>Tổng số</t>
  </si>
  <si>
    <t>Ngân sách cấp tỉnh</t>
  </si>
  <si>
    <t>Ngân sách huyện</t>
  </si>
  <si>
    <t>Bao gồm</t>
  </si>
  <si>
    <t>Thu ngân sách các cấp được hưởng</t>
  </si>
  <si>
    <t>Nguồn thu ngân sách trung ương hưởng</t>
  </si>
  <si>
    <t>Nguồn thu ngân sách địa phương (1)</t>
  </si>
  <si>
    <t>+</t>
  </si>
  <si>
    <t>Tổng số thu</t>
  </si>
  <si>
    <t>Ngân sách huyện hưởng theo phân cấp</t>
  </si>
  <si>
    <t>Các khoản thu NSĐP tính trừ xác định tăng thu (2)</t>
  </si>
  <si>
    <t>3.1</t>
  </si>
  <si>
    <t>Thu tiền sử dụng đất</t>
  </si>
  <si>
    <t>Số thu trên địa bàn</t>
  </si>
  <si>
    <t>Ngân sách địa phương hưởng</t>
  </si>
  <si>
    <t>3.2</t>
  </si>
  <si>
    <t>Thu xổ số kiến thiết</t>
  </si>
  <si>
    <t>3.3</t>
  </si>
  <si>
    <t>Phí bảo vệ môi trường khai thác khoán sản</t>
  </si>
  <si>
    <t>3.4</t>
  </si>
  <si>
    <t>Thu Phí sử dụng các công trình kết cấu hạ tầng(đối với phương tiện ra, vào cửa khẩu) trong Khu kinh tế Cửa khẩu quốc tế Bờ Y</t>
  </si>
  <si>
    <t>3.5</t>
  </si>
  <si>
    <t>Thu tại xã</t>
  </si>
  <si>
    <t>Thu NSĐP được hưởng  tính tăng thu (3)=(1)-(2)</t>
  </si>
  <si>
    <t>Trong đó: Thu nội địa</t>
  </si>
  <si>
    <t xml:space="preserve">Nguồn thu ngân sách trung ương hưởng </t>
  </si>
  <si>
    <t>Nguồn thu ngân sách địa phương (4)</t>
  </si>
  <si>
    <t>Các khoản thu tính trừ xác định tăng thu (5)</t>
  </si>
  <si>
    <t>Thu NSĐP được hưởng  tính tăng thu (6)=(4)-(5)</t>
  </si>
  <si>
    <t>50% tạo nguồn cải cách tiền lương</t>
  </si>
  <si>
    <t>Nguồn thu ngân sách địa phương (8)</t>
  </si>
  <si>
    <t>Nguồn thu phân chia theo tỷ lệ điều tiết</t>
  </si>
  <si>
    <t>Số thu phát sinh trên địa bàn</t>
  </si>
  <si>
    <t>Ngân sách các cấp được hưởng</t>
  </si>
  <si>
    <t>Nguồn thu ngân sách địa phương hưởng 100%</t>
  </si>
  <si>
    <t>Các khoản thu tính trừ xác định tăng thu (9)</t>
  </si>
  <si>
    <t>Thu NSĐP được hưởng  tính tăng thu (10)=(8)-(9)</t>
  </si>
  <si>
    <t>70% tạo nguồn cải cách tiền lương</t>
  </si>
  <si>
    <t>File gốc trình HĐND</t>
  </si>
  <si>
    <t>Ngân sách  tỉnh</t>
  </si>
  <si>
    <t>Bổ sung mục tiêu huyện</t>
  </si>
  <si>
    <t>Tổng chi cân đối ngân sách địa phương (Bao gồm cả bội chi) (I.1+I.2)</t>
  </si>
  <si>
    <t>I.1</t>
  </si>
  <si>
    <t>Chi cân đối ngân sách địa phương</t>
  </si>
  <si>
    <t xml:space="preserve">Chi đầu tư phát triển </t>
  </si>
  <si>
    <t>Chi đầu tư xây dựng cơ bản vốn trong nước</t>
  </si>
  <si>
    <t xml:space="preserve">Trong đó: </t>
  </si>
  <si>
    <t>Chi sự nghiệp quản lý đất đai từ nguồn 10% tiền sử dụng đất</t>
  </si>
  <si>
    <t>1.4</t>
  </si>
  <si>
    <t>Chi tăng cường hạ tầng khu KT cửa khẩu Bờ Y (từ nguồn thu phí sử dụng hạ tầng Khu)</t>
  </si>
  <si>
    <t>Chi thường xuyên (1)</t>
  </si>
  <si>
    <t>Trong đó: Tiết kiệm chi thường xuyên tạo nguồn cải cách tiền lương</t>
  </si>
  <si>
    <t>Chi sự nghiệp giáo dục - đào tạo và dạy nghề</t>
  </si>
  <si>
    <t>Chi thường xuyên các lĩnh vực sự nghiệp  khác</t>
  </si>
  <si>
    <t xml:space="preserve">Chi trả nợ lãi </t>
  </si>
  <si>
    <t>Chi bổ sung quỹ dự trữ tài chính địa phương</t>
  </si>
  <si>
    <t>Tỷ lệ dự phòng trên chi cân đối NS (%)</t>
  </si>
  <si>
    <t>Chi từ nguồn thu các dự án khai thác quỹ đất so với dự toán Trung ương giao (Bao gồm chi đền bù GPMB của các DA đầu tư mà nhà đầu tư đã tự nguyện ứng trước từ nguồn thu tiền thuê đất, tiền sử dụng đất  phân bổ cho các dự án, nhiệm vụ theo tiến độ nguồn thu thực tế)</t>
  </si>
  <si>
    <t>I.2</t>
  </si>
  <si>
    <t>Chi từ nguồn bội chi ngân sách địa phương</t>
  </si>
  <si>
    <t xml:space="preserve">Chi từ nguồn bổ sung có mục tiêu từ ngân sách trung ương </t>
  </si>
  <si>
    <t>Chi đầu tư thực hiện các mục tiêu, nhiệm vụ</t>
  </si>
  <si>
    <t>Vốn trong nước</t>
  </si>
  <si>
    <t>Vốn đầu tư theo ngành, lĩnh vực</t>
  </si>
  <si>
    <t>Trong đó:</t>
  </si>
  <si>
    <t>Thu hồi các khoản vốn ứng trước (2)</t>
  </si>
  <si>
    <t xml:space="preserve">Chi từ nguồn vốn sự nghiệp thực hiện các chế độ, nhiệm vụ và chính sách theo quy định </t>
  </si>
  <si>
    <t>Vốn ngoài nước</t>
  </si>
  <si>
    <t>CT MTQG xây dựng nông thôn mới</t>
  </si>
  <si>
    <t>CT MTQG giảm nghèo bền vững</t>
  </si>
  <si>
    <t>Chi đầu tư từ nguồn vốn ngoài nước</t>
  </si>
  <si>
    <t>Vay để trả nợ gốc</t>
  </si>
  <si>
    <t>Ghi chú:</t>
  </si>
  <si>
    <t>Tổng chi ngân sách địa phương quản lý (I+II)</t>
  </si>
  <si>
    <t>Bù theo cơ cấu đảm bảo chi khác 16%</t>
  </si>
  <si>
    <t>Bổ sung đảm bảo cơ cấu 16% chi khác</t>
  </si>
  <si>
    <t>Đề án phát triển đội ngũ GV mầm non và phổ thông ngành GDĐT</t>
  </si>
  <si>
    <t>Tổng chi SN đào tạo theo cơ cấu 84/16</t>
  </si>
  <si>
    <t>Dự toán chi theo định mức</t>
  </si>
  <si>
    <t>Kinh phí mua BHYT các đối tượng</t>
  </si>
  <si>
    <t>BHYT cho trẻ em dưới 6 tuổi</t>
  </si>
  <si>
    <t>BHYT cho người nghèo, người DTTS vùng KTXH khó khăn và người đang sinh sống ở vùng KTXH đặc biệt KK</t>
  </si>
  <si>
    <t>BHYT người hiến tạng</t>
  </si>
  <si>
    <t>BHYT HSSV</t>
  </si>
  <si>
    <t>Hỗ trợ BHYT người thuộc gia đình hộ cận nghèo</t>
  </si>
  <si>
    <t>Hỗ trợ BHYT người thuộc gia đình làm nông nghiệp, LN có mức sống trung bình</t>
  </si>
  <si>
    <t xml:space="preserve">  Qũy PC Công an xã bán chuyên trách theo (NĐ 42/CP, NQ ...) </t>
  </si>
  <si>
    <t>KP mai táng phí</t>
  </si>
  <si>
    <t>Đề án, chính sách của HĐND tỉnh</t>
  </si>
  <si>
    <t>KP tặng quà Tết các đơn vị, địa phương theo NQ 73/2020/NQ-HĐND (theo Kế hoạch cấp thẩm quyền)</t>
  </si>
  <si>
    <t>KP chi trả cộng tác viên giảm nghèo theo Đề án giảm nghèo đa chiều</t>
  </si>
  <si>
    <t>KP thực hiện chính sách đặc thù của ĐP trợ giúp xã hội đối tượng BTXH theo NQ HĐND tỉnh triển khai NĐ 20/2021/NĐ-CP</t>
  </si>
  <si>
    <t>Kinh phí hỗ trợ địa phương sản xuất lúa</t>
  </si>
  <si>
    <t xml:space="preserve">Chi trả nợ lãi vay </t>
  </si>
  <si>
    <t>Trong đó: - Đã bao gồm 70% tăng thu từ nguồn thu tiền thuê đất, bán tài sản trên đất tạo nguồn CCTL theo quy định</t>
  </si>
  <si>
    <t xml:space="preserve">                - Trích 10% thu tiền sử dụng đất, tiền thuê đất để đầu tư cho công tác đo đạc, đăng ký đất đai, cấp Giấy chứng nhận, xây dựng cơ sở dữ liệu đất đai và đăng ký biến động, chỉnh lý hồ sơ địa chính thường xuyên theo Chỉ thị số 1474/CT-TTg ngày 24/8/2011 của Thủ tướng Chính phủ</t>
  </si>
  <si>
    <t xml:space="preserve">             ĐVT: Triệu đồng</t>
  </si>
  <si>
    <t>UTH 2017</t>
  </si>
  <si>
    <t xml:space="preserve">So sánh DT ĐP giao với DT trung ương </t>
  </si>
  <si>
    <t>Trung ương giao</t>
  </si>
  <si>
    <t>Địa phương giao</t>
  </si>
  <si>
    <t>Số tương đối (%)</t>
  </si>
  <si>
    <t>Số tuyệt đối</t>
  </si>
  <si>
    <t>Thu ngân sách nhà nước trên địa bàn  (I+II)</t>
  </si>
  <si>
    <t>Thu từ SXKD trong nước (Thu nội địa)</t>
  </si>
  <si>
    <t>Thuế giá trị gia tăng</t>
  </si>
  <si>
    <t>Tr. Đó: Từ các nhà máy thủy điện</t>
  </si>
  <si>
    <t>Thuế thu nhập doanh nghiệp</t>
  </si>
  <si>
    <t>Thuế tài nguyên</t>
  </si>
  <si>
    <t>Thuế Tài nguyên nước</t>
  </si>
  <si>
    <t>Thuế tài nguyên rừng</t>
  </si>
  <si>
    <t>Thuế tài nguyên khoáng sản</t>
  </si>
  <si>
    <t>Thuế tài nguyên khác</t>
  </si>
  <si>
    <t>Thu hồi vốn, thu khác</t>
  </si>
  <si>
    <t>Thu từ khu vực doanh nghiệp có vốn đầu tư nước ngoài</t>
  </si>
  <si>
    <t>Thuế thu nhập DN</t>
  </si>
  <si>
    <t>Thuê đất</t>
  </si>
  <si>
    <t>Thu khác</t>
  </si>
  <si>
    <t>Thu từ khu vục kinh tế ngoài quốc doanh</t>
  </si>
  <si>
    <t>4.1</t>
  </si>
  <si>
    <t>Từ các nhà máy SX CN TBS</t>
  </si>
  <si>
    <t>Từ các nhà máy thủy điện nhỏ</t>
  </si>
  <si>
    <t>4.2</t>
  </si>
  <si>
    <t>4.3</t>
  </si>
  <si>
    <t>Thuế TTĐB hàng nội địa</t>
  </si>
  <si>
    <t>4.4</t>
  </si>
  <si>
    <t>4.5</t>
  </si>
  <si>
    <t>Thu khác ngoài QD</t>
  </si>
  <si>
    <t>Lệ phí trước bạ</t>
  </si>
  <si>
    <t>Thuế sử dụng đất nông nghiệp</t>
  </si>
  <si>
    <t>Thuế SD đất phi nông nghiệp</t>
  </si>
  <si>
    <t>Thuế thu nhập cá nhân</t>
  </si>
  <si>
    <t xml:space="preserve"> Thu từ hàng hóa nhập khẩu</t>
  </si>
  <si>
    <t xml:space="preserve"> Thu từ hàng hóa  sản xuất trong nước</t>
  </si>
  <si>
    <t>Thu phí và lệ phí</t>
  </si>
  <si>
    <t>10.1</t>
  </si>
  <si>
    <t>Phí lệ phí do cơ quan nhà nước trung ương thực hiện thu</t>
  </si>
  <si>
    <t>10.2</t>
  </si>
  <si>
    <t>Phí lệ phí do cơ quan nhà nước địa phương thực hiện thu</t>
  </si>
  <si>
    <t>Phí bảo vệ môi trường khai thác khoáng sản</t>
  </si>
  <si>
    <t>Lệ phí môn bài</t>
  </si>
  <si>
    <t>Phí lệ phí khác</t>
  </si>
  <si>
    <t xml:space="preserve">  Tr.đó: + Phí sử dụng các công trình kết cấu hạ tầng trong Khu kinh tế Cửa khẩu quốc tế Bờ Y  </t>
  </si>
  <si>
    <t xml:space="preserve">              + Phí bảo vệ môi trường đối với nước thải</t>
  </si>
  <si>
    <t>Tiền sử dụng đất</t>
  </si>
  <si>
    <t xml:space="preserve">Từ dự án khai thác quỹ đất tỉnh </t>
  </si>
  <si>
    <t>Từ nguồn sử dụng đất khác</t>
  </si>
  <si>
    <t>14</t>
  </si>
  <si>
    <t>Thu khác ngân sách</t>
  </si>
  <si>
    <t>Trong đó thu khác ngân sách trung ương</t>
  </si>
  <si>
    <t>14.1</t>
  </si>
  <si>
    <t xml:space="preserve">Phạt vi phạm hành chính </t>
  </si>
  <si>
    <t>Phạt vi phạm hành chính lĩnh vực giao thông</t>
  </si>
  <si>
    <t>Do cơ quan trung ương thu</t>
  </si>
  <si>
    <t>Do cơ quan địa phương thu</t>
  </si>
  <si>
    <t>Phạt vi phạm hành chính  lĩnh vực khác</t>
  </si>
  <si>
    <t>14.2</t>
  </si>
  <si>
    <t>Các khoản thu khác còn lại</t>
  </si>
  <si>
    <t>14.4</t>
  </si>
  <si>
    <t>Tiền cây đứng cấp vốn điều lệ DA rừng bền vững</t>
  </si>
  <si>
    <t>Thu tiền cấp quyền khai thác khoáng sản, tài nguyên nước</t>
  </si>
  <si>
    <t>Giấy phép do trung ương cấp</t>
  </si>
  <si>
    <t>Giấy phép do địa phương cấp</t>
  </si>
  <si>
    <t>17</t>
  </si>
  <si>
    <t>18</t>
  </si>
  <si>
    <t>Thu từ hoạt động xổ số kiến thíết</t>
  </si>
  <si>
    <t>19</t>
  </si>
  <si>
    <t>Thu hoạt động xuất, nhập khẩu</t>
  </si>
  <si>
    <t>Thuế xuất nhập khẩu và tiêu thụ đặc biệt  hàng nhập khẩu</t>
  </si>
  <si>
    <t>Thuế xuất khẩu</t>
  </si>
  <si>
    <t>Thuế nhập khẩu</t>
  </si>
  <si>
    <t xml:space="preserve">Thuế giá trị gia tăng </t>
  </si>
  <si>
    <t>Thu ngân sách địa phương</t>
  </si>
  <si>
    <t xml:space="preserve">Thu cân đối ngân sách địa phương </t>
  </si>
  <si>
    <t>Trong đó:  Bố trí chi cân đối ngân sách địa phương</t>
  </si>
  <si>
    <t xml:space="preserve">                  Bội thu ngân sách địa phương </t>
  </si>
  <si>
    <t>Thu cố định và điều tiết</t>
  </si>
  <si>
    <t>Thu NSĐP hưởng 100%</t>
  </si>
  <si>
    <t>Thu NSĐP hưởng từ các khoản thu phân chia</t>
  </si>
  <si>
    <t>Thu bổ sung cân đối</t>
  </si>
  <si>
    <t>Thu bổ sung có mục tiêu từ ngân sách trung ương</t>
  </si>
  <si>
    <t>Vốn đầu tư thực hiện các mục tiêu, nhiệm vụ</t>
  </si>
  <si>
    <t>Vốn nước ngoài</t>
  </si>
  <si>
    <t xml:space="preserve">Vốn sự nghiệp thực hiện các chế độ, nhiệm vụ và chính sách theo quy định </t>
  </si>
  <si>
    <t>Chi thực hiện chương trình Mục tiêu quốc gia</t>
  </si>
  <si>
    <t>Chương trình mục tiêu quốc gia xây dựng nông thôn mới</t>
  </si>
  <si>
    <t>Chương trình mục tiêu quốc gia giảm nghèo bền vững</t>
  </si>
  <si>
    <t xml:space="preserve">  </t>
  </si>
  <si>
    <t xml:space="preserve">  (2) Số vốn tối thiểu địa phương phải bố trí, thu hồi ứng trước theo các Văn bản số 1681/TTg-KTTH ngày 22/9/2016 của Thủ tướng Chính phủ, số 3393/VPCP-KTTH ngày 23/5/2008 của Văn phòng Chính phủ</t>
  </si>
  <si>
    <t xml:space="preserve">  (3) Giải ngân theo kế hoạch vốn giao</t>
  </si>
  <si>
    <t>20</t>
  </si>
  <si>
    <t>Thu viện trợ thuộc nguồn thu ngân sách địa phương</t>
  </si>
  <si>
    <t>Dự toán 2022</t>
  </si>
  <si>
    <t>Trong đó: - Thu tiền thuê đất</t>
  </si>
  <si>
    <t xml:space="preserve">                   - Tiền bán tài sản trên đất</t>
  </si>
  <si>
    <t xml:space="preserve">                  - Tiền sử dụng đất</t>
  </si>
  <si>
    <t>Bội chi ngân sách địa phương (2)</t>
  </si>
  <si>
    <t>Tổng số vay trong năm  (3)</t>
  </si>
  <si>
    <t xml:space="preserve">              (3) Là mức tối đa địa phương được vay trong năm</t>
  </si>
  <si>
    <t xml:space="preserve">              (2) Là mức tối đa địa phương được bội chi ngân sách địa phương</t>
  </si>
  <si>
    <t>Nội dung thu</t>
  </si>
  <si>
    <t>Tỷ lệ điều tiết</t>
  </si>
  <si>
    <t>Thử lại tỷ lệ điều tiết NS tỉnh</t>
  </si>
  <si>
    <t>Phân cấp điều tiết</t>
  </si>
  <si>
    <t>Thành phố Kon Tum</t>
  </si>
  <si>
    <t>Huyện Đăk Hà</t>
  </si>
  <si>
    <t>Huyện Đăk Tô</t>
  </si>
  <si>
    <t>Huyện Ngọc Hồi</t>
  </si>
  <si>
    <t>Huyện Đăk Glei</t>
  </si>
  <si>
    <t>Huyện Sa Thầy</t>
  </si>
  <si>
    <t>Huyện Ia H'Drai</t>
  </si>
  <si>
    <t>Huyện Kon Rẫy</t>
  </si>
  <si>
    <t>Huyện Kon Plong</t>
  </si>
  <si>
    <t>Huyện Tu Mơ Rông</t>
  </si>
  <si>
    <t>NSTW</t>
  </si>
  <si>
    <t>NS địa phương</t>
  </si>
  <si>
    <t>Trong  đó</t>
  </si>
  <si>
    <t>NS Địa phương</t>
  </si>
  <si>
    <t>Thu trên địa bàn ngân sách các cấp được hưởng</t>
  </si>
  <si>
    <t>Ngân sách địa phương</t>
  </si>
  <si>
    <t>Văn phòng Cục thuế thu</t>
  </si>
  <si>
    <t>Chi Cục thuế thu</t>
  </si>
  <si>
    <t>Tổng</t>
  </si>
  <si>
    <t>NS tỉnh</t>
  </si>
  <si>
    <t>NS huyện</t>
  </si>
  <si>
    <t>NS Tỉnh</t>
  </si>
  <si>
    <t>Thu NSNN trên địa bàn  (I+II)</t>
  </si>
  <si>
    <t xml:space="preserve"> Khoản thu NS TƯ hưởng </t>
  </si>
  <si>
    <t xml:space="preserve">Khoản thu NSĐP được hưởng </t>
  </si>
  <si>
    <t xml:space="preserve">      Khoản thu phân chia</t>
  </si>
  <si>
    <t xml:space="preserve">      Khoản thu NSĐP hưởng 100%</t>
  </si>
  <si>
    <t xml:space="preserve"> Thu nội địa NSĐP được hưởng</t>
  </si>
  <si>
    <t xml:space="preserve"> - Ngân sách cấp tỉnh hưởng</t>
  </si>
  <si>
    <t xml:space="preserve"> - Ngân sách cấp huyện hưởng</t>
  </si>
  <si>
    <t>A1</t>
  </si>
  <si>
    <t>A2</t>
  </si>
  <si>
    <t>A3</t>
  </si>
  <si>
    <t>A4</t>
  </si>
  <si>
    <t>A5</t>
  </si>
  <si>
    <t>A6</t>
  </si>
  <si>
    <t>A7</t>
  </si>
  <si>
    <t>A8</t>
  </si>
  <si>
    <t>A9</t>
  </si>
  <si>
    <t>A11</t>
  </si>
  <si>
    <t>A12</t>
  </si>
  <si>
    <t>A13</t>
  </si>
  <si>
    <t>Thuế TTĐB</t>
  </si>
  <si>
    <t>A14</t>
  </si>
  <si>
    <t>A15</t>
  </si>
  <si>
    <t>A16</t>
  </si>
  <si>
    <t>A17</t>
  </si>
  <si>
    <t>A18</t>
  </si>
  <si>
    <t>A20</t>
  </si>
  <si>
    <t>A21</t>
  </si>
  <si>
    <t>A22</t>
  </si>
  <si>
    <t>A23</t>
  </si>
  <si>
    <t>A24</t>
  </si>
  <si>
    <t>A25</t>
  </si>
  <si>
    <t>A26</t>
  </si>
  <si>
    <t>A27</t>
  </si>
  <si>
    <t>A28</t>
  </si>
  <si>
    <t>A29</t>
  </si>
  <si>
    <t>Đối với TP Kon Tum</t>
  </si>
  <si>
    <t>A30</t>
  </si>
  <si>
    <t>Đối với các huyện trừ TP Kon Tum</t>
  </si>
  <si>
    <t>A31</t>
  </si>
  <si>
    <t>A32</t>
  </si>
  <si>
    <t>A33</t>
  </si>
  <si>
    <t>A34</t>
  </si>
  <si>
    <t>A35</t>
  </si>
  <si>
    <t>A36</t>
  </si>
  <si>
    <t>A37</t>
  </si>
  <si>
    <t>A38</t>
  </si>
  <si>
    <t>A39</t>
  </si>
  <si>
    <t>A40</t>
  </si>
  <si>
    <t>A41</t>
  </si>
  <si>
    <t>A43</t>
  </si>
  <si>
    <t>A44</t>
  </si>
  <si>
    <t>A45</t>
  </si>
  <si>
    <t>A46</t>
  </si>
  <si>
    <t>A47</t>
  </si>
  <si>
    <t>A48</t>
  </si>
  <si>
    <t>A49</t>
  </si>
  <si>
    <t>A50</t>
  </si>
  <si>
    <t>Phí, lệ phí cơ quan Trung ương thu</t>
  </si>
  <si>
    <t>A51</t>
  </si>
  <si>
    <t>Phí, lệ phí cơ quan địa phương</t>
  </si>
  <si>
    <t>A52</t>
  </si>
  <si>
    <t>A53</t>
  </si>
  <si>
    <t>A54</t>
  </si>
  <si>
    <t>A55</t>
  </si>
  <si>
    <t xml:space="preserve">  Tr.đó Phí sử dụng các công trình kết cấu hạ tầng(đối với phương tiện ra, vào cửa khẩu) trong Khu kinh tế Cửa khẩu quốc tế Bờ Y</t>
  </si>
  <si>
    <t>A56</t>
  </si>
  <si>
    <t>A57</t>
  </si>
  <si>
    <t>Từ dự án khai thác quỹ đất  tỉnh</t>
  </si>
  <si>
    <t>A58</t>
  </si>
  <si>
    <t>A59</t>
  </si>
  <si>
    <t>A60</t>
  </si>
  <si>
    <t>Do UBND tỉnh phê duyệt và trực tiếp quản lý, tổ chức đấu thầu, đấu giá</t>
  </si>
  <si>
    <t>A81</t>
  </si>
  <si>
    <t>Từ nguồn thuê mặt đất khác</t>
  </si>
  <si>
    <t>A82</t>
  </si>
  <si>
    <t>A61</t>
  </si>
  <si>
    <t>A62</t>
  </si>
  <si>
    <t>Phạt vi pham hành chính</t>
  </si>
  <si>
    <t>A63</t>
  </si>
  <si>
    <t>Phạt VPHC lĩnh vực an toàn giao thông</t>
  </si>
  <si>
    <t>A64</t>
  </si>
  <si>
    <t>A65</t>
  </si>
  <si>
    <t>A66</t>
  </si>
  <si>
    <t>Phạt vi phạm hành chính lĩnh vực khác</t>
  </si>
  <si>
    <t>A67</t>
  </si>
  <si>
    <t>A68</t>
  </si>
  <si>
    <t>A69</t>
  </si>
  <si>
    <t>Thu từ lực lượng quản lý thị trường</t>
  </si>
  <si>
    <t>A70</t>
  </si>
  <si>
    <t>A71</t>
  </si>
  <si>
    <t>A72</t>
  </si>
  <si>
    <t>A73</t>
  </si>
  <si>
    <t>Giấy phép do UBND cấp tỉnh cấp</t>
  </si>
  <si>
    <t>A74</t>
  </si>
  <si>
    <t>Thu tiền thuê rừng</t>
  </si>
  <si>
    <t>A80</t>
  </si>
  <si>
    <t>A75</t>
  </si>
  <si>
    <t>A77</t>
  </si>
  <si>
    <t>Thu xổ số kiến thíêt</t>
  </si>
  <si>
    <t>A76</t>
  </si>
  <si>
    <t>Tăng thu từ các dự án khai thác quỹ đất so với dự toán Trung ương giao (phân bổ chi đầu tư các dự án, nhiệm vụ theo tiến độ nguồn thu thực tế)</t>
  </si>
  <si>
    <t>A90</t>
  </si>
  <si>
    <t>Thu tiền thuê đất, tiền bán tài sản trên đất các dự án khai thác quỹ đất giao tăng thu</t>
  </si>
  <si>
    <t>A96</t>
  </si>
  <si>
    <t>21</t>
  </si>
  <si>
    <t>GTGC tiền thuê đất tiền sử dụng đất nhà đầu tư ứng trước đền bù GPMB</t>
  </si>
  <si>
    <t>A95</t>
  </si>
  <si>
    <t>22</t>
  </si>
  <si>
    <t>Thu hoạt động xuất nhập khẩu</t>
  </si>
  <si>
    <t>Thuế XNK và TTĐB hàng NK</t>
  </si>
  <si>
    <t>Thuế tiêu thụ đặc biệt hàng nhập khẩu</t>
  </si>
  <si>
    <t>Dự toán thu</t>
  </si>
  <si>
    <t>Tỷ lệ trích</t>
  </si>
  <si>
    <t xml:space="preserve">Dự toán chi phục vụ công tác xử phạt vi phạm hành chính, thu hồi qua thanh tra </t>
  </si>
  <si>
    <t>Thu phạt vi phạm hành chính</t>
  </si>
  <si>
    <t>Thu phạt an toàn giao thông (1)</t>
  </si>
  <si>
    <t>Sở Giao thông Vận tải (Thanh tra giao thông vận tải)</t>
  </si>
  <si>
    <t>Thu xử phạt hành chính lĩnh vực khác (2)</t>
  </si>
  <si>
    <t>Sở Nông nghiệp và Phát triển nông thôn</t>
  </si>
  <si>
    <t>VP Sở Nông nghiệp và Phát triển Nông thôn</t>
  </si>
  <si>
    <t>Chi cục Kiểm lâm</t>
  </si>
  <si>
    <t>Chi cục Thú y</t>
  </si>
  <si>
    <t>Chi cục Bảo vệ thực vật</t>
  </si>
  <si>
    <t>Chi cục quản lý chất lượng NLS và TS</t>
  </si>
  <si>
    <t>Sở Xây dựng và các đơn vị trực thuộc</t>
  </si>
  <si>
    <t>Sở Tài nguyên và Môi trường</t>
  </si>
  <si>
    <t>Sở Y tế</t>
  </si>
  <si>
    <t>Sở Văn hoá Thể thao và Du lịch</t>
  </si>
  <si>
    <t>Sở Lao động TBXH</t>
  </si>
  <si>
    <t>Sở Khoa học và Công nghệ và các đơn vị trực thuộc</t>
  </si>
  <si>
    <t>Sở thông tin truyền thông</t>
  </si>
  <si>
    <t>Sở Tài chính</t>
  </si>
  <si>
    <t>Thu hồi phát hiện qua công tác thanh tra (3)</t>
  </si>
  <si>
    <t>30%</t>
  </si>
  <si>
    <t>Sở Kế hoạch và Đầu tư</t>
  </si>
  <si>
    <t>Thanh tra tỉnh</t>
  </si>
  <si>
    <t xml:space="preserve">Sở Xây dựng </t>
  </si>
  <si>
    <t>Sở Giao thông Vận tải (Thanh tra Sở Giao thông Vận tải)</t>
  </si>
  <si>
    <t>Ban Dân tộc</t>
  </si>
  <si>
    <t>(1) Số bố trí thực hiện theo số thu thực tế</t>
  </si>
  <si>
    <t>(3) Số được trích theo số thu thực tế nộp ngân sách và tỷ lệ quy định (kể cả số thu nộp ngân sách vượt so dự toán giao)</t>
  </si>
  <si>
    <t>Tên cơ quan, tổ chức đơn vị, doanh nghiệp trực tiếp quản lý, sử dụng nhà, đất; địa chỉ nhà, đất xử lý</t>
  </si>
  <si>
    <t>Ghi chú phương án xử lý tài sản  (Bán, chuyển mục đích,...)</t>
  </si>
  <si>
    <t>Thu tiền cho thuê đất</t>
  </si>
  <si>
    <t>Thu tiền bán tài sản trên đât</t>
  </si>
  <si>
    <t>Bán tài sản trên đất, chuyển nhượng quyền sử dụng đất</t>
  </si>
  <si>
    <t>Thu từ bán đấu giá các trụ sở cơ quan khối tỉnh (Phòng Công chứng số 01)- 65 Ngô Quyền, phường Thống Nhất, thành phố Kon Tum</t>
  </si>
  <si>
    <t>Bến xe Kon Tum</t>
  </si>
  <si>
    <t xml:space="preserve">Sở Xây dựng và Công ty CP TV Đầu tư và Xây dựng Kon Tum </t>
  </si>
  <si>
    <t>7.1</t>
  </si>
  <si>
    <t>Phòng Kinh tế thành phố- 05 Nguyễn Đình Chiểu, P Quyết Thắng</t>
  </si>
  <si>
    <t>7.2</t>
  </si>
  <si>
    <t>Phòng LĐ-TBXH xã hội- 96 Trần Phú, thành phố Kon Tum</t>
  </si>
  <si>
    <t>Phòng Dân tộc Thành phố
19 (256) Bắc Kạn, TP Kon Tum</t>
  </si>
  <si>
    <t>Phòng Kinh tế thành phố (Trụ sở làm việc Trạm Trồng trọt và  Bảo vệ thực vật cũ)- 54B Trần Hưng Đạo, TP Kon tum</t>
  </si>
  <si>
    <t>Dự án khai thác quỹ đất (Thu tiền bán đấu giá quyền sử dụng đất)</t>
  </si>
  <si>
    <t xml:space="preserve">Thu tiền bán đấu giá quyền sử dụng đất </t>
  </si>
  <si>
    <t>Các lô, thửa đất TMDV còn lại của Khu đô thị Nam cầu Đăk Bla (Dự án đầu tư hạ tầng phát triển quỹ đất Khu đô thị phía Nam cầu Đăk Bla, phường Lê Lợi, thành phố Kon Tum, tỉnh Kon Tum)</t>
  </si>
  <si>
    <t>Thu tiền thuê đất, tiền sử dụng đất tương ứng số tiền đền bù GPMB của các DA đầu tư mà nhà đầu tư đã tự nguyện ứng trước</t>
  </si>
  <si>
    <t xml:space="preserve">Nội dung </t>
  </si>
  <si>
    <t xml:space="preserve">Tổng số </t>
  </si>
  <si>
    <t>Chi tiết từng huyện</t>
  </si>
  <si>
    <t>Ghi chú</t>
  </si>
  <si>
    <t>Đăk Tô</t>
  </si>
  <si>
    <t>IaDrai</t>
  </si>
  <si>
    <t>Nguồn vốn đầu tư phát triển</t>
  </si>
  <si>
    <t>Nguồn đầu tư xây dụng cơ bản vốn trong nước</t>
  </si>
  <si>
    <t>Phân cấp hỗ trợ đầu tư chỉnh trang đô thị</t>
  </si>
  <si>
    <t>Phân cấp hỗ trợ đầu tư xây dựng cụm công nghiệp</t>
  </si>
  <si>
    <t>Phân cấp hỗ trợ đầu tư các công trình cấp bách</t>
  </si>
  <si>
    <t>Nguồn thu xổ số kiến thiết</t>
  </si>
  <si>
    <t>Bổ sung nhiệm vụ cụ thể vốn sự nghiệp</t>
  </si>
  <si>
    <t>Trong đó: - SN GD ĐT</t>
  </si>
  <si>
    <t>Định mức</t>
  </si>
  <si>
    <t>TỔNG CỘNG</t>
  </si>
  <si>
    <t xml:space="preserve">TỔNG HỢP CÁC CHÍNH SÁCH, ĐỀ ÁN BỐ TRÍ NGÂN SÁCH HUYỆN, THÀNH PHỐ 2022 </t>
  </si>
  <si>
    <t xml:space="preserve">Khối huyện </t>
  </si>
  <si>
    <t>CHÍNH SÁCH TRUNG ƯƠNG BAN HÀNH</t>
  </si>
  <si>
    <t>Chính sách Trung ương tính vào mặt bằng chi năm 2021</t>
  </si>
  <si>
    <t>Chính sách học bổng đối với học sinh dân tộc nội trú (TT 109)</t>
  </si>
  <si>
    <t>Chính sách hỗ trợ chi phí học tập cho sinh viên dân tộc thiểu số thuộc hộ nghèo, cận nghèo (66/2013/QD-TTg)</t>
  </si>
  <si>
    <t>Chính sách ưu tiên đối với học sinh mẫu giáo học sinh dân tộc rất ít người</t>
  </si>
  <si>
    <t>Chính sách hỗ trợ học bổng đối với học sinh, sinh viên nội trú, có hộ khẩu vùng khó khăn (53/2015/QĐ-TTg, ngày 20/10/2015 của TTCP)</t>
  </si>
  <si>
    <t xml:space="preserve"> Kinh phí đào tạo cán bộ quân sự cấp xã theo Quyết định 799/TTg</t>
  </si>
  <si>
    <t>Chính sách hỗ trợ tổ chức, đơn vị sử dụng lao động là người dân tộc thiểu số</t>
  </si>
  <si>
    <t xml:space="preserve">Chính sách đối với người có uy tín trong đồng bào dân tộc thiểu số </t>
  </si>
  <si>
    <t>Chính sách Trung ương tính tiêu chí bổ sung năm 2022</t>
  </si>
  <si>
    <t>ĐỀ ÁN, CHÍNH SÁCH DO HĐND TỈNH BAN HÀNH</t>
  </si>
  <si>
    <t xml:space="preserve">  Qũy PC Công an xã bán chuyên trách theo (NĐ 42/CP, NQ ...)</t>
  </si>
  <si>
    <t>Tổng cộng (A+B)</t>
  </si>
  <si>
    <t>Phân cấp đầu tư vùng kinh tế động lực</t>
  </si>
  <si>
    <t>Phân cấp hỗ trợ nông thôn mới</t>
  </si>
  <si>
    <t>Phân cấp đầu tư từ nguồn thu XSKT (lồng ghép thực hiện CT MTQG xây dựng NTM)</t>
  </si>
  <si>
    <t>Chi sự nghiệp giáo dục theo định mức</t>
  </si>
  <si>
    <t>Thu từ khu vực kinh tế ngoài quốc doanh</t>
  </si>
  <si>
    <t>Thuế sử dụng đất phi nông nghiệp</t>
  </si>
  <si>
    <t>Thuế bảo vệ môi trường thu từ hàng hóa trong nước</t>
  </si>
  <si>
    <t>Tiền cho thuê đất, thuê mặt nước</t>
  </si>
  <si>
    <t>Thu tiền cho thuê và tiền bán nhà ở thuộc sở hữu nhà nước</t>
  </si>
  <si>
    <t>Thu hồi vốn, thu cổ tức, lợi nhuận sau thuế</t>
  </si>
  <si>
    <t xml:space="preserve">Vốn nước ngoài </t>
  </si>
  <si>
    <t xml:space="preserve">Hệ số bổ sung đối với thành phố là đô thị loại 3 </t>
  </si>
  <si>
    <t>lần</t>
  </si>
  <si>
    <t>Bao gồm:</t>
  </si>
  <si>
    <t>Đề án ngoại ngữ</t>
  </si>
  <si>
    <t>Học bổng khuyến khích học tập theo NĐ số 84/2020/NĐ-CP</t>
  </si>
  <si>
    <t>Chi thường xuyên còn lại</t>
  </si>
  <si>
    <t>Tỷ lệ chi khác còn lại so tổng chi</t>
  </si>
  <si>
    <t>Tiêu chí bổ sung</t>
  </si>
  <si>
    <t>Hỗ trợ tiền ăn cho cán bộ không hưởng lương tham gia bồi dưỡng các lớp do Sở, ngành tuyến tỉnh tổ chức năm 2022</t>
  </si>
  <si>
    <t>Mã nhiệm vụ chi NSNN</t>
  </si>
  <si>
    <t>Phân cấp vốn đầu tư phát triển; bổ sung mục tiêu, nhiệm vụ cụ thể ngân sách huyện</t>
  </si>
  <si>
    <t>Dự toán chi ngân sách cấp tỉnh</t>
  </si>
  <si>
    <t>TỔNG CHI CÂN ĐỐI NGÂN SÁCH TỈNH (BAO GỒM CẢ BỘI CHI) (A+B)</t>
  </si>
  <si>
    <t>Chi cân đối ngân sách tỉnh</t>
  </si>
  <si>
    <t xml:space="preserve">Chi đầu tư phát triển       </t>
  </si>
  <si>
    <t>Chi đầu tư từ nguồn thu sử dụng đất</t>
  </si>
  <si>
    <t xml:space="preserve">Chi thường xuyên </t>
  </si>
  <si>
    <t xml:space="preserve">Chi giáo dục, đào tạo và dạy nghề                                </t>
  </si>
  <si>
    <t>070</t>
  </si>
  <si>
    <t>Chi giáo dục</t>
  </si>
  <si>
    <t>Chi đào tạo</t>
  </si>
  <si>
    <t xml:space="preserve">Chi khoa học và công nghệ                               </t>
  </si>
  <si>
    <t>100</t>
  </si>
  <si>
    <t>Chi sự nghiệp bảo vệ môi trường</t>
  </si>
  <si>
    <t>250</t>
  </si>
  <si>
    <t>Chi hoạt động kinh tế</t>
  </si>
  <si>
    <t>280</t>
  </si>
  <si>
    <t>Chi sự nghiệp nông lâm nghiệp</t>
  </si>
  <si>
    <t>Chi sự nghiệp thủy lợi</t>
  </si>
  <si>
    <t>Chi sự nghiệp giao thông</t>
  </si>
  <si>
    <t>d</t>
  </si>
  <si>
    <t>Chi sự nghiệp địa chính</t>
  </si>
  <si>
    <t xml:space="preserve"> Trong đó: bố trí từ 10% tiền thuê đất phần NS cấp tỉnh được hưởng thực hiện đo đạc địa chính</t>
  </si>
  <si>
    <t>Chi sự nghiệp kinh tế khác</t>
  </si>
  <si>
    <t xml:space="preserve">             Quỹ hỗ trợ nông dân</t>
  </si>
  <si>
    <t xml:space="preserve">             Chi sự nghiệp kinh tế khác (các đơn vị còn lại)</t>
  </si>
  <si>
    <t xml:space="preserve">Chi sự nghiệp y tế, dân số và gia đình                                                </t>
  </si>
  <si>
    <t>130</t>
  </si>
  <si>
    <t>Trong đó: Chi sự nghiệp y tế thường xuyên</t>
  </si>
  <si>
    <t xml:space="preserve">              Mua BHYT cho đối tượng thụ hưởng</t>
  </si>
  <si>
    <t xml:space="preserve">Chi sự nghiệp văn hoá thông tin                                 </t>
  </si>
  <si>
    <t>160</t>
  </si>
  <si>
    <t>Trong đó: Chi sự nghiệp văn hóa thường xuyên</t>
  </si>
  <si>
    <t xml:space="preserve">              Hoạt động báo đảng</t>
  </si>
  <si>
    <t xml:space="preserve">Chi sự nghiệp Thể dục thể thao                                  </t>
  </si>
  <si>
    <t>220</t>
  </si>
  <si>
    <t>Chi sự nghiệp phát thanh, truyền hình</t>
  </si>
  <si>
    <t>190</t>
  </si>
  <si>
    <t>4.6</t>
  </si>
  <si>
    <t xml:space="preserve">Chi  bảo đảm xã hội                                       </t>
  </si>
  <si>
    <t>370</t>
  </si>
  <si>
    <t>Trđó: Chi SN đảm bảo xã hội thường xuyên</t>
  </si>
  <si>
    <t>4.7</t>
  </si>
  <si>
    <t>Chi hoạt động quản lý nhà nước, Đảng, đoàn thể</t>
  </si>
  <si>
    <t>340</t>
  </si>
  <si>
    <t>Trong đó: Chi QLHC các đơn vị</t>
  </si>
  <si>
    <t xml:space="preserve">              - MSSC nguồn tập trung </t>
  </si>
  <si>
    <t xml:space="preserve">              - Chi Đoàn ra, đoàn vào</t>
  </si>
  <si>
    <t>4.8</t>
  </si>
  <si>
    <t>Chi quốc phòng, an ninh và trật tự an toàn xã hội</t>
  </si>
  <si>
    <t>010</t>
  </si>
  <si>
    <t>Chi an ninh và trật tự an toàn xã hội</t>
  </si>
  <si>
    <t>040</t>
  </si>
  <si>
    <t>4.9</t>
  </si>
  <si>
    <t xml:space="preserve">Chi khác ngân sách         </t>
  </si>
  <si>
    <t>428</t>
  </si>
  <si>
    <t xml:space="preserve"> Hoạt động đối ngoại Lào CPC</t>
  </si>
  <si>
    <t>Chi hoạt động phạt vi phạm hành chính, thanh tra</t>
  </si>
  <si>
    <t>Chi hỗ trợ đảm bảo hoạt động thu lệ phí</t>
  </si>
  <si>
    <t>Các khoản chi khác</t>
  </si>
  <si>
    <t>Chi trả nợ lãi vay</t>
  </si>
  <si>
    <t xml:space="preserve">Chi bổ sung Quỹ dự trữ tài chính </t>
  </si>
  <si>
    <t>408</t>
  </si>
  <si>
    <t xml:space="preserve">Dự phòng ngân sách                                                         </t>
  </si>
  <si>
    <t>437</t>
  </si>
  <si>
    <t>Trong đó: Trích 2% bổ sung dự phòng ngân sách từ nguồn thu các dự án khai thác quỹ đất so với dự toán Trung ương giao</t>
  </si>
  <si>
    <t>Tỷ lệ dự phòng / chi cân đối ngân sách tỉnh</t>
  </si>
  <si>
    <t>Chi đầu tư từ nguồn bội chi ngân sách địa phương</t>
  </si>
  <si>
    <t>Kinh phí hợp nhất thành lập trường Cao đẳng Cộng đồng</t>
  </si>
  <si>
    <t>9.1</t>
  </si>
  <si>
    <t>9.2</t>
  </si>
  <si>
    <t>10.3</t>
  </si>
  <si>
    <t>12.1</t>
  </si>
  <si>
    <t>12.2</t>
  </si>
  <si>
    <t>15</t>
  </si>
  <si>
    <t>16</t>
  </si>
  <si>
    <t>16.1</t>
  </si>
  <si>
    <t>16.2</t>
  </si>
  <si>
    <t>18.1</t>
  </si>
  <si>
    <t>18.2</t>
  </si>
  <si>
    <t>18.3</t>
  </si>
  <si>
    <t>20.1</t>
  </si>
  <si>
    <t>23</t>
  </si>
  <si>
    <t>Nội dung - Lĩnh vực chi</t>
  </si>
  <si>
    <t>Mã nhiệm vụ chi</t>
  </si>
  <si>
    <t xml:space="preserve"> Trong đó</t>
  </si>
  <si>
    <t>Dự toán chi hoạt động bộ máy</t>
  </si>
  <si>
    <t xml:space="preserve">Dự toán chi hoạt động sự nghiệp theo định mức </t>
  </si>
  <si>
    <t>Quỹ tiền lương theo lương 1.490</t>
  </si>
  <si>
    <t>Dự toán chi hoạt động thường xuyên</t>
  </si>
  <si>
    <t>Định lượng</t>
  </si>
  <si>
    <t xml:space="preserve">DT trong số kiểm tra </t>
  </si>
  <si>
    <t>Đề xuất ngoài số kiểm tra</t>
  </si>
  <si>
    <t>BC chưa tuyển</t>
  </si>
  <si>
    <t>Cho số BC có mặt</t>
  </si>
  <si>
    <t>Cho số BC chưa tuyển</t>
  </si>
  <si>
    <t>Chi theo định mức</t>
  </si>
  <si>
    <t>Chi đặc thù, đột xuất</t>
  </si>
  <si>
    <t>Hệ số bổ sung</t>
  </si>
  <si>
    <t>Chi hoạt động TX theo định mức</t>
  </si>
  <si>
    <t>DT trong số kiểm tra</t>
  </si>
  <si>
    <t>4a</t>
  </si>
  <si>
    <t>4b</t>
  </si>
  <si>
    <t>5a</t>
  </si>
  <si>
    <t>5b</t>
  </si>
  <si>
    <t>9a</t>
  </si>
  <si>
    <t>9b</t>
  </si>
  <si>
    <t>TỔNG CHI CÂN ĐỐI NGÂN SÁCH TỈNH (BAO GỒM CẢ BỘI CHI) (A1+A2)</t>
  </si>
  <si>
    <t>CHI CÂN ĐỐI NGÂN SÁCH TỈNH</t>
  </si>
  <si>
    <t>A1.1</t>
  </si>
  <si>
    <t>Chi đầu tư phát triển</t>
  </si>
  <si>
    <t>A1.2</t>
  </si>
  <si>
    <t>Đơn vị dự toán toàn ngành</t>
  </si>
  <si>
    <t>Sở NN và PT nông thôn</t>
  </si>
  <si>
    <t>Chi quản lý hành chính</t>
  </si>
  <si>
    <t xml:space="preserve">Chi bộ máy hành chính </t>
  </si>
  <si>
    <t>Sở NN và PTNT</t>
  </si>
  <si>
    <t>Chi cục thuỷ lợi</t>
  </si>
  <si>
    <t>Chi cục phát triển nông thôn</t>
  </si>
  <si>
    <t>Chi cục trồng trọt và bảo vệ thực vật</t>
  </si>
  <si>
    <t>Chi cục chăn nuôi và thú y</t>
  </si>
  <si>
    <t>CC Quản lý chất lượng nông lâm sản và TS</t>
  </si>
  <si>
    <t>Chi cục Thủy lợi</t>
  </si>
  <si>
    <t>Chi cục Phát triển nông thôn</t>
  </si>
  <si>
    <t>Chi cục Trồng trọt và Bảo vệ thực vật</t>
  </si>
  <si>
    <t>Chi cục Quản lý chất lượng nông, lâm sản và thủy sản</t>
  </si>
  <si>
    <t>Kinh phí chúc Tết Nguyên đán</t>
  </si>
  <si>
    <t>KP chỉnh lý tài liệu tồn đọng</t>
  </si>
  <si>
    <t>Chi sự nghiệp nông nghiệp</t>
  </si>
  <si>
    <t xml:space="preserve">Chi bộ máy sự nghiệp </t>
  </si>
  <si>
    <t>Trung tâm khuyến nông</t>
  </si>
  <si>
    <t>Trung tâm nước sạch và VSMTNT</t>
  </si>
  <si>
    <t xml:space="preserve">Chi hoạt động sự nghiệp </t>
  </si>
  <si>
    <t>Chi sự nghiệp lâm nghiệp</t>
  </si>
  <si>
    <t>Chi bộ máy sự nghiệp</t>
  </si>
  <si>
    <t>BQL rừng Đặc dụng Đăk Ui</t>
  </si>
  <si>
    <t>BQL rừng phòng hộ Đăk Glei</t>
  </si>
  <si>
    <t>BQL rừng phòng hộ Thạch Nham</t>
  </si>
  <si>
    <t>BQL Khu bảo tồn thiên nhiên Ngọc Linh</t>
  </si>
  <si>
    <t>BQL rừng phòng hộ Tu Mơ Rông</t>
  </si>
  <si>
    <t>BQL rừng phòng hộ Đăk Hà</t>
  </si>
  <si>
    <t xml:space="preserve">BQL rừng phòng hộ Kon Rẫy </t>
  </si>
  <si>
    <t>Chi hoạt động sự nghiệp</t>
  </si>
  <si>
    <t>Đối ứng các dự án</t>
  </si>
  <si>
    <t>Chi hoạt động QLBVR và PCCC rừng trên địa bàn toàn tỉnh</t>
  </si>
  <si>
    <t>Các DA HĐND tỉnh phê duyệt</t>
  </si>
  <si>
    <t>Xây dựng mô hình nông-lâm kết hợp theo phương thức sản xuất trồng cây lâm nghiệp có giá trị kinh tế cao với các hoạt động sản xuất nông nghiệp</t>
  </si>
  <si>
    <t>Chi sự nghiệp lâm nghiệp khác</t>
  </si>
  <si>
    <t>Sở Giao thông vận tải</t>
  </si>
  <si>
    <t xml:space="preserve">Chi quản lý hành chính </t>
  </si>
  <si>
    <t>Chi bộ máy hành chính</t>
  </si>
  <si>
    <t>Sở Giao thông</t>
  </si>
  <si>
    <t>Bộ máy Thanh tra giao thông</t>
  </si>
  <si>
    <t>Sở Xây dựng</t>
  </si>
  <si>
    <t>Văn phòng Sở</t>
  </si>
  <si>
    <t xml:space="preserve">Chi sự nghiệp kinh tế </t>
  </si>
  <si>
    <t>Chi sự nghiệp thường xuyên</t>
  </si>
  <si>
    <t>Lập chương trình PT đô thị tỉnh Kon Tum</t>
  </si>
  <si>
    <t xml:space="preserve">Sự nghiệp kinh tế </t>
  </si>
  <si>
    <t>Văn phòng đăng ký đất đai</t>
  </si>
  <si>
    <t>Trung tâm CNTT tài nguyên và môi trường</t>
  </si>
  <si>
    <t>Trung tâm phát triển quỹ đất</t>
  </si>
  <si>
    <t>Dự án điều tra xác định vùng hạn chế khai thác nước dưới đất tỉnh Kon Tum</t>
  </si>
  <si>
    <t>Chi sự nghiệp môi trường</t>
  </si>
  <si>
    <t>Trung tâm quan trắc TN và môi trường</t>
  </si>
  <si>
    <t>Dự án điều tra, xác định vùng hạn chế khai thác nước dưới đất tỉnh Kon Tum</t>
  </si>
  <si>
    <t>Danh mục nguồn nước phải lập hành lang bảo vệ trên địa bàn tỉnh Kon Tum.</t>
  </si>
  <si>
    <t xml:space="preserve">Sở Công Thương </t>
  </si>
  <si>
    <t>5.1</t>
  </si>
  <si>
    <t>5.2</t>
  </si>
  <si>
    <t>Trung tâm khuyến công - xúc tiến thương mại</t>
  </si>
  <si>
    <t>Chi hoạt động sự nghiệp kinh tế</t>
  </si>
  <si>
    <t>Chương trình truy xuất nguồn gốc</t>
  </si>
  <si>
    <t>Hỗ trợ đề án Khuyến công</t>
  </si>
  <si>
    <t>Chương trình Xúc tiến thương mại</t>
  </si>
  <si>
    <t xml:space="preserve">Chi giáo dục đào tạo </t>
  </si>
  <si>
    <t>6.1</t>
  </si>
  <si>
    <t>Sở Giáo dục Đào tạo</t>
  </si>
  <si>
    <t>Chi sự nghiệp giáo dục</t>
  </si>
  <si>
    <t>b1</t>
  </si>
  <si>
    <t>Chi sự nghiệp giáo dục thường xuyên</t>
  </si>
  <si>
    <t>Quỹ tiền lương, phụ cấp, các khoản đóng góp theo lương 1.490.000 đồng</t>
  </si>
  <si>
    <t>Học bổng học sinh DTNT theo lương 1.490.000 đồng</t>
  </si>
  <si>
    <t xml:space="preserve">       Học bổng khuyến thích học tập theo Nghị định số 84/2020/NĐ-CP</t>
  </si>
  <si>
    <t xml:space="preserve">       Kinh phí dạy phụ đạo học sinh DTTS theo Đề án nâng cao chất lượng giáo dục đối với học sinh DTTS tính đến năm 2025, định hướng đến năm 2030.</t>
  </si>
  <si>
    <t>b2</t>
  </si>
  <si>
    <t>KP thực hiện các chính sách giáo dục</t>
  </si>
  <si>
    <t xml:space="preserve">Hỗ trợ HS PTTH ở vùng có điều kiện KTXH ĐBKK </t>
  </si>
  <si>
    <t>Chi sự nghiệp đào tạo, bồi dưỡng</t>
  </si>
  <si>
    <t>Đào tạo cử tuyển, đào tạo học sinh Lào, học sinh Campuchia</t>
  </si>
  <si>
    <t>Chi bồi dưỡng giáo viên thực hiện chương trình giáo dục phổ thông mới theo Quyết định 404/QĐ-TTg; Mô đun 5,8,9 cho cấp THCS và cấp Tiểu học</t>
  </si>
  <si>
    <t>6.2</t>
  </si>
  <si>
    <t>6.3</t>
  </si>
  <si>
    <t>Chi cục dân số</t>
  </si>
  <si>
    <t>Chi cục  An toàn vệ sinh thực phẩm</t>
  </si>
  <si>
    <t>Chi sự nghiệp y tế</t>
  </si>
  <si>
    <t>Tuyến huyện (560 giường, định mức 89 triệu đồng/giường/năm)</t>
  </si>
  <si>
    <t>b.1</t>
  </si>
  <si>
    <t xml:space="preserve">Chi thường xuyên theo định mức </t>
  </si>
  <si>
    <t>Tuyến tỉnh</t>
  </si>
  <si>
    <t>Trung tâm kiểm soát bệnh tật</t>
  </si>
  <si>
    <t>Trung tâm kiểm nghiệm</t>
  </si>
  <si>
    <t>Trung tâm giám định Y khoa</t>
  </si>
  <si>
    <t>Trung tâm pháp Y</t>
  </si>
  <si>
    <t>Tuyến huyện</t>
  </si>
  <si>
    <t>Trung tâm y tế huyện ĐăkGlei</t>
  </si>
  <si>
    <t>Trung tâm y tế huyện ĐăkHà</t>
  </si>
  <si>
    <t>Trung tâm y tế huyện ĐăkTô</t>
  </si>
  <si>
    <t>Trung tâm y tế huyện KonPlong</t>
  </si>
  <si>
    <t>Trung tâm y tế huyện KonRẫy</t>
  </si>
  <si>
    <t>Trung tâm y tế huyện TuMơRông</t>
  </si>
  <si>
    <t>Trung tâm y tế huyện Sa Thầy</t>
  </si>
  <si>
    <t>Trung tâm y tế huyện Ngọc Hồi</t>
  </si>
  <si>
    <t>Trung tâm y tế huyện Ia H'Drai</t>
  </si>
  <si>
    <t>Trung tâm y tế huyện Thành phố</t>
  </si>
  <si>
    <t>b.2</t>
  </si>
  <si>
    <t>Hoạt động phòng chống dịch và các nhiệm vụ phòng bệnh</t>
  </si>
  <si>
    <t>Cân đối trong nguồn thu: 5.456 triệu đồng</t>
  </si>
  <si>
    <t>Chi sự nghiệp y tế khác</t>
  </si>
  <si>
    <t>Bổ sung Quỹ khám chữa bệnh</t>
  </si>
  <si>
    <t>8.1</t>
  </si>
  <si>
    <t>8.2</t>
  </si>
  <si>
    <t xml:space="preserve">Chi sự nghiệp văn hoá </t>
  </si>
  <si>
    <t xml:space="preserve">Chi hoạt động bộ máy </t>
  </si>
  <si>
    <t>Trung tâm Văn hóa - Nghệ thuật</t>
  </si>
  <si>
    <t>Trung tâm Thông tin xúc tiến du lịch</t>
  </si>
  <si>
    <t>Bảo tàng - Thư viện</t>
  </si>
  <si>
    <t>Chi hoạt động sự nghiệp thường xuyên</t>
  </si>
  <si>
    <t>Tham gia Hội chợ du lịch Quốc tế Việt Nam; Hội nghị, hội thảo xúc tiến quảng bá du lịch tại điểm</t>
  </si>
  <si>
    <t>Điều chỉnh khoanh vùng bảo vệ Di tích</t>
  </si>
  <si>
    <t>Kế hoạch Bảo tồn, phát huy trang phục truyền thống DTTS tỉnh Kon Tum giai đoạn 2020-2030</t>
  </si>
  <si>
    <t>Chi tuyên truyền lưu động (70 buổi)</t>
  </si>
  <si>
    <t>Chi phục vụ chiếu bóng vùng cao (110 buổi)</t>
  </si>
  <si>
    <t>Kinh phí duy trì dự án BMGF-VN</t>
  </si>
  <si>
    <t>8.3</t>
  </si>
  <si>
    <t>Chi sự nghiệp thể dục thể thao</t>
  </si>
  <si>
    <t>Trung tâm Huấn luyện và Thi đấu TDTT</t>
  </si>
  <si>
    <t>Chi tham gia các giải thể thao thành tích cao</t>
  </si>
  <si>
    <t>Chi tham gia, tổ chức các giải TT trong tỉnh</t>
  </si>
  <si>
    <t>Chi nghiệp vụ chuyên môn, công tác quản lý thể thao sân vận động</t>
  </si>
  <si>
    <t>Sở Lao động Thương binh Xã hội</t>
  </si>
  <si>
    <t>Sự nghiệp đảm bảo xã hội</t>
  </si>
  <si>
    <t xml:space="preserve">TT bảo trợ xã hội </t>
  </si>
  <si>
    <t>TT giới thiệu việc làm</t>
  </si>
  <si>
    <t>Kinh phí thực hiện chính sách BTXH theo quy định Trung ương</t>
  </si>
  <si>
    <t>Chi tiền ăn nuôi dưỡng đối tượng</t>
  </si>
  <si>
    <t>Sinh hoạt phí của các đối tượng đang nuôi dưỡng tại TTBTXH tỉnh</t>
  </si>
  <si>
    <t xml:space="preserve">Hỗ trợ kinh phí mua thẻ BHYT cho đối tượng BTXH </t>
  </si>
  <si>
    <t>Kinh phí thực hiện chính sách người có công, an sinh xã hội</t>
  </si>
  <si>
    <t>Chi thực hiện luật người cao tuổi</t>
  </si>
  <si>
    <t>Kinh phí thăm chúc Tết các đối tượng tâm thần, cai nghiện ma túy tại các Trung tâm Đăk Lăk và Gia Lai</t>
  </si>
  <si>
    <t>Thăm hỏi tặng quà đối tượng chính sách NCC</t>
  </si>
  <si>
    <t>Đưa đối tượng đi thăm lăng Bác</t>
  </si>
  <si>
    <t>Đưa đ.tượng NCC và BTXH đi biểu dương</t>
  </si>
  <si>
    <t>Đưa đối tượng NCC đi điều dưỡng</t>
  </si>
  <si>
    <t xml:space="preserve">Tặng quà, mua khung mừng thọ các cụ cao tuổi </t>
  </si>
  <si>
    <t>KP Phòng chống mại dâm và tệ nạn xã hội</t>
  </si>
  <si>
    <t>Thuê xe đưa đón các cháu đi học, đóng tiền học bán trú</t>
  </si>
  <si>
    <t>b3</t>
  </si>
  <si>
    <t>Chi đảm bảo xã hội khác</t>
  </si>
  <si>
    <t>Hoạt động bảo vệ và chăm sóc trẻ em</t>
  </si>
  <si>
    <t>9.3</t>
  </si>
  <si>
    <t xml:space="preserve">BHXH tỉnh: KP mua, hỗ trợ mua BHYT các đối tượng </t>
  </si>
  <si>
    <t>BHYT trẻ em dưới 6 tuổi</t>
  </si>
  <si>
    <t>BHYT người nghèo, DTTS vùng khó khăn, người đang sinh sống tại vùng ĐBKK</t>
  </si>
  <si>
    <t>BHYT học sinh, sinh viên</t>
  </si>
  <si>
    <t>BHYT người hiến bộ phận cơ thể</t>
  </si>
  <si>
    <t>BHYT người thuộc hộ gia đình cận nghèo</t>
  </si>
  <si>
    <t>BHYT người thuộc hộ gia đình làm nông, lâm, ngư nghiệp có mức sống trung bình</t>
  </si>
  <si>
    <t>BHXH tỉnh: KP hỗ trợ phần cá nhân tự đóng BHYT</t>
  </si>
  <si>
    <t>Nghị quyết 18/2019/NQ-HĐND ngày 18/7/2019</t>
  </si>
  <si>
    <t>BHXH tỉnh: KP hỗ trợ cá nhân đóng BHXH tự nguyện</t>
  </si>
  <si>
    <t xml:space="preserve">Sở Tư pháp </t>
  </si>
  <si>
    <t>BCĐ đổi mới nâng cao hiệu quả giám định tư pháp</t>
  </si>
  <si>
    <t>Chi bồi dưỡng cho thành viên HĐ phối hợp liên ngành về TGPL trong hoạt động tố tụng</t>
  </si>
  <si>
    <t>Chi sự nghiệp đảm bảo xã hội</t>
  </si>
  <si>
    <t xml:space="preserve"> TT trợ giúp pháp lý</t>
  </si>
  <si>
    <t>TT dịch vụ đấu giá tài sản</t>
  </si>
  <si>
    <t>Tổ chức Đoàn công tác làm việc với Sở Tư pháp tỉnh Attapư, Lào</t>
  </si>
  <si>
    <t>Hỗ trợ công tác xây dựng và kiểm tra văn bản QPPL, cập nhật VBQPPL vào hệ cơ sở dữ liệu quốc gia và công tác pháp chế</t>
  </si>
  <si>
    <t>Kinh phí triển khai Nghị định số 87/2020/NĐ-CP ngày 28/7/2020 của Chính phủ</t>
  </si>
  <si>
    <t>Văn phòng Tỉnh Uỷ</t>
  </si>
  <si>
    <t>11.1</t>
  </si>
  <si>
    <t xml:space="preserve"> Văn phòng Tỉnh Uỷ </t>
  </si>
  <si>
    <t xml:space="preserve"> Ban Tổ chức Tỉnh ủy</t>
  </si>
  <si>
    <t xml:space="preserve"> Ban Tuyên giáo Tỉnh ủy</t>
  </si>
  <si>
    <t xml:space="preserve"> Ủy ban Kiểm tra Tỉnh ủy</t>
  </si>
  <si>
    <t xml:space="preserve">  Trong đó BS kinh phí đặc thù kiểm tra </t>
  </si>
  <si>
    <t xml:space="preserve"> Ban Dân vận Tỉnh ủy</t>
  </si>
  <si>
    <t xml:space="preserve"> Đảng ủy khối cơ quan và doanh nghiệp </t>
  </si>
  <si>
    <t xml:space="preserve">Ban Nội chính Tỉnh Ủy </t>
  </si>
  <si>
    <t>Khen thưởng huy hiệu Đảng toàn tỉnh</t>
  </si>
  <si>
    <t>Công tác thông tin,  tôn giáo, học tập và làm theo TG ĐĐ HCM, hoạt động các BCĐ</t>
  </si>
  <si>
    <t>KP đẩy mạnh học tập và làm theo TG ĐĐHCM</t>
  </si>
  <si>
    <t>KP công tác đấu tranh phòng chống âm mưu hoạt động diễn biến hòa bình của các thế lực thù địch trên lĩnh vực tư tưởng, văn hóa</t>
  </si>
  <si>
    <t>Phụ cấp cấp uỷ chi hộ, phụ cấp công tác đảng, ủy viên Ban chấp hành, báo cáo viên,..</t>
  </si>
  <si>
    <t xml:space="preserve">KP phục vụ hoạt động chung, chuẩn bị cho Đoàn lãnh đạo Tỉnh đi thăm, chúc Tết Nguyên đán </t>
  </si>
  <si>
    <t>Hoạt động triển khai đảng khối, đoàn khối</t>
  </si>
  <si>
    <t>PC cộng tác viên điều tra dư luận XH</t>
  </si>
  <si>
    <t>Hỗ trợ UBKT kiêm chức</t>
  </si>
  <si>
    <t>Trang phục theo nhiệm kỳ và theo năm</t>
  </si>
  <si>
    <t>Hoạt động đặc thù TT Tỉnh Ủy</t>
  </si>
  <si>
    <t>Dự phòng NS Đảng</t>
  </si>
  <si>
    <t>tỷ lệ dự phòng 2% tổng chi TX NS Đảng</t>
  </si>
  <si>
    <t>11.2</t>
  </si>
  <si>
    <t>Chi sự nghiệp văn hóa</t>
  </si>
  <si>
    <t xml:space="preserve"> Bộ máy Báo Kon Tum</t>
  </si>
  <si>
    <t>Trợ giá báo đảng</t>
  </si>
  <si>
    <t>11.3</t>
  </si>
  <si>
    <t>Chi sự nghiệp kinh tế</t>
  </si>
  <si>
    <t>Chi sự nghiệp khoa học công nghệ</t>
  </si>
  <si>
    <t>Trung tâm nghiên cứu ứng dụng và dịch vụ KHCN</t>
  </si>
  <si>
    <t xml:space="preserve">Tỉnh đoàn </t>
  </si>
  <si>
    <t>13.1</t>
  </si>
  <si>
    <t>Hoạt động Hội Liên hiệp TNVN</t>
  </si>
  <si>
    <t>13.2</t>
  </si>
  <si>
    <t>Chi sự nghiệp văn hoá</t>
  </si>
  <si>
    <t>TT văn hoá thể thao TTN</t>
  </si>
  <si>
    <t>13.3</t>
  </si>
  <si>
    <t>Hoạt động Trung tâm hỗ trợ thanh niên</t>
  </si>
  <si>
    <t>Chi hoạt động</t>
  </si>
  <si>
    <t>Hoạt động Tổng đội thanh niên xung phong</t>
  </si>
  <si>
    <t>Sở Thông tin truyền thông</t>
  </si>
  <si>
    <t>TT CNTT và truyền thông</t>
  </si>
  <si>
    <t>KP thuê đường truyền số liệu chuyên dùng</t>
  </si>
  <si>
    <t xml:space="preserve"> Đặc san Thông tin và Truyền thông</t>
  </si>
  <si>
    <t xml:space="preserve"> Tổ chức ngày sách Việt Nam hàng năm</t>
  </si>
  <si>
    <t>Chi phí kiểm tra, giám sát hoạt động, làm việc với các đơn vị liên quan tại của cụm thông tin cơ sở tại cửa khẩu quốc tế Bờ Y, Ngọc Hồi</t>
  </si>
  <si>
    <t xml:space="preserve">Thuê hệ thống đảm bảo an toàn thông tin SOC </t>
  </si>
  <si>
    <t>Thuê trục kết nối chia sẻ dữ liệu LGSP</t>
  </si>
  <si>
    <t>Kinh phí thực hiện Kế hoạch số 4222/KH-UBND ngày 10/11/2020 của UBND tỉnh Kon Tum</t>
  </si>
  <si>
    <t>Thiết lập bản tin điện tử công cộng</t>
  </si>
  <si>
    <t>Hệ thống thông tin nguồn</t>
  </si>
  <si>
    <t xml:space="preserve">Ban Quản lý Khu Kinh tế  </t>
  </si>
  <si>
    <t>15.1</t>
  </si>
  <si>
    <t>Chi công tác xúc tiến đầu tư</t>
  </si>
  <si>
    <t>15.2</t>
  </si>
  <si>
    <t>Ban quản lý cửa khẩu quốc tế Bờ Y</t>
  </si>
  <si>
    <t>Hoạt động của BQL cửa khẩu quốc tế Bờ Y</t>
  </si>
  <si>
    <t>15.3</t>
  </si>
  <si>
    <t xml:space="preserve">Dịch vụ sự nghiệp công trong lĩnh vực xây dựng (Vệ sinh môi trường, thu gom vận chuyển rác thải  tại KKT cửa khẩu quốc tế Bờ Y) </t>
  </si>
  <si>
    <t>Dịch vụ sự nghiệp công trong lĩnh vực đường bộ (Chăm sóc, duy trì cây xanh; Duy trì hệ thống thoát nước; Duy trì hệ thống điện công lộ; Bảo trì sửa chữa kết cấu hạ tầng GT đường bộ tại KKT cửa khẩu quốc tế Bờ Y)</t>
  </si>
  <si>
    <t>Sở Nội vụ</t>
  </si>
  <si>
    <t>Văn phòng Sở Nội vụ</t>
  </si>
  <si>
    <t>Ban Tôn giáo</t>
  </si>
  <si>
    <t>Kinh phí đối thoại thanh niên (cầu truyền hình trực tuyến)</t>
  </si>
  <si>
    <t>Khảo sát 02 dịch vụ hành chính công ( xác định chỉ số SIPAS), điều tra với số lượng 500 phiếu/dịch vụ hành chính công)</t>
  </si>
  <si>
    <t>Chương trình công tác phối hợp đi kiểm tra cơ sở giữa Ban cán sự đảng và Ban dân vận</t>
  </si>
  <si>
    <t>Bố trí 50 kệ tài liệu đựng tài liệu lưu trữ lịch sử của 10 đơn vị hành chính chưa di dời ra khu hành chính</t>
  </si>
  <si>
    <t xml:space="preserve">Công tác địa giới hành chính </t>
  </si>
  <si>
    <t>Các đơn vị dự toán độc lập</t>
  </si>
  <si>
    <t>BQL Vườn quốc gia Chư Mom Ray</t>
  </si>
  <si>
    <t>Chi hoạt động bộ máy sự nghiệp</t>
  </si>
  <si>
    <t>Trđó: Chi sửa chữa thường xuyên tuyến đường tuần tra phục vụ công tác quản lý bảo vệ rừng, bảo vệ động vật hoang dã trong khu vực Vườn Quốc gia Chư Mom Ray (19 km)</t>
  </si>
  <si>
    <t>Trường Cao đẳng Cộng đồng</t>
  </si>
  <si>
    <t>Các nhiệm vụ không thường xuyên</t>
  </si>
  <si>
    <t>Trợ cấp xã hội cho HS xã ĐBKK theo QĐ 194</t>
  </si>
  <si>
    <t>Công tác kiểm định CL GDNN</t>
  </si>
  <si>
    <t>Chính sách ưu tiên đối với HS dân tộc rất ít người theo NĐ 57</t>
  </si>
  <si>
    <t>KP thực hiện QĐ số 53 TTCP</t>
  </si>
  <si>
    <t xml:space="preserve">Trường Chính trị </t>
  </si>
  <si>
    <t>Chi thường xuyên theo định mức</t>
  </si>
  <si>
    <t xml:space="preserve">Lớp cao cấp LLCT K17 chuyển tiếp </t>
  </si>
  <si>
    <t xml:space="preserve">Kinh phí bồi dưỡng đối tượng 3 </t>
  </si>
  <si>
    <t xml:space="preserve">KP nghiên cứu thực tế </t>
  </si>
  <si>
    <t xml:space="preserve"> Đài phát thanh - Truyền hình</t>
  </si>
  <si>
    <t>Sản xuất chương trình phát thanh tiếng phổ thông (Thời lượng: 1,75 giờ/ngày x 365 ngày = 640,5 giờ/năm)</t>
  </si>
  <si>
    <t>Sản xuất chương trình phát thanh tiếng dân tộc (Thời lượng: 3,2 giờ/ngày x 365 ngày = 1.163 giờ/năm)</t>
  </si>
  <si>
    <t>Sản xuất chương trình truyền hình tiếng phổ thông (Thời lượng: 5,1 giờ/ngày x 365 ngày = 1.861 giờ/năm)</t>
  </si>
  <si>
    <t>Sản xuất chương trình truyền hình tiếng dân tộc (Thời lượng: 0,32 giờ/ngày x 365 ngày = 117 giờ/năm)</t>
  </si>
  <si>
    <t>Phát sóng phát thanh (Thời lượng: 18 giờ/ngày x 365 ngày = 6.570 giờ/năm)</t>
  </si>
  <si>
    <t>Chi phí thuê đường truyền phát sóng trên vệ tinh Vinasat</t>
  </si>
  <si>
    <t xml:space="preserve">Ban bảo vệ sức khoẻ cán bộ </t>
  </si>
  <si>
    <t>Kinh phí biên giới</t>
  </si>
  <si>
    <t xml:space="preserve">KP thực hiện ĐA Hội nhập QT </t>
  </si>
  <si>
    <t xml:space="preserve">  Đoàn ra đoàn vào </t>
  </si>
  <si>
    <t>Đoàn ra đoàn vào đột xuất theo QĐ UBND tỉnh</t>
  </si>
  <si>
    <t>Thanh tra nhà nước</t>
  </si>
  <si>
    <t>+ Bổ sung KP Hội đồng tư vấn</t>
  </si>
  <si>
    <t>+ Chi công tác tiếp công dân</t>
  </si>
  <si>
    <t>+ Chi cho hoạt động giải quyết đơn thư khiếu nại, tố cáo, tồn đọng kéo dài</t>
  </si>
  <si>
    <t>Văn phòng Đoàn ĐBQH và HĐND tỉnh</t>
  </si>
  <si>
    <t>Chi hoạt động Văn phòng HĐND tỉnh</t>
  </si>
  <si>
    <t>Kinh phí phục vụ công tác xã hội của các đồng chí Ủy viên BTVTU</t>
  </si>
  <si>
    <t>Hoạt động Hội đồng nhân dân</t>
  </si>
  <si>
    <t>Hỗ trợ hoạt động Đoàn đại biểu quốc hội</t>
  </si>
  <si>
    <t xml:space="preserve">Sở Kế hoạch Đầu tư </t>
  </si>
  <si>
    <t>Chi bộ máy sự nghiệp kinh tế</t>
  </si>
  <si>
    <t>Trung tâm xúc tiến đầu tư</t>
  </si>
  <si>
    <t xml:space="preserve">Hoạt động xúc tiến đầu tư </t>
  </si>
  <si>
    <t xml:space="preserve">Tổ chức chương trình khởi nghiệp </t>
  </si>
  <si>
    <t xml:space="preserve">Tổ chức hội nghị PCI hàng năm </t>
  </si>
  <si>
    <t xml:space="preserve">Kinh phí xây dựng và triển khai thực hiện Bộ chỉ số đánh giá năng lực cạnh tranh cấp Sở, ban ngành, địa phương </t>
  </si>
  <si>
    <t xml:space="preserve">Hỗ trợ hoạt động của Tổ kết nối doanh nghiệp với các cơ sở giáo dục nghề nghiệp </t>
  </si>
  <si>
    <t xml:space="preserve">Sở Tài chính </t>
  </si>
  <si>
    <t>Chi bộ máy Văn phòng UBND tỉnh</t>
  </si>
  <si>
    <t>a1</t>
  </si>
  <si>
    <t>Chi hoạt động bộ máy</t>
  </si>
  <si>
    <t>a2</t>
  </si>
  <si>
    <t>KP rà soát, kiểm soát thủ tục hành chính</t>
  </si>
  <si>
    <t>Kinh phí hoạt động của Trung tâm Phục vụ hành chính công</t>
  </si>
  <si>
    <t>KP thuê đường truyền giao ban trực tuyến; Kết nối cổng TTĐT Chính phủ; Hoạt động cổng TTĐT tỉnh, trang TTĐT thành phần VP UBND…</t>
  </si>
  <si>
    <t>Chi phí thuê đường truyền Trung tâm điều hành thông minh IOC</t>
  </si>
  <si>
    <t xml:space="preserve">Hội Cựu chiến binh </t>
  </si>
  <si>
    <t>Đón tiếp, hỗ trợ các đoàn CCB,  các BLL</t>
  </si>
  <si>
    <t xml:space="preserve">Hội Nông dân </t>
  </si>
  <si>
    <t>Kinh phí thực hiện Kết luận 61-KL/TW</t>
  </si>
  <si>
    <t>Kinh phí giám sát phản biện xã hội, giám sát vật tư nông nghiệp, luật đất đai</t>
  </si>
  <si>
    <t xml:space="preserve">Kinh phí đưa HV-ND đi học tập mô hình HTX có hiệu quả trên địa bàn tỉnh </t>
  </si>
  <si>
    <t>Chi sự nghiệp đào tạo</t>
  </si>
  <si>
    <t>Uỷ ban mặt trận tổ quốc</t>
  </si>
  <si>
    <t>Cứu trợ, huy động, chi quỹ vì người nghèo</t>
  </si>
  <si>
    <t>Hỗ trợ KP thực hiện Cuộc vận động toàn dân đoàn kết xây dựng NT mới, đô thị văn minh</t>
  </si>
  <si>
    <t>BS kinh phí hoạt động đặc thù (trong đó bao gồm kinh phí chi giám sát, phản biện theo NQ HĐND tỉnh)</t>
  </si>
  <si>
    <t>Bổ sung KP tăng cường công tác tôn giáo</t>
  </si>
  <si>
    <t>Chi SH phí cho các ủy viên UBMTTQ cấp tỉnh</t>
  </si>
  <si>
    <t>Triển khai thực hiện CVĐ " Làm thay đổi nếp nghỉ cách làm của đồng bào DTTS, làm cho đồng bào DTTS vươn lên thoát nghèo bền vững</t>
  </si>
  <si>
    <t xml:space="preserve">Hội liên hiệp phụ nữ tỉnh </t>
  </si>
  <si>
    <t>KP phát hành tờ thông tin tuyên truyền nội bộ; Tăng cường tuyên truyền chống tà đạo Hà Mòn; Hỗ trợ thông tin, tuyên truyền về dân tộc, tôn giáo theo Quyết định 219/QĐ-TTg</t>
  </si>
  <si>
    <t xml:space="preserve"> Luật bình đẳng giới, chống bạo lực GĐ </t>
  </si>
  <si>
    <t>Kinh phí thực hiện Đề án 938, 939/TTg về Tuyên truyền, giáo dục, vận động, hỗ trợ PN tham gia giải quyết các vấn đề XH liên quan đến PN</t>
  </si>
  <si>
    <t>Kinh phí viết lịch sử</t>
  </si>
  <si>
    <t>Chi hoạt động SN đảm bảo xã hội</t>
  </si>
  <si>
    <t>Công an tỉnh</t>
  </si>
  <si>
    <t xml:space="preserve">Bộ chỉ huy quân sự tỉnh </t>
  </si>
  <si>
    <t>Chi sự nghiệp quốc phòng</t>
  </si>
  <si>
    <t>Nhiệm vụ quốc phòng địa phương</t>
  </si>
  <si>
    <t>Chi quốc phòng thường xuyên</t>
  </si>
  <si>
    <t xml:space="preserve">Chi huấn luyện, đào tạo bồi dưỡng kiến thức QP, trang bị dụng cụ huấn luyện…  </t>
  </si>
  <si>
    <t>Hỗ trợ kinh phí mua trang phục cho Dân quân tự vệ (Quân trang cho lực lượng DQTV)</t>
  </si>
  <si>
    <t>Quan hệ hợp tác biên giới</t>
  </si>
  <si>
    <t>Chi quốc phòng thường xuyên khác</t>
  </si>
  <si>
    <t>Ban chuyên trách quy tập mộ liệt sĩ</t>
  </si>
  <si>
    <t>Nhiệm vụ khác</t>
  </si>
  <si>
    <t>KP đưa đoàn cán bộ quân y khám bệnh, cấp thuốc, tặng quà cho nhân dân tỉnh Atapư Lào</t>
  </si>
  <si>
    <t xml:space="preserve">Kinh phí phục vụ công tác xã hội của các đồng chí  Ủy viên BTVTU         </t>
  </si>
  <si>
    <t>Bộ chỉ huy biên phòng</t>
  </si>
  <si>
    <t>Nhiệm vụ thường xuyên</t>
  </si>
  <si>
    <t>Kinh phí phát quang, bảo dưỡng, sửa chữa thường xuyên đường tuần tra biên giới (434km)</t>
  </si>
  <si>
    <t>KP phát quang đường thông tầm biên giới, xung quanh cột mốc,... (293 km)</t>
  </si>
  <si>
    <t>KP tổ chức thực hiện CT 01/TTg ngày 9/1/2015 của TTCP về tổ chức phong trào toàn dân tham gia BV chủ quyền lãnh thổ, an ninh biên giới</t>
  </si>
  <si>
    <t xml:space="preserve">Triển khai đề án Tăng cường hợp tác, phối hợp quản lý biên giới giữa VN với các nước láng giềng </t>
  </si>
  <si>
    <t>Hỗ trợ các tổ chức xã hội - XHNN, tổ chức khác…</t>
  </si>
  <si>
    <t>Hội người cao tuổi</t>
  </si>
  <si>
    <t>Chế độ thù lao đối với người đã nghỉ hưu giữ chức danh lãnh đạo chuyên trách đứng đầu Hội</t>
  </si>
  <si>
    <t>Nhiệm vụ theo Kế hoạch, chương trình cấp thẩm quyền giao</t>
  </si>
  <si>
    <t>Hội nạn nhân chất độc da cam/dioxin</t>
  </si>
  <si>
    <t xml:space="preserve">Tuyên truyền về đường lối chủ trương của Đảng, chính sách, pháp luật của Nhà nước về việc giải quyết hậu quả chất độc hóa học, Tuyên truyền về thảm họa da cam ở Việt Nam trên địa bàn tỉnh </t>
  </si>
  <si>
    <t>Khảo sát tình hình đời sống nạn nhân chất độc da cam trên địa bàn 10 huyện/thành phố để có kế hoạch chăm sóc, giúp đỡ thường xuyên; Điều tra, Khảo sát  địa bàn có người tham gia kháng chiến nghi nhiễm và chưa được hưởng chế độ,  hướng dẫn hoàn thiện hồ sơ đề nghị  giám định chế độ chất độc hóa học khoảng 50 đối tượng/năm</t>
  </si>
  <si>
    <t>Tiếp nhận viện trợ, vận động ủng hộ Quỹ Nạn nhân chất độc da cam; Tìm kiếm, khai thác các nguồn Dự án của các tổ chức phi chính phủ nước ngoài; Khen thưởng tập thể, cá nhân có thành tích trong phong trào thi  đua “Vì nạn nhân chất độc da cam Việt Nam”; Hội nghị sơ kết, tổng kết biểu dương nạn nhân vượt khó vươn lên, Hội nghị BCH Trung ương Hội</t>
  </si>
  <si>
    <t>Chi công tác chăm sóc, giúp đỡ nạn nhân chất độc da cam</t>
  </si>
  <si>
    <t>Tổ chức gặp, tọa đàm nhân dịp Kỷ niệm ngày "Vì Nạn nhân chất độc da cam Việt Nam" ngày 10/08 hàng năm</t>
  </si>
  <si>
    <t>Kinh phí mua Tạp chí Da cam Việt Nam</t>
  </si>
  <si>
    <t>Hội Bảo vệ quyền trẻ em và bảo trợ người khuyết tật</t>
  </si>
  <si>
    <t xml:space="preserve">Kinh phí tổ chức kêu gọi đối ứng, dự án viện trợ nước ngoài, khen thưởng cho các tổ chức đơn vị thuộc hội, hội viên có thành tích xuất sắc trong hoạt động hội </t>
  </si>
  <si>
    <t>Kinh phí chương trình giao lưu “người khuyết tật vươn lên hòa nhập cộng đồng" hoặc "trẻ em tiêu biểu”</t>
  </si>
  <si>
    <t xml:space="preserve">Kinh phí tổ chức đi vận động quỹ hội trong và ngoài tỉnh </t>
  </si>
  <si>
    <t xml:space="preserve">Tư vấn, tập huấn, trợ giúp pháp lý nhằm nâng cao nhận thức, kỹ năng cho hội viên và cộng đồng về bảo vệ quyền của trẻ em, người khuyết tật; Công tác điều tra khảo sát đối tượng yếu thế; Công tác hỗ trợ trẻ em nghèo, trẻ mồ côi, người khuyết tật; Tổng kết, đánh giá tình hình hoạt động công tác thực hiện nhiệm vụ của Hội tại tỉnh và dự hội nghị tổng kết Trung ương Hội </t>
  </si>
  <si>
    <t>Hội khuyến học</t>
  </si>
  <si>
    <t>Triển khai hoạt động khuyến học, khuyến tài, xây dựng xã hội học tập</t>
  </si>
  <si>
    <t>Phối hợp với các Sở, ngành thực hiện công tác khuyến học, khuyến tài, xây dựng xã hội học tập</t>
  </si>
  <si>
    <t>Ban liên lạc tù chính trị</t>
  </si>
  <si>
    <t>Trong đó: Hỗ trợ chi hoạt động của BLL (gồm: Thăm hỏi hội viên ốm đau, hội nghị sơ kết, tổng kết, tiếp các đoàn khách tù chính trị, xăng xe…)</t>
  </si>
  <si>
    <t>Hội nhà báo</t>
  </si>
  <si>
    <r>
      <t xml:space="preserve">Chi hoạt động bộ máy </t>
    </r>
    <r>
      <rPr>
        <i/>
        <sz val="10"/>
        <rFont val="Arial Narrow"/>
        <family val="2"/>
      </rPr>
      <t>(Kinh phí giao thường xuyên theo số lượng người làm việc tại Hội được cấp có thẩm quyền giao)</t>
    </r>
  </si>
  <si>
    <t xml:space="preserve">Kinh phí tổ chức Hội báo xuân, Đặc san người làm báo và khen thưởng  </t>
  </si>
  <si>
    <t xml:space="preserve">Giải báo chí tỉnh Kon Tum </t>
  </si>
  <si>
    <t xml:space="preserve">Kinh phí tham gia Hội báo toàn quốc </t>
  </si>
  <si>
    <t xml:space="preserve">Kinh phí tổ chức đoàn hội viên Hội Nhà báo tham gia Hội thảo, hội thao báo chí khu vực Tây Nguyên </t>
  </si>
  <si>
    <t xml:space="preserve">Kinh phí Đề án đào tạo bồi dưỡng nghiệp vụ báo chí cho hội viên </t>
  </si>
  <si>
    <t xml:space="preserve">Liên hiệp các hội KH và kỹ thuật </t>
  </si>
  <si>
    <t>Hội thảo phổ biến kiến thức và chuyển giao các tiến bộ khoa học, công nghệ vào sản xuất và đời sống</t>
  </si>
  <si>
    <t>Tập huấn các chủ chương chính sách, tuyên truyền phổ biến rộng rãi đường lối của Đảng và chính sách, pháp luật của Nhà nước, tăng cường hợp tác với các hội, các tổ chức phi chính phủ của các nước, tham gia các tổ chức khoa học và công nghệ của khu vực và quốc tế theo quy định của Pháp luật</t>
  </si>
  <si>
    <t>Tư vấn phản biện, giám định xã hội, đánh giá tác động môi trường các đề tài, dự án lớn của tỉnh và tham vấn các chương trình công tác của Tỉnh Ủy, UBND tỉnh</t>
  </si>
  <si>
    <t>Hỗ trợ duy trì hoạt động Trụ sở Hội</t>
  </si>
  <si>
    <t xml:space="preserve">Hỗ trợ hoạt động các Hội thành viên </t>
  </si>
  <si>
    <t>Chi sự nghiệp Khoa học và công nghệ</t>
  </si>
  <si>
    <t>Hội Cựu Thanh niên xung phong</t>
  </si>
  <si>
    <t>Phối hợp các ngành điều tra, rà soát số cựu TNXP còn tồn đọng; Kiểm tra, giám sát việc thực thi các chế độ chính sách đối với cựu TNXP</t>
  </si>
  <si>
    <t>Triển khai phong trào cựu TNXP làm kinh tế giỏi, giúp nhau xóa nghèo</t>
  </si>
  <si>
    <t>Điều tra, khảo sát, lập danh sách số lượng TNXP nhập ngũ từ năm 1975-1982</t>
  </si>
  <si>
    <t>Hội Văn học Nghệ thuật</t>
  </si>
  <si>
    <t>Kinh phí xuất bản tạp chí VHNT</t>
  </si>
  <si>
    <t>Mở trại sáng tác chuyên ngành hàng năm</t>
  </si>
  <si>
    <t>Tổ chức triển lãm mỹ thuật, nhiếp ảnh, các đêm nghệ thuật, giới thiệu tác giả, tác phẩm chào mừng các sự kiện lịch sử, ngày kỷ niệm của tỉnh, đất nước</t>
  </si>
  <si>
    <t xml:space="preserve">Tổ chức các cuộc thi sáng tác văn học - nghệ thuật, hội thảo chuyên đề Văn học nghệ thuật </t>
  </si>
  <si>
    <t>Hội HN Việt Nam -Lào, VN - CamPuchia</t>
  </si>
  <si>
    <t>Hội hữu nghị Việt - Lào</t>
  </si>
  <si>
    <t>Gặp mặt lưu học sinh Lào nhân dịp Tết cổ truyền, Quốc khánh của Lào</t>
  </si>
  <si>
    <t>Tổ chức Hội nghị Sơ kết, hội nghị tổng kết công tác Hội, tham dự các Hội nghị do Trung ương Hội tổ chức</t>
  </si>
  <si>
    <t>Hội Hữu nghị Việt Nam - Campuchia</t>
  </si>
  <si>
    <t xml:space="preserve">Gặp mặt lưu học sinh Campuchia nhân dịp Tết cổ truyền của Campuchia </t>
  </si>
  <si>
    <t>Hội liên lạc người Việt Nam ở nước ngoài</t>
  </si>
  <si>
    <t>Gặp gỡ kiều bào, thân nhân kiều bào nhân dịp tết Nguyên đán</t>
  </si>
  <si>
    <t>Tổ chức Hội nghị Sơ kết, hội nghị tổng kết công tác Hội; tham dự các Hội nghị do Trung ương Hội tổ chức</t>
  </si>
  <si>
    <t>Hội Luật gia</t>
  </si>
  <si>
    <t>Tuyên truyền, phổ biến pháp luật và trợ giúp pháp lý lưu động</t>
  </si>
  <si>
    <t>Hội nghị sơ kết, tổng kết thi đua Cụm các tỉnh Duyên hải miền trung và tây nguyên, Công tác tổng kết đánh giá tình hình hoạt động của hội và dự Hội nghị tổng kết Trung ương Hội Luật gia Việt Nam</t>
  </si>
  <si>
    <t xml:space="preserve">Hội chữ thập đỏ </t>
  </si>
  <si>
    <t>Kinh phí triển khai hoạt động “Hành trình đỏ” và khen thưởng hiến máu tình nguyện</t>
  </si>
  <si>
    <t xml:space="preserve">Giao ban cụm thi đua Hội Chữ thập đỏ các tỉnh, thành phố và các hoạt động khác của Hội </t>
  </si>
  <si>
    <t xml:space="preserve">Kinh phí hoạt động Ban Chỉ đạo hiến máu tình nguyện </t>
  </si>
  <si>
    <t xml:space="preserve">Hỗ trợ kinh phí huy động, vận động các nhà tài trợ, dự án </t>
  </si>
  <si>
    <t xml:space="preserve">Kinh phí tổ chức lễ phát động toàn dân hiếu máu; tôn vinh người hiến máu </t>
  </si>
  <si>
    <t>Kinh phí tập huấn nghiệp vụ công tác Hội cán bộ hội các cấp;</t>
  </si>
  <si>
    <t>Liên minh Hợp tác xã</t>
  </si>
  <si>
    <t>Tổ chức kỷ niệm ngày Hợp tác xã Việt Nam và ngày Hợp tác xã quốc tế hàng năm</t>
  </si>
  <si>
    <t xml:space="preserve">Tuyên truyền, vận động, kiểm tra phát triển Hợp tác xã, tổ hợp tác thành viên hàng năm </t>
  </si>
  <si>
    <t xml:space="preserve">Tập huấn chuyên môn nghiệp vụ cho các Hợp tác xã và tham dự hội nghị ngành </t>
  </si>
  <si>
    <t>KP hỗ trợ BCĐ phát triển kinh tế tập thể</t>
  </si>
  <si>
    <t>Các hội khác</t>
  </si>
  <si>
    <t>Đoàn Luật sư</t>
  </si>
  <si>
    <t>Án phí chỉ định</t>
  </si>
  <si>
    <t>Trợ giúp pháp lý</t>
  </si>
  <si>
    <t>Hội Bảo vệ người tiêu dùng</t>
  </si>
  <si>
    <t>Nâng cao ý thức chấp hành pháp luật bảo vệ quyền lợi người tiêu dùng</t>
  </si>
  <si>
    <t>Xây dựng quy trình, cách thức phản ảnh khiếu nại, thiết lập dường dây nóng và phổ biến rộng rãi để toàn dân biết</t>
  </si>
  <si>
    <t>Công ty TNHH MTV Lâm nghiệp Đăk Glei</t>
  </si>
  <si>
    <t>Công ty TNHH MTV Lâm nghiệp Kon Rẫy</t>
  </si>
  <si>
    <t>Công ty TNHH MTV Lâm nghiệp Sa Thầy</t>
  </si>
  <si>
    <t>Công ty TNHH MTV Lâm nghiệp Ngọc Hồi</t>
  </si>
  <si>
    <t>Công ty TNHH MTV Lâm nghiệp Đăk Tô</t>
  </si>
  <si>
    <t>Công ty TNHH MTV Lâm nghiệp Kon Plong</t>
  </si>
  <si>
    <t>Công ty TNHH MTV Lâm nghiệp Ia H'Drai</t>
  </si>
  <si>
    <t>Công ty cổ phần Sâm Ngọc Linh Kon Tum</t>
  </si>
  <si>
    <t>Công ty cổ phần đầu tư phát triển Duy Tân</t>
  </si>
  <si>
    <t>Công ty TNHH MTV Cao su Kon Tum</t>
  </si>
  <si>
    <t>Công ty TNHH MTV Cao su Chư Momray</t>
  </si>
  <si>
    <t>Công ty cổ phần Cao su Sa Thầy</t>
  </si>
  <si>
    <t>Bổ sung vốn ủy thác cho vay hộ nghèo qua NHCS tỉnh</t>
  </si>
  <si>
    <t>Hoạt động đối ngoại</t>
  </si>
  <si>
    <t>Phạt an toàn giao thông</t>
  </si>
  <si>
    <t>Xử phạt  vi phạm hành chính khác, thanh tra</t>
  </si>
  <si>
    <t xml:space="preserve">       Trđó: Mua vật tư khen thưởng khối tỉnh</t>
  </si>
  <si>
    <t>Các nhiệm vụ phân bổ khi kế hoạch, đề án được phê duyệt; nhiệm vụ đột xuất khác</t>
  </si>
  <si>
    <t>Nguồn thực hiện CCTL</t>
  </si>
  <si>
    <t>A1.3</t>
  </si>
  <si>
    <t>A1.4</t>
  </si>
  <si>
    <t>Chi bổ sung Quỹ dự trữ tài chính</t>
  </si>
  <si>
    <t>A1.5</t>
  </si>
  <si>
    <t>A1.6</t>
  </si>
  <si>
    <t>Chi từ nguồn bổ sung có mục tiêu từ ngân sách trung ương để thực hiện các Chương trình mục tiêu quốc gia, Chương trình mục tiêu và nhiệm vụ khác</t>
  </si>
  <si>
    <t>Chi đầu tư thực hiện các chương trình mục tiêu, nhiệm vụ</t>
  </si>
  <si>
    <t>Chi từ nguồn hỗ trợ vốn sự nghiệp thực hiện các chế độ, chính sách theo  quy định và một số chương trình mục tiêu</t>
  </si>
  <si>
    <t>Cộng chi ngân sách cấp tỉnh quản lý (A+B)</t>
  </si>
  <si>
    <t>Bội chi ngân sách địa phương</t>
  </si>
  <si>
    <t>Tổng số vay trong năm</t>
  </si>
  <si>
    <t>Vay để bù đắp bội chi</t>
  </si>
  <si>
    <t>Đơn vị - Nội dung</t>
  </si>
  <si>
    <t>Phí (1)</t>
  </si>
  <si>
    <t>Lệ phí (2)</t>
  </si>
  <si>
    <t>Thu phí</t>
  </si>
  <si>
    <t>Lệ phí</t>
  </si>
  <si>
    <t>Phần nộp ngân sách NN (theo tỷ lệ)</t>
  </si>
  <si>
    <t>Phần để lại chi theo tỷ lệ quy định</t>
  </si>
  <si>
    <t>Phần nộp NSNN (100%)</t>
  </si>
  <si>
    <t>NSNN hỗ trợ chi phí đảm bảo cho hoạt động thu lệ phí tại đơn vị</t>
  </si>
  <si>
    <t>PHÍ - LỆ PHÍ DO ĐỊA PHƯƠNG BAN HÀNH</t>
  </si>
  <si>
    <t>PHÍ</t>
  </si>
  <si>
    <t>Sở Tài nguyên và Môi trường và các đơn vị trực thuộc</t>
  </si>
  <si>
    <r>
      <t xml:space="preserve">Phí  thẩm  định  báo  cáo  đánh  giá  tác động  môi  trường </t>
    </r>
    <r>
      <rPr>
        <i/>
        <sz val="10"/>
        <rFont val="Arial Narrow"/>
        <family val="2"/>
      </rPr>
      <t>(đối  với  hoạt  động thẩm định do cơ quan địa phương thực hiện)</t>
    </r>
  </si>
  <si>
    <r>
      <t xml:space="preserve">Phí thẩm định phương án cải tạo phục hồi  môi  trường  </t>
    </r>
    <r>
      <rPr>
        <i/>
        <sz val="10"/>
        <rFont val="Arial Narrow"/>
        <family val="2"/>
      </rPr>
      <t>(đối  với  hoạt  động thẩm định do cơ quan địa phương thực hiện)</t>
    </r>
  </si>
  <si>
    <t xml:space="preserve">Phí thẩm định hồ sơ cấp giấy chứng nhận quyền sử dụng đất </t>
  </si>
  <si>
    <r>
      <t xml:space="preserve">Phí thẩm định đề án xả nước thải vào nguồn  nước,  công  trình  thủy  lợi </t>
    </r>
    <r>
      <rPr>
        <i/>
        <sz val="10"/>
        <rFont val="Arial Narrow"/>
        <family val="2"/>
      </rPr>
      <t>(đối với hoạt động thẩm định do cơ quan địa phương thực hiện)</t>
    </r>
  </si>
  <si>
    <t>Phí đăng ký giao dịch bảo đảm; phí cung cấp thông tin về giao dịch bảo đảm về quyền sử dụng đất, tài sản gắn liền đất</t>
  </si>
  <si>
    <t>Phí khai thác và sử dụng tài liệu đất đai</t>
  </si>
  <si>
    <t>Sở Văn hóa Thể thao và Du lịch và các đơn vị trực thuộc</t>
  </si>
  <si>
    <t>Phí tham quan Di tích lịch sử Ngục Kon Tum</t>
  </si>
  <si>
    <t>Phí tham quan công trình Bảo tàng tỉnh Kon Tum</t>
  </si>
  <si>
    <t xml:space="preserve">Phí thư viện </t>
  </si>
  <si>
    <t>Ban Quản lý khu kinh tế</t>
  </si>
  <si>
    <t>Phí sử dụng công trình kế cấu hạ tầng (đối  với  phương tiện  ra,  vào  các  cửa khẩu)  trong  Khu  kinh  tế  cửa  khẩu quốc tế Bờ Y</t>
  </si>
  <si>
    <t>Sở Nông nghiệp và PTNT</t>
  </si>
  <si>
    <t>Phí bình tuyển, công nhận cây mẹ, cây đầu dòng, vườn giống cây lâm nghiệp, rừng giống</t>
  </si>
  <si>
    <t>LỆ PHÍ</t>
  </si>
  <si>
    <t>Lệ phí cấp giấy phép lao động cho người nước ngoài làm việc trên địa bàn tỉnh Kon Tum</t>
  </si>
  <si>
    <t>Lệ phí cấp giấy chứng nhận quyền sử dụng đất, quyền sở hữu nhà, tài sản gắn liền với đất</t>
  </si>
  <si>
    <t xml:space="preserve">Lệ phí cấp giấy phép xây dựng </t>
  </si>
  <si>
    <t>Lệ phí đăng ký kinh doanh</t>
  </si>
  <si>
    <t xml:space="preserve">CÁC KHOẢN PHI - LỆ PHÍ DO TRUNG ƯƠNG BAN HÀNH </t>
  </si>
  <si>
    <t>Phí thuộc lính vực nông nghiệp, lâm nghiệp, thủy sản</t>
  </si>
  <si>
    <t>Thẩm định đánh giá định kỳ điều kiện an toàn thực phẩm</t>
  </si>
  <si>
    <t xml:space="preserve">Phí cấp giấy chứng nhận lưu hàng sản phẩm hàng hoá </t>
  </si>
  <si>
    <t>Phí thẩm định trong lĩnh vực nông nghiệp</t>
  </si>
  <si>
    <t>Phí thẩm định hồ sơ thiết kế công trình thuỷ lợi</t>
  </si>
  <si>
    <t>Theo TT 210/2016/TT-BTC ngày 10/6/2016 của Bộ Tài chính</t>
  </si>
  <si>
    <t xml:space="preserve">Phí thẩm định cấp giấy chứng nhận ATTP đối với cơ sở sản xuất kinh doanh thực phẩm NLTS </t>
  </si>
  <si>
    <t>Phí  lĩnh vực dược, mỹ phẩm và lĩnh vực y tế</t>
  </si>
  <si>
    <t>Theo TT số 277-278/2016/TT-BTC ngày 14/11/2016 của Bộ Tài chính; Văn bản hợp nhất 18/VBHN-BTC năm 2020; Văn bản hợp nhất 65/VBHN-BTC năm 2019 hợp nhất</t>
  </si>
  <si>
    <t>Phí thẩm định cấp giấy giám định y khoa</t>
  </si>
  <si>
    <t>Theo TT số 243/2016/TT-BTC ngày 11/11/2016 của Bộ Tài chính</t>
  </si>
  <si>
    <t>Phí an toàn VSATTP</t>
  </si>
  <si>
    <t>Theo TT số 279/2016/TT-BTC ngày 14/11/2016 của Bộ Tài chính; Văn bản hợp nhất 35/VBHN-BTC năm 2020</t>
  </si>
  <si>
    <t>Sở Tư pháp</t>
  </si>
  <si>
    <t>Phí công chứng</t>
  </si>
  <si>
    <t xml:space="preserve">Theo TT số 257/2016/TT-BTC ngày 11/11/2016 của Bộ Tài chính; Văn bản hợp nhất 61/VBHN-BTC năm 2019 </t>
  </si>
  <si>
    <t>Phí lý lịch tư pháp</t>
  </si>
  <si>
    <t>Theo TT số 244/2016/TT-BTC ngày 11/11/2016 của Bộ Tài chính</t>
  </si>
  <si>
    <t>Phí thẩm định thiết kế cơ sở (vốn ngoài ngân sách)</t>
  </si>
  <si>
    <t>Phí thẩm định thiết kế cơ sở (vốn ngân sách)</t>
  </si>
  <si>
    <t>Lệ phí cấp giấy Chứng chỉ hành nghề kiến trúc sư, kỹ sư hoạt động xây dựng; chứng chỉ giám sát thi công xây dựng</t>
  </si>
  <si>
    <t>VP Sở Giao thông vận tải</t>
  </si>
  <si>
    <t>Phí thi sát hạch ô tô</t>
  </si>
  <si>
    <t>TT số 188/2016/TT-BTC ngày 08/11/2016 của Bộ Tài chính</t>
  </si>
  <si>
    <t>Phí thi sát hạch mô tô</t>
  </si>
  <si>
    <t>Phí thẩm định thiết kế kỹ thuật, dự toán công trình giao thông</t>
  </si>
  <si>
    <t>TT số 210/2016/TT-BTC ngày 10/11/2016 của Bộ Tài chính</t>
  </si>
  <si>
    <t>Lệ phí cấp mới, cấp đổi giấy phép lái xe</t>
  </si>
  <si>
    <t>Lệ phí đăng ký cấp biển số xe máy chuyên dùng</t>
  </si>
  <si>
    <t xml:space="preserve"> Trung tâm đăng kiểm 8201S</t>
  </si>
  <si>
    <t>Lệ phí cấp giấy chứng nhận an toàn kỹ thuật bảo vệ môi trường xe cơ giới</t>
  </si>
  <si>
    <t>Lệ phí cấp giấy chứng nhận an toàn kỹ thuật bảo vệ môi trường xe máy thi công, lệ phí nghiệm thu xe cải tạo</t>
  </si>
  <si>
    <t>Sở Công thương</t>
  </si>
  <si>
    <t>Phí thẩm định cấp giấy chứng nhận cơ sở đủ điều kiện ATTP</t>
  </si>
  <si>
    <t>Phí thẩm định cấp giấy phép hoạt động điện lực</t>
  </si>
  <si>
    <t xml:space="preserve">Văn bản hợp nhất 19/VBHN-BTC năm 2020 của Bộ Tài chính </t>
  </si>
  <si>
    <t>Phí thẩm định cấp phép sử dụng vật liệu nổ công nghiệp.</t>
  </si>
  <si>
    <t xml:space="preserve">Văn bản hợp nhất 53/VBHN-BTC năm 2019 của Bộ Tài chính </t>
  </si>
  <si>
    <t>Phí thẩm định thiết kế cơ sở, thiết kế kỹ thuật, thiết kế bản vẽ thi công (vốn ngân sách)</t>
  </si>
  <si>
    <t>Phí thẩm định thiết kế cơ sở, thiết kế kỹ thuật, thiết kế bản vẽ thi công (vốn ngoài ngân sách)</t>
  </si>
  <si>
    <t>Phí cấp giấy phép kinh doanh thương mại (thuốc lá, xăng dầu, rượu, khí hóa lỏng LPG)</t>
  </si>
  <si>
    <t>TT số 168/2016/TT-BTC ngày 26/10/2016 của Bộ Tài chính</t>
  </si>
  <si>
    <t xml:space="preserve"> Sở  Tài nguyên và Môi trường</t>
  </si>
  <si>
    <t>Phí thẩm định đánh giá trử lượng khoáng sản</t>
  </si>
  <si>
    <t>TT số 191/2016/TT-BTC ngày 08/112016 của Bộ Tài chính</t>
  </si>
  <si>
    <t>Lệ phí cấp phép hoạt động khoáng sản</t>
  </si>
  <si>
    <t>TT số 191/2016/TT-BTC ngày 08/11/2016 cua BTC</t>
  </si>
  <si>
    <t>Phí bảo vệ môi trường đối với nước thải công nghiệp</t>
  </si>
  <si>
    <t>Phí thẩm định cấp giấy phép đo đạc</t>
  </si>
  <si>
    <t>TT 34/2017/TT-BTC; Văn bản hợp nhất 43/VBHN-BTC năm 2019 của Bộ Tài chính</t>
  </si>
  <si>
    <t>Phí khai thác, sử dụng thông tin dữ liệu đo đạc và bản đồ</t>
  </si>
  <si>
    <t>Tỷ lệ trích theo quy định tại Thông tư 298/2016/TT-BTC</t>
  </si>
  <si>
    <t>Phí thẩm định dự án đầu tư xây dựng vốn ngân sách nhà nước</t>
  </si>
  <si>
    <t>TT số 209/2016/TT-BTC ngày 10/11/2016 của Bộ Tài chính</t>
  </si>
  <si>
    <t>Phí thẩm định cấp giấy phép kinh doanh Karaoke, vũ trường</t>
  </si>
  <si>
    <t>Thông tư số 212/2016/TT-BTC ngày 10 tháng 11 năm 2016 của Bộ Tài chính</t>
  </si>
  <si>
    <t>Phí thẩm định khách sán</t>
  </si>
  <si>
    <t xml:space="preserve">Thông tư số 34/2018/TT-BTC ngày 30 tháng 3 năm 2018 của Bộ Tài chính </t>
  </si>
  <si>
    <t>Phí thẩm định và cấp thẻ HDV du lịch</t>
  </si>
  <si>
    <t xml:space="preserve">Thông tư số 33/2018/TT-BTC ngày 30 tháng 03 năm 2018 của Bộ Tài chính </t>
  </si>
  <si>
    <t xml:space="preserve">Trong đó: Kinh phí thực hiện nhiệm vụ cải tạo và trồng mới cây xanh trên địa bàn </t>
  </si>
  <si>
    <t>Tổng cộng</t>
  </si>
  <si>
    <t>Bù theo cơ cấu đảm bảo chi khác 20%</t>
  </si>
  <si>
    <t>Tổng chi SNGD theo cơ cấu 80/20</t>
  </si>
  <si>
    <t>Bổ sung đảm bảo cơ cấu 20% chi khác</t>
  </si>
  <si>
    <t>Bỏ dòng này</t>
  </si>
  <si>
    <t>Trđó: Chi KHCN tại các đơn vị</t>
  </si>
  <si>
    <t xml:space="preserve">        Nguồn tập trung tại tỉnh</t>
  </si>
  <si>
    <t xml:space="preserve">        Quỹ khám chữa bệnh</t>
  </si>
  <si>
    <t xml:space="preserve">        Bổ sung vốn ủy thác cho vay hộ nghèo qua NHCS</t>
  </si>
  <si>
    <t xml:space="preserve">        Hỗ trợ hộ nghèo ăn Tết</t>
  </si>
  <si>
    <t xml:space="preserve">Sở Văn hoá - Thể thao và  Du lịch </t>
  </si>
  <si>
    <t>Phát sóng truyền hình (Thời lượng: 18,5 giờ/ngày x 365 ngày = 6.752,5 giờ/năm)</t>
  </si>
  <si>
    <t xml:space="preserve">Ngân sách  cấp tỉnh </t>
  </si>
  <si>
    <t xml:space="preserve">TỔNG CỘNG </t>
  </si>
  <si>
    <t>Khối huyện</t>
  </si>
  <si>
    <t>Bộ Chỉ huy Quân sự tỉnh</t>
  </si>
  <si>
    <t>9.4</t>
  </si>
  <si>
    <t>Bổ sung kinh phí thực hiện nhiệm vụ đảm bảo trật tự an toàn giao thông</t>
  </si>
  <si>
    <t>Ban an toàn giao thông tỉnh</t>
  </si>
  <si>
    <t>Thanh tra giao thông</t>
  </si>
  <si>
    <t>Sở Giáo dục và Đào tạo tỉnh</t>
  </si>
  <si>
    <t>Sở Văn hóa Thể thao và DL</t>
  </si>
  <si>
    <t>UB mặt trận tổ chốc VN tỉnh</t>
  </si>
  <si>
    <t>Báo Kon Tum</t>
  </si>
  <si>
    <t>Tỉnh đoàn thanh niên (bao gồm hỗ trợ 05 đội thanh niên xung kích tình nguyện)</t>
  </si>
  <si>
    <t>Đài phát thanh Truyền hình</t>
  </si>
  <si>
    <t>Sở Thông tin Truyền thông</t>
  </si>
  <si>
    <t>Bộ đội biên phòng tỉnh Kon Tum</t>
  </si>
  <si>
    <t>Hội Cựu chiến binh tỉnh</t>
  </si>
  <si>
    <t>Hội chữ thập đỏ tỉnh Kon Tum</t>
  </si>
  <si>
    <t>Kinh phí quản lý, bảo trì đường bộ (Sở Giao thông vận tải)</t>
  </si>
  <si>
    <t>Hỗ trợ Trạm Kiểm soát tải trọng xe số 54</t>
  </si>
  <si>
    <t>Sửa chữa các tuyến đường giao thông bị hư hỏng, xuống cấp</t>
  </si>
  <si>
    <t>Kinh phí thực hiện Đề án bồi dưỡng cán bộ, công chức Hội Liên hiệp Phụ nữ các cấp và Chi hội trưởng Phụ nữ giai đoạn 2019-2025 (Hội Liên hiệp phụ nữ tỉnh)</t>
  </si>
  <si>
    <t>Chi tiết ngân sách huyện, thành phố</t>
  </si>
  <si>
    <t>Cs tín dụng đen</t>
  </si>
  <si>
    <t>Cộng chi ngân sách cấp tỉnh quản lý (A+B+C)</t>
  </si>
  <si>
    <t>E</t>
  </si>
  <si>
    <t>Bổ sung Quỹ phát triển đất (2%)</t>
  </si>
  <si>
    <t xml:space="preserve">              - Trích 2% bổ sung Quỹ phát triển đất tỉnh từ nguồn thu tiền sử dụng đất giao tăng thu</t>
  </si>
  <si>
    <t>Chi TX khác theo cơ cấu (20%)</t>
  </si>
  <si>
    <t>Thu từ khu vực DNNN trung ương quản lý</t>
  </si>
  <si>
    <t>Thu từ khu vực DNNN địa phương quản lý</t>
  </si>
  <si>
    <t>Thu từ KV DN có vốn đầu tư nước ngoài</t>
  </si>
  <si>
    <t>Thu thuế bảo vệ môi trường</t>
  </si>
  <si>
    <t>Thu cho thuê mặt đất mặt nước</t>
  </si>
  <si>
    <t xml:space="preserve">Tiền bán nhà ở thuộc SHNN, thuê,KHCB nhà </t>
  </si>
  <si>
    <t>Thu tiền cấp quyền khai thác tài nguyên khoáng sản, vùng trời, vùng biển</t>
  </si>
  <si>
    <t>Các khoản thu tại xã</t>
  </si>
  <si>
    <t>Thu cổ tức và lợi nhuận còn lại</t>
  </si>
  <si>
    <t>Thu tiền sử dụng đất từ bán đấu giá các trụ sở làm việc cũ thuộc UBND các huyện, thành phố</t>
  </si>
  <si>
    <t>A91</t>
  </si>
  <si>
    <t>A92</t>
  </si>
  <si>
    <t>Các khoản chi phí được loại trừ trước khi nộp ngân sách nhà nước</t>
  </si>
  <si>
    <t>Số còn lại nộp ngân sách nhà nước</t>
  </si>
  <si>
    <t xml:space="preserve">Phân bổ các nội dung theo tiến độ nguồn thu thực tế </t>
  </si>
  <si>
    <t>Chi tiết</t>
  </si>
  <si>
    <t>Trích 2%/tổng số giao tăng thu bổ sung dự phòng NSĐP theo quy định từ nguồn thuê đất, bán tài sản trên đất</t>
  </si>
  <si>
    <t>Trích 70% tạo nguồn CCTL từ nguồn thu thuê đất, bán tài sản trên đất</t>
  </si>
  <si>
    <t xml:space="preserve">   - Trích 10% thu tiền sử dụng đất, tiền thuê đất để đầu tư cho công tác đo đạc, đăng ký đất đai, cấp Giấy chứng nhận, xây dựng cơ sở dữ liệu đất đai và đăng ký biến động, chỉnh lý hồ sơ địa chính thường xuyên theo Chỉ thị số 1474/CT-TTg ngày 24/8/2011 của Thủ tướng Chính phủ</t>
  </si>
  <si>
    <t>Trích 2% Quỹ phát triển đất tỉnh từ nguồn thu tiền sử dụng đất giao tăng thu</t>
  </si>
  <si>
    <t>Ghi thu, ghi chi tiền thuê đất, tiền sử dụng đất mà nhà đầu tư ứng trước chi đền bì GPMB</t>
  </si>
  <si>
    <t>Chi thuê tư vấn tổ chức đấu giá</t>
  </si>
  <si>
    <t>Chi thuê tư vấn thẩm định giá; kiểm tra, đo vẽ, đánh giá tỷ lệ chất lượng còn lại công trình trên đất</t>
  </si>
  <si>
    <t>4=4a+4b+4c</t>
  </si>
  <si>
    <t>4c</t>
  </si>
  <si>
    <t>5=3-4</t>
  </si>
  <si>
    <t>Tổng số (A+B)</t>
  </si>
  <si>
    <t>Các trụ sở thuộc UBND thành phố Kon Tum</t>
  </si>
  <si>
    <t xml:space="preserve">Các trụ sở và cơ sở thuộc UBND tỉnh </t>
  </si>
  <si>
    <t xml:space="preserve">Ghi chú: (1) Tổng số thu từ nguồn thu xử lý nhà đất sau khi trừ đi các chi phí có liên quan theo quy định của Luật quản lý tài sản công, phần còn lại được nộp toàn bộ vào ngân sách nhà nước (Bao gồm tiền sử dụng đất, tiền thuê đất, bán tài sản trên đất) được phân bổ theo tiến độ nguồn thu thực tế để chi đầu tư, trích 2% bổ sung dự phòng, 70% tạo nguồn CCTL, 10% kinh phí đo đạc, cấp GCN QSDĐ và 2% Quỹ phát triển đất tỉnh. </t>
  </si>
  <si>
    <t xml:space="preserve">                                    DỰ TOÁN CHI THƯỜNG XUYÊN NGÂN SÁCH  HUYỆN, THÀNH PHỐ 2022 THEO ĐỊNH MỨC PHÂN BỔ </t>
  </si>
  <si>
    <t>Tỷ lệ phòng bệnh/tổng chi SN y tế</t>
  </si>
  <si>
    <t>Kinh phí công tác xã hội cho các đồng chí UVBTV Tỉnh uỷ (1 đ/c *100 triệu/năm)  theo Kết luận số 1434-TB/TU ngày 18/9/2021 của BTV Tỉnh ủy</t>
  </si>
  <si>
    <t>Chi ngành nông - lâm nghiệp, thủy lợi</t>
  </si>
  <si>
    <t>1.1.1</t>
  </si>
  <si>
    <t>1.1.2</t>
  </si>
  <si>
    <t xml:space="preserve">Chi sự nghiệp nông lâm </t>
  </si>
  <si>
    <t>BQL khai thác các công trình thủy lợi</t>
  </si>
  <si>
    <t>Kinh phí cấp bù thủy lợi phí</t>
  </si>
  <si>
    <t>Bố trí từ 10% tiền thuê đất phần NS cấp tỉnh được hưởng thực hiện Xây dựng hệ thống HS địa chính, ĐK cấp GCNQSDĐ và xây dựng CSDL quản lý đất đai</t>
  </si>
  <si>
    <t>KP Duy trì hoạt động trang TTĐT thành phần của các đơn vị thuộc tỉnh (tiền điện; tiền ADSL; tiền lương bảo vệ, kỹ thuật viên…)</t>
  </si>
  <si>
    <t>Các nhiệm vụ triển khai một số ứng dụng CNTT và lĩnh vực TT&amp;TT trên địa bàn tỉnh theo chủ trương của UBND tại VB số 09/UBND-KGVX ngày 02/01/2020</t>
  </si>
  <si>
    <t>Xây dựng, hoàn thiện hệ thống truyền thanh cơ sở ứng dụng CNTT - viễn thông</t>
  </si>
  <si>
    <t>Tr đó: Hỗ trợ trực tiếp cho QĐND Lào và QĐHG Campuchia</t>
  </si>
  <si>
    <t xml:space="preserve">Kinh phí tổ chức gặp mặt, giao lưu Hội viên – Nhà báo và những người làm báo trên địa bàn tỉnh nhân ngày Báo chí CMVN (21/6) hằng năm </t>
  </si>
  <si>
    <t>Trong đó, Chi đầu tư cơ sở hạ tầng, trụ sở làm việc mới (nếu có) theo đề án, phương án được cấp tỉnh phê duyệt từ nguồn giao tăng thu so với dự toán trung ương giao và phân bổ theo tiến độ nguồn thu thực tế phát sinh nộp vào ngân sách nhà nước</t>
  </si>
  <si>
    <t>Kinh phí thực hiện các quy hoạch chung, quy hoạch phân khu đã có chủ trương của cấp thẩm quyền</t>
  </si>
  <si>
    <t>Nguồn thu tiền sử dụng đất theo dự toán trung ương giao chi thực hiện công tác quy hoạch, đo đạc, đăng ký quản lý đất đai, cấp giấy chứng nhận, xây dựng cơ sở, đăng ký biến động, chỉnh lý hồ sơ địa chính và lập quy hoạch, kế hoạch sử dụng đất (1)</t>
  </si>
  <si>
    <t>6a</t>
  </si>
  <si>
    <t>6b</t>
  </si>
  <si>
    <t>Sự nghiệp thủy lợi</t>
  </si>
  <si>
    <t>Kinh phí</t>
  </si>
  <si>
    <t>Sửa chữa xe ô tô</t>
  </si>
  <si>
    <t>Sửa chữa trụ sở làm việc</t>
  </si>
  <si>
    <t xml:space="preserve">Ngân sách cấp tỉnh </t>
  </si>
  <si>
    <t xml:space="preserve">BSMT NS huyện </t>
  </si>
  <si>
    <t>Ia H'Drai</t>
  </si>
  <si>
    <t>TỔNG SỐ</t>
  </si>
  <si>
    <t>Nguồn 10% tiền sử dụng đất theo dự toán Trung ương giao</t>
  </si>
  <si>
    <t>Chi hoàn trả tiền bồi thường tài sản trên đất</t>
  </si>
  <si>
    <t>Kinh phí chi đối ngoại biên giới</t>
  </si>
  <si>
    <t xml:space="preserve">Chi sự nghiệp giáo dục </t>
  </si>
  <si>
    <t xml:space="preserve">Chi sự nghiệp đào tạo </t>
  </si>
  <si>
    <t xml:space="preserve"> Chi thường xuyên các lĩnh vực nghiệp khác </t>
  </si>
  <si>
    <t>Dự kiến bổ sung ngân sách huyện, thành phố để chi đầu tư cơ sở hạ tầng, trụ sở làm việc mới (nếu có) theo đề án, phương án được cấp tỉnh phê duyệt</t>
  </si>
  <si>
    <t>A93</t>
  </si>
  <si>
    <t>Bán đấu giá các trụ sở cấp tỉnh quản lý</t>
  </si>
  <si>
    <t>Tăng thu tiền sử dụng đất cấp huyện, thành phố quản lý</t>
  </si>
  <si>
    <t>Số còn lại được phân bổ chi đầu tư cấp tỉnh quản lý</t>
  </si>
  <si>
    <t>Số còn lại được phân bổ chi đầu tư cấp huyện quản lý</t>
  </si>
  <si>
    <t>19.1</t>
  </si>
  <si>
    <t>Tăng thu tiền sử dụng đất, tiền thuê đất huyện, thành phố quản lý</t>
  </si>
  <si>
    <t>Thu tiền thuê đất</t>
  </si>
  <si>
    <t>A94</t>
  </si>
  <si>
    <t>19.2</t>
  </si>
  <si>
    <t>Tăng thu các dự án khai thác quỹ đất Tỉnh quản lý</t>
  </si>
  <si>
    <t>Trong đó: - Đã bao gồm 70% tăng thu từ nguồn thu tiền thuê đất tạo nguồn CCTL theo quy định</t>
  </si>
  <si>
    <t>NGUỒN THU CẤP TỈNH THỰC HIỆN</t>
  </si>
  <si>
    <t xml:space="preserve">Điều tiết ngân sách tỉnh hưởng </t>
  </si>
  <si>
    <t>Điều tiết ngân sách huyện hưởng</t>
  </si>
  <si>
    <t>Ban An toàn giao thông</t>
  </si>
  <si>
    <t>Chi giao thông vận tải</t>
  </si>
  <si>
    <t>Chi hoạt động sự nghiệp địa chính</t>
  </si>
  <si>
    <t xml:space="preserve">Chi thực hiện luật người cao tuổi; Tặng quà, mua khung mừng thọ các cụ cao tuổi </t>
  </si>
  <si>
    <t xml:space="preserve">Thăm hỏi tặng quà đối tượng chính sách NCC; Đưa đối tượng đi thăm lăng Bác; Đưa đ.tượng NCC và BTXH đi biểu dương; Đưa đối tượng NCC đi điều dưỡng   </t>
  </si>
  <si>
    <t>KP hoạt động công tác tuyên truyền PBGDPL; Chi hoạt động xử lý VPHC và theo dõi tình hình pháp luật</t>
  </si>
  <si>
    <t>Chi hoạt động hành chính tư pháp, bổ trợ tư pháp và chi hoạt động toàn diện về lĩnh vực TP theo VB của Bộ Tư pháp, UBND tỉnh…..</t>
  </si>
  <si>
    <t>Chi hoạt động Trợ giúp pháp lý (bao gồm TGPL cho người nghèo) và hoạt động tố tụng theo Quyết định số 32/2016/QĐ-TTg của Trung tâm trợ giúp pháp lý nhà nước</t>
  </si>
  <si>
    <t>Kinh phí công tác xã hội cho các đồng chí UVBTV Tỉnh uỷ (8 đ/c *100 triệu/năm)  theo Kết luận số 1434-TB/TU ngày 18/9/2020 của BTV Tỉnh ủy</t>
  </si>
  <si>
    <t>KP duy trì hoạt động trang TTĐT thành phần các ĐV thuộc tỉnh; KP thuê đường truyền SL chuyên dùng; KP thực hiện công tác tuyên truyền PBGDPL về các CS PL mới; HĐ thông tấn, ĐN; Đặc san TT&amp;TT; Tổ chức ngày sách VN hàng năm; Hội thi các đội tuyên truyền ATGT toàn tỉnh; CP kiểm tra, giám sát hoạt động, làm việc với các ĐV liên quan tại cụm TTCS tại cửa khẩu QT Bờ Y, Ngọc Hồi; Hoạt động BCĐ chính quyền điện tử tỉnh</t>
  </si>
  <si>
    <t>KP khám chữa bệnh theo định mức; Hỗ trợ kiểm tra sức khỏe định kỳ tuyến trên; Phụ cấp HĐCM; KP chăm sóc đặc biệt đối với cán bộ thuộc BTV quản lý bị bệnh hiểm nghèo phải điều trị dài ngày</t>
  </si>
  <si>
    <t>Kinh phí đặt mua báo tin tức cuối tuần cho các xã, phường; KP Hội nghị tuyên truyền, phổ biến giáo dục pháp luật theo Nghị định 05/2011/NĐ-CP; KP quản lý các chương trình về công tác dân tộc</t>
  </si>
  <si>
    <t>KP thực hiện Đề án xây dựng lực lượng quân báo; KP Đề án quân báo trinh sát</t>
  </si>
  <si>
    <t xml:space="preserve">Chi sẵn sàng cơ động bảo vệ biên giới, cứu hộ, bảo vệ tài nguyên khoáng sản; Chi hoạt động phòng chống ma tuý </t>
  </si>
  <si>
    <t>Chi hội đàm luân phiên 3 tỉnh Attapư, Sê Kông, Ranatakakiri; Chi KCB, cấp thuốc nhân dân 2 biên giới</t>
  </si>
  <si>
    <t>Tháng an toàn VSLĐ;Thu thập thông tin cung, cầu lao động; Kinh phí tổ chức ngày hội tư vấn tuyển sinh GDNN;Triển khai SNDN (Hội thi, hội giảng, Bồi dưỡng chính trị hè cho giáo viên,...)</t>
  </si>
  <si>
    <t xml:space="preserve">Xã biên giới </t>
  </si>
  <si>
    <t xml:space="preserve">Sở Nông nghiệp và Phát triển nông thôn </t>
  </si>
  <si>
    <t>Dự toán chi ngân sách huyện quản lý (I+II)</t>
  </si>
  <si>
    <t>Dự toán chi cân đối ngân sách huyện</t>
  </si>
  <si>
    <t>Chi thường xuyên các lĩnh vực nghiệp khác</t>
  </si>
  <si>
    <t>Tỷ lệ dự phòng / chi CĐNS huyện (%)</t>
  </si>
  <si>
    <t xml:space="preserve">Chi từ nguồn giao tăng thu tiền sử dụng đất, tiền thuê đất so với dự toán trung ương giao và phân bổ theo tiến độ nguồn thu thực tế phát sinh nộp vào ngân sách nhà nước </t>
  </si>
  <si>
    <t>Bổ sung phân cấp vốn đầu tư phát triển; bổ sung mục tiêu, nhiệm vụ cụ thể ngân sách huyện</t>
  </si>
  <si>
    <t>Bổ sung có mục tiêu từ ngân sách tỉnh</t>
  </si>
  <si>
    <t>Bổ sung có mục tiêu từ ngân sách trung ương</t>
  </si>
  <si>
    <t>Bổ sung từ ngân sách cấp trên cho ngân sách huyện, thành phố</t>
  </si>
  <si>
    <t>B.1</t>
  </si>
  <si>
    <t>Bổ sung từ ngân sách cấp tỉnh</t>
  </si>
  <si>
    <t xml:space="preserve">Bổ sung cân đối ngân sách </t>
  </si>
  <si>
    <t>Thu nội địa ngân sách địa phương được hưởng</t>
  </si>
  <si>
    <t>Dự toán chi cân đối ngân sách địa phương</t>
  </si>
  <si>
    <t>Phân cấp vốn đầu tư phát triển</t>
  </si>
  <si>
    <t>Nguồn thu tiền sử dụng đất theo dự toán trung ương giao chi thực hiện công tác quy hoạch, đo đạc, đăng ký quản lý đất đai, cấp giấy chứng nhận, xây dựng cơ sở, đăng ký biến động, chỉnh lý hồ sơ địa chính và lập quy hoạch, kế hoạch sử dụng đất (2)</t>
  </si>
  <si>
    <t>B.2</t>
  </si>
  <si>
    <t>Bổ sung từ ngân sách trung ương</t>
  </si>
  <si>
    <t xml:space="preserve">                 (2) Giao Sở Tài chính thông báo bổ sung có mục tiêu cho các huyện, thành phố theo tiến độ nguồn thu thực tế phát sinh nộp vào ngân sách </t>
  </si>
  <si>
    <t>* Ghi chú: Giao Sở Tài chính hướng dẫn chi tiết đơn vị triển khai thực hiện</t>
  </si>
  <si>
    <t>Sở Thông tin và Truyền thông</t>
  </si>
  <si>
    <t>ĐƠN VỊ THỰC HIỆN</t>
  </si>
  <si>
    <t xml:space="preserve">                            ĐVT: Triệu đồng</t>
  </si>
  <si>
    <t>Thu từ khu vực doanh nghiệp nhà nước do trung ương quản lý</t>
  </si>
  <si>
    <t>Thu từ khu vực doanh nghiệp nhà nước do địa phương quản lý</t>
  </si>
  <si>
    <t>Thuế tiêu thụ đặc biệt</t>
  </si>
  <si>
    <t>Thu từ quỹ đất công ích và thu hoa lợi, …tại xã</t>
  </si>
  <si>
    <t>Bổ sung mục tiêu ngân sách huyện (1)</t>
  </si>
  <si>
    <t>Ghi chú: (1) Giao Sở Tài chính thông báo cho các đơn vị, địa phương theo tiến độ nguồn thu thực tế phát sinh nộp vào ngân sách tỉnh.</t>
  </si>
  <si>
    <t>Hỗ trợ Hợp đồng theo NĐ số 68/2000/NĐ-CP</t>
  </si>
  <si>
    <t>Chi tăng cường hạ tầng khu KT cửa khẩu Bờ Y (từ nguồn thu phí sử dụng hạ tầng Khu KT cửa khẩu)</t>
  </si>
  <si>
    <t>Chi công tác quốc phòng thường xuyên (bao gồm, Kinh phí tuyên truyền phổ biến giáo dục pháp luật cho cán bộ, nhân dân trên khu vực biên giới)</t>
  </si>
  <si>
    <t xml:space="preserve"> Bổ sung nhiệm vụ theo QĐ 1396/UBND, ngày 31/12/2014; Sửa chữa thường xuyên TSCĐ; Chi đối tượng về cộng đồng, mai táng, tiếp nhận dự án viện trợ</t>
  </si>
  <si>
    <t>Các loại phí khác còn lại (3)</t>
  </si>
  <si>
    <t>Trđó: Đề án địa phương ban hành</t>
  </si>
  <si>
    <t>BSMT NS huyện (chi tiết tại biểu số 09a/UB)</t>
  </si>
  <si>
    <t xml:space="preserve">              </t>
  </si>
  <si>
    <t>Kinh phí thực hiện chính sách phát triển giáo dục mầm non theo Nghị định số 105/2020/NĐ-CP</t>
  </si>
  <si>
    <t>Kinh phí hỗ trợ học sinh và Trường phổ thông xã, thôn đặc biệt khó khăn theo Nghị định số 116/2016/NĐ-CP</t>
  </si>
  <si>
    <t>Kinh phí hỗ trợ miễn'giảm học phí và hỗ trợ chi phí học tập theo Nghị định số 86/2015/NĐ-CP</t>
  </si>
  <si>
    <t>KP hỗ trợ học bổng, chi phí học tập cho học sinh khuyết tật theo TTLT số 42/2013/TTLT-BGDĐT-BLĐTBXH-BTC</t>
  </si>
  <si>
    <t xml:space="preserve">      + Đề án nâng cao chất lượng giáo dục đối với học sinh dân tộc thiểu số</t>
  </si>
  <si>
    <t xml:space="preserve">      + Đề án bảo đảm cơ sở vật chất cho chương trình; giáo dục mầm non và giáo dục phổ thông</t>
  </si>
  <si>
    <t xml:space="preserve">              (1) Dự toán chi giáo dục - đào tạo và dạy nghề, chi sự nghiệp khoa học và công nghệ là mức chi tối thiểu, HĐND huyện căn cứ vào chỉ tiêu hướng dẫn, tình hình thực tế địa phương quyết định cho phù hợp.</t>
  </si>
  <si>
    <t>Nguồn thu tiền sử dụng đất, tiền thuê đất giao tăng thu so với dự toán trung ương giao để chi cho công tác đo đạc, đăng ký đất đai, cấp Giấy chứng nhận, xây dựng cơ sở dữ liệu đất đai và đăng ký biến động, chỉnh lý hồ sơ địa chính thường xuyên theo Chỉ thị số 1474/CT-TTg ngày 24/8/2011 của Thủ tướng Chính phủ (2)</t>
  </si>
  <si>
    <t>Thu nội địa trừ tiền sử dụng đất, XSKT, thu cổ tức lợi nhuận sau thuế</t>
  </si>
  <si>
    <t>Dự toán Trung ương giao 2023</t>
  </si>
  <si>
    <t>Dự toán chi ngân sách địa phương giao 2023</t>
  </si>
  <si>
    <t>Chi thực hiện 03 chương trình Mục tiêu quốc gia</t>
  </si>
  <si>
    <t>Đầu tư</t>
  </si>
  <si>
    <t>Thường xuyên</t>
  </si>
  <si>
    <t>Chương trình mục tiêu quốc gia phát triển KT-XH vùng DTTS và Miền núi</t>
  </si>
  <si>
    <t>Bổ sung thực hiện các chính sách giáo dục năm 2023 (NĐ 81, NĐ 116…)</t>
  </si>
  <si>
    <t>Bổ sung thực hiện chính sách BHYT, ĐBXH</t>
  </si>
  <si>
    <t xml:space="preserve">    - Chi SN GDĐT chưa bao gồm chính sách mới năm 2023</t>
  </si>
  <si>
    <t xml:space="preserve">     - Chi chính sách tăng thêm năm 2023</t>
  </si>
  <si>
    <t xml:space="preserve">    - Chi TX khác chưa bao gồm chính sách mới năm 2023</t>
  </si>
  <si>
    <t>Biểu số 04/TT</t>
  </si>
  <si>
    <t>Bổ sung cân đối ngân sách huyện theo lương cơ sở 1.490.000 đồng</t>
  </si>
  <si>
    <t>Tổng chi cân đối chưa tăng trợ cấp</t>
  </si>
  <si>
    <t>Chi TX chưa xác định tăng trợ cấp</t>
  </si>
  <si>
    <t>Chi sự nghiệp giáo dục theo lương 1.490</t>
  </si>
  <si>
    <t>Chi sự nghiệp đào tạo theo lương 1.490</t>
  </si>
  <si>
    <t xml:space="preserve"> Chi thường xuyên các lĩnh vực nghiệp khác theo lương 1.210</t>
  </si>
  <si>
    <t>Kinh phí trợ giúp xã hội đối với đối tượng bảo trợ xã hội theo Nghị định số 20/2021/NĐ-CP ngày 15 tháng 3 năm 2021 của Chính phủ</t>
  </si>
  <si>
    <t>KP thực hiện hỗ trợ tiền điện hộ nghèo, hộ chính sách xã hội</t>
  </si>
  <si>
    <t>Chi từ nguồn giao tăng thu tiền sử dụng đất, tiền thuê đất so với dự toán trung ương giao và phân bổ theo tiến độ nguồn thu thực tế phát sinh nộp vào ngân sách nhà nước</t>
  </si>
  <si>
    <t>Tăng thu tạo nguồn cân đối tiền lương</t>
  </si>
  <si>
    <t>Ghi chú: (1) Đã bao gồm chi trả nợ lãi, phí và các chi phí khác phát sinh từ các khoản vay của chính quyền địa phương</t>
  </si>
  <si>
    <t xml:space="preserve">              (2) Dự toán chi giáo dục - đào tạo và dạy nghề là mức chi tối thiểu ; chi sự nghiệp bảo vệ môi trường, HĐND huyện căn cứ vào chỉ tiêu hướng dẫn, tình hình thực tế địa phương quyết định cho phù hợp;</t>
  </si>
  <si>
    <t xml:space="preserve">                    Dự toán  các lĩnh vực chi thường xuyên: UBND các huyện thành phố báo cáo chi tiết theo từng lĩnh vực chi được HĐND huyện quyết định gởi Sở Tài chính tổng hợp báo cáo UBND tỉnh, Bộ Tài chính.</t>
  </si>
  <si>
    <t xml:space="preserve">                     Mức trích 10% tiết kiệm chi thường xuyên là mức trích tối thiểu; UBND các huyện thành phố căn cứ vào hướng dẫn giao số tiết kiệm, tổng hợp gởi Sở Tài chính báo cáo UBND tỉnh, Bộ Tài chính.</t>
  </si>
  <si>
    <t>Dự toán thu 2023</t>
  </si>
  <si>
    <t>Dự toán năm 2023</t>
  </si>
  <si>
    <t>Nội dung - Đơn vị thực hiện khối tỉnh</t>
  </si>
  <si>
    <t xml:space="preserve">DT 2023 TƯ bổ sung mục tiêu </t>
  </si>
  <si>
    <t>Sửa chữa nền, mặt đường, công trình thoát nước, ATGT đoạn từ Km30 – Km39+930, đường tái định cư thuỷ điện PleiKrông</t>
  </si>
  <si>
    <t>Sửa chữa nền, mặt đường, công trình thoát nước, an toàn giao thông đoạn từ Km0 -Km39+500, Tỉnh lộ 673</t>
  </si>
  <si>
    <t>Bổ sung thực hiện Chương trình phát triển lâm nghiệp bền vững</t>
  </si>
  <si>
    <t>Hỗ trợ các Hội Văn học nghệ thuật địa phương (Hội Văn học nghệ thuật tỉnh)</t>
  </si>
  <si>
    <t>Hỗ trợ các Hội Nhà báo địa phương (Hội Nhà báo tỉnh)</t>
  </si>
  <si>
    <t>Kinh phí thực hiện Chương trình trợ giúp xã hội và PHCN cho người tâm thần, trẻ em tự kỷ và người rối nhiễu tâm trí; chương trình phát triển công tác xã hội (Sở Lao động - Thương binh và Xã hội)</t>
  </si>
  <si>
    <t>Kinh phí đã hỗ trợ năm 2022</t>
  </si>
  <si>
    <t>Trong đó: Các quy hoạch chung, quy hoạch phân khu đã có chủ trương của cấp có thẩm quyền</t>
  </si>
  <si>
    <t>Theo Nghị quyết số 31/2022/NQ-HĐND ngày 12/7/2022 của HĐND tỉnh Kon Tum</t>
  </si>
  <si>
    <t>Ghi chú: (1) Sở Kế hoạch và đầu tư triển khai thực hiện các nhiệm vụ, nội dung hỗ trợ doanh nghiệp vừa và nhỏ theo hướng dẫn của Bộ Kế hoạch và Đầu tư.</t>
  </si>
  <si>
    <t xml:space="preserve">   Phí bảo vệ môi trường đối với nước thải</t>
  </si>
  <si>
    <t>A97</t>
  </si>
  <si>
    <t>Dự toán chi ngân sách tỉnh năm 2023</t>
  </si>
  <si>
    <t>Chi thực hiện 03 chương trình mục tiêu quốc gia</t>
  </si>
  <si>
    <t>CT MTQG phát triển KT-XH vùng DTTS và miền núi</t>
  </si>
  <si>
    <t>Dự toán chi NS cấp tỉnh 2023</t>
  </si>
  <si>
    <t>Hết nhiệm vụ chi</t>
  </si>
  <si>
    <t>Chi hoạt động thuộc sự nghiệp nông nghiệp, thủy sản khác</t>
  </si>
  <si>
    <t>Ban Thanh tra giao thông</t>
  </si>
  <si>
    <t>Lập Quy hoạch chung Khu du lịch Măng Đen, huyện Kon Plông, tỉnh Kon Tum đến năm 2040</t>
  </si>
  <si>
    <t>Chương trình thương mại điện tử quốc gia (vốn đối ứng địa phương)</t>
  </si>
  <si>
    <t xml:space="preserve">Chương trình thương mại điện tử địa phương theo Kế hoạch số 3045/KH-UBND, ngày 18/8/2020 của UBND tỉnh về phát triển thương mại điện tử tỉnh Kon Tum giai đoạn 2021-2025 </t>
  </si>
  <si>
    <t xml:space="preserve">Kinh phí hoạt động Ban chỉ đạo chống buôn lậu, gian lận thương mại và hàng giả tỉnh </t>
  </si>
  <si>
    <t xml:space="preserve">Xây dựng thương hiệu : </t>
  </si>
  <si>
    <t xml:space="preserve">Hỗ trợ điểm giới thiệu và bán sản phẩm OCOP tại thành phố Kon Tum </t>
  </si>
  <si>
    <t>Đưa hàng Việt về nông thôn</t>
  </si>
  <si>
    <t xml:space="preserve">Tham gia các Hội chợ ở nước ngoài ( thực hiện khi có chủ trương của Ủy ban nhân dân tỉnh) </t>
  </si>
  <si>
    <t xml:space="preserve">Tham gia các Hội chợ ở trong nước </t>
  </si>
  <si>
    <t xml:space="preserve">Bố trí đối ứng thực hiện Hỗ trợ tổ chức sự kiện kết nối giao thương, Hỗ trợ hoạt động quảng cáo, tuyên truyền, xây dựng các tư liệu phục vụ quảng bá, tiếp thị của Dự án 3 Chương trình mục tiêu quốc gia phát triển kinh tế - xã hội vùng đồng bào DTTS&amp;MN. </t>
  </si>
  <si>
    <t>6.1.1</t>
  </si>
  <si>
    <t>6.1.2</t>
  </si>
  <si>
    <t>Chi thuờng xuyên theo cơ cấu quỹ lương</t>
  </si>
  <si>
    <t>Chi thường xuyên theo cơ cấu 85/15</t>
  </si>
  <si>
    <t>Chi thường xuyên khác còn lại</t>
  </si>
  <si>
    <t>Học bổng và phương tiện học tập cho học sinh khuyết tật TTLT 42</t>
  </si>
  <si>
    <t>Chính sách ưu tiên đối với học sinh mẫu giáo học sinh dân tộc rất ít người theo NĐ 57</t>
  </si>
  <si>
    <t>Chi hệ khám chữa bệnh</t>
  </si>
  <si>
    <t>Chi hệ phòng bệnh</t>
  </si>
  <si>
    <t>Chi Đề án 1816, cấp cứu ngoại viện, hỗ trợ bệnh nhân đón Tết, hỗ trợ tiền ăn bệnh nhân chính sách và bệnh nhân phong</t>
  </si>
  <si>
    <t>Chinh sách DS-KHHGĐ theo Nghị quyết số 36/NQ-HĐND; Hỗ trợ phụ nữ thuộc Hộ nghèo là DTTS khi sinh con đúng chính sách Dân số theo Nghị định só 39/2015/NĐ-CP</t>
  </si>
  <si>
    <t>Kinh phí thăm, chúc Tết Nguyên đán</t>
  </si>
  <si>
    <t>Điều chỉnh khoanh vùng bảo vệ Di tích; KH Bảo tồn, phát huy trang phục truyền thống DTTS tỉnh Kon Tum giai đoạn 2020-2030</t>
  </si>
  <si>
    <t>Tham gia Ngày hội giao lưu văn hóa, thể thao và du lịch vùng Tây Nguyên</t>
  </si>
  <si>
    <t>Triển khai thực hiện các nhiệm vụ theo Đề án "Tổ chức khai thác bay dù lượn gắn với phát triển du lịch tại một số địa phương trên địa bàn tỉnh Kon Tum giai đoạn 2021-2025, định hướng đến năm 2030</t>
  </si>
  <si>
    <t>KP bình đẳng giới, kinh phí hoạt động các BCĐ, các đoàn kiểm tra liên ngành, hoạt động Ban vì sự tiến bộ phụ nữ</t>
  </si>
  <si>
    <t>Kính phí thăm, chúc Tết Nguyên đán</t>
  </si>
  <si>
    <t>Chi đưa đối tượng tâm thần trên địa bàn tỉnh Kon Tum gửi tại TTBTXH tỉnh Đăk Lắc để chăm sóc và phục hồi chức năng; Cai nghiện ma túy theo TT 27/2012/TTLT; KP thăm chúc Tết các đối tượng tâm thần, cai nghiện ma túy tại các Trung tâm Đăk Lăk và Gia Lai; KP Phòng chống mại dâm và tệ nạn xã hội</t>
  </si>
  <si>
    <t>Cai nghiện ma túy theo Nghị định 116/NĐ-CP</t>
  </si>
  <si>
    <t>Chi đưa đối tượng tâm thần trên địa bàn tỉnh Kon Tum gửi tại Trung tâm tỉnh Đăk Lắc để chăm sóc và phục hồi chức năng</t>
  </si>
  <si>
    <t>Thuê xe đưa đón các cháu đi học, đóng tiền học bán trú; Hỗ trợ cho Trung tâm Bảo trợ và Công tác xã hội tỉnh để thực hiện công tác chăm sóc, nuôi dưỡng đối tượng tại Trung tâm</t>
  </si>
  <si>
    <t>Hỗ trợ cho Trung tâm Bảo trợ và Công tác xã hội tỉnh để thực hiện công tác chăm sóc, nuôi dưỡng đối tượng tại Trung tâm</t>
  </si>
  <si>
    <t>Tổ chức Ngày việc làm, các phiên giao dịch việc làm lưu động, các HĐ tư vấn, giới thiệu việc làm tại cơ sở; Thu thập thông tin về nhu cầu tuyển dụng, sử dụng LĐ của các DN; Kinh phí tuyên truyền trên báo đài PTTH</t>
  </si>
  <si>
    <t>Công tác hỗ trợ pháp lý cho doanh nghiệp</t>
  </si>
  <si>
    <t>Thực hiện Đề án “Tổ chức thông tin, phổ biến về chính sách quan trọng trong dự thảo văn bản quy phạm pháp luật để tạo đồng thuận xã hội</t>
  </si>
  <si>
    <t>Trang phục CBCC : 156 đ/c * 0,5 triệu/năm</t>
  </si>
  <si>
    <t xml:space="preserve">KP tổ chức Lễ trao Giải báo chí về xây dựng Đảng </t>
  </si>
  <si>
    <t>KP gặp mặt đầu xuân đối với báo chí, văn nghệ sĩ, trí thức</t>
  </si>
  <si>
    <t>11.4</t>
  </si>
  <si>
    <t>Sở Khoa học và Công nghệ</t>
  </si>
  <si>
    <t>Kinh phí thực hiện công tác thông tin tuyên truyền về Ngành Thông tin và Truyền thông (báo chí; xuất bản; bưu chính; viễn thông; tần số vô tuyến điện; công nghệ thông tin; điện tử; phát thanh và truyền hình; thông tin đối ngoại….)</t>
  </si>
  <si>
    <t xml:space="preserve">Thuê Kho cơ sở dữ liệu dùng chung </t>
  </si>
  <si>
    <t>Triển khai thực hiện công tác thông tin, tuyên truyền về phòng, chống rác thải nhựa</t>
  </si>
  <si>
    <t>Kinh phí thực hiện Kế hoạch chuyển đổi, triển khai hệ thống mạng, bảo mật internet IPv6 và hệ thống phân giải tên miền DNSSEC tỉnh Kon Tum giai đoạn 2021-2025</t>
  </si>
  <si>
    <t xml:space="preserve">Hoạt động của cụm thi đua số 6 – Các tỉnh khu vực Miền trung và Tây Nguyên </t>
  </si>
  <si>
    <t>Tổ chức sự kiện ngày chuyển đổi số (Lễ Phát động; Hội nghị chuyên đề, tọa đàm về chuyển đổi số; Tuyên truyền cổ động …)</t>
  </si>
  <si>
    <t>KP hoạt động triển khai, kiểm tra CCHC; Khảo sát 02 dịch vụ hành chính công (xác định chỉ số SIPAS), điều tra với số lượng 500 phiếu/dịch vụ hành chính công); Chi vận hành, và thuê cơ sở hạ tầng phần mềm chấm điểm CCHC</t>
  </si>
  <si>
    <t>Chi vận hành, và thuê cơ sở hạ tầng phần mềm chấm điểm CCHC</t>
  </si>
  <si>
    <t>Kinh phí tổ chức Hội nghị Tổng kết Đề án 86</t>
  </si>
  <si>
    <t>Đã có chủ trương của UBND tỉnh tại Công văn số 2556/VP-KTTH  về việc gia hạn Đề án chỉnh lý tài liệu.</t>
  </si>
  <si>
    <t xml:space="preserve">Tài liệu nhận của Sở Tài chính; Sở Kế hoạch và đầu tư, UBND các huyện Sa Thầy, Đăk Hà, Tu Mơ Rông, Kon Plong, Ngọc Hồi…: </t>
  </si>
  <si>
    <t>Chi phí thuê và duy trì phần mềm QL CBCC</t>
  </si>
  <si>
    <t>Chủ trì và phối hợp với các Sở, ngành quản lý các lĩnh vực liên quan để giải quyết các nội dung nhiệm vụ của các tổ chức tôn giáo trên toàn địa bàn tỉnh.</t>
  </si>
  <si>
    <t>Kinh phí di chuyển tài liệu tại Kho lưu trữ lịch sử ( từ trụ sở cũ Sở Nội vụ sang Kho lưu trữ chuyên dụng tại Khu Trung tâm hành chính tỉnh Kon Tum)</t>
  </si>
  <si>
    <t>Mua Máy in thẻ và Vật tư phục vụ in thẻ  CBCCVC ( in thẻ có gắn chip điện tử)</t>
  </si>
  <si>
    <t>Kinh phí bồi dưỡng đối tượng 4</t>
  </si>
  <si>
    <t>Lớp bồi dưỡng mặt trận đoàn thể</t>
  </si>
  <si>
    <t>Kinh phí thăm hỏi, động viên, biểu dương đối với hộ DTTS tiêu biểu nhân dịp Tết Nguyên đán hàng năm theo NQ 73/2020/NQ-HĐND</t>
  </si>
  <si>
    <t>Sở Ngọai vụ</t>
  </si>
  <si>
    <t xml:space="preserve">Thực hiện nhiệm vụ tiếp nhận và xử lý thông tin đường dây nóng </t>
  </si>
  <si>
    <t>Kinh phí xây dựng, triển khai chương trình, nghị quyết, kế hoạch, Đề án về phát triển doanh nghiệp, kinh tế tập thể và tư nhân</t>
  </si>
  <si>
    <t xml:space="preserve">Tổ chức Hội Nghị Xúc tiến Đầu tư 5 tỉnh Tây Nguyên </t>
  </si>
  <si>
    <t>Thăm hỏi tết nguyên đán</t>
  </si>
  <si>
    <t>Hoạt động Ủy ban nhân dân</t>
  </si>
  <si>
    <t>Trung tâm dịch vụ hành chính - hội nghị</t>
  </si>
  <si>
    <t>Trung tâm phục vụ hành chính công</t>
  </si>
  <si>
    <t xml:space="preserve">Kinh phí hoạt động trung tâm dịch vụ hành chính hội nghị </t>
  </si>
  <si>
    <t>K. thưởng cuộc VĐ nguời VN UT dùng hàng VN</t>
  </si>
  <si>
    <t>Tập huấn công tác GSPB xã hội; kiến thức hỗ trợ PN XD GĐ và kỹ năng TT cho CB làm công tác GĐ; kiến thức, kỹ năng tuyên truyền, tư vấn học nghề,công tác dân tộc, tôn giáo... cho đội ngũ cán bộ</t>
  </si>
  <si>
    <t>Chương trình "Đồng hành cùng phụ nữ biên cương"</t>
  </si>
  <si>
    <t>Tổ chức Hội thi Chủ tịch Hội LHPN cơ sơ giỏi</t>
  </si>
  <si>
    <t>Tổ chức Chương trình "Mẹ đỡ đầu - kết nối yêu thương"</t>
  </si>
  <si>
    <t xml:space="preserve"> ĐA GD 5 tr bà mẹ nuôi con tốt: Duy trì 2 xã điểm, nhân rộng 2 xã</t>
  </si>
  <si>
    <t>17.1</t>
  </si>
  <si>
    <t>Khảo sát, quy hoạch thao trường bắn ĐăkRơNga, khu căn sứ Hậu cần - kỷ thuật ĐăkPxi</t>
  </si>
  <si>
    <t xml:space="preserve">Kính phí chuẩn bị cho Đoàn lãnh đạo Tỉnh đi thăm, chúc Tết Nguyên đán </t>
  </si>
  <si>
    <t>KP khảo sát xử lý chất độc hóa học sau chiến trang tại huyện Sa Thầy và Ia H'Drai; KP chi cứu hộ, cứu nạn tham gia phòng chống sạt lỡ; KP cho công tác dân vận, vận động quần chúng; KP diễn tập tìm kiếm cứu hộ, cứu nạn, khắc phục hậu quả thiên tai; Tổ chức hội thao cấp tỉnh, quân khu</t>
  </si>
  <si>
    <t xml:space="preserve">KP giám sát hoạt động làm đường Lào - CPC dọc biên giới; KP thực hiện chiến lược ngành cơ yếu; KP vận hành bảng tin của Cụm TTCS tại cửa khẩu Bờ Y </t>
  </si>
  <si>
    <t>Tổ chức các hoạt động chào mừng 60 năm thành lập BĐBP (bao gồm: kp tổ chức các hoạt động kỷ niệm 60 năm; kp tổ chức Đại hội thi đua quyết thắng và tham gia Chương trình chúng tôi là chiến sĩ)</t>
  </si>
  <si>
    <t xml:space="preserve">Thực hiện Đề án tổng thể đối với người di dăc tự do từ CPC về Việt Nam </t>
  </si>
  <si>
    <t>Tổ chức tập huấn chuyên sâu, tuyên truyền phổ biến Luật Biên phòng VN và các văn bản quy định chi tiết giai đoạn 2021-2025 và những năm tiếp theo</t>
  </si>
  <si>
    <t>Đề án " Xây dựng LL trinh sát, PCTP ma túy trong BĐBP đáp ứng yêu cầu nhiệm vụ trong tình hình mới"</t>
  </si>
  <si>
    <r>
      <t xml:space="preserve">Chi hoạt động bộ máy </t>
    </r>
    <r>
      <rPr>
        <i/>
        <sz val="10"/>
        <rFont val="Arial Narrow"/>
        <family val="2"/>
        <charset val="163"/>
      </rPr>
      <t>(Kinh phí giao thường xuyên theo số lượng người làm việc tại Hội được cấp có thẩm quyền giao)</t>
    </r>
  </si>
  <si>
    <t>Chủ tịch Hội đã có QĐ nghỉ hưu, tiếp tục giữ chức danh lãnh đạo chuyên trách đứng đầu Hội</t>
  </si>
  <si>
    <t xml:space="preserve">Kinh phí chăm sóc sức khoẻ và khám chữa bệnh nhân đạo </t>
  </si>
  <si>
    <t>Kinh phí tổ chức Lễ phát động tháng nhân đạo và kỷ niệm Ngày Chữ thập đỏ, Trăng lưỡi liềm đỏ quốc tế</t>
  </si>
  <si>
    <t xml:space="preserve">Kinh phí tham dự Hội trại thanh thiếu niên, tình nguyện viên Chữ thập đỏ toàn quốc lần VI </t>
  </si>
  <si>
    <t xml:space="preserve">Kinh phí tham dự các khóa huấn luyện TOT về Sơ cấp cứu dựa vào cộng đồng do TWH tổ chức </t>
  </si>
  <si>
    <t xml:space="preserve">Kinh phí tham dự Hội nghị Chữ thập đỏ và Trăng lưỡi liềm đỏ khu vực Châu Á- Thái Bình Dương lần thứ XI </t>
  </si>
  <si>
    <t xml:space="preserve">Kinh phí tham dự Hội nghị Ban chấp hành  theo chương trình toàn khóa XI </t>
  </si>
  <si>
    <t>KP hoạt động Ban chỉ đạo thi hành án dân sự tỉnh</t>
  </si>
  <si>
    <t xml:space="preserve"> Hỗ trợ tổ chức, đơn vị sử dụng lao động là người dân tộc thiểu số theo QĐ42</t>
  </si>
  <si>
    <t xml:space="preserve">               Kinh phí triển khai các chương trình thi đua và kinh phí hoạt động của Hội đồng thi đua khen thưởng tỉnh</t>
  </si>
  <si>
    <t xml:space="preserve">Bổ sung trợ giá xuất bản báo do tăng số lượng báo phát hành (báo không thu tiền) cho các đối tượng từ 30 năm tuổi đảng trở lên </t>
  </si>
  <si>
    <t>Kết luận số 1434-TB/TU ngày 18/9/2021 của BTV Tỉnh ủy</t>
  </si>
  <si>
    <t>Kinh phí tham gia lễ hội Festival trái cây và sản phẩm Ocop Việt Nam do TW Hội Nông dân Việt Nam tổ chức</t>
  </si>
  <si>
    <t>Kinh phí triển khai tuyên truyền vận động nhân dân phát huy bảo tồn và phát huy bền vững giá trị di sản văn hóa Việt Nam</t>
  </si>
  <si>
    <t>KP mua BHYT đối tượng BTXH (tồn NS tỉnh do BTC bổ sung cao hơn so nhu cầu huyện, TP)</t>
  </si>
  <si>
    <t>Trong đó: Kinh phí quy hoạch</t>
  </si>
  <si>
    <t>Chi từ nguồn giao tăng thu tiền sử dụng đất so với dự toán trung ương giao và phân bổ theo tiến độ nguồn thu thực tế phát sinh nộp vào ngân sách nhà nước</t>
  </si>
  <si>
    <t>Tổng số thu từ nguồn thu xử lý nhà đất năm 2023 (1)</t>
  </si>
  <si>
    <t>Dự án khai thác quỹ đất phát triển kết cấu hạ tầng tại Trung tâm thể dục thể thao tại phường Trường Chinh (Đợt 2)</t>
  </si>
  <si>
    <t>Diện tích đất đườngg Nguyễn Hữu Cầu - TP Kon Tum</t>
  </si>
  <si>
    <t>KP tiêm vắc xin phòng dịch lở mồm long móng các huyện, TP thuộc Chương trình quốc gia hành năm; phòng bệnh gia súc, gia cầm; KP tiêm vắc xin Viêm da nổi cục trâu, bò</t>
  </si>
  <si>
    <t>6.1.3</t>
  </si>
  <si>
    <t>Công tác đảm bảo y tế cho các hoạt động Lễ kỷ niệm 110 năm thành lập tỉnh</t>
  </si>
  <si>
    <t>Tổ chức gặp mặt cán bộ chủ chốt và các cá nhân tiêu biểu nhân kỷ niệm 110 năm Ngày thành lập tỉnh Kon Tum</t>
  </si>
  <si>
    <t xml:space="preserve">      Lắp đặt trạm quan trắc khí tượng tại Vườn quốc gia Chư Mom Ray </t>
  </si>
  <si>
    <t>Truyền hình trực tiếp trên KRT Lễ kỷ niệm 110 năm Ngày thành lập tỉnh Kon Tum</t>
  </si>
  <si>
    <t>Kinh phí đón tiếp đại biểu Trung ương, các bộ ban ngành TƯ và các  tỉnh về dự Lễ Kỷ niệm 110 năm Ngày thành lập tỉnh Kon Tum</t>
  </si>
  <si>
    <t>Trđó: Kinh phí phục vụ công tác xã hội của các đồng chí Ủy viên BTVTU</t>
  </si>
  <si>
    <t>Kinh phí rà phá bom, mìn các điểm tố chức Lễ kỷ niệm; Kinh phí bảo vệ lễ kỷ niệm 110 năm Ngày thành lập tỉnh Kon Tum</t>
  </si>
  <si>
    <t>Dự án chỉnh trang đô thị tạo quỹ đất tại Khu công nghiệp Sao Mai</t>
  </si>
  <si>
    <t>Dự toán 2023</t>
  </si>
  <si>
    <t>Nghị quyết số 28/2020/NQ-HDND ngày 13/07/2020 của HĐND tỉnh</t>
  </si>
  <si>
    <t>Nghị quyết số 28/2020/NQ-HĐND ngày 13/07/2020 của HĐND tỉnh</t>
  </si>
  <si>
    <t>Nghị quyết số 80/2021/NQ-HĐND ngày 14/12/2021 của HĐND tỉnh</t>
  </si>
  <si>
    <t>Nghị quyết số 32/2022/NQ-HĐND ngày 12/07/2022 của HĐND tỉnh</t>
  </si>
  <si>
    <t>Phí kiểm dịch động vật, sản phẩm động vật (bao gồm cả thủy sản); Phí kiểm soát giết mổ</t>
  </si>
  <si>
    <t>Theo Thông tư số 101/2020/TT-BTC, ngày 23/11/2020 của Bộ Tài chính Quy định mức thu, chế độ thu, nộp, quản lý phí, lệ phí trong công tác thú y</t>
  </si>
  <si>
    <t>Cấp giấy chứng nhận đủ ĐK vệ sinh  an toàn thực phẩm</t>
  </si>
  <si>
    <t>Thông tư số 209/2016/TT-BTC ngày 10/11/2016 của Bộ Tài chính</t>
  </si>
  <si>
    <t>Phí thẩm định thiết kế bản vẽ thi công</t>
  </si>
  <si>
    <t>Thông tư số 210/2016/TT-BTC ngày 10/11/2016 của Bộ Tài chính</t>
  </si>
  <si>
    <t>Thông tư 38/2022/TT-BTC ngày 24/06/2022 của Bộ Tài chính</t>
  </si>
  <si>
    <t>Thực hiện theo Thông tư số 36/2022/TT-BTC, ngày 16/6/2022 của BTC, không cấp lại khoản thu này.</t>
  </si>
  <si>
    <t>NĐ 53/2020/NĐ-CP ngày 5/5/2020</t>
  </si>
  <si>
    <t>Phí thẩm định chương trình nghệ thuật biểu diễn</t>
  </si>
  <si>
    <t xml:space="preserve">Thông tư số 288/2016/TT-BTC ngày 15 tháng 11 năm 2016 của Bộ Tài chính </t>
  </si>
  <si>
    <t>Phí thẩm định cấp giấy phép kinh doanh dịch vụ lữ hành nội địa</t>
  </si>
  <si>
    <t>Phí thẩm định nội dung tài liệu không kinh doanh để cấp giấy phép xuất bản</t>
  </si>
  <si>
    <t>Thông tư số 214/2016/TT-BTC ngày 10 tháng 11 năm 2016 của Bộ Tài chính</t>
  </si>
  <si>
    <t>chủ trương theo Văn bản số 2324/UBND-KTTH, ngày 20/7/2022 của Ủy ban nhân dân tỉnh</t>
  </si>
  <si>
    <t>Chủ trương theo Kế hoạch số 1649/KH-UBND, ngày 31/5/2022 của UBND tỉnh</t>
  </si>
  <si>
    <t>Dự án phát triển nông nghiệp bền vững (DA VnSAT)</t>
  </si>
  <si>
    <t>Trồng thử nghiệm, xác định danh mục các loại cây trồng rừng mới phù hợp trên địa bàn tỉnh phục vụ cho trồng rừng sản xuất</t>
  </si>
  <si>
    <t>Chi nhiệm vụ đặc thù khác theo chủ trương cấp thẩm quyền</t>
  </si>
  <si>
    <t>KP bình đẳng giới, hoạt động Ban vì sự tiến bộ phụ nữ</t>
  </si>
  <si>
    <t>KP hoạt động các BCĐ, các đoàn kiểm tra liên ngành</t>
  </si>
  <si>
    <t>Kinh phí rà soát, hoàn thiện hệ thống văn bản quy phạm pháp luật chung của toàn tỉnh giao Sở Tư pháp chủ trì thực hiện</t>
  </si>
  <si>
    <t>Hỗ trợ kinh phí quản lý Báo điện tử</t>
  </si>
  <si>
    <t xml:space="preserve">Chi sự nghiệp Ban bảo vệ sức khoẻ cán bộ </t>
  </si>
  <si>
    <t>Trđó: KP khám chữa bệnh theo định mức</t>
  </si>
  <si>
    <t xml:space="preserve">        Hỗ trợ kiểm tra sức khỏe định kỳ tuyến trên; Phụ cấp HĐCM</t>
  </si>
  <si>
    <t xml:space="preserve">        KP chăm sóc đặc biệt đối với cán bộ thuộc BTV quản lý bị bệnh hiểm nghèo phải điều trị dài ngày</t>
  </si>
  <si>
    <t xml:space="preserve"> + Hoạt động đoàn kiểm tra liên ngành</t>
  </si>
  <si>
    <t>Chi thực hiện nhiệm vụ của NSĐP đối với lĩnh vực an ninh và trật tự, an toàn xã hội theo quy định (bao gồm Kinh phí đảm bảo an ninh trật tự các điểm thi tốt nghiệp THPT, các sự kiện văn hoá, thể dục thể thao, sự kiện lớn của tỉnh, phòng, chống tổ chức Tin Lành Đấng Christ, phòng ngừa, ngăn chặn "Cách mạng màu",...)</t>
  </si>
  <si>
    <t>Thu, chi từ hoạt động cho thuê nhà ở thuộc sở hữu nhà nước (4)</t>
  </si>
  <si>
    <t>Hỗ trợ kinh phí (vốn sự nghiệp) đối ứng Chương trình mục tiêu quốc gia Nông thôn mới theo quy định Nghị quyết của Hội đồng nhân dân tỉnh</t>
  </si>
  <si>
    <t xml:space="preserve">Căn cứ Nghị quyết số 23/2022/NQ-HĐND của HĐND tỉnh, ngân sách tỉnh hỗ trợ tối đa 50% kinh phí cho ngân sách huyện </t>
  </si>
  <si>
    <t>Chi đặc thù, nhiệm vụ đột xuất được cấp thẩm quyền giao</t>
  </si>
  <si>
    <t>Theo Kế hoạch số 3819/KH-UBND ngày 09/10/2020 của UBND tỉnh Phòng chống bệnh Dịch tả lợn Châu Phi trên địa bàn tỉnh Kon Tum giai đoạn 2020 - 2025</t>
  </si>
  <si>
    <t xml:space="preserve">KP chỉnh trị sông Đăkla </t>
  </si>
  <si>
    <t>Căn cứ Quyết định số 1180/QĐ-UBND ngày 14 tháng 12 năm 2021 của UBND tỉnh Kon Tum về việc phê duyệt Đề cương nhiệm vụ dự án: Điều tra, xác định vùng hạn chế khai thác nước dưới đất tỉnh Kon Tum;</t>
  </si>
  <si>
    <t>Kế hoạch số 4340/KH-UBND ngày 06 tháng 12 năm 2021 của Ủy ban nhân dân tỉnh Kon Tum về Điều tra cơ bản tài nguyên nước tỉnh Kon Tum đến năm 2030, tầm nhìn đến năm 2050</t>
  </si>
  <si>
    <t>Quyết định số 759/QĐ-UBND ngày 19/8/2021 của UBND tỉnh Kon Tum Phê duyệt Mạng lưới điểm quan trắc môi trường tỉnh Kon Tum giai đoạn 2021 - 2025 định hướng đến năm 2030</t>
  </si>
  <si>
    <t>Trđó: Chính sách chi trả cho HS khuyết tật theo TT 42; Chính sách hỗ trợ chi phí học tập cho SV DTTS thuộc hộ nghèo, cận nghèo theo QĐ 66/2013/QĐ-TTg ngày 11/11/2013 của TTCP</t>
  </si>
  <si>
    <t xml:space="preserve">          Hỗ trợ kinh phí đào tạo cán bộ quân sự cấp xã theo Đề án 799</t>
  </si>
  <si>
    <t>Kinh phí hoạt động các BCĐ, Đoàn kiểm tra liên ngành</t>
  </si>
  <si>
    <t>Thực hiện Đề án “Bảo tồn, phát huy di sản không gian văn hóa cồng chiêng tỉnh Kon Tum giai đoạn 2021 - 2025”</t>
  </si>
  <si>
    <t>Chi hoạt động đặc thu phục vụ đồng chí Trưởng Ban Nội chính hoạt động ủy viên TW Đảng dự khuyết</t>
  </si>
  <si>
    <t>Mua máy photocopy Ban Nội chính</t>
  </si>
  <si>
    <t>Hoạt động công tác đảng các TCCSĐ trong các doanh nghiệp ngoài khu vực Nhà nước</t>
  </si>
  <si>
    <t>Hoạt động các ban chỉ đạo: Công tác thông tin đối ngoại tỉnh, Thực hiện QCDC, công tác tôn giáo tỉnh, CC tư pháp, Nâng cao năng lực tổ chức cơ sở Đảng, Xây dựng Đề án vị trí việc làm và cơ cấu ngạch công chức trong cơ quan Đảng</t>
  </si>
  <si>
    <t>KP hỗ trợ công tác tuyên truyền biển đảo và hoạt động hợp tác giữa Tỉnh ủy Kon Tum với Quân chủng hải quân, cụ thể là giữa Ban Tuyên giáo Tỉnh ủy với Công ty Tân Cảng Sài Gòn</t>
  </si>
  <si>
    <t>KP giao ban sơ kết và tổng kết công tác báo chí theo ý kiến chỉ đạo của Thường trực Tỉnh ủy</t>
  </si>
  <si>
    <t xml:space="preserve">Công văn số 1104/UBND-VX ngày 13/6/2008 </t>
  </si>
  <si>
    <t>Công văn số 3098/UBND-HCQT ngày 20/11/2019</t>
  </si>
  <si>
    <t xml:space="preserve">3781/UBND-KGVX ngày 20/10/2021 ; Công văn số 2667/UBND-KGVX ngày 21/9/2018 </t>
  </si>
  <si>
    <t>Quyết định số 387/QĐ-UBND ngày 23/4/2020</t>
  </si>
  <si>
    <t>Quyết định số 605/QĐ-UBND ngày 22 tháng 11 năm 2021</t>
  </si>
  <si>
    <t xml:space="preserve">Quyết định số 584/QĐ-UBND ngày 15/11/2021 </t>
  </si>
  <si>
    <t>Kế hoạch số 4222/KH-UBND ngày 10/11/2020 của UBND tỉnh Kon Tum</t>
  </si>
  <si>
    <t xml:space="preserve"> Kế hoạch 4222/KH-UBND ngày 10/11/2020 của UBND tỉnh Kon Tum</t>
  </si>
  <si>
    <t>Kế hoạch số 3630/KH-UBND ngày 8/10/2021</t>
  </si>
  <si>
    <t>KP hoạt động BCĐ, Đoàn kiểm tra LN CCHC</t>
  </si>
  <si>
    <t>Chi hoạt động thực hiện Đề án chỉnh lý tài liệu; bảo vệ kho; Htrợ xử lý mối mọt, khác…</t>
  </si>
  <si>
    <t>UBND tỉnh giao nhiệm vụ tại Quyết định số 86/QĐ-UBND, ngày 25/01/2014.</t>
  </si>
  <si>
    <t xml:space="preserve">Quyết định số 194/2001/QĐ-TTg ngày 21/12/2001 của Thủ tướng Chính phủ </t>
  </si>
  <si>
    <t>Nghị định số 57/2017/NĐ-CP ngày 09/5/2017 của Chính phủ</t>
  </si>
  <si>
    <t>Quyết định số 53/2015/QĐ-TTg ngày 20/10/2015 của Thủ tướng Chính phủ</t>
  </si>
  <si>
    <t>Chi trả sinh hoạt phí cho SV SP theo NĐ 116/2020/NĐ-CP</t>
  </si>
  <si>
    <t>Nghị định 116/2020/NĐ-CP ngày 25/9/2020 của Chính phủ</t>
  </si>
  <si>
    <t>NQ 73/2020/NQ-HĐND ngày 14/12/2020 của HĐND tỉnh</t>
  </si>
  <si>
    <t xml:space="preserve">Đánh giá giữa nhiệm kỳ Nghị quyết đại hội Đảng bộ tỉnh Kon Tum nhiệm kỳ 2020-2025; Đánh giá giữa nhiệm kỳ kế hoạch kinh tế -xã hội đầu tư công giai đoạn)2021-2025 </t>
  </si>
  <si>
    <t xml:space="preserve">Trđó: Chi Hỗ trợ, hướng dẫn nhà đầu tư giải quyết các khó khăn, vướng mắc </t>
  </si>
  <si>
    <t xml:space="preserve">        Tổ chức Chương trình Cà Phê Doanh nhân định kỳ hàng tháng</t>
  </si>
  <si>
    <t>Kinh phí phục vụ hoạt động của Ban chỉ đạo cải thiện, nâng cao Chỉ số Năng lực cạnh tranh cấp tỉnh (PCI)</t>
  </si>
  <si>
    <t>Kinh phí đưa Hội viên nông dân thiếu kinh nghiệm sản xuất đi học tập mô hình sản xuất kinh doanh giỏi tại tỉnh Lâm Đồng</t>
  </si>
  <si>
    <t>Đảm bảo an ninh trật tự các hoạt động kỷ niệm 110 năm thàng lập tỉnh</t>
  </si>
  <si>
    <t>Trang bị máy móc, thiết bị mới phục vụ công tác văn phòng, thực hiện đề án 02, số hóa một số hoạt động của Hội, hướng tới việc cải cách thủ tục hành chính, thông tin nhanh…</t>
  </si>
  <si>
    <t>Đoàn vào làm việc với Hội hữu nghị Việt - Lào</t>
  </si>
  <si>
    <t>Đoàn ra làm việc với Hội hữu nghị Lào - Việt Nam các tỉnh Nam Lào</t>
  </si>
  <si>
    <t>Đoàn ra làm việc với Hội hữu nghị Campuchia và các doanh nghiệp trao đổi Chương trình hợp tác, tìm hiểu cơ hội đầu tư</t>
  </si>
  <si>
    <t>Đi thăm hữu nghị, làm việc trao đổi học tập kinh nghiệm về quản lý, hoạt động của Hội tại Lào, Campuchia</t>
  </si>
  <si>
    <t xml:space="preserve">Mời Hội Việt kiều tại Lào, Campuchia và các Doanh nghiệp sang bàn bạc việc xây dựng chương trình nhằm kêu gọi đầu tư của chuyên gia trí thức hướng về quê hương </t>
  </si>
  <si>
    <t>Kinh phí chỉnh lý tài liệu</t>
  </si>
  <si>
    <t xml:space="preserve">Tổ chức các hội nghị đối thoại phát triển HTX theo lĩnh vực nông nghiệp và phi nông nghiệp để tháo gỡ khó khăn, tổng kết, khen thưởng HTX hoạt động hiệu quả. </t>
  </si>
  <si>
    <t>Tham gia các hội chợ xúc tiến thương mại HTX và Diễn đàn kinh tế tập thể HTX do Liên minh HTX Việt Nam tổ chức</t>
  </si>
  <si>
    <t>Chi nguồn giao tăng thu so dự toán Trung ương giao</t>
  </si>
  <si>
    <t>Quyết định số 264/QĐ-UBND 05/4/2021 của UBND tỉnh ủy quyền Sở Xây dựng thực hiện công bố đơn giá xây dựng công trình của địa phương; Quyết định số 26/2019/QĐ-UBND ngày 19/12/2019 và văn bản số Văn bản 1843/UBND-HTKT ngày 06/7/2020 của Ủy ban nhân dân tỉnh; Thông tư 15/2019/TT-BXD, ngày 26/12/2019 và số 02/2020/TT-BXD ngày 10/7/2020 của Bộ Xây dựng</t>
  </si>
  <si>
    <t>Kinh phí hoạt động các đội bóng đá</t>
  </si>
  <si>
    <t>Hướng dẫn 56-HD/VPTW, ngày 27-10-2015</t>
  </si>
  <si>
    <t>Quyết định 99-QĐ/TW ngày 30-5-2012</t>
  </si>
  <si>
    <t xml:space="preserve">Chi trả nhuận bút, thù thao trang thông tin điện tử; Thông báo thời sự; điều tra dư luận xã hội; hội nghị trực tuyến; (kể cả dịch vụ đường truyền…)… </t>
  </si>
  <si>
    <t>Hướng dẫn 39-HD/VPTW, ngày 16-10-2018</t>
  </si>
  <si>
    <t>Quy định 169-QĐ/TW, ngày 24-6-2008</t>
  </si>
  <si>
    <t>Theo kế hoạch thăm chúc tết hàng năm</t>
  </si>
  <si>
    <t>Hướng dẫn 167-HD/BTGTW, ngày 26-12-2015</t>
  </si>
  <si>
    <t>Quyết định 09-QĐ/VPTW, ngày 22-9-2017</t>
  </si>
  <si>
    <t>Quy định 118-QĐ/TU, ngày 19-01-2021 của BTVTU</t>
  </si>
  <si>
    <t>Theo kế hoạch hằng năm của Ban Tổ chức Trung ương</t>
  </si>
  <si>
    <t>Chương trình 23-CTr/TUKT-ĐUQCHQ, ngày 23-12-2016</t>
  </si>
  <si>
    <t>Thực hiện theo thông tư Liên tịch số 90/2015/TTLT-BTC-BKHĐT, ngày 15/06/2015 của Bộ Tài chính, Bộ Kế hoạch và Đầu tư</t>
  </si>
  <si>
    <t>Thực hiện theo Quyết định số 44/QĐ-UBND, ngày 24/01/2021 của Ủy ban nhân dân tỉnh Kon Tum</t>
  </si>
  <si>
    <t>Chủ trương xây dựng và tiến hành triển khai Bộ chỉ số đánh giá năng lực cạnh tranh cấp Sở, ban ngành, địa phương của tỉnh ( gọi tắt là Bộ chỉ số DDCI) với 10 chỉ số thành phần đánh giá, đã được UBND tỉnh thống nhất giao Sở Kế hoạch và Đầu tư triển khai thực hiện tại Văn bản số 2963/UBND-KT ngày 25/10/2018.</t>
  </si>
  <si>
    <t>Triển khai tuyên truyền, vận động nhân dân tích cực tham gia quản lý bảo vệ rừng trên địa bàn tỉnh Kon Tum</t>
  </si>
  <si>
    <t>Điều tra, đánh giá tổng hợp tài nguyên nước dưới đất tỷ lệ 1:50.000 đến 1:25.000 đối với nguồn nước nội tỉnh ở những vùng, khu vực dưới đất có tiềm năng lớn là đối tượng khai thác chủ yếu để cấp nước cho sinh hoạt, các nhu cầu phát triển KTXH tỉnh</t>
  </si>
  <si>
    <t>Mua sắm trang thiết bị dạy học (triển khai thực hiện theo tiêu chuẩn, định mức quy định hiện hành)</t>
  </si>
  <si>
    <t>Tăng cường CSVC; Bảo dưỡng, sửa chữa CSVC toàn ngành y tế từ tỉnh xuống xã và các nhiệm vụ cấp thiết khác của ngành (triển khai thực hiện theo quy định tại Thông tư số 65/2021/TT-BTC và các quy định hiện hành có liên quan)</t>
  </si>
  <si>
    <t>theo quy định tại Nghị quyết 73/2020/NQ-HĐND ngày 14/12/2020 của HĐND tỉnh Kon Tum</t>
  </si>
  <si>
    <t>Nghị định 20/2021/NĐ-CP ngày 15/3/2021 của Chính phủ quy định chính sách Trợ giúp xã hội đối với đối tượng bảo trợ xã hội</t>
  </si>
  <si>
    <t>Luật người cao tuổi</t>
  </si>
  <si>
    <t xml:space="preserve">Nghị định 178/2004/NĐ-CP ngày 15/10/2004 của Chính phủ quy định chi tiết thi hành một số điều của Pháp lệnh Phòng chống mại dâm; </t>
  </si>
  <si>
    <t xml:space="preserve">Pháp lệnh ưu đãi NCC </t>
  </si>
  <si>
    <t>Kế hoạch 2026/KH-UBND ngày 18/6/2021 của UBND tỉnh triển khai chương trình hành động quốc gia vì trẻ em giai đoạn 2021-2030 trên địa bàn tỉnh Kon Tum</t>
  </si>
  <si>
    <t>Kinh phí sửa chữa Ký túc xá G, H tại Trụ sở chính sau khi kết thúc nhiệm vụ cách ly y tế tập trung của tỉnh (triển khai thực hiện theo quy định tại Thông tư số 65/2021/TT-BTC và các quy định hiện hành có liên quan)</t>
  </si>
  <si>
    <t>Kinh phí cải tạo sửa chữa dãy nhà học khu E, nhà làm việc giảng viên và nhà bếp ăn (triển khai thực hiện theo quy định tại Thông tư số 65/2021/TT-BTC và các quy định hiện hành có liên quan)</t>
  </si>
  <si>
    <t>KP mua sắm trang thiết bị Ký túc xá học viên (triển khai thực hiện theo tiêu chuẩn, định mức quy định hiện hành)</t>
  </si>
  <si>
    <t>Kinh phí quản lý đầu tư công, tài sản công, giá; Kinh phí thực hiện điều tra, khảo sát và xây dựng Bảng giá tối thiểu tính thuế tài nguyên đối với khoáng sản, lâm sản trên địa bàn tỉnh Kon Tum</t>
  </si>
  <si>
    <t>Kinh phí mua sắm trang thiết bị Phòng An ninh mạng và phòng, chống tội phạm sử dụng công nghệ cao (triển khai thực hiện theo tiêu chuẩn, định mức quy định hiện hành)</t>
  </si>
  <si>
    <t>Kinh phí sửa chữa nền sân 06 kho quân khí Bộ chỉ huy Biên phòng tỉnh (triển khai thực hiện theo quy định tại Thông tư số 65/2021/TT-BTC và các quy định hiện hành có liên quan)</t>
  </si>
  <si>
    <t>Mua sắm các loại trang bị, phương tiện hoạt động (máy lọc nước, thiết bị nhà bếp, thiết bị khác trang bị cho các đồn biên phòng) (triển khai thực hiện theo tiêu chuẩn, định mức quy định hiện hành)</t>
  </si>
  <si>
    <t>Mua sắm trang thiết bị phục vụ hoạt động cơ quan (triển khai thực hiện theo tiêu chuẩn, định mức quy định hiện hành)</t>
  </si>
  <si>
    <t>Công ty Nông nghiệp sạch Tây Nguyên</t>
  </si>
  <si>
    <t>BQL rừng đặc dụng Đăk Uy</t>
  </si>
  <si>
    <t>BQL khu bảo tồn thiên nhiên Ngọc Linh</t>
  </si>
  <si>
    <t>Công ty TNHH MTV lâm nghiệp Đăk Tô</t>
  </si>
  <si>
    <t>Công ty TNHH MTV lâm nghiệp Ia H'Drai</t>
  </si>
  <si>
    <t>Công ty TNHH MTV lâm nghiệp Kon Plông</t>
  </si>
  <si>
    <t>Công ty TNHH MTV lâm nghiệp Sa Thầy</t>
  </si>
  <si>
    <t>Công ty TNHH MTV lâm nghiệp Ngọc Hồi</t>
  </si>
  <si>
    <t>UBND huyện Kon Plông</t>
  </si>
  <si>
    <t>Ban Chỉ đạo, Văn phòng Ban chỉ đạo Chương trình</t>
  </si>
  <si>
    <t xml:space="preserve">Thu tiền sử dụng đất từ dự án khai thác quỹ đất, đấu giá các trụ sở thuộc tỉnh </t>
  </si>
  <si>
    <t>(Kèm theo Tờ trình số        /TTr-UBND ngày       tháng 11 năm 2022 của Ủy ban nhân dân tỉnh Kon Tum)</t>
  </si>
  <si>
    <t xml:space="preserve">  Biểu số 01/TT</t>
  </si>
  <si>
    <t>Biểu số 03/TT</t>
  </si>
  <si>
    <t>Biểu số 06/TT</t>
  </si>
  <si>
    <t>Biểu số 08/TT</t>
  </si>
  <si>
    <t xml:space="preserve"> Biểu số 07/TT</t>
  </si>
  <si>
    <t xml:space="preserve">               Biểu số 07b/TT</t>
  </si>
  <si>
    <t>Biểu số 09/TT</t>
  </si>
  <si>
    <t>Biếu số 10/TT</t>
  </si>
  <si>
    <t xml:space="preserve">   DỰ TOÁN CHI TỪ NGUỒN ĐÀO TẠO, BỒI DƯỠNG CÁN BỘ CÔNG CHỨC NĂM 2023</t>
  </si>
  <si>
    <t xml:space="preserve">Nghị định 84/2020/NĐ-CP ngày 17/7/2020 của Chính phủ </t>
  </si>
  <si>
    <t>Biểu số 02b/TT</t>
  </si>
  <si>
    <t>Biểu số 02a/TT</t>
  </si>
  <si>
    <t>Kinh phí rà soát hiện trạng rừng và điều chỉnh phân bổ chỉ tiêu ba loại rừng trên địa bàn tỉnh Kon Tum</t>
  </si>
  <si>
    <t>Kinh phí thực hiện các Đề án, chính sách; Kinh phí Chương trình Sức khỏe học đường theo QĐ TTCP; Kinh phí đối ứng các dự án, giáo dục đào tạo; KP đào tạo HS Lào campuchia theo chủ trương tỉnh uỷ; nhiệm vụ giáo dục, đào tạo khác</t>
  </si>
  <si>
    <t>Nghị quyết số 73/2020/NQ-HĐND ngày 14/12/2020 của HĐND tỉnh</t>
  </si>
  <si>
    <t>Nghị quyết số 36/NQ-HĐND của HĐND tỉnh; Nghị định só 39/2015/NĐ-CP của Chính phủ</t>
  </si>
  <si>
    <t>Mua sắm trang thiết bị chuyên ngành, TTB khác... (triển khai thực hiện theo tiêu chuẩn, định mức quy định hiện hành)</t>
  </si>
  <si>
    <t>Theo Nghị định 61/2015/NĐ-CP ngày 9/7/2015. Trong đó, hỗ trợ đào tạo quy định tại Điều 10 Thông tư số 152/2016/TT-BTC ngày 17/10/2016 của BTC quy định quản lý và sử dụng kinh phí hỗ trợ đào tạo trình độ sơ cấp và đào tạo dưới 3 tháng. Chi phí đào tạo dự kiến  xây dựng đơn giá đặt hàng trong khi chờ phê duyệt định mức KTKT; Chi hỗ trợ tiền ăn, đi lại quy định tại điểm b, c khoản 2 Điều 7 Thông tư số 152/2016/TT-BTC ngày 17/10/2016 của BBTC quy định quản lý và sử dụng kinh phí hỗ trợ đào tạo trình độ sơ cấp và đào tạo dưới 3 tháng</t>
  </si>
  <si>
    <t xml:space="preserve">Lớp cao cấp LLCT K18 chuyển tiếp </t>
  </si>
  <si>
    <t xml:space="preserve">Lớp cao cấp LLCT K19 chuyển tiếp </t>
  </si>
  <si>
    <t>Lớp cao cấp LLCT K20 tuyển mới</t>
  </si>
  <si>
    <t>Lớp bồi dưỡng nghiệp vụ công tác tổ chức xây dựng Đảng</t>
  </si>
  <si>
    <t>KP đón tiếp khách mời các tỉnh Campuchia, Lào sang tham dự Lễ Kỷ niệm</t>
  </si>
  <si>
    <t>KP cập nhật thông tin và CSDL về hồ sơ quy hoạch và CSDL chuyên ngành thuộc phạm vi quản lý vào hệ thống thông tin và CSDL quốc gia về quy hoạch</t>
  </si>
  <si>
    <t>Kinh phí thực hiện hỗ trợ thường xuyên hàng tháng cho chức danh đội trưởng, đội phó dân phòng</t>
  </si>
  <si>
    <t>``</t>
  </si>
  <si>
    <t>Chi thực hiện nhiệm vụ chung theo chức năng quản lý toàn ngành, lĩnh vực của các cấp học trên địa bàn tỉnh; Kinh phí cho giáo viên biệt phái dạy tiếng Việt tại Lào, Campuchia…</t>
  </si>
  <si>
    <t>Kinh phí thực hiện nhiệm vụ quản lý quỹ đất thuộc Dự án Chỉnh trang đô thị, tạo quỹ đất để thực hiện quy hoạch Khu công nghiệp, cụm công nghiệp thuộc phường Ngô Mây, thành phố Kon Tum</t>
  </si>
  <si>
    <t>Chi hoạt động sự nghiệp địa chính khác (Kinh phí lấy mẫu nước mặt, nước thải và phân tích mẫu phục vụ công tác quản lý; KP xác định giá đất cụ thể trên địa bàn tỉnh, theo quy định tại Thông tư số 36/2014/TT-BTNMT; Kinh phí thống kê đất đai cấp tỉnh.....…)</t>
  </si>
  <si>
    <t>Trđó: Đề án dạy và học ngoại ngữ (triển khai thực hiện theo tiêu chuẩn, định mức quy định hiện hành)</t>
  </si>
  <si>
    <t xml:space="preserve">        Đề án đảm bảo cơ sở vật chất chương trình giáo dục  giáo dục phổ thông (triển khai thực hiện theo tiêu chuẩn, định mức quy định hiện hành)</t>
  </si>
  <si>
    <t>KP đào tạo nghề cho thanh niên hoàn thành nghĩa vụ QS, nghĩa vụ CA, thanh niên tình nguyện theo Nghị định 61/2015/NĐ-CP (Số lượng: 180 học viên)</t>
  </si>
  <si>
    <t>16.3</t>
  </si>
  <si>
    <t>Lớp bồi dưỡng công tác dân vận cho cán bộ khối Đảng cấp tỉnh, huyện, xã</t>
  </si>
  <si>
    <t xml:space="preserve">Quỹ hỗ trợ nông dân </t>
  </si>
  <si>
    <t>Bổ sung kinh phí sửa chữa nhà làm việc cho chỉ huy tiểu đoàn 304 - Trung đoàn 990</t>
  </si>
  <si>
    <t>Lắp đặt hệ thống pin năng lượng mặt trời lưu trữ 2x25kWP cho Đồn BP 705 (Rờ Kơi) và Đồn 679 (Đăk Sú)</t>
  </si>
  <si>
    <t>KP tham dự ĐH Đại biểu Hội Bảo vệ Quyền trẻ em Việt Nam lần thứ 4 tại Hà Nội</t>
  </si>
  <si>
    <t>Các khoản khác</t>
  </si>
  <si>
    <t>Hỗ trợ chi trả thù lao đội ngũ tuyên truyền viên nòng cốt của cấp ủy cơ sở đảng (phân bổ sau khi có NQ HĐND tỉnh)</t>
  </si>
  <si>
    <t>Văn Phòng Ủy ban nhân dân tỉnh</t>
  </si>
  <si>
    <t>Chi từ nguồn thu phí sử dụng công trình kết cấu hạ tầng (đối với phương tiện ra, vào các cửa khẩu) trong khu kinh tế cửa khẩu quốc tế Bờ Y</t>
  </si>
  <si>
    <t>Kinh phí sự nghiệp (đơn vị cân đối từ Quỹ phát triển hoạt động sự nghiệp: 1.200 triệu đồng)</t>
  </si>
  <si>
    <t>ĐVT: triệu đồng</t>
  </si>
  <si>
    <t>NGUỒN MSSC BỐ TRÍ THEO DỰ TOÁN</t>
  </si>
  <si>
    <t>Chi cục Quản lý chất lượng nông lâm sản và thủy sản</t>
  </si>
  <si>
    <t>Sở Lao động - Thương binh và Xã hội</t>
  </si>
  <si>
    <t>Công an Tỉnh</t>
  </si>
  <si>
    <t>Trđó: KP làm sân bê tông, sc nhà ở, nhà làm việc…của Đội K53 Lào-CPC (triển khai thực hiện theo quy định tại Thông tư số 65/2021/TT-BTC và các quy định hiện hành có liên quan)</t>
  </si>
  <si>
    <t xml:space="preserve"> Sửa chữa công trình phổ thông (Nhà ở chiến sĩ tiểu đoàn 304/TĐ 990), công trình huấn luyện chiến đấu, thể dục thể thao (Công trình huấn luyện, thể thao của BCHQS tỉnh) (triển khai thực hiện theo quy định tại Thông tư số 65/2021/TT-BTC và các quy định hiện hành có liên quan)</t>
  </si>
  <si>
    <t>Hoạt động của Hội đồng Giáo dục QPAN tỉnh</t>
  </si>
  <si>
    <t>Sơ kết 2 năm thực hiện quy hoạch thiết chế văn hóa trong QĐNDVN giai đoạn 2021-2025</t>
  </si>
  <si>
    <t>KP hoạt động các đội bóng đá trên địa bàn tỉnh, thực hiện theo chủ trương cấp có thẩm quyền</t>
  </si>
  <si>
    <t>Đoàn ra đoàn vào của Sở Ngoại vụ</t>
  </si>
  <si>
    <t>Kinh phí Tổng kết 10 năm công tác giám sát phản biện 217-218</t>
  </si>
  <si>
    <t xml:space="preserve">Tổ chức Hội nghị giao ban Cụm các tỉnh Tây nguyên; Tổ chức Hội nghị tổng kết công tác Hội Người cao tuổi tỉnh và đi dự Hội nghị Ban chấp hành Trung ương Hội Người cao tuổi Việt Nam </t>
  </si>
  <si>
    <t>Chương trình phối hợp với Sở NNPTNT; sở tài nguyên môi trường về phòng chống thiên tai, lĩnh vực tài nguyên môi trường</t>
  </si>
  <si>
    <t>Kế hoạch ứng dụng công nghệ thông tin trong hoạt động của các cơ quan Đảng tỉnh Kon Tum giai đoạn 2021-2025 (triển khai sau khi đầy đủ hồ sơ theo quy trình quy định hiện hành)</t>
  </si>
  <si>
    <t>Chi thuê dịch vụ CNTT hệ thống quản lý hoạt động thanh tra, kiểm tra doanh nghiệp (triển khai sau khi đầy đủ hồ sơ theo quy trình quy định hiện hành)</t>
  </si>
  <si>
    <t>Chi đào tạo nâng chuẩn giáo viên, đào tạo văn bằng 2 cho giáo viên, đào tạo sinh viên sư phạm theo NĐ 116/2020/NĐ-CP</t>
  </si>
  <si>
    <t>Nghị quyết số 25/NQ-HĐND ngày 09/7/2021 của HĐND tỉnh; Nghị định số 116/2020/NĐ-CP ngày 25/9/2020 của Chính phủ quy định về chính sách hỗ trợ tiền đóng học phí, chi phí sinh hoạt đối với sinh viên sư phạm</t>
  </si>
  <si>
    <t>Điều tiết ngân sách tỉnh để chi đầu tư theo tiến độ nguồn thu thực nộp ngân sách (Bao gồm 30 tỷ thực hiện ghi thu, ghi chi nhà đầu tư ứng trước đền bù GPMB)</t>
  </si>
  <si>
    <t>Biểu số 07a/TT</t>
  </si>
  <si>
    <t xml:space="preserve">Chi đào tạo, bồi dưỡng CCVC </t>
  </si>
  <si>
    <t xml:space="preserve">       + Tham gia Liên hoan búp sen hồng tại Sóc Trăng</t>
  </si>
  <si>
    <t xml:space="preserve">         + Tập huấn kỹ năng công tác Đoàn cho Đoàn viên tỉnh ATaPư (Lào)</t>
  </si>
  <si>
    <t xml:space="preserve">       - Dàn ánh sáng sân khấu</t>
  </si>
  <si>
    <t xml:space="preserve">       - Kinh phí mua máy phô tô</t>
  </si>
  <si>
    <t>Chi theo lương 1.490</t>
  </si>
  <si>
    <t>Bổ sung tiền lương lên 1.800</t>
  </si>
  <si>
    <t>(Kèm theo Tờ trình số        /TTr-UBND ngày       tháng 11 năm 2023 của Ủy ban nhân dân tỉnh Kon Tum)</t>
  </si>
  <si>
    <t xml:space="preserve"> DỰ  TOÁN THU CHI CÂN ĐỐI NGÂN SÁCH  HUYỆN, THÀNH PHỐ NĂM 2024</t>
  </si>
  <si>
    <t>Dự toán 2024</t>
  </si>
  <si>
    <t>Bổ sung thực hiện tiền lương</t>
  </si>
  <si>
    <t>Kinh phí thực hiện tiền lương tăng thêm theo NĐ 24/2023/NĐ-CP</t>
  </si>
  <si>
    <t>Nhu cầu kinh phí thực hiện tiền lương tăng thêm theo NĐ 24/2023/NĐ-CP</t>
  </si>
  <si>
    <t>Nguồn huyện cân đối năm 2023 tạm xác định 2024</t>
  </si>
  <si>
    <t>Nguồn 50% tăng thu dự toán 2024 so với dự toán 2023 cân đối tiền lương</t>
  </si>
  <si>
    <t>Bổ sung để đảm bảo chi lương 1.800 do dự toán 2024 hụt thu so với dự toán 2023 làm thiếu nguồn cân đối tiền lương</t>
  </si>
  <si>
    <t xml:space="preserve"> DỰ   TOÁN THU CHI  CÂN ĐỐI  NGÂN SÁCH  HUYỆN, THÀNH PHỐ  NĂM 2024</t>
  </si>
  <si>
    <t>Dự toán 2023 khối huyện</t>
  </si>
  <si>
    <t>Dự toán 2024 khối huyện</t>
  </si>
  <si>
    <t>% SS DT 2023</t>
  </si>
  <si>
    <t>Tăng thu DT 2024/2023</t>
  </si>
  <si>
    <t>Dự toán Thu NSNN trên địa bàn 2023</t>
  </si>
  <si>
    <t>Phí bảo vệ môi trường đối với nước thải</t>
  </si>
  <si>
    <t>3.6</t>
  </si>
  <si>
    <t>3.7</t>
  </si>
  <si>
    <t>Thu NSĐP được hưởng  (trừ tiền SD đất và XSKT)</t>
  </si>
  <si>
    <t>UTH thu 2023</t>
  </si>
  <si>
    <t>UTH thu NSNN trên địa bàn 2023</t>
  </si>
  <si>
    <t>3.8</t>
  </si>
  <si>
    <t>Tăng thu (+), hụt thu (-) UTH 2023 so dự toán 2023 (7)=(6)-(3)</t>
  </si>
  <si>
    <t>Dự toán thu NSNN trên địa bàn 2024</t>
  </si>
  <si>
    <t>SS% tăng DT 2024 so DT 2023</t>
  </si>
  <si>
    <t>Tăng thu (+), hụt thu (-)  DT 2024 so dự toán 2023 (11)=(10)-(3)</t>
  </si>
  <si>
    <t>Số bổ sung cân đối năm 2024 giao</t>
  </si>
  <si>
    <t>Số bổ sung cân đối điều chỉnh (tăng 1% so trợ cấp 2023)</t>
  </si>
  <si>
    <t>Từ nguồn 50% tăng thu dự toán 2024 so với dự toán 2023 cân đối tiền lương</t>
  </si>
  <si>
    <t>Từ nguồn NS tỉnh bổ sung để đảm bảo chi lương 1.800 do dự toán 2024 hụt thu so với dự toán 2023 làm thiếu nguồn cân đối tiền lương</t>
  </si>
  <si>
    <t>Trđó: SN GD ĐT</t>
  </si>
  <si>
    <t xml:space="preserve">        SN khác</t>
  </si>
  <si>
    <t>Huyện KonPLong</t>
  </si>
  <si>
    <t>DT chi cân đối 2023</t>
  </si>
  <si>
    <t>DT chi cân đối 2023 trừ đất</t>
  </si>
  <si>
    <t>DT chi cân đối 2024 trừ đất</t>
  </si>
  <si>
    <t>Chênh lệch DT 2024 với DT 2023</t>
  </si>
  <si>
    <t>Chênh lệch DT 2024 với DT 2023 (sai)</t>
  </si>
  <si>
    <t>Tỷ lệ % tăng thêm</t>
  </si>
  <si>
    <t xml:space="preserve"> - Trợ cấp ổn định như năm 2023</t>
  </si>
  <si>
    <t xml:space="preserve"> - Tăng trợ cấp thêm 1%</t>
  </si>
  <si>
    <t>SS DT 2023 (%)</t>
  </si>
  <si>
    <t>DT 2023</t>
  </si>
  <si>
    <t>UTH năm 2023</t>
  </si>
  <si>
    <t>Dự toán năm 2024</t>
  </si>
  <si>
    <t>Theo quy định tại Thông tư số 18/2023/TT-BTC của Bộ Tài chính (đề nghị CBCQ rà soát dự toán chi tiết chi phục vụ công tác XP VPHC của các đơn vị đảm bảo nội dung chi theo quy định tại Thông tư số 18/2023/TT-BTC của Bộ Tài chính)</t>
  </si>
  <si>
    <t>(2) Số bố trí hỗ trợ là số tối đa thực hiện yêu cầu đảm bảo dự toán thu được giao.</t>
  </si>
  <si>
    <t>DỰ TOÁN  THU, CHI  XỬ PHẠT VI PHẠM HÀNH CHÍNH; 
THU HỒI PHÁT HIỆN QUA CÔNG TÁC THANH TRA CẤP TỈNH NĂM 2024</t>
  </si>
  <si>
    <t>DỰ TOÁN THU PHÍ - LỆ PHÍ; THU CHO THUÊ, CHO THUÊ MUA NHÀ Ở THUỘC SỞ HỮU NHÀ NƯỚC NGÂN SÁCH TỈNH NĂM 2024</t>
  </si>
  <si>
    <t>UTH 2023</t>
  </si>
  <si>
    <t>Thu cho thuê, cho thuê mua nhà ở thuộc SHNN</t>
  </si>
  <si>
    <t>Chi phí liên quan đến việc cho thuê, cho thuê mua nhà ở thuộc sở hữu nhà nước</t>
  </si>
  <si>
    <t>Phần nộp ngân sách NN theo quy định quy định tại điểm b khoản 1 Điều 44 Nghị định số 99/2015/NĐ-CP</t>
  </si>
  <si>
    <t>Dự toán thu 2024</t>
  </si>
  <si>
    <t>TỔNG CỘNG = (A) + (B) + (C) + (D)</t>
  </si>
  <si>
    <t>Phí thẩm định đề án, báo cáo thăm dò đánh giá trữ lượng, khai thác, sử dụng nước dưới đất</t>
  </si>
  <si>
    <t>Phí thẩm định hồ sơ, điều kiện hành nghề khoan nước dưới đất</t>
  </si>
  <si>
    <t>Phí thẩm định đề án khai thác, sử dụng nước mặt</t>
  </si>
  <si>
    <t xml:space="preserve"> Phí thẩm định cấp Giấy phép hoạt động môi trường</t>
  </si>
  <si>
    <t>Theo Thông tư số 286/2016/TT-BTC, ngày 14/11/2026  và Thông tư số 44/2018/TT-BTC, ngày 07/5/2018 của Bộ Tài chính</t>
  </si>
  <si>
    <t>Phí thẩm định các đồ án quy hoạch</t>
  </si>
  <si>
    <t>Thông tư số 35/2023/TT-BTC ngày 31/5/2023 của Bộ Tài chính</t>
  </si>
  <si>
    <t>Sở Giao thông vận tải đã bổ sung công nhận giấy Trung tâm sát hạch được công nhận loại 3</t>
  </si>
  <si>
    <t>Phí, lệ phí thuộc lĩnh vực khoa học công nghệ</t>
  </si>
  <si>
    <t>Sẽ tiếp tục cập nhật nếu số thu thay đổi</t>
  </si>
  <si>
    <t>Ghi chú: (1) Phần để lại chi thực tế theo tỷ lệ và số thu thực hiện (kể cả số thu vượt ngân sách so dự toán giao).
              (2) Kinh phí hỗ trợ đảm bảo hoạt động thu lệ phí là chi phí tối đa thực hiện yêu cầu đảm bảo dự toán thu được giao.
              (3) Trong năm, khi phát sinh thuộc các lĩnh vực thuộc phạm vi quản lý, các đơn vị được giao nhiệm vụ thu phí chủ động triển khai thực hiện thu nộp NS theo quy định
             (4) Tiền thu được từ việc cho thuê mua, bán nhà ở thuộc sở hữu nhà nước sau khi khấu trừ các chi phí để tổ chức thực hiện việc cho thuê mua, bán nhà ở, bên bán, cho thuê mua nhà ở phải nộp vào ngân sách nhà nước theo phân cấp ngân sách hiện hành theo quy định tại điểm b khoản 1 Điều 44 Nghị định số 99/2015/NĐ-CP. Phần để lại chi thực tế theo tỷ lệ và số thu thực hiện.</t>
  </si>
  <si>
    <t>TỔNG HỢP DỰ TOÁN THU NGÂN SÁCH NHÀ NƯỚC TỪ NGUỒN GIAO TĂNG THU XỬ LÝ NHÀ, ĐẤT 
NĂM 2024</t>
  </si>
  <si>
    <t>Sở Xây dựng và Công ty CP TV Đầu tư và Xây dựng Kon Tum - địa chỉ số 345 đường Bà Triệu và số 119 đường Lê Hồng Phong, phường Quyết Thắng, thành phố Kon Tum, tỉnh Kon Tum</t>
  </si>
  <si>
    <t>Thu từ bán đấu giá các trụ sở cơ quan khối tỉnh (Trung tâm Giáo dục thường xuyên tỉnh)- 190 Phan Chu Trinh, phường Thắng Lợi, thành phố Kon Tum</t>
  </si>
  <si>
    <t>DỰ TOÁN CHI  NGÂN SÁCH ĐỊA PHƯƠNG NĂM 2024</t>
  </si>
  <si>
    <t>Dự toán Trung ương giao 2024</t>
  </si>
  <si>
    <t>So sánh %  DT 2023</t>
  </si>
  <si>
    <t>So sánh % DT2023</t>
  </si>
  <si>
    <t>Kinh phí đã hỗ trợ năm 2023</t>
  </si>
  <si>
    <t>Nhu cầu kinh phí lập quy hoạch năm 2024</t>
  </si>
  <si>
    <t xml:space="preserve">                 Các quy hoạch chung, quy hoạch phân khu chưa có chủ trương của cấp có thẩm quyền hoặc không thuộc đối tượng được hỗ trợ kinh phí theo NQ 58</t>
  </si>
  <si>
    <t>Kinh phí hỗ trợ hộ nghèo ăn Tết Giáp Thìn năm 2024</t>
  </si>
  <si>
    <t>Căn cứ quy định tại Nghị quyết số 94/2022/NQ-HĐND ngày 12/12/2022 của Hội đồng nhân dân tỉnh về việc sửa đổi, bổ sung Điều 2 Nghị quyết số 73/2020/NQ-HĐND ngày 14/12/2020 của Hội đồng nhân dân tỉnh</t>
  </si>
  <si>
    <t>Kinh phí tổ chức Đại hội dân tộc thiểu số, Đại hội Mặt trận tổ quốc Việt Nam các cấp</t>
  </si>
  <si>
    <t>Kinh phí thực hiện Nghị định số 33/2023/NĐ-CP của Chính phủ</t>
  </si>
  <si>
    <t>Ứng dụng khoa học công nghệ</t>
  </si>
  <si>
    <t>Giảm dự toán Sở Khoa học và Công nghệ 1.600 triệu đồng, chuyển bổ sung mục tiêu cho các huyện, cụ thể: Thành phố Kon Tum, Đăk Hà, Kon Plong: 300 triệu đồng/huyện; 07 huyện còn lại: 100 triệu đồng/huyện</t>
  </si>
  <si>
    <t xml:space="preserve"> DỰ TOÁN CHI NGÂN SÁCH HUYỆN, THÀNH PHỐ NĂM 2024</t>
  </si>
  <si>
    <t>2% bổ sung nguồn dự phòng từ nguồn tăng thu so với Trung ương giao</t>
  </si>
  <si>
    <t>Dự phòng ngân sách trong dự toán Trung ương giao</t>
  </si>
  <si>
    <t xml:space="preserve">              - SN KHCN</t>
  </si>
  <si>
    <t xml:space="preserve">             - SN khác còn lại</t>
  </si>
  <si>
    <t>DỰ TOÁN THU NGÂN SÁCH NHÀ NƯỚC NĂM 2024</t>
  </si>
  <si>
    <t>Thu bổ sung cân đối  từ ngân sách trung ương</t>
  </si>
  <si>
    <t>Thu bổ sung thực hiện tiền lương tăng thêm</t>
  </si>
  <si>
    <t xml:space="preserve">                                   </t>
  </si>
  <si>
    <t xml:space="preserve">                       DỰ TOÁN THU NGÂN SÁCH NHÀ NƯỚC TRÊN  ĐỊA BÀN HUYỆN, THÀNH PHỐ NĂM 2024</t>
  </si>
  <si>
    <t>Dự toán thu Trung ương giao 2024</t>
  </si>
  <si>
    <t>Dự toán thu 2024 HĐND giao</t>
  </si>
  <si>
    <t xml:space="preserve">Dự toán thu 2024 </t>
  </si>
  <si>
    <t>Dự toán thu trên địa bàn 2024</t>
  </si>
  <si>
    <t xml:space="preserve">DT 2024 TƯ bổ sung mục tiêu </t>
  </si>
  <si>
    <t xml:space="preserve">Dự toán 2024 ĐP giao nguồn trung ương bổ sung mục tiêu </t>
  </si>
  <si>
    <t>Chênh lệch 2024-2023</t>
  </si>
  <si>
    <t>PGCM</t>
  </si>
  <si>
    <t>Sở Giáo dục và Đào tạo</t>
  </si>
  <si>
    <t>Chưa có quyết định phê duyệt chủ trương đầu tư, sau khi được bố trí vốn đơn vị sẽ hoàn thiện các chủ trương đầu tư theo quy định (có BB đánh giá hiện trạng, Vb số 2554/UBND-NNNT ngày 09/8/2023 của UBND tỉnh</t>
  </si>
  <si>
    <t>Hỗ trợ doanh nghiệp vừa và nhỏ</t>
  </si>
  <si>
    <t xml:space="preserve">Sở Kế hoạch và Đầu tư </t>
  </si>
  <si>
    <t>Sở Công Thương</t>
  </si>
  <si>
    <t>Kinh phí biên chế giáo viên tăng thêm</t>
  </si>
  <si>
    <t xml:space="preserve">     DỰ TOÁN CHI NGUỒN TRUNG ƯƠNG BỔ SUNG CÓ MỤC TIÊU THỰC HIỆN CÁC CHẾ ĐỘ, NHIỆM VỤ VÀ CHÍNH SÁCH THEO QUY ĐỊNH NĂM 2024</t>
  </si>
  <si>
    <t>Kinh phí tổ chức tiếp xúc cử tri của đại biểu Hội đồng nhân dân tỉnh và thực hiện chuyên mục "diễn đàn cử tri năm"</t>
  </si>
  <si>
    <t>DỰ TOÁN CHI CÂN ĐỐI NGÂN SÁCH TỈNH NĂM 2024</t>
  </si>
  <si>
    <t>Dự toán chi ngân sách tỉnh năm 2024</t>
  </si>
  <si>
    <t>Dự toán chi ngân sách cấp tỉnh năm 2023</t>
  </si>
  <si>
    <t>Dự toán theo lương 1.490.000 đồng</t>
  </si>
  <si>
    <t>SS DT năm 2024 so DT năm 2023 (%)</t>
  </si>
  <si>
    <t>SS DT năm 2024 so DT năm 2023 (số tuyệt đối)</t>
  </si>
  <si>
    <t>Bổ sung thực hiện CCTL từ 1.490.000 đồng lên 1.800.000 đồng</t>
  </si>
  <si>
    <t>4=5+8</t>
  </si>
  <si>
    <t>5=6+7</t>
  </si>
  <si>
    <t>4.10</t>
  </si>
  <si>
    <t>10% TK thực hiện CCTL năm 2023 SN chi TX khác</t>
  </si>
  <si>
    <t>DỰ TOÁN  CHI TIẾT CHI  NGÂN SÁCH CẤP TỈNH NĂM 2024</t>
  </si>
  <si>
    <t>Dự toán chi NS cấp tỉnh 2024</t>
  </si>
  <si>
    <t>10% tiết kiệm thực hiện CCTL năm 2024</t>
  </si>
  <si>
    <t>Dự toán 2024 đơn vị được sử dụng</t>
  </si>
  <si>
    <t>Chênh lệch DT năm 2024 theo lương 1.490.000 đồng so DT năm 2023</t>
  </si>
  <si>
    <t xml:space="preserve">Dự toán chi theo định mức </t>
  </si>
  <si>
    <t>Nguồn thu phí được để lại chi, nguồn thu SN (sau khi trừ CP và tạo nguồn thực hiện CCTL); Giảm trừ 2% chi hỗ trợ trực tiếp từ NSNN</t>
  </si>
  <si>
    <t>BC có mặt đến ngày 01/7/2023</t>
  </si>
  <si>
    <t>1=2+12</t>
  </si>
  <si>
    <t>2=3-11</t>
  </si>
  <si>
    <t>2a</t>
  </si>
  <si>
    <t>3=4+10</t>
  </si>
  <si>
    <t>4=6+7</t>
  </si>
  <si>
    <t>7=8+9</t>
  </si>
  <si>
    <t>7a</t>
  </si>
  <si>
    <t>7b</t>
  </si>
  <si>
    <t>10a</t>
  </si>
  <si>
    <t>10b</t>
  </si>
  <si>
    <t>14=1-13</t>
  </si>
  <si>
    <t>Chi thường xuyên</t>
  </si>
  <si>
    <t>Hết nhiệm vụ</t>
  </si>
  <si>
    <t xml:space="preserve"> Theo KH số 805/KH- UBND, ngày 23/03/2023 Phòng chống bệnh Viêm da nổi cục trâu, bò  giai đoạn 2023 - 2030 ; Kế hoạch số 01/KH-UBND ngày 02/1/2021 của UBND tỉnh phòng chống bệnh LMLM thuộc chương trình quốc gia Phòng chống bệnh LMLM giai đoạn 2021 - 2025 của UBND tỉnh</t>
  </si>
  <si>
    <t>Kinh phí Chương trình Quốc gia phòng chống bệnh dịch tả lợn Châu phi giai đoạn 2024 - 2025</t>
  </si>
  <si>
    <t>KP thực hiện KH phòng chống dịch bệnh trên cạn, phòng chống dịch bệnh Thủy sản và bệnh dại năm 2024</t>
  </si>
  <si>
    <t>Theo Kế hoạch số 3111/KH-UBND; số 3312/KH-UNBD ngày 19/9/2023 của UBND tỉnh Phòng chống dịch bệnh động vật trên cạn, thủ sản năm 2024 trên địa bàn tỉnh Kon Tum</t>
  </si>
  <si>
    <t>Kinh phí Thuê dịch vụ công nghệ thông tin phục vụ chuyển đổi số  ngành nông nghiệp và phát triển nông thôn</t>
  </si>
  <si>
    <t>Chủ trương theo Văn bản số 2324/UBND-KTTH, ngày 20/7/2023 của Ủy ban nhân dân tỉnh</t>
  </si>
  <si>
    <t>Xây dựng mô hình trồng mới cà phê chè; Tập huấn trồng, chăm sóc, quản lý sinh vật gây hại trên cây cà phê chè; Mô hình hỗ trợ nâng cao năng lực sản xuất giống cây trồng bằng phương pháp nuôi cấy mô tế bào thực vật</t>
  </si>
  <si>
    <t>Chủ trương theo Kết luận số 1228-KL/TU ngày 23/6/2023 Tỉnh ủy và QĐ số 1658/QĐ-UBND ngày 31/5/2022 của UBND tỉnh</t>
  </si>
  <si>
    <t>chủ trương theo Quyết định số 144/QĐ-UBND, ngày 28/3/2023 của UBND tỉnh</t>
  </si>
  <si>
    <t>Kinh phí thực hiện các đoàn ra, đoàn vào trong công tác đối ngoại lĩnh vực nông nghiệp</t>
  </si>
  <si>
    <t xml:space="preserve">Kinh phí quản lý vận hành; nạo vét kênh mương, sửa chữa thường xuyên các công trình thủy lợi, quản lý an toàn đập thủy lợi; cấp phép khai thác sử dụng tài nguyên nước...  </t>
  </si>
  <si>
    <t xml:space="preserve">   Trđó: DT KP thực hiện các nội dung quản lý an toàn đập, hồ chứa thủy lợi; Cấp phép khai thác sử dụng tài nguyên nước </t>
  </si>
  <si>
    <t xml:space="preserve">KP xác định chỉ số giá xây dựng; Xây dựng công bố giá vật liệu; CP khảo sát xác định đơn giá nhân công xây dựng, Bảng giá ca máy và thiết bị thi công XD năm 2024; Xây dựng giá nhà, công trình xây dựng năm 2024 </t>
  </si>
  <si>
    <t>Khảo sát thông tin giá vật liệu xây dựng, thiết bị công trình và xác định chỉ số giá xây dựng năm 2024 trên địa bàn tỉnh Kon Tum</t>
  </si>
  <si>
    <t>Chi phí xây dựng giá nhà, công trình xây dựng năm 2025</t>
  </si>
  <si>
    <t>Chi phí khảo sát xác định đơn giá nhân công xây dựng, Bảng giá ca máy và thiết bị thi công xây dựng năm 2024</t>
  </si>
  <si>
    <t>Tập huấn vật liệu xây gạch không nung trên địa bàn tỉnh</t>
  </si>
  <si>
    <t>Sở Tài nguyên Môi trường</t>
  </si>
  <si>
    <t>hết nhiệm vụ</t>
  </si>
  <si>
    <t>Kinh phí hoạt động các Ban chỉ đạo; Tổ kiểm tra liên ngành; Đoàn kiểm tra liên ngành trong lĩnh vực TNMT</t>
  </si>
  <si>
    <t>Kinh phí tổ chức đấu giá các điểm mỏ khai thác khoáng sản trên địa bàn tỉnh</t>
  </si>
  <si>
    <t>Đánh giá xác định cập nhật định kỳ các đặc trưng cơ bản, lập bản đồ đặc trưng tài nguyên nước mặt, đánh giá diễn biến tài nguyên nước mặt theo từng giai đoạn trên các nguồn nước nội tỉnh, Điều tra, thống kê tổng lượng nước trử được vào cuối mùa lũ, đầu mùa cạn hàng năm.....</t>
  </si>
  <si>
    <t>Rà soát khoanh định và điều chỉnh cập nhật khu vực cấm, tạm thời cấm hoạt động khai thác khoáng sản trên địa bàn tỉnh Kon Tum</t>
  </si>
  <si>
    <t>Kế hoạch số 3054/KH-UBND ngày 13/9/2023 của UBND tỉnh Kon Tum;</t>
  </si>
  <si>
    <t>Mạng lưới điểm quan trắc môi trường tỉnh Kon Tum giai đoạn 2023-2025, định hướng đến năm 2030</t>
  </si>
  <si>
    <t>Điều tra, đánh giá, tính toán và công bố dòng chảy tối thiểu ở các sông, suối nội tỉnh theo quy định tại Thông tư số 64/2017/TT-BTNMT ngày 22/12/2017 của Bộ TN&amp;MT. Trong đó ưu tiên thực hiện trên các đoạn sông, suối có vai trò quan trọng trong phát triển KTXH tỉnh Kon Tum</t>
  </si>
  <si>
    <t>Các nhiệm vụ đã có chủ trương tại Công văn số 1799/BTNMT-TNN ngày 19/4/2020 của Bộ Tài nguyên và Môi trường; Kế hoạch số 4340/KH-UBND ngày 06/12/2021 của UBND tỉnh Kon Tum về  Điều tra cơ bản tài nguyên nước tỉnh Kon Tum đến năm 2030, tầm nhìn đến năm 2050</t>
  </si>
  <si>
    <t>Xây dựng và duy trì hệ thống thông tin, cơ sở dữ liệu tài nguyên nước trên địa bàn tỉnh Kon Tum</t>
  </si>
  <si>
    <t>Tổng Kiểm kê tài nguyên nước quốc gia, giai đoạn đến năm 2025</t>
  </si>
  <si>
    <t>Chi hoạt động sự nghiệp môi trường khác (Kinh phí lấy mẫu nước mặt, nước thải và phân tích mẫu phục vụ công tác quản lý; KP xác định giá đất cụ thể trên địa bàn tỉnh, theo quy định tại Thông tư số 36/2014/TT-BTNMT; Kinh phí thống kê đất đai cấp tỉnh, Kinh phí bảo vệ môi trường, đa dạng sinh học, ứng phó với biến đổi khí hậu.....…)</t>
  </si>
  <si>
    <t>Phát sinh nội dung mới: Kinh phí bảo vệ môi trường, đa dạng sinh học, ứng phó với biến đổi khí hậu</t>
  </si>
  <si>
    <t>Kinh phí tổ chức hội nghị cụm thi đua số 8 ngành công thương 5 tỉnh Tây Nguyên</t>
  </si>
  <si>
    <t>Tổ chức lớp tập huấn, tuyên truyền về hệ thống nguồn gốc sản phẩm hỗ trợ các tổ chức cá nhân trên địa bàn tỉnh triển khai truy xuất nguồn gốc sản phẩm theo quy định của pháp luật:</t>
  </si>
  <si>
    <t>Số đối tượng tạm tính bằng số ước thực hiện Học kỳ I năm học 2023-2024 theo báo cáo của Sở Giáo dục và Đào tạo</t>
  </si>
  <si>
    <t xml:space="preserve">        Kinh phí chuyển đổi số theo Kế hoạch 1469/KH-UBND ngày 17/5/2023 của UBND tỉnh  (triển khai sau khi đầy đủ hồ sơ theo quy trình quy định hiện hành)</t>
  </si>
  <si>
    <t xml:space="preserve">       KP thi tốt nghiệp THPT và kỳ thi đại học</t>
  </si>
  <si>
    <t xml:space="preserve">       KP tổ chức bồi dưỡng đội tuyển HS giỏi QG, Học bổng đội tuyển thi HS giỏi QG; Sửa chữa, tăng cường cơ sở vật chất trường lớp học; nhiệm vụ cấp thiết khác ngành GD ĐT (triển khai thực hiện theo quy định tại Thông tư số 65/2021/TT-BTC và các quy định hiện hành có liên quan)</t>
  </si>
  <si>
    <t>Kinh phí cho giáo viên biệt phái dạy tiếng Việt tại Lào, Campuchia</t>
  </si>
  <si>
    <t>Chi thực hiện nhiệm vụ chung theo chức năng quản lý toàn ngành, lĩnh vực của các cấp học trên địa bàn tỉnh</t>
  </si>
  <si>
    <t>KP hỗ trợ thực hiện lộ trình thu, miễn thu dịch vụ tuyển sinh</t>
  </si>
  <si>
    <t>Kinh phí hỗ trợ miễn giảm học phí và hỗ trợ chi phí học tập theo NQ số 81/2023/NĐ-CP</t>
  </si>
  <si>
    <t>Tuyến tỉnh (405 giường, định mức 83 triệu đồng/giường/năm)</t>
  </si>
  <si>
    <t>Trđó: Bệnh viện Tâm thần</t>
  </si>
  <si>
    <t xml:space="preserve">         + Dự toán theo ĐM (50 giường)</t>
  </si>
  <si>
    <t xml:space="preserve">         + Bổ sung để đảm bảo KP hoạt động cần thiết cho Bệnh viện Tâm thần</t>
  </si>
  <si>
    <t>Đối ứng các Dự án viện trợ</t>
  </si>
  <si>
    <t>Hoạt động BQL Quỹ KCB người nghèo hết nhiệm vụ chi</t>
  </si>
  <si>
    <t>Triển khai xây dựng Quy chuẩn kỹ thuật địa phương về chất lượng nước sạch sử dụng cho mục đích sinh hoạt trên địa bàn tỉnh KT</t>
  </si>
  <si>
    <t xml:space="preserve">Văn bản số 3482/UBND-NNTN ngày 12/10/2023 của UBND tỉnh </t>
  </si>
  <si>
    <t>HĐ biểu diễn trong và ngoài tỉnh; Chi tuyên truyền lưu động; Chi phục vụ chiếu bóng vùng cao</t>
  </si>
  <si>
    <t>Hoạt động biểu diễn trong và ngoài tỉnh (80 buổi)</t>
  </si>
  <si>
    <t>Chi sự nghiệp văn hóa khác (Công tác bảo tồn văn hóa phi vật thể và Sưu tầm, bảo quản hiện vật; hoạt động thư viện, bảo tàng, di tích; tham gia hoạt động ngoai tỉnh; Tuyên truyền ngày lễ lớn trong năm; Tổ chức tháng hoạt động thể dục, thể thao cho mọi người và Ngày chạy Olympic vì sức khỏe toàn dân tỉnh Kon Tum Năm 2024; Chi hoạt động đặc thù khác; ……)</t>
  </si>
  <si>
    <t>Đặc san Sở Văn hóa, Thể thao và Du lịch</t>
  </si>
  <si>
    <t>Ban chỉ đạo PTTDĐK xây dựng đời sống văn hóa</t>
  </si>
  <si>
    <t xml:space="preserve">Đề án truyền thống về phát triển phong trào "Toàn dân đoàn kết xây dựng đời sống văn hóa giai đoạn 2020-2030" </t>
  </si>
  <si>
    <t>Kinh phí xây dựng thực hiện hương ước, quy ước</t>
  </si>
  <si>
    <t>Tham gia hoạt động ngoài tỉnh (VP Sở)</t>
  </si>
  <si>
    <t>Chi hoạt động đặc thù khác, tuyên truyền ngày lễ lớn trong năm, …</t>
  </si>
  <si>
    <t>Khảo sát, phát triển hệ thống sản phẩm, dịch vụ; Tổ chức các đoàn khảo sát liên tỉnh, liên quốc gia theo các tuyến sản phẩm chuyên đề và tổng hợp; gắn kết các cụm, khu du lịch, kết nối các tour, tuyến, điểm, khu du lịch.</t>
  </si>
  <si>
    <t>Trưng bày 3 chuyên đề phù hợp sự kiện trong năm</t>
  </si>
  <si>
    <t>Tổ chức các hoạt động văn hóa, vui xuân, trải nghiệm</t>
  </si>
  <si>
    <t>Chi các hoạt động nghiệp vụ, thuê bảo vệ, vệ sinh, điện, nước; Thông tin liên lạc, chăm sóc cây cảnh, tổ chức hội thảo, hội nghị về chuyên môn nghiệp vụ...</t>
  </si>
  <si>
    <t xml:space="preserve">Hoạt động Bảo tàng, chỉnh lý phòng trưng bày, </t>
  </si>
  <si>
    <t>Công tác bảo tồn văn hóa phi vật thể và Sưu tầm, bảo quản hiện vật</t>
  </si>
  <si>
    <t>Hoạt động thư viện: Công tác bổ sung Sách, Báo tạp chí Thư viện tỉnh, thư viện xã; Đóng gia cố bảo quản, sách, báo, tạp chí; Hội Báo xuân; Ngày sách Việt Nam; giao lưu giới thiệu tác giả, tác phẩm;...</t>
  </si>
  <si>
    <t>Kinh phí phục vụ xe ô tô Thư viện lưu động</t>
  </si>
  <si>
    <t>Hoạt động nghiệp vụ về Di tích (Ban quản lý Di tích)</t>
  </si>
  <si>
    <t>Kinh phí chăm sóc cây cảnh, cảnh quan tại Bảo tàng, Thư viện (Khu di tích lịch sử Ngục Kon Tum)</t>
  </si>
  <si>
    <t>Kinh phí chi trả chế độ đối với người làm việc trong lĩnh vực nghệ thuật theo QĐ 14/2015/QĐ-TTg</t>
  </si>
  <si>
    <t>Hoạt động chuyên môn của Trung tâm văn hóa</t>
  </si>
  <si>
    <t>Tham gia hoạt động ngoài tỉnh</t>
  </si>
  <si>
    <t>Duy trì, quản lý, vận hành hệ thống thông tin trên trang thông tin điện tử XTDL</t>
  </si>
  <si>
    <t>Tổ chức đoàn khảo sát nghiên cứu thị trường du lịch, liên kết tour, tuyến điểm du lịch và tham gia các hoạt động xúc tiến trong và ngoài tỉnh</t>
  </si>
  <si>
    <t xml:space="preserve">Tổ chức đoàn khảo sát nghiên cứu thị trường du lịch, liên kết tour, tuyến điểm du lịch với các tỉnh Nam, Lào, Campuchia và Đông Bắc Thái Lan; Xây dựng clip quảng bá Du lịch Kon Tum </t>
  </si>
  <si>
    <t>Tham gia các chương trình Hưởng ứng năm du lịch quốc gia năm 2024</t>
  </si>
  <si>
    <t>Tổ chức tháng hoạt động thể dục, thể thao cho mọi người và Ngày chạy Olympic vì sức khỏe toàn dân tỉnh Kon Tum Năm 2024</t>
  </si>
  <si>
    <t>Kế hoạch số 386/KH-UBND ngày 13/2/2020 của Ủy ban nhân dân tỉnh Kon Tum về việc tổ chức tháng hoạt động thể dục, thể thao cho mọi người và Ngày chạy Olympic vì sức khỏe toàn dân giai đoạn 2020 - 2030 trên địa bàn tỉnh Kon Tum</t>
  </si>
  <si>
    <t>Chi sự nghiệp văn hóa, thể thao và du lịch khác (triển khai theo chủ trương của cấp có thẩm quyền)</t>
  </si>
  <si>
    <t>Tổ chức Hội thi cồng chiêng - xoang cấp tỉnh lần thứ 2 năm 2024</t>
  </si>
  <si>
    <t>Tổ chức Tuần Văn hóa - Du lịch tỉnh Kon Tum: 02 năm/lần</t>
  </si>
  <si>
    <t>Tổ chức Festival Sâm Ngọc Linh - Kon Tum</t>
  </si>
  <si>
    <t>Tổ chức Lễ kỷ niệm 110 năm thành lập tỉnh Kon Tum 09/2/1913-09/02/2024</t>
  </si>
  <si>
    <t>Chi đào tạo VĐV tuyến năng khiếu, tuyến đội tuyển (Đề án phát triển thể thao thành tích cao tỉnh Kon Tum giai đoạn 2020-2025)</t>
  </si>
  <si>
    <t>Thực hiện theo Công văn của Tổng cục Thể dục thể thao về việc tổ chức các giải Vô địch quốc gia, quốc tế và các hoạt động thể dục thể thao quần chúng năm 2024</t>
  </si>
  <si>
    <t>Đăng cai tổ chức giải vô địch Điền kinh trẻ quốc gia năm 2024</t>
  </si>
  <si>
    <t>Tổ chức và tham gia hội thi Thể thao các Dân tộc thiểu số toàn quốc (lần thứ XIII năm 2024)</t>
  </si>
  <si>
    <t>Kinh phí kiểm tra, giám sát theo Chương trình, nhiệm vụ, chủ trương được cấp thẩm quyền giao</t>
  </si>
  <si>
    <t>Chỉnh lý tài liệu người có công</t>
  </si>
  <si>
    <t>Mai táng phí</t>
  </si>
  <si>
    <t>Nghị quyết 24/2019/ND-HĐND;  Dự thảo Nghị quyết sửa đổi điều 2 của Nghị quyết 24/2019/ND-HĐND (dự kiến áp dụng chi từ ngày 1/1/2024)</t>
  </si>
  <si>
    <t>Thông tư 62/2023/TT-BTC ngày 5/10/2023. Dự kiến năm 2024 đưa 10 đối tượng đi cai nghiện ma túy tại trung tâm cai nghiện tỉnh Gia Lai, tăng dự toán so với năm 2023 là 155trđ</t>
  </si>
  <si>
    <t>Thông tư 02/2017/TT-BLĐTBXH ngày 20/2/2017 của Bộ LĐTBXH; Thông tư số 01/2023/TT-BLĐTBXH ngày 25 tháng 01 năm 2023 của Bộ trưởng Bộ Lao động - Thương binh và Xã hội; Thông tư liên tịch 79/2012/TTLT-BTC-BLĐTBXH ngày 21/5/2012; Thông tư 19/2020/TT-BLĐTBXH ngày 30/12/2020</t>
  </si>
  <si>
    <t>Thực hiện đề án trợ giúp người tàn tật</t>
  </si>
  <si>
    <t>Bổ sung nhiệm vụ theo QĐ 1396/UBND, ngày 31/12/2014</t>
  </si>
  <si>
    <t xml:space="preserve"> Sửa chữa thường xuyên TSCĐ</t>
  </si>
  <si>
    <t>Chi đối tượng về cộng đồng, mai táng, tiếp nhận dự án viện trợ</t>
  </si>
  <si>
    <t>Hỗ trợ kinh phí thực hiện công việc quản trang, tạp vụ, phục vụ tại Nhà khách tiếp đón thân nhân liệt sĩ</t>
  </si>
  <si>
    <t>Theo quy định tại Khoản 6 Điều 1 Nghị quyết 22/2023/NQ-HĐND</t>
  </si>
  <si>
    <t>Hỗ trợ thuê tư vấn xây dựng định mức kinh tế kỹ thuật, ban hành đơn giá, giá DVSNC lĩnh vực dạy nghề (Triển khai thực hiện sau khi có chủ trương của cấp có thẩm quyền)</t>
  </si>
  <si>
    <t>Công tác hệ thống hóa văn bản qui phạm pháp luật kỳ 2019-2023</t>
  </si>
  <si>
    <t>Chi công tác quản lý nhà nước về thi hành án</t>
  </si>
  <si>
    <t xml:space="preserve">Triển khai Tiểu Đề án “Giải quyết các vấn đề về quốc tịch, hộ tịch, hộ khẩu và các giấy tờ tùy thân khác cho người di cư tự do từ Campuchia về nước giai đoạn 2023-2025": </t>
  </si>
  <si>
    <t>Đề án " Tăng cường năng lực tiếp cận pháp luật của người dân" trên địa bàn tỉnh</t>
  </si>
  <si>
    <t>Kinh phí đặc thù phục vụ công tác phòng chống tham nhũng (Triển khai thực hiện sau khi có quy định chính thức của cấp có thẩm quyền)</t>
  </si>
  <si>
    <t>Chăm sóc, bảo vệ, phát triển hệ thống cây xanh trong khuôn viên trụ sở Tỉnh ủy</t>
  </si>
  <si>
    <t>Tăng giá phát hành báo theo Công văn số 1616-CV/VPTU, ngày 08-9-2023; Tăng số lượng báo phát hành thường kỳ theo công văn số 1412-CV/VPTU, ngày 23-7-2023 và nhuận bút tính lại lương cơ bản 1.210 triệu đồng.</t>
  </si>
  <si>
    <t>Kinh phí thực hiện Đề án đổi mới, phát triển báo Kon Tum giai đoạn 2023-2025</t>
  </si>
  <si>
    <t xml:space="preserve">Kinh phí tổ chức tiếp xúc cử tri của đại biểu hội đồng nhân dân tỉnh và thực hiện chuyên mục "diễn đàn cử tri năm"  </t>
  </si>
  <si>
    <t>Chuyển từ VP HĐND tỉnh sang</t>
  </si>
  <si>
    <t>Tạm giữ bằng DT 2023</t>
  </si>
  <si>
    <t>Dự kiến 5400 đối tượng, định mức 700.000 đ/người/năm</t>
  </si>
  <si>
    <t xml:space="preserve">Trđó: Tổ chức Chương trình “Toả sáng nghị lực Việt” tuyên dương TN khuyết tật; Tổ chức chương trình hiến máu tình nguyện năm 2024; Tổ chức Chương trình "Tình nguyện mùa đông" và Xuân tình nguyện </t>
  </si>
  <si>
    <t xml:space="preserve">        Đại hội Hội LHTN Việt Nam tỉnh Kon Tum lần thứ  VIII - Nhiệm kỳ 2024-2029; Hoạt động trước và sau đại hội</t>
  </si>
  <si>
    <t>Trđó: Lễ tổng kết chiến dịch Hè gắn với Lễ kỷ niệm 10 Năm "Thanh niên tình nguyện"; kỷ niệm 25 năm Chiến dịch thanh niên tình nguyện hè; Tổ chức liên hoan thanh niên nông thôn sản xuất kinh doanh giỏi; Tham dự các hoạt động tưởng niệm 75 năm ngày anh hùng liệt sĩ Vừ A Dính hi sinh</t>
  </si>
  <si>
    <t>Tổ chức trồng cây theo chủ trương cấp thẩm quyền</t>
  </si>
  <si>
    <t xml:space="preserve">Trđó: Tham gia Liên hoan búp sen hồng; Tham gia hoạt động khu vực Trại huấn luyện Kim Đồng năm 2024; Liên hoan Tiếng kèn Đội ta; Liên hoan Khoa học sáng tạo  </t>
  </si>
  <si>
    <t>Trđó: - Tham gia LH búp sen hồng tại Sóc Trăng; Tham gia hoạt động khu vực Trại huấn luyện kỹ năng năm 2024; Tập huấn kỹ năng công tác Đoàn cho Đoàn viên tỉnh ATaPư (Lào)</t>
  </si>
  <si>
    <t xml:space="preserve">       + Tham gia hoạt động khu vực Trại huấn luyện kỹ năng năm 2024</t>
  </si>
  <si>
    <t>Tr đó: KP triển khai thực hiện chương trình "Hỗ trợ thanh niên khởi nghiệp" giai đoạn 2023-2030 trên địa bàn tỉnh Kon Tum theo Kế hoạch số 3351/KH-UBND của UBND tỉnh</t>
  </si>
  <si>
    <t>516/UBND-KGVX ngày 24/2/2023</t>
  </si>
  <si>
    <t>Hoạt động ban chỉ đạo về chuyển đổi số tỉnh (Trước đây là Ban chỉ đạo về chính quyền điện tử tỉnh Kon Tum)</t>
  </si>
  <si>
    <t>Kinh phí thực hiện Đề án “Tuyên truyền, nâng cao nhận thức và phổ biến kiến thức về an toàn thông tin giai đoạn 2023 - 2025” trên địa bàn tỉnh Kon Tum</t>
  </si>
  <si>
    <t>Thực hiện Kế hoạch hợp tác truyền thông với các cơ quan báo chí năm 2024</t>
  </si>
  <si>
    <t>Kinh phí hỗ trợ doanh nghiệp nhỏ và vừa chuyển đổi số giai đoạn 2023-2025</t>
  </si>
  <si>
    <t>Thực hiện KH bình chọn 10 sự kiện năm</t>
  </si>
  <si>
    <t>KP phục vụ nhiệm vụ cải thiện chỉ số DTI</t>
  </si>
  <si>
    <t>Thực hiện chỉ tiêu 100% Đài PTTH cấp tỉnh có chuyên mục, chuyên đề nâng cao nhận thức về BĐG hàng tháng</t>
  </si>
  <si>
    <t>Chi thực hiện các nhiệm vụ theo chủ trương của UBND tỉnh tại Văn bản số 3888/UBND-KTTH ngày 15/11/2023 (Tổ chức triển khai thực hiện đảm bảo theo đúng quy trình quy định)</t>
  </si>
  <si>
    <t>Kinh phí tuyển dụng và nâng ngạch cán bộ công chức, viên chức năm 2024</t>
  </si>
  <si>
    <t>Kinh phí phối hợp làm việc với các tỉnh thành trao đổi về công tác tín ngưỡng, tôn giáo</t>
  </si>
  <si>
    <t>Đã được UBND tỉnh cho chủ trương  bổ sung danh mục máy móc thiết bị chuyên dùng tại Quyết định số 31/2023/QĐ-UBND, ngày 30/8/2023</t>
  </si>
  <si>
    <t>Kinh phí thực hiện Đề án "Số hóa tài liệu lưu trữ lịch sử giai đoạn 2023 - 2025 và Triển khai Hệ thống Quản lý hồ sơ lưu trữ điện tử tỉnh Kon Tum" (triển khai sau khi đầy đủ hồ sơ theo quy trình quy định hiện hành)</t>
  </si>
  <si>
    <t>Tổng kinh phí thực hiện Dự án trên địa bàn đã được UBND cấp tỉnh phê duyệt là 23,130 tỷ đồng . Khối lượng thực tế thực hiện là:  20.440 triệu đồng; đã bố trí  thanh toán Dự án là 18.431 tỷ đồng (Trong đó Ngân sách Trung ương 9,2 tỷ đồng ; ngân sách địa phương 9,231 tỷ đồng). Kinh phí bố trí năm 2024 để thanh toán khối lượng đã được nghiệm thu đến năm 2023 là 1.409 triệu đồng. Và bố trí 150 triệu đồng kinh phí ổn định hàng năm thực hiện công tác địa giới hành chính; theo đó đã bố trí trong số kiểm tra 750 triệu đồng, bổ sung ngoài số kiểm tra 809 triệu đồng</t>
  </si>
  <si>
    <t>Quỹ khen thưởng</t>
  </si>
  <si>
    <t xml:space="preserve">         BS KP bảo vệ rừng, PCCC rừng diện tích rừng sản xuất 4.000 ha tiếp nhận từ xã</t>
  </si>
  <si>
    <t>Bù theo cơ cấu đảm bảo chi khác 15%</t>
  </si>
  <si>
    <t>Hỗ trợ miễn giảm HP theo Nghị định 81/2023/NĐ-CP</t>
  </si>
  <si>
    <t>Nghị định 81/2023/NĐ-CP ngày 27/8/2023 của Chính phủ</t>
  </si>
  <si>
    <t>Lớp cao cấp LLCT K21 tuyển mới</t>
  </si>
  <si>
    <t>Các lớp bồi dưỡng theo chủ trương cấp thẩm quyền</t>
  </si>
  <si>
    <t>Triển khai Đề án xây dựng Trường Chính trị tỉnh Kon Tum đạt chuẩn giai đoạn 2023-2026</t>
  </si>
  <si>
    <t>Hội thao, hội thi cụm thi đua các Trường Chính trị các tỉnh duyên hải Nam Trung bộ và Tây Nguyên</t>
  </si>
  <si>
    <t>Thực hiện ký sự, phóng sự chân dung  đã có chủ trương của UBND tỉnh tại Văn bản số 3368/UBND-KGVX ngày 08/9/2023.</t>
  </si>
  <si>
    <t>Kinh phí thực hiện Hệ thống thông tin CSDL về công tác dân tộc giai đoạn 2023-2025 (triển khai sau khi đầy đủ hồ sơ theo quy trình quy định hiện hành)</t>
  </si>
  <si>
    <t>Đề án bảo tồn nghề đã được UBND tỉnh phê duyệt tại Quyết định số 465/QĐ-UBND, ngày 27/7/2023</t>
  </si>
  <si>
    <t>KP tổ chức ĐH đại biểu các DTTS tỉnh lần thứ IV năm 2024</t>
  </si>
  <si>
    <t xml:space="preserve">Theo kế hoạch số 179/UBND-NC ngày 07/4/2021 về thực hiện hiệp ước bổ sung Hiệp ước hoạch định biên giới quốc gia năm 1985 và Hiệp ước bổ sung năm 2005 và Nghị định thư phân giới cắm mốc biên giới đất liền giữa Việt Nam và Campuchia. </t>
  </si>
  <si>
    <t>Nghị quyết số 22-NQ/TW ngày 10/4/2013 của Bộ Chính trị về hội nhập quốc tế; Quyết định số 526/QĐ-UBND ngày 13/06/2017 của UBND tỉnh phê duyệt đề án định hướng hội nhập quốc tế của tỉnh Kon Tum đến năm 2020, tầm nhìn đến năm 2030</t>
  </si>
  <si>
    <t>Thực hiện theo kế hoạch đối ngoại năm 2024 được Ủy ban nhân dân tỉnh phê duyệt và kế hoạch đoàn ra, đoàn vào đột xuất được cấp có thẩm quyền thống nhất chủ trương</t>
  </si>
  <si>
    <t>Bổ sung KP Hội đồng tư vấn; Chi công tác tiếp công dân; Chi cho hoạt động giải quyết đơn thư khiếu nại, tố cáo, tồn đọng kéo dài; Hoạt động đoàn kiểm tra liên ngành</t>
  </si>
  <si>
    <t>Chăm sóc, bảo vệ, phát triển hệ thống cây xanh trong khuôn viên trụ sở Đoàn ĐBQH và HĐND tỉnh</t>
  </si>
  <si>
    <t>Tăng chi hoạt động phí của đại biểu HĐND tỉnh do tăng lương cơ sở từ 1,49 trđ lên 1,8 trđ</t>
  </si>
  <si>
    <t>KP XD DT hàng năm, thảo luận TƯ, in ấn…</t>
  </si>
  <si>
    <t xml:space="preserve">Kinh phí tổ chức đoàn công tác liên ngành kiểm tra, đánh giá các khoản viện trợ không hoàn lại, không hỗ trợ phát triển chính thức trên địa bàn tỉnh </t>
  </si>
  <si>
    <t xml:space="preserve"> Xây dựng nội dung trong Văn kiện ĐH đại biểu Đảng bộ tỉnh lần thứ XVII về KTXH</t>
  </si>
  <si>
    <t>Kế hoạch thuê dịch vụ công nghệ thông tin Hệ thống giám sát, theo dõi quản lý tiến độ dự án đầu tư tỉnh Kon Tum, giai đoạn 2023-2026 (triển khai sau khi đầy đủ hồ sơ theo quy trình quy định hiện hành)</t>
  </si>
  <si>
    <t xml:space="preserve"> Hội nghị đối thoại doanh nghiệp </t>
  </si>
  <si>
    <t>Tham gia hội nghị xúc tiến đầu tư Vùng Tây Nguyên tại thành phố Hồ Chí Minh</t>
  </si>
  <si>
    <t>VP Uỷ ban nhân dân tỉnh</t>
  </si>
  <si>
    <t>Năm 2024 mức lương cơ sở tăng từ 1,49 triệu đồng lên 1,8 triệu đồng nên mức chi nhuận bút, thù lao Cổng Thông tin điện tử tỉnh, Trang Thông tin điện tử Văn phòng tăng theo (hiện đang sửa đổi quy chế chi trả nhuận bút); chi phí nâng cấp dung lượng Webhosting của Trang Thông tin điện tử Văn phòng; cài đặt hệ điều hành windows Server có bản quyền để đảm bảo an toàn, bảo mật cho hệ thống Cổng Thông tin điện tử tỉnh.</t>
  </si>
  <si>
    <t xml:space="preserve">Thuê dịch vụ công nghệ thông tin Hệ thống quản lý văn bản và điều hành của Ủy ban nhân dân tỉnh </t>
  </si>
  <si>
    <t>UBND tỉnh đã thống nhất chủ trương tại Văn bản số 3339/UBND-KGVX ngày 03/10/2023.</t>
  </si>
  <si>
    <t xml:space="preserve">Thuê dịch vụ công nghệ thông tin Hệ thống thông tin giải quyết TTHC của tỉnh Kon Tum </t>
  </si>
  <si>
    <t>UBND tỉnh đã thống nhất chủ trương tại Văn bản số 3338/UBND-KGVX ngày 03/10/2023</t>
  </si>
  <si>
    <t>Hiện tại đang tổ chức thẩm định, phê duyệt kế hoạch thuê. Tuy nhiên tỉnh Kon Tum chưa xây dựng kiến trúc ICT nên việc triển khai hệ thống điều hành trung tâm IOC gặp khó khăn. Theo ý kiến của Bộ Thông tin và Truyền thông, không nóng vội trong triển khai Trung tâm IOC, không triển khai Trung tâm IOC khi chưa xác định rõ sự cần thiết, mục tiêu, yêu cầu cụ thể...việc triển khai tiềm ẩn rủi ro lãng phí nếu không xác định và đánh giá rõ được hiệu quả triển khai.</t>
  </si>
  <si>
    <t>Do không thực hiện nhiệm vụ thuê hạ tầng duy trì phân hệ Kho dữ liệu điện tử và bổ sung phân hệ Kho dữ liệu điện tử của tổ chức, cá nhân trên Hệ thống thông tin giải quyết TTHC tỉnh và vận hành hệ thống đảm bảo tích hợp CSDL về dân cư đáp ứng yêu cầu tại Quyết định 468/QĐ-TTg; Công văn số 9318/VPCP-KSTT; Công văn số 1552/BTTTT-THH. Hiện nay, đơn vị cho thuê dịch vụ CNTT đã hoàn thiện Kho quản lý dữ liệu điện tử của tổ chức, cá nhân là chức năng của Hệ thống thông tin giải quyết TTHC tỉnh, không phải là hệ thống độc lập, tách rời nên không phát sinh chi phí này; Giảm tiền đồng phục 12 triệu đồng (hiện nay có 16 công chức, viên chức x 3trđ/người = 48 trđ).</t>
  </si>
  <si>
    <t xml:space="preserve">Hệ thống tự động giải đáp thông tin giải quyết TTHC </t>
  </si>
  <si>
    <t>Đơn vị đã có Văn bản tham mưu UBND tỉnh cho chủ trương để thực hiện nhiệm vụ này</t>
  </si>
  <si>
    <t>Tổ chức liên hoan tiếng hát Cựu chiến binh chào mừng kỷ niệm 35 năm Ngày truyền thống Hội CCB VN</t>
  </si>
  <si>
    <t>Đại hội thi đua "Cựu chiến binh gương mẫu" lần thứ VII, giai đoạn 2019 - 2024. (Hội CCB tỉnh Kon Tum tổ chức Đại hội điểm khu vực Miền trung và Tây Nguyên)</t>
  </si>
  <si>
    <t>Triển khai cuộc vận động "Làm thay đổi nếp nghĩ cách làm của đồng bào DTTS, làm cho đồng bào DTTS vươn lên thoát nghèo bền vững"</t>
  </si>
  <si>
    <t>Tổ chức gặp mặt kỷ niệm 70 năm chiến thắng Điện Biên Phủ (17/5/1954 - 17/5/2024) các cán bộ chiến sỹ từng tham gia chiến đấu tại Điện Biên Phủ hiện đang sinh sống tại tỉnh Kon Tum</t>
  </si>
  <si>
    <t>Kinh phí cuộc thi trực tuyến tìm hiểu nghị quyết đại hội đại biểu hội nông dân tỉnh kon tum lần thứ IX, nghị quyết đại hội đại biểu hội nông dân việt nam lần thứ VII năm 2024</t>
  </si>
  <si>
    <t>Kinh phí tổ chức hội thi tuyên truyền viên giỏi năm 2024</t>
  </si>
  <si>
    <t>Kinh phí tổ chức hội nghị chương trình tôn vinh sản phẩm nông nghiệp, phục vụ nông nghiệp tiêu biểu năm 2024</t>
  </si>
  <si>
    <t>Kinh phí thực hiện cuộc vận động "làm thay đối nếp nghĩ, cách làm của đồng bào dân tộc thiểu số, làm cho đồng bào dân tộc thiểu số vươn lên thoát nghèo bền vững" mô hình chăn nuôi dê bách thảo</t>
  </si>
  <si>
    <t>Kinh phí tổ chức hội nghị đối thoại giữa Chủ tịch UBND tỉnh với đại biểu cán bộ, hội viên hội nông dân năm 2024</t>
  </si>
  <si>
    <t>Kinh phí phát sóng chương trình phát thanh, truyền hình tuyên truyền về công tác Hội và phong trào nông dân tỉnh</t>
  </si>
  <si>
    <t>Kinh phí tổ chức Đại hội Hội Nông dân tỉnh Kon Tum lần thứ IX, nhiệm kỳ 2024-2025 và Đại hội Đại biểu toàn quốc Hội Nông dân Việt Nam lần thứ VIII, nhiệm kỳ 2024-2028</t>
  </si>
  <si>
    <t xml:space="preserve">KP tổ chức đăng cai HN giao ban cụm thi đua Hội Nông dân các tỉnh, thành phố khu vực miền Trung- Tây Nguyên 6 tháng đầu năm 2024 </t>
  </si>
  <si>
    <t>Kinh phí tổ chức hội nghị tổng kết 10 năm thực hiện quyết định 81/2014/qđ-ttg của thủ tướng chính phủ về việc phối hợp giữa các bộ, ngành, ubnd các cấp với các cấp hnd trong việc tiếp công dân, tham gia giải quyết khiếu nại, tố cáo của nông dân</t>
  </si>
  <si>
    <t>Bố trí từ nguồn vốn đầu tư phát triển</t>
  </si>
  <si>
    <t>Đại hội đại biểu toàn quốc Mặt trận Tổ quốc Việt Nam nhiệm kỳ 2024 - 2029</t>
  </si>
  <si>
    <t>Hội nghị tổng kết giao ban cụm các tỉnh Tây Nguyên và Duyên Hải miền Trung năm 2024 tại Kon Tum (10 tỉnh, dự kiến 150 đại biểu , thời gian 1.5 ngày )</t>
  </si>
  <si>
    <t>Chỉnh lý tài liệu lưu trữ</t>
  </si>
  <si>
    <t>Mua trang thiết bị phòng họp</t>
  </si>
  <si>
    <t>Kinh phí triển khai một số nhiệm vụ trọng tâm công tác Hội và phong trào phụ nữ 2024</t>
  </si>
  <si>
    <t>Đề án 01: Hỗ trợ HTX do phụ nữ làm chủ tham gia, quản lý, tạo việc làm cho lao động nữ đến năm 2030</t>
  </si>
  <si>
    <t xml:space="preserve">KP triển khai cuộc vận động "Làm thay đổi nếp nghĩ, cách làm của đồng bào DTTS, làm cho đồng bào DTTS vươn lên thoát nghèo bền vững" </t>
  </si>
  <si>
    <t xml:space="preserve">        Kinh phí thực hiện Đề án 06</t>
  </si>
  <si>
    <t xml:space="preserve">        Kinh phí thực hiện công tác rà soát, xác minh tiêu chuẩn chính trị</t>
  </si>
  <si>
    <t>Quyết định số 773-QĐ/TU ngày 13/01/2023 của Ban Thường vụ Tỉnh ủy</t>
  </si>
  <si>
    <t xml:space="preserve">        Hoạt động của BCĐ về công tác Nhân quyền tỉnh</t>
  </si>
  <si>
    <t xml:space="preserve">        Kinh phí tổ chức Hội nghị sơ kết 05 năm thực hiện Chỉ thị 36-CT/TW ngày 16/8/2019 của Bộ Chính trị</t>
  </si>
  <si>
    <t xml:space="preserve"> Kỷ niệm 80 năm ngày thành lập QĐND Việt Nam. 30 năm ngày hội Quốc phòng toàn dân</t>
  </si>
  <si>
    <t xml:space="preserve"> Đại hội thi đua Quyết thắng cấp cơ sở</t>
  </si>
  <si>
    <t>Tổ chức hội nghị tập huấn hướng dẫn hoạt động mô hình Hội cho cán bộ chủ chốt Hội NCT cấp cơ sở</t>
  </si>
  <si>
    <t>Tổ chức Hội nghị tổng kết 5 năm (2019-2024) phong trào NCT tham gia xây dựng hệ thống chính trị ở cơ sở</t>
  </si>
  <si>
    <t>Tổ chức Hội nghị Biểu dương Người cao tuổi làm kinh tế giỏi giai đọan 2019-2024</t>
  </si>
  <si>
    <t>Kinh phí thực hiện nhiệm vụ " Đưa Nạn nhân chất độc da cam đi xông hơi, giải độc phục hồi sức khỏe" tại Gia Lai</t>
  </si>
  <si>
    <t>Kinh phí tổ chức, tham dự cuộc thi tiếng hát người khuyết tật toàn quốc lần thứ III</t>
  </si>
  <si>
    <t>Đại hội Đại biểu Hội Khuyến học tỉnh Kon Tum lần thứ V, nhiệm kỳ 2024-2029 dự kiến tổ chức vào tháng 10/2024</t>
  </si>
  <si>
    <t>Triển khai các hoạt động Hội thi Sáng tạo kỹ thuậtlần thứ XI(2024-2025) và Cuộc thi Sáng tạo Thanh thiếu niên-Nhi đồng lần thứ XVI(2023-2024) tại văn bản số 3487/KH-BTC ngày 13/10/2023. Tăng thêm các giải thưởng do các thí sinh gia tăng và kinh phí tham dự nhận giải tại Hà Nội.</t>
  </si>
  <si>
    <t>Kinh phí tổ chức Đại hội Đại biểu Hội cựu TNXP tỉnh Kon Tum nhiệm kỳ IV (2024-2029)</t>
  </si>
  <si>
    <t>Kinh phí tổ chức lễ kỷ niệm 30 năm thành lập hội văn học nghệ thuật (14/12/1991-14/12/2024)</t>
  </si>
  <si>
    <t>Chi đoàn vào làm việc với Hội hữu nghị Việt - Lào</t>
  </si>
  <si>
    <t>Chi đoàn ra làm việc với Hội hữu nghị Campuchia và các doanh nghiệp trao đổi Chương trình hợp tác, tìm hiểu cơ hội đầu tư</t>
  </si>
  <si>
    <t>Đi thăm, làm việc trao đổi học tập kinh nghiệm về quản lý, hoạt động của Hội và năm bắt tình hình bà con kiều bào đang sống, làm việc tại 04 tỉnh Nam Lào và 02 tỉnh đông bắc Campuchia</t>
  </si>
  <si>
    <t>Mời Hội Việt kiều tại Lào, Campuchia và các Doanh nghiệp sang thăm và làm việc về công tác Hội, các chương trình nhằm kêu gọi đầu tư của kiều bào về tỉnh</t>
  </si>
  <si>
    <t>Tổ chức Đại hội Hội Luật gia tỉnh
khóa V,  nhiệm kỳ 2024-2029</t>
  </si>
  <si>
    <t xml:space="preserve">KP tham dự Hội trại thanh thiếu niên, tình nguyện viên CTĐ toàn quốc lần VI; KP tham dự các khóa huấn luyện TOT về Sơ cấp cứu dựa vào cộng đồng do TWH tổ chức; KP tham dự HN Chữ thập đỏ và Trăng lưỡi liềm đỏ khu vực Châu Á- TBD lần thứ XI; KP tham dự Lễ phát động "Tháng nhân đạo" năm 2024 tổ chức tại tỉnh bạn; KP tham dự HN BCH theo chương trình toàn khóa XI </t>
  </si>
  <si>
    <t>Hết nhiệm vụ chi: Kinh phí tham dự các khóa huấn luyện TOT về Sơ cấp cứu dựa vào cộng đồng do TWH tổ chức: 27 trđ;  Kinh phí tham dự Hội nghị Chữ thập đỏ và Trăng lưỡi liềm đỏ khu vực Châu Á- Thái Bình Dương lần thứ XI : 16 trđ</t>
  </si>
  <si>
    <t>Kinh phí tham dự Lễ phát động "Tháng nhân đạo" năm 2024 tổ chức tại tỉnh bạn</t>
  </si>
  <si>
    <t>Công tác xúc tiến thương mại, mở rộng thị trường tiêu thụ SP của HTX và thành viên</t>
  </si>
  <si>
    <t>Tổ chức Đại hội Đoàn Luật sư tỉnh  lần thứ IV, nhiệm kỳ 2023-2028</t>
  </si>
  <si>
    <t>Hết nhiệm vụ chi (Năm 2023 cũng không cấp đơn vị)</t>
  </si>
  <si>
    <t>Liên đoàn Lao động tỉnh (Tổ chức thăm và tặng quà cho đoàn viên công đoàn bị bệnh hiểm nghèo, có hoàn cảnh đặc biệt khó khăn nhân dịp "Tết Sum vầy", "Tháng công nhân")</t>
  </si>
  <si>
    <t>Chi mua sắm, sửa chữa lớn xe ô tô, nhà làm việc (Chi tiết tại biểu số 06a/UB)</t>
  </si>
  <si>
    <t>Theo NQ HĐND tỉnh số 59/2023/NQ-HĐND ngày 29 tháng 8 năm 2023 quy định cơ chế huy động nguồn vốn tín dụng và nguồn vốn hợp pháp khác thực hiện các CTMTQG trên địa bàn tỉnh Kon Tum giai đoạn 2021-2025</t>
  </si>
  <si>
    <t>Kinh phí đảm bảo hoạt động các tiểu đội DQTT ở các xã trọng điểm về quốc phòng thành lập mới (phân bổ sau khi có NQ HĐND tỉnh)</t>
  </si>
  <si>
    <t>10% tiết kiệm chi thường xuyên tạo nguồn cải cách tiền lương 2024</t>
  </si>
  <si>
    <t>10% TK thực hiện CCTL năm 2023</t>
  </si>
  <si>
    <t>Trđó: Bổ sung thực hiện CCTL SN GD</t>
  </si>
  <si>
    <t xml:space="preserve">         Bổ sung thực hiện CCTL SN TX khác</t>
  </si>
  <si>
    <t>10% TK tăng thêm DT 2023 so DT 2022  thực hiện CCTL đợt sau</t>
  </si>
  <si>
    <t>Nguồn CCTL còn dư so số BTC giao</t>
  </si>
  <si>
    <t>SN khoa học công nghệ</t>
  </si>
  <si>
    <t>Ghi chú: Vốn đối ứng thực hiện các Chương trình mục tiêu quốc gia của các cơ quan, đơn vị khối tỉnh năm 2024 được lồng ghép, sắp xếp trong dự toán chi thường xuyên giao tại Biểu này (lồng ghép với kinh phí thực hiện các Chương trình, Dự án, đề án, các nhiệm vụ chi có nội dung tương đồng với các nội dung chi của các Chương trình mục tiêu quốc gia). Sau khi Hội đồng nhân dân tỉnh thông qua dự toán NSĐP năm 2024, giao Ủy ban nhân dân tỉnh triển khai cụ thể theo quy định</t>
  </si>
  <si>
    <t xml:space="preserve">Quyết định số 555/QĐ-UBND ngày 27/09/2023 của UBND tiinhr phê duyệt Đề án Tổ chức Festival Sâm Ngọc Linh - Kon Tum, Việt Nam. 	</t>
  </si>
  <si>
    <t>Bổ sung để đảm bảo mặt bằng chi theo lương 1,49 trđ do DT 2024 hụt thu so với DT 2023</t>
  </si>
  <si>
    <t>Dự toán theo lương 1,49 trđ</t>
  </si>
  <si>
    <t>50% nguồn giảm chi 2,5% hỗ trợ trực tiếp từ NSNN đối với ĐVSNCL nhóm 3 để thực hiện CCTL</t>
  </si>
  <si>
    <t>Xây dựng mô hình áp dụng kinh tế tuần hoàn trong phát triển các chuỗi giá trị nông sản chủ lực</t>
  </si>
  <si>
    <t>Nhân rộng mô hình trồng Sâm Ngọc Linh ứng dụng công nghệ sinh học và công nghệ tưới tiên tiến</t>
  </si>
  <si>
    <t>Đề án tăng cường ứng dụng CNTT và chuyển đổi số trong GD&amp;ĐT giai đoạn 2022-2025, định hướng đến năm 2030</t>
  </si>
  <si>
    <t>Quy định tại Quyết định số 09/2020/QĐ-UBND; Quyết định số 10/2021/QĐ-UBND và Quyết định số 42/2021/QĐ-UBND ngày 03 tháng 12 năm 2021; CV số 2938/SYT-KHTC ngày 30/8/2023 của Sở Y tế về đăng ký nhu cầu sửa chữa xe oto và trụ sở làm việc năm 2024</t>
  </si>
  <si>
    <t xml:space="preserve">Thực hiện chiến  lược bảo vệ Tổ quốc trên không gian mạng; Thực hiện chiến lược phát triển ngành cơ yếu; Biên soạn lịch sử Đảng bộ Quân sự giai đoạn 1945-2020; Biên soạn ''Biên niên lịch sử Trung đoàn BB990''; Biên soạn sách "Một số trận đánh điển hình của lực lượng vũ trang tỉnh Kon Tum" </t>
  </si>
  <si>
    <t>Tổng kết 10 năm Nghị quyết Trung ương 8, khóa XI về chiến lược bảo vệ tổ quốc trong tình hình mới</t>
  </si>
  <si>
    <t>Kinh phí tham dự Chương trình "Sức mạnh nhân đạo" 2024 gắn với kỷ niệm 78 năm ngày thành lập Hội và phát động phong trào "Tết nhân ái" xuân Ất Tỵ năm 2025</t>
  </si>
  <si>
    <t>Báo cáo 330/BC-SLĐTBXH ngày 31/10/2023 của Sở LĐTBXH</t>
  </si>
  <si>
    <t>KP chuyển đổi số (Triển khai sau khi có chủ trương phê duyệt của cấp có thẩm quyền)</t>
  </si>
  <si>
    <t>KP quy hoạch (Triển khai sau khi có chủ trương phê duyệt của cấp có thẩm quyền)</t>
  </si>
  <si>
    <t>CS này TT HĐND đề nghi thực hiện theo quy định TW</t>
  </si>
  <si>
    <t>Trđó: 2% bổ sung nguồn dự phòng từ nguồn tăng thu so với Trung ương giao</t>
  </si>
  <si>
    <t>Công ty TNHH MTV lâm nghiệp Kon Rẫy</t>
  </si>
  <si>
    <t>Sửa chữa nền, mặt đường, công trình thoát nước, hệ thống an toàn giao thông đoạn Km0 - Km3 đường ĐH.53, đường từ cầu Đăk Ang đến xã Đăk Rơ Nga, đường giao thông từ đường Hồ Chí Minh đi xã Đăk Ang (Triển khi thực hiện sau khi đảm bảo đầy đủ hồ sơ theo quy trình quy định)</t>
  </si>
  <si>
    <t>Tăng thu DT 2024 so DT 2023 tạo nguồn cân đối tiền lương</t>
  </si>
  <si>
    <t>Tăng thu dự toán 2024 so dự toán 2023 tạo nguồn cân đối tiền lương</t>
  </si>
  <si>
    <t>A1.7</t>
  </si>
  <si>
    <r>
      <t xml:space="preserve">Xây dựng, thảo luận, làm việc DT hàng năm với TƯ, in ấn;  Điều tra, khảo sát, đánh giá, tổng hợp, xây dựng phương án PBNS hàng năm, xây dựng Kế hoạch TC 3 năm; </t>
    </r>
    <r>
      <rPr>
        <sz val="10"/>
        <rFont val="Arial Narrow"/>
        <family val="2"/>
      </rPr>
      <t>XD các Nghị quyết QPPL trình HĐND tỉnh, thực hiện một số nhiệm vụ đột xuất theo chủ trương cấp thẩm quyền</t>
    </r>
  </si>
  <si>
    <t>Trđó: Kinh phí hỗ trợ địa phương sản xuất lúa</t>
  </si>
  <si>
    <t xml:space="preserve">         - Dự toán giao trong cân đối (theo diện tích đất trồng lúa của Sở NNPTNT cung cấp)</t>
  </si>
  <si>
    <t xml:space="preserve">          - Dự toán năm 2024 tính lại theo diện tích đất trồng lúa của Sở TNMT cung cấp</t>
  </si>
  <si>
    <t>Kế hoạch số 2226/KH-UBND ngày 13/07/2022 của UBND tỉnh về việc Xây dựng thôn nông thôn mới điểm cấp tỉnh tại thôn Làng Mới, xã Mường Hoong, huyện Đăk Glei, tỉnh Kon Tum; Thông báo số 331-TB/VPTU ngày 25/4/2023 của Văn phòng Tỉnh ủy về ý kiến của đồng chí Bí thư Tỉnh ủy và Văn bản số 2686/UBND-NTNN ngày 31/8/2023 của UBND tỉnh về việc tiếp tục thực hiện xây dựng thôn làng mới (xã Mường Hoong, huyện Đăk Glei) đạt chuẩn NTM</t>
  </si>
  <si>
    <t>Nhu cầu kinh phí</t>
  </si>
  <si>
    <t>Cập nhật theo KQ thảo luận vừa rồi</t>
  </si>
  <si>
    <t>Đại hội dân tộc thiểu số</t>
  </si>
  <si>
    <t>Đại hội Mặt trận tổ quốc Việt Nam các cấp</t>
  </si>
  <si>
    <t xml:space="preserve">           - Dự toán còn lại (NS tỉnh sẽ bổ sung khi quyết toán chính thức hoặc nộp trả KP thừa nếu có)</t>
  </si>
  <si>
    <t>Kế hoạch phát triển nhà ở tỉnh Kon Tum năm 2024</t>
  </si>
  <si>
    <t>Mua sắm trang thiết bị phục vụ chuyên môn, tài sản chuyên dùng phục vụ hoạt động văn hóa, thể thao và du lịch; Mua sắm máy móc thiết bị chuyên dùng phục vụ công tác chuyên môn (Nghiệp vụ Thư viện và Quản lý Di tích) (triển khai thực hiện mua sắm theo tiêu chuẩn, định mức quy định hiện hành)</t>
  </si>
  <si>
    <t>Thực hiện nhiệm vụ điều dưỡng người có công tại Trung tâm BT&amp;CTXH</t>
  </si>
  <si>
    <t>KP thực hiện nhiệm vụ TX của ngành (đón tiếp thân nhân LS, phục vụ các ngày lễ lớn trong năm (Tết Nguyên Đán, Ngày TBLS, ngày giải phóng Miền Nam, ngày Quốc Khánh…), SC nhỏ CSVC...)</t>
  </si>
  <si>
    <t>Năm 2024 TW bổ sung mục tiêu</t>
  </si>
  <si>
    <t>Hội thảo Nâng cao năng lực cạnh tranh của tỉnh Kon Tum (Triển khai thực hiện khi có chủ trương cấp thẩm quyền)</t>
  </si>
  <si>
    <t xml:space="preserve">Chương trình MT Người cao tuổi </t>
  </si>
  <si>
    <t xml:space="preserve">Kinh phí tổ chức đón tiếp đoàn Nhật Bản từ ngày 07/01/2024 đến ngày 14/01/2024 </t>
  </si>
  <si>
    <t>KP tham gia các sự kiện thu hút đầu tư, tổ chức các ngày lễ lớn trong năm; đối ứng các Chương trình, DA, ĐA; Quy hoạch; KP đoàn ra, đoàn của các Sở, ngành và nhiệm vụ theo chủ trương cấp thẩm quyền</t>
  </si>
  <si>
    <t>Tăng trưởng để đảm bảo hoạt động cho các Đoàn kiểm tra liên ngành trong lĩnh vực TNMT</t>
  </si>
  <si>
    <t>Căn cứ quy định tại Thông tư số 48/2017TT-BTC và Thông tư số 54/2014/TTLT-BTNMT-BTC, đơn vị đang xin chủ trương UBND tỉnh tại Tờ trình số 382/TTr-STNMT ngày 26/10/2023</t>
  </si>
  <si>
    <t>Thực hiện theo Kế hoạch số 2217/KH-UBND ngày 26 tháng 8 năm 2019 của Ủy ban nhân dân tỉnh Kon Tum về Kế hoạch thực hiện Đề án triển khai, áp dụng và quản lý hệ thống truy xuất nguồn gốc trên địa bàn tỉnh Kon Tum</t>
  </si>
  <si>
    <t>Quyết định số 1047/QĐ-UBND ngày 30/9/2019 của UBND tỉnh Đề án Tổ chức Tuần Văn hóa - Du lịch tỉnh Kon Tum</t>
  </si>
  <si>
    <t xml:space="preserve">Công văn số 47/LĐĐKVN ngày 10 tháng 8 năm 2023 của Liên đoàn điền kinh Việt Nam về việc phúc đáp công văn của Sở Văn hóa, Thể thao và Du lịch tỉnh Kon Tum, trong đó thống nhất chủ trương về việc tổ chức giải vô địch Điền kinh trẻ quốc gia năm 2024 tại tỉnh Kon Tum. </t>
  </si>
  <si>
    <t>Theo chủ trương của UBND tỉnh tại Kế hoạch 262/KH-UBND ngày 31/01/2023 Hệ thống hóa văn bản quy phạm pháp luậtkỳ 2019 -2023 trên địa bàn tỉnh Kon Tum</t>
  </si>
  <si>
    <t xml:space="preserve">Căn cứ Công văn số 2655/UBND-NC ngày 02/8/2021 của UBND tỉnh về việc giao đơn vị làm đầu mối tham mưu Ủy ban nhân dân tỉnh thực hiện quản lý công tác thi hành án hành chính </t>
  </si>
  <si>
    <t>Theo Kế hoạch 3533/KH-UBND-ngày 20/10/2022 của UBND tỉnh về việc Triển khai thực hiện Đề án "Tăng cường năng lực tiếp cận pháp luật của người dân" trên địa bàn tỉnh</t>
  </si>
  <si>
    <t>Qua trao đổi, đơn vị cho biết năm 2023 TƯ chưa quy định mức chi. Hiện nay Trung ương đang dự thảo quy định nội dung, mức chi gửi lấy ý kiến các địa phương (Mật)</t>
  </si>
  <si>
    <t>Theo quy định tại điểm c Khoản 1 Nghị quyết 22/2023/NQ-HĐND ngày 11/7/2023 của UBND tỉnh</t>
  </si>
  <si>
    <t>Chương trình công tác đoàn và phong trào thanh thiếu nhi năm 2024; Danh mục các hoạt động lớn dự kiến tổ chức trong năm 2024</t>
  </si>
  <si>
    <t>Tăng lương cơ sở theo NĐ 24/2023/NĐ-CP</t>
  </si>
  <si>
    <t>Tăng thêm nội dung kiểm tra CĐS và làm videoclip Hội nghị tổng kết (tăng 45 triệu đồng)</t>
  </si>
  <si>
    <t>Theo Kế hoạch số 3076/KH-UBND ngày 30/8/2021</t>
  </si>
  <si>
    <t>Theo Kế hoạch hợp tác truyền thông với các cơ quan báo chí, truyền thông năm 2024</t>
  </si>
  <si>
    <t>Kế hoạch số 3716/KH-UBND ngày 15/10/2021 của UBND tỉnh Kon Tum về Kế hoạch hỗ trợ DN nhỏ và vừa trên địa bàn tỉnh Kon Tum chuyển đổi số</t>
  </si>
  <si>
    <t xml:space="preserve">Tại văn bản số 1441/UBND-KGVX ngày 16 tháng 5 năm 2022 của UBND tỉnh; trong đó UBND tỉnh giao Sở TTTT chủ trì, phối hợp với các cơ quan, đơn vị có liên quan tham mưu cho UBND tỉnh xem xét thành lập Hội đồng bình bầu 10 sự kiện nổi bật hàng năm của tỉnh đảm bảo theo qui định. </t>
  </si>
  <si>
    <t>Đề xuất tăng thêm 1000 cho các ngành giáo dục, y tế và các địa phương, đơn vị phục vụ giải quyết TTHC (7700)</t>
  </si>
  <si>
    <t>Quyết định số 2193/QĐ-TTg ngày 24/12/2021 của Thủ tướng Chính Phủ về việc kiện toàn Ban Chỉ đạo cải cách hành chính của Chính phủ; Quyết định số 1667/QĐ-UBND ngày 01/6/2022 của Trưởng ban Ban Chỉ đạo cải cách hành chính tỉnh về việc ban hành Quy chế làm việc của Ban Chỉ đạo cải cách hành chính tỉnh</t>
  </si>
  <si>
    <t>Theo QĐ số 1047/QĐ-UBND ngày 10/11/2021 của UBND tỉnh và Bien bản bàn giao rừng của UBND xã quản lý cho đơn vị ngày10/01/2022</t>
  </si>
  <si>
    <t>Theo chủ trương của UBND tỉnh tại Văn bản 2870/UBND-KTTH ngày 21/8/2023</t>
  </si>
  <si>
    <t>Theo chủ trương của UBND tỉnh tại Văn bản 3615/UBND-KGVX ngày 23/10/2023</t>
  </si>
  <si>
    <t>Quyết định số 275 /QĐ-UBND ngày 01 tháng 6 năm 2023 của UBND tỉnh</t>
  </si>
  <si>
    <t>Văn bản số 361/UBND-NC ngày 09/02/2022 của Ủy ban nhân dân tỉnh</t>
  </si>
  <si>
    <t>Thực hiện Chương trình Công tác toàn khóa của Ban Chấp hành Đảng bộ tỉnh Khóa XVI</t>
  </si>
  <si>
    <t xml:space="preserve">Chương trình hành động ban hành kèm theo Quyết định số 27 /QĐ-UBND ngày 30/01/2023 của UBND tỉnh, trong đó giao Sở Kế hoạch và Đầu tư tham mưu tổ chức Chương trình Cà phê “Doanh nghiệp - Doanh nhân”; Hội nghị đối thoại doanh nghiệp 02 lần/năm </t>
  </si>
  <si>
    <t>Thông báo số 629-TB/HNDTW ngày 12/7/2023 của BCH TW Hội ND VN (Các nhiệm vụ trọng tâm năm 2024)</t>
  </si>
  <si>
    <t>Kết luận số 08-KL/TU ngày 24 tháng 2 năm 2021 của Ban Thường vụ Tỉnh ủy Về chủ trương triển khai Cuộc vận động “Làm thay đổi nếp nghĩ, cách làm của đồng bào dân tộc thiểu số, làm cho đồng bào dân tộc thiểu số vươn lên thoát nghèo bền vững” trên địa bản tỉnh Kon Tum</t>
  </si>
  <si>
    <t>CBCQ đã liên hệ đơn vị không triển khai nhiệm vụ này</t>
  </si>
  <si>
    <t>Tăng mức lương cơ sở từ 1,49tr lên 1,8tr ( trong đó: 3 trưởng ban, 2 phó ban);  Tăng thêm công tác phí, xăng xe đi giám sát thêm các huyện;  Bổ sung thêm nhiệm vụ theo CV số 5059-CV/VPTU ngày 28/8/2023 về việc giám sát việc thực hiện một số dự án trọng điểm trên địa bàn tỉnh</t>
  </si>
  <si>
    <t>Nghị quyết số 17-NQ/TU ngày 30/9/2022 của Tỉnh ủy Kon Tum; trong đó: Tiếp tục thực hiện CVĐ…... Tăng trưởng In bảng Meka nội dung tuyên truyền CVĐ Làm thay đổi nếp nghĩ cách làm của người đồng bào dân tộc thiểu số. Bảng báo giá kèm theo.</t>
  </si>
  <si>
    <t>Tại Chỉ thị số 22-CT/TW ngày 25 tháng 5 năm 2023 Chỉ thị của Ban bí thư về lãnh đạo Đại hội Mặt trận Tổ quốc Việt Nam các cấp và Đại hội đại biểu toàn quốc Mặt trận Tổ quốc Việt Nam lần thứ X, nhiệm kỳ 2024-2029</t>
  </si>
  <si>
    <t>Văn bản số 2066/ĐCT-VP ngày 05/7/2023 của Đoàn chủ tịch Trung ương Hội LHPN Việt Nam</t>
  </si>
  <si>
    <t>Kế hoạch số 1131/KH-UBND ngày 18/4/2023 của UBND tỉnh Triển khai thực hiện Đề án "Hỗ trợ  HTX do phụ nữ làm chủ tham gia, quản lý, tạo việc làm cho lao động nữ đến năm 2023</t>
  </si>
  <si>
    <t xml:space="preserve">Kết luận số 08-KL/TU ngày 24/02/2021 của Ban Thường vụ Tỉnh ủy về Chủ trương triển khai cuộc vận động "Làm thay đổi nếp nghĩ, cách làm của đồng bào DTTS, làm cho đồng bào DTTS vươn lên thoát nghèo bền vững" trên địa bàn tỉnh Kon Tum </t>
  </si>
  <si>
    <t>Kế hoạch số 120-KH/TU ngày 20/12/2019 của Tỉnh Ủy Kon Tum</t>
  </si>
  <si>
    <t>Văn bản số 1447-CV/VPTU ngày 02 tháng 8 năm 2021 của Văn phòng Tỉnh ủy</t>
  </si>
  <si>
    <t>Theo quy định tại tiết 1.3 Khoản 1 Điều 12 Nghị định số 165/2016/NĐ-CP ngày 24/12/2016 của Chính phủ</t>
  </si>
  <si>
    <t>VB số 242 CTr/HNCT, ngày 28/6/2023 của Ban Thường vụ Trung ương Hội NCT Việt Nam về Chương trình công tác, nhiệm vụ trọng tâm năm 2024; Căn cứ Văn bản số 441/ HNCT-PH ngày 18/9/2023 của Hội NCT Việt Nam</t>
  </si>
  <si>
    <t xml:space="preserve">Quyết định số 589/QĐ-UBND của UBND tỉnh ngày 17/10/2023 về bổ sung nhiệm vụ nhà nước giao cho Hội Nạn nhân làm cơ sở hỗ trợ kinh phí hằng năm 2024-2026. </t>
  </si>
  <si>
    <t>Theo Quyết định số 1034/QĐ-UBND ngày  20/10/2020 của UBND tỉnh, Phê duyệt danh mục các nhiệm vụ Nhà nước giao cho các tổ chức hội làm cơ cở hỗ trợ kinh phí hằng năm; trong đó: Tổ chức Đại hội nhiệm kỳ theo nhiệm kỳ.</t>
  </si>
  <si>
    <t xml:space="preserve">Tăng trưởng kinh phí xuất bản đặc san người làm báo Kon Tum 45tr lên 50tr/1 số (Văn bản số 1688/UBND-KGVX ngày 25/5/2021 của UBND tỉnh) </t>
  </si>
  <si>
    <t>Hội trường đã xuống cấp trầm trọng, đề xuất kinh phí sửa chữa, sơn lại hội trường phục vụ cho các Hội. Ghi nhận, bố trí theo khả năng ngân sách</t>
  </si>
  <si>
    <t>Tăng trưởng thêm do tăng dịa bàn đi khảo sát, điều tra</t>
  </si>
  <si>
    <t>Nghị quyết 01/2023/NQ-HCTNXP ngày 17/7/2023 v/v Lãnh đạo tổ chức ĐH Đại biểu Hội cựu TNXP tỉnh Kon Tum nhiệm kỳ IV (2024-2029).</t>
  </si>
  <si>
    <t>Theo Văn bản số 3786/UBND-KGVX ngày 3/11/2023 của UBND tỉnh thống nhất chủ trương thực hiện.</t>
  </si>
  <si>
    <t>Thực hiện theo Kế hoạch đối ngoại năm 2024 được UBND tỉnh phê duyệt. Chênh lệch giảm so với dự toán đơn vị lập do rà soát, tính toán lại mức chi theo mức chi của khách mời quốc tế khác</t>
  </si>
  <si>
    <t>Thực hiện theo Kế hoạch đối ngoại năm 2024 được UBND tỉnh phê duyệt</t>
  </si>
  <si>
    <t>Đã có trong QĐ phê duyệt nhiệm vụ thường xuyên của Hội</t>
  </si>
  <si>
    <t>Văn bản số: 2733/UBND-NC ngày 22/8/2023 về việc tổ chức đại hội HLG, nhiệm kỳ 2024-2029</t>
  </si>
  <si>
    <t>Căn cứ vào Điều 10- Luật Hoạt động Chữ thập đỏ số: 11/2008/QH12 của Quốc Hội nước CHXHCN Việt Nam, ngày 03 tháng 06 năm 2008</t>
  </si>
  <si>
    <t>Căn cứ CV số 484/TƯHCTĐ-VP, ngày 21/7/2023 của Văn phòng TƯHCTĐ Việt Nam về việc "Định hướng trọng tâm công tác Hội và phong trào Chữ thập đỏ năm 2024";Căn cứ CV số 351/TƯHCTĐ-TCKT ngày 5/6/2023 về việc điều chỉnh thời gian tổ chức Hội trại TTN, TNV CTĐ toàn quốc lần thứ VI</t>
  </si>
  <si>
    <t>Căn cứ CV số 484/TƯHCTĐ-VP, ngày 21/7/2023 của Văn phòng TƯHCTĐ Việt Nam về việc "Định hướng trọng tâm công tác Hội và phong trào CTĐ năm 2024"</t>
  </si>
  <si>
    <t>Theo Công văn số 556/LMHTXVN-KHHT, ngày 14/7/2023 của Liên minh HTX Việt Nam</t>
  </si>
  <si>
    <t>Hướng dẫn số: 01/HD-HĐLSTQ, ngày 06/3/2023 V/v hướng dẫn các Đoàn Luật sư tổ chức Đại hội nhiệm kỳ</t>
  </si>
  <si>
    <t>Theo Quy chế phối hợp số 4859/QCPH-UBND-LĐLĐ ngày 31/12/2021 giữa UBND tỉnh và LĐLĐ tỉnh Kon Tum giai đoạn 2021-2025. Ghi nhận bằng DT 2023</t>
  </si>
  <si>
    <t>Theo Công văn số 240/TWH-ĐN, ngày 07 tháng 9 năm 2023 của Trung ương Hội Nạn nhân chất độc da cam/dioxin Việt Nam về việc giới thiệu Đoàn Hội Những người Nhật Bản yêu Việt Nam vào làm việc và thăm các gia đình nạn nhân chất độc da cam tỉnh Kon Tum</t>
  </si>
  <si>
    <t>Dự toán chi ngân sách địa phương giao 2024</t>
  </si>
  <si>
    <t>DỰ TOÁN MUA SẮM, SỬA CHỮA TẬP TRUNG NĂM 2024</t>
  </si>
  <si>
    <t>10=11+12+13+14+15</t>
  </si>
  <si>
    <t>15a</t>
  </si>
  <si>
    <t>15b</t>
  </si>
  <si>
    <t>NGUỒN THU XỬ LÝ NHÀ, ĐẤT</t>
  </si>
  <si>
    <t>Chi tăng thu</t>
  </si>
  <si>
    <t>A.1</t>
  </si>
  <si>
    <t>A.2</t>
  </si>
  <si>
    <t>Thu tiền cho thuê nhà ở thuộc sở hữu nhà nước</t>
  </si>
  <si>
    <t>DỰ TOÁN CHI SỰ NGHIỆP QUẢN LÝ ĐẤT ĐAI TỪ NGUỒN 10% TIỀN SỬ DỤNG ĐẤT, TIỀN THUÊ ĐẤT NĂM 2024</t>
  </si>
  <si>
    <t>Lập hồ sơ ranh giới sử dụng đất; đo đạc lập bản đồ địa chính và cấp Giấy CNQSD đất cho các đối tượng sử dụng đất có nguồn gốc từ nông lâm trường trên địa bàn tỉnh Kon Tum theo Nghị quyết 112/NQ-QH của Quốc Hội theo Quyết định số 808/QĐ-UBND, ngày 30/8/2018; Quyết định số 87/QĐ-UBND ngày 23/2/2022  và Quyết định số 529/QĐ-UBND ngày 15/9/2023 của Ủy ban nhân dân tỉnh Kon Tum.</t>
  </si>
  <si>
    <t>Dự án Xây dựng hệ thống hồ sơ địa chính, đăng ký cấp GCNQSDĐ và XD cơ sở dữ liệu quản lý đất đai (theo Quyết định số 315, 316, 318, 319, 320/QĐ-UBND, ngày 19/4/2017 được điều chỉnh tại Quyết định số 836/QĐ-UBND ngày 28/8/2020 và Quyết định số 1181/QĐ-UBND ngày 14/12/2021 của UBND tỉnh Kon Tum ( Dự án tổng thể giai đoạn 2017-2025)</t>
  </si>
  <si>
    <t>Dự án Xây dựng hệ thống hồ sơ địa chính, đăng ký cấp GCNQSDĐ và XD cơ sở dữ liệu quản lý đất đai theo Quyết định số 350; 351; 352/QĐ-UBND, ngày 12/4/2019 của UBND tỉnh</t>
  </si>
  <si>
    <t>Lập hồ sơ ranh giới sử dụng đất; đo đạc lập bản đồ địa chính và cấp GCN QSD đất, đối với các Công ty TNHH MTV lâm nghiệp trên địa bàn tỉnh Kon Tum theo Nghị định số 118/NĐ-CP của Chính phủ được phê duyệt tại Quyết định số 548/QĐ-UBND, ngày 24/5/2016 của UBND tỉnh và điều chỉnh Khối lượng phát sinh tăng, giảm theo Thiết kế kỹ thuật - dự toán tại Quyết định số 800/QĐ-STNMT ngày 10/9/2021 của Sở Tài nguyên và Môi trường</t>
  </si>
  <si>
    <t>Kinh phí đo đạc, cấp Giấy chứng nhận QSD đất và xây dựng cơ sở dữ liệu đất đai giai đoạn 2008-2017 (Dự án tổng thể giai đoạn 2008-2017)</t>
  </si>
  <si>
    <t>Chi thuê tư vấn xây dựng hệ số điều chỉnh giá đất năm 2024; chi hoạt động của Hội đồng thẩm định giá đất</t>
  </si>
  <si>
    <t>Bố sung kinh phí chi cho công tác đo đạc lập bản đồ địa chính, cấp GCNQSD đất; Công tác lập và điều chỉnh quy hoạch, kế hoạch sử dụng đất cấp huyện, thành phố giai đoạn 2021-2030; Công tác Lập kế hoạch sử dụng đất năm 2024 và năm 2025; Thống kê đất đai năm 2022 năm 2024;</t>
  </si>
  <si>
    <t>Nguồn 10% tiền sử dụng đất, tiền thuê đất địa phương giao tăng thu từ các dự án khai thác quỹ đất năm 2024</t>
  </si>
  <si>
    <t>Lập hồ sơ ranh giới sử dụng đất; đo đạc lập bản đồ địa chính và cấp Giấy CNQSD đất cho các đối tượng sử dụng đất có nguồn gốc từ nông lâm trường trên địa bàn tỉnh Kon Tum theo Nghị quyết 112/NQ-QH của Quốc Hội theo Quyết định số 808/QĐ-UBND, ngày 30/8/2018; được Phê duyệt điều chỉnh tại Quyết định số 87/QĐ-UBND ngày 23 tháng 02 năm 2022 của Ủy ban nhân dân tỉnh Kon Tum và Quyết định số 529/QĐ-UBND ngày 15 tháng 9 năm 2023  của Ủy ban nhân dân tỉnh Kon Tum.</t>
  </si>
  <si>
    <t>Dự án Xây dựng hệ thống hồ sơ địa chính, đăng ký cấp GCNQSDĐ và XD cơ sở dữ liệu quản lý đất đai (theo Quyết định số 315, 316, 318, 319, 320/QĐ-UBND, ngày 19/4/2017 được điều chỉnh tại Quyết định số 836/QĐ-UBND ngày 28/8/2020 và Quyết định số 1181/QĐ-UBND ngày 14/12/2021 của UBND tỉnh Kon Tum (Gọi tắt DA tổng thể giai đoạn 2017-2025);</t>
  </si>
  <si>
    <t>Dự án Xây dựng hệ thống hồ sơ địa chính, đăng ký cấp GCNQSDĐ và XD cơ sở dữ liệu quản lý đất đai theo Quyết định số 350; 351; 352/QĐ-UBND, ngày 12/4/2019 của UBND tỉnh;</t>
  </si>
  <si>
    <r>
      <t>Chi cho công tác quản lý đất đai trên địa bàn các huyện, thành phố</t>
    </r>
    <r>
      <rPr>
        <i/>
        <sz val="10"/>
        <rFont val="Arial Narrow"/>
        <family val="2"/>
      </rPr>
      <t xml:space="preserve"> (Nguồn 10% tiền sử dụng đất, tiền thuê đất địa phương giao tăng thu từ các dự án khai thác quỹ đất năm 2024);</t>
    </r>
  </si>
  <si>
    <t>Kinh phí giảm chi thường xuyên cấp trực tiếp cho các đơn vị sự nghiệp bổ sung nguồn cải cách tiền lương</t>
  </si>
  <si>
    <t>6.4</t>
  </si>
  <si>
    <t>50% nguồn giảm chi hỗ trợ trực tiếp từ NSNN đối với ĐVSNCL để thực hiện CCTL</t>
  </si>
  <si>
    <t>Kinh phí kiểm kê đất đai năm 2024</t>
  </si>
  <si>
    <t>Chi y tế</t>
  </si>
  <si>
    <t>7.1.1</t>
  </si>
  <si>
    <t>7.1.2</t>
  </si>
  <si>
    <t>7.1.3</t>
  </si>
  <si>
    <t>Trường Cao đẳng Kon Tum</t>
  </si>
  <si>
    <t>Sửa chữa Nhà thư viện (triển khai thực hiện theo quy định tại Thông tư số 65/2021/TT-BTC và các quy định hiện hành có liên quan)</t>
  </si>
  <si>
    <t>Công đoàn viên chức tỉnh (Tổ chức thăm và tặng quà cho đoàn viên công đoàn bị bệnh hiểm nghèo, có hoàn cảnh đặc biệt khó khăn nhân dịp "Tết Sum vầy", "Tháng công nhân"; tổ chức hội thao, các ngày lễ lớn và các nhiệm vụ khác của tỉnh)</t>
  </si>
  <si>
    <r>
      <t xml:space="preserve">Hỗ trợ xây dựng thôn nông thôn mới điểm cấp tỉnh tại thôn Làng Mới, xã Mường Hoong, huyện Đăk Glei, tỉnh Kon Tum </t>
    </r>
    <r>
      <rPr>
        <i/>
        <sz val="10"/>
        <rFont val="Arial Narrow"/>
        <family val="2"/>
      </rPr>
      <t>(đề nghị Ủy ban nhân dân huyện Đăk Glei triển khai thực hiện theo đúng quy định hiện hành)</t>
    </r>
  </si>
  <si>
    <t>Sửa chữa thường xuyên tỉnh lộ; bao gồm tiếp nhận bổ sung 19,14km đường Hồ Chí Minh ( đoạn tuyến cũ qua thành phố Kon Tum) và kinh phí bảo quản, bão dưỡng vật tư phòng chống bão lũ.</t>
  </si>
  <si>
    <t>Công văn số 1302/UBDT-DTTS ngày 27/7/2023 của Ủy ban Dân tộc về việc hướng dẫn tổ chức Đại hội đại biểu các dân tộc thiểu số cấp huyện, cấp tỉnh lần thứ IV năm 2024; Văn bản số 611/TTg-QHĐP ngày 04/7/2023 của Thủ tướng Chính phủ về việc phối hợp, tạo điều kiện để tổ chức Đại hội Mặt trận Tổ quốc Việt Nam các cấp nhiệm kỳ 2024 - 2029 và Văn bản số 993-CV/TU ngày 07/7/2023 của Ban Thường vụ Tỉnh ủy về việc thực hiện Chỉ thị số 22-CT/TW ngày 25/5/2023 của Ban Bí thư Trung ương Đảng về lãnh đạo Đại hội Mặt trận Tổ quốc Việt Nam các cấp và Đại hội đại biểu toàn quốc Mặt trận Tổ quốc Việt Nam lần thứ X, nhiệm kỳ 2024 - 2029; bố trí theo tiêu chí dân số</t>
  </si>
  <si>
    <t>Bao gồm: 70% tăng thu từ nguồn thu tiền thuê đất, bán tài sản trên đất tạo nguồn CCTL theo quy định</t>
  </si>
  <si>
    <t xml:space="preserve">              - Phân bổ chi đầu tư cấp tỉnh quản lý</t>
  </si>
  <si>
    <t>Văn phòng UBND tỉnh</t>
  </si>
  <si>
    <t>Kinh phí phục vụ hoạt động hội trường Ngọc Linh (điện, nước,…)</t>
  </si>
  <si>
    <t>Kinh phí hoạt động của hệ thống thông tin báo cáo tỉnh giai đoạn 2022-2025</t>
  </si>
  <si>
    <t xml:space="preserve">Kinh phí thăm hỏi hộ gia đình người có uy tín gặp khó khăn do hậu quả thiên tai; bố, mẹ, vợ, chồng, con, bản thân người có uy tín qua đời theo Điều 5 Quyết định số 12/2018/QĐ-TTg </t>
  </si>
  <si>
    <t xml:space="preserve">Thực hiện chính sách người có uy tín qua đời theo Điều 5 Quyết định số 12/2018/QĐ-TTg </t>
  </si>
  <si>
    <t>Sở Lao động, Thương binh và Xã hội tỉnh</t>
  </si>
  <si>
    <t>BHXH tỉnh</t>
  </si>
  <si>
    <t>Chính sách hỗ trợ chi phí học tập và miễn giảm học phí theo quy định tại Nghị định số 81/2022/NĐ-CP ngày 27/08/2021 của Chính phủ (Theo Quyết định phê duyệt của UBND tỉnh)</t>
  </si>
  <si>
    <t>Chính sách hỗ trợ học bổng đối với học sinh, sinh viên nội trú, có hộ khẩu vùng khó khăn theo Quyết định số 53/2015/QĐ-TTg ngày 20 tháng 10 năm 2015 của Thủ tướng Chính phủ</t>
  </si>
  <si>
    <t>Kinh phí hỗ trợ ưu tiên tuyển sinh và hỗ trợ học tập đối với trẻ mẫu giáo, học sinh, sinh viên dân tộc thiểu số rất ít người theo Nghị định số 57/2017/NĐ-CP ngày 05/5/2017</t>
  </si>
  <si>
    <t>Hỗ trợ BHXH tự nguyện</t>
  </si>
  <si>
    <t>Kinh phí thực hiện chính sách phát triển giáo dục mầm non theo Nghị định số 105/2020/NĐ-CP ngày 08 tháng 9 năm 2020 của Chính phủ</t>
  </si>
  <si>
    <t>Kinh phí hỗ trợ học bổng, chi phí học tập cho học sinh khuyết tật theo Thông tư liên tịch số 42/2013/TTLT-BGDĐT-BLĐTBXH-BTC ngày 31 tháng 12 năm 2013</t>
  </si>
  <si>
    <t>Kinh phí hỗ trợ học sinh và Trường phổ thông xã, thôn đặc biệt khó khăn theo Nghị định số 116/2016/NĐ-CP ngày 18 tháng 07 năm 2016 của Chính phủ</t>
  </si>
  <si>
    <t>Bổ sung mục tiêu, nhiệm vụ cụ thể nguồn chi thường xuyên ngân sách cấp tỉnh (Chi tiết tại Biểu số 05/TT)</t>
  </si>
  <si>
    <t>Kinh phí thực hiện các chính sách an sinh xã hội</t>
  </si>
  <si>
    <r>
      <rPr>
        <b/>
        <sz val="12"/>
        <rFont val="Arial Narrow"/>
        <family val="2"/>
      </rPr>
      <t xml:space="preserve">Ghi chú: </t>
    </r>
    <r>
      <rPr>
        <sz val="12"/>
        <rFont val="Arial Narrow"/>
        <family val="2"/>
        <charset val="163"/>
      </rPr>
      <t>Kinh phí thực hiện các chính sách an sinh xã hội xác định trên cơ sở bù trừ chênh lệch tăng/giảm của tất cả các chế độ, chính sách do thay đổi mức, đối tượng so với dự toán năm 2023, gồm: (1) Miễn giảm học phí và hỗ trợ chi phí học tập; (2) Hỗ trợ giáo dục mầm non; (3) Hỗ trợ chi phí học tập cho học sinh khuyết tật; (4) Hỗ trợ học sinh và trường phổ thông ở xã ĐBKK; (5) Hỗ trợ chi phí học tập đối với sinh viên là người DTTS; (6) Hỗ trợ chính sách nội trú đối với HS, sinh viên cao đăng, trung cấp; (7) Hỗ trợ học tập đối với trẻ mẫu giáo, học sinh, sinh viên DTTS rất ít người; (8) Học bổng cho học sinh DTNT; (9) Kinh phí mua thẻ BHYT cho các đối tượng; (10) Chính sách trợ giúp xã hội đối với đối tượng BTXH; (11) Hỗ trợ tiền điện hộ nghèo, hộ CSXH; (12) Hỗ trợ BHXH tự nguyện. Sẽ xác định chính thức căn cứ báo cáo kết quả thực hiện năm 2024 của từng địa phương.</t>
    </r>
  </si>
  <si>
    <t>Ghi chú: (1) Dự toán chi giáo dục - đào tạo và dạy nghề là mức chi tối thiểu, HĐND huyện, thành phố căn cứ vào chỉ tiêu hướng dẫn, tình hình thực tế địa phương quyết định cho phù hợp; Chi thường xuyên đã bao gồm 10% tiết kiệm để thực hiện cải cách tiền lương năm 2024. Giao Sở Tài chính thông báo kinh phí tiết kiệm 10% chi thường xuyên cho các huyện, thành phố để triển khai thực hiện theo quy định.</t>
  </si>
  <si>
    <t>Nghị định số 33/2023/NĐ-CP của Chính phủ</t>
  </si>
  <si>
    <t>Giảm dự toán Văn phòng Đoàn ĐBQH - HĐND tỉnh, chuyển bổ sung mục tiêu cho các huyện, thành phố</t>
  </si>
  <si>
    <t xml:space="preserve"> Ghi chú: (1) Thông báo sổ sung có mục tiêu cho các huyện, thành phố theo tiến độ nguồn thu thực tế phát sinh nộp vào ngân sách tỉnh.</t>
  </si>
  <si>
    <t>Hỗ trợ kinh phí thực hiện đề án bảo đảm cơ sở vật chất cho chương trình giáo dục mầm non và giáo dục phổ thông trên địa bàn tỉnh Kon Tum giai đoạn 2021-2025; Đề án nâng cao chất lượng giáo dục đối với học sinh dân tộc thiểu số tính đến năm 2025, định hướng đến năm 2030</t>
  </si>
  <si>
    <t>KP trang bị phương tiện phòng cháy, chữa cháy và cứu nạn, cứu hộ và mua sắm tài sản trang thiết bị dùng chung tại HT Ngọc Linh (triển khai thực hiện theo tiêu chuẩn, định mức quy định hiện hành)</t>
  </si>
  <si>
    <t>Mua sắm doanh cụ sinh hoạt năm 2024 cho Cơ quan bộ chỉ huy và các đơn vị trực thuộc 4 cơ quan của BCH Quân sự tỉnh (triển khai thực hiện theo tiêu chuẩn, định mức quy định hiện hành)</t>
  </si>
  <si>
    <t>MS các loại trang bị, phương tiện hoạt động (triển khai thực hiện theo tiêu chuẩn, định mức quy định hiện hành)</t>
  </si>
  <si>
    <t xml:space="preserve">         KP sửa chữa, bảo dưỡng công trình: Cổng, hàng rào, nhà bảo vệ trụ sở BQL VQG Chư Mom Ray còn thiếu nguồn (triển khai thực hiện theo quy định tại Thông tư số 65/2021/TT-BTC và các quy định hiện hành có liên quan)</t>
  </si>
  <si>
    <t>Kinh phí sửa chữa sân đường nội bộ (triển khai thực hiện theo quy định tại Thông tư số 65/2021/TT-BTC và các quy định hiện hành có liên quan)</t>
  </si>
  <si>
    <t xml:space="preserve"> Sửa chữa, cải tạo công trình phổ thông, công trình huấn luyện chiến đấu, thể dục thể thao (triển khai thực hiện theo quy định tại Thông tư số 65/2021/TT-BTC và các quy định hiện hành có liên quan)</t>
  </si>
  <si>
    <t>Kinh phí sửa chữa bể tắm chung cho chiến sĩ ở các đồn biên phòng (triển khai thực hiện theo quy định tại Thông tư số 65/2021/TT-BTC và các quy định hiện hành có liên quan)</t>
  </si>
  <si>
    <t>Sửa chữa hội trường tại Trụ sở các Hội (triển khai thực hiện theo quy định tại Thông tư số 65/2021/TT-BTC và các quy định hiện hành có liên quan)</t>
  </si>
  <si>
    <t xml:space="preserve">    Biểu số 02/TT</t>
  </si>
  <si>
    <t>Kinh phí tổ chức Đại hội năm 2019 tổng số 28 triệu đồng; Kinh phí năm 2024 tạm tính tăng trưởng 23,5% so với đại hội năm 2019</t>
  </si>
  <si>
    <t>Kinh phí tổ chức Đại hội năm 2019 tổng số 357 triệu đồng; Kinh phí năm 2024 tạm tính tăng trưởng 23,5% so với đại hội năm 2019</t>
  </si>
  <si>
    <t>Kinh phí tổ chức Đại hội năm 2019 tổng số 12 triệu đồng; Kinh phí năm 2024 tạm tính tăng trưởng 23,5% so với đại hội năm 2019</t>
  </si>
  <si>
    <t>Kinh phí tổ chức Đại hội năm 2019 tổng số 21 triệu đồng; Kinh phí năm 2024 tạm tính tăng trưởng 23,5% so với đại hội năm 2019</t>
  </si>
  <si>
    <t>Đảm bảo an ninh trật tự tổ chức ĐH đại biểu các DTTS tỉnh lần thứ IV năm 2024</t>
  </si>
  <si>
    <r>
      <t>Chi phí vận hành, bảo trì, bảo dưỡng thường xuyên cho pano màn hình led</t>
    </r>
    <r>
      <rPr>
        <sz val="10"/>
        <rFont val="Arial Narrow"/>
        <family val="2"/>
      </rPr>
      <t>, bảng quảng cáo du lịch ngoài trời</t>
    </r>
  </si>
  <si>
    <t>Tổ chức sản xuất ấn phẩm du lịch  (tập gấp, catalogue, profile dự án du lịch, clip …..)</t>
  </si>
  <si>
    <t>Kinh phí mua sắm TTB ký túc xá, nhà khách; Mua sắm TTB phòng máy thi trắc nghiệm (triển khai thực hiện theo tiêu chuẩn, định mức quy định hiện hành)</t>
  </si>
  <si>
    <t>Mua sắm TTB phòng máy thi trắc nghiệm</t>
  </si>
  <si>
    <r>
      <t xml:space="preserve">KP hoạt động BCĐ tổ giúp việc điều hành các dự án quan trọng; Ban chỉ đạo các chương trình MTQG, BCĐ 160; </t>
    </r>
    <r>
      <rPr>
        <sz val="10"/>
        <rFont val="Arial Narrow"/>
        <family val="2"/>
      </rPr>
      <t>Ban chỉ đạo phát triển kinh tế tập thể tỉnh</t>
    </r>
  </si>
  <si>
    <r>
      <t xml:space="preserve">KP triển khai kiểm tra, giám sát, vận hành hệ thống TT QLNS TABMIS, thống kê  tài chính; Kinh phí mua sắm, bảo dưỡng trang thiết bị, duy trì, nâng cấp hạ tầng CNTT Sở Tài chính, TABMIS; Đảm bảo an toàn an ninh thông tin; </t>
    </r>
    <r>
      <rPr>
        <sz val="10"/>
        <rFont val="Arial Narrow"/>
        <family val="2"/>
      </rPr>
      <t>Đào tạo, cập nhật, nâng cao kiến thức cho công chức, cán bộ quản lý, sử dụng Hệ thống TABMIS; Mua phần mềm phục vụ công tác chuyên môn, nhiệm vụ CNTT khác, …</t>
    </r>
  </si>
  <si>
    <t>Sửa chữa biển báo khu vực biên giới, đóng cọc dấu vành đai (triển khai thực hiện theo quy định tại Thông tư số 65/2021/TT-BTC và các quy định hiện hành có liên quan)</t>
  </si>
  <si>
    <t>Tổ chức tuyên truyền mô hình học tập suốt đời trong gia đình, dòng họ, cộng đồng sau năm 2024</t>
  </si>
  <si>
    <t>Văn bản số 898/UBND-KTTH ngày 30/3/2022 của UBND tỉnh về việc xây dựng định mức kinh tế - kỹ thuật; đơn giá dịch vụ công; Triển khai thực hiện sau khi có chủ trương của cấp có thẩm quyền</t>
  </si>
  <si>
    <t>Kế hoạch số 113-KH/TU ngày 08/11/2023 của Ban tổ chức Tỉnh ủy về đào tạo lý luận chính trị và bồi dưỡng cán bộ năm 2024</t>
  </si>
  <si>
    <t>Xây dựng kiến trúc ICT đô thị thông minh (phiên bản 1.0)</t>
  </si>
  <si>
    <t>Văn bản số 2377/UBND-KGVX ngày 24/7/2023 của UBND tỉnh giao Sở Thông tin ban hành kiến trúc ICT</t>
  </si>
  <si>
    <t>Dự toán thu phí hạ tầng BTC giao 12.500 triệu đồng, tăng hơn 500 triệu đồng so với dự toán  giao năm 2023</t>
  </si>
  <si>
    <t>Văn bản số 3931/UBND-KGVX ngày 14/11/2023 của UBND tỉnh về việc tiếp tục triển khai Đề án bảo đảm cơ sở vật chất cho chương trình giáo dục mầm non và giáo dục phổ thông trên địa bàn tỉnh giai đoạn 2021-2025. Hỗ trợ mức chung: 1.000 Triệu đồng/huyện, riêng đối với Tp Kon Tum 1.500 Triệu đồng, huyện Ia H'drai: 500 triệu đồng (quy mô nhỏ)</t>
  </si>
  <si>
    <t>Tờ trình 780-TTr/BCSĐ ngày 24/10/2023 của BCS Đảng UBND tỉnh xin chủ trương Thường trực Tỉnh ủy; Công văn 5406-CV/VPTU ngày 7/11/2023 của VPTU</t>
  </si>
  <si>
    <t>Theo quy định tại tiết 1.11 Khoản 1 Điều 11 Nghị định số 165/2016/NĐ-CP ngày 24/12/2016 của Chính phủ</t>
  </si>
  <si>
    <t>Theo quy định tại tiết 1.3 Khoản 1 Điều 12 Nghị định số 165/2016/NĐ-CP ngày 24/12/2016 của Chính phủ và đề xuất bố trí bằng dự toán  năm 2023 KP sửa chữa kho quân khí Đồn Biên phòng</t>
  </si>
  <si>
    <t>Triển khai chiến dịch mùa hè xanh, hành quân; Tổ chức Ngày hội công nhân hoàn thành chương trình rèn luyện đội viên; Ngày hội 3 nước Việt nam-Lào-Campuchia; Tổ chức trồng cây theo chủ trương cấp thẩm quyền; Tổ chức các hoạt động, chương trình theo Kế hoạch của Trung ương Đoàn, Tỉnh ủy,...</t>
  </si>
  <si>
    <t>Đặt báo, XB bản tin NT, …</t>
  </si>
  <si>
    <t>Kế hoạch số 2006/KH-BQP ngày 15/6/2023 của Bộ Quốc phòng phối hợp triển khai Đề án tổ chức các hoạt động kỷ niệm 80 năm Ngày thành lập Quân đội NDVN và 35 năm ngày hội QP toàn dân</t>
  </si>
  <si>
    <t>Chỉ thị số 14-CT/ĐU ngày 1/5/2023 của Đảng ủy Quân khu 5 về chỉ đạo Đại hội thi đua Quyết Thắng</t>
  </si>
  <si>
    <t>Biên chế, số người làm việc</t>
  </si>
  <si>
    <t xml:space="preserve">Hoạt động sự nghiệp y tế khác </t>
  </si>
  <si>
    <t>Dự toán giao đầu năm và bổ sung trong năm</t>
  </si>
  <si>
    <t>Biểu số 5/TT</t>
  </si>
  <si>
    <t>Biểu số 09a/TT</t>
  </si>
  <si>
    <t>BS kinh phí hoạt động đặc thù; K. thưởng cuộc VĐ nguời VN UT dùng hàng VN; KP tăng cường công tác tôn giáo; Chi SH phí cho các ủy viên UBMTTQ cấp tỉnh</t>
  </si>
  <si>
    <t>Kinh phí tổ chức đoàn hội viên đi thực tế sáng tạo tác phẩm báo chí tại các huyện trong tỉnh Kon Tum</t>
  </si>
  <si>
    <r>
      <t>Chi nguồn giao tăng thu các dự án khai thác quỹ đất, xử lý nhà đất, bán tài sản công,... so dự toán Trung ương giao</t>
    </r>
    <r>
      <rPr>
        <b/>
        <i/>
        <sz val="10"/>
        <rFont val="Arial Narrow"/>
        <family val="2"/>
      </rPr>
      <t xml:space="preserve"> (Bao gồm chi đền bù GPMB của các DA đầu tư mà nhà đầu tư đã tự nguyện ứng trước từ nguồn thu tiền thuê đất, tiền sử dụng đất  phân bổ cho các dự án, nhiệm vụ theo tiến độ nguồn thu thực tế)</t>
    </r>
  </si>
  <si>
    <t>Hỗ trợ phát triển kinh tế tập thể, hợp tác xã</t>
  </si>
  <si>
    <t>Huyện Kon Rẫy không có nhu cầu; thành phố Kon Tum, Đăk Hà, Đăk Tô, Tu Mơ Rông đã được hỗ trợ năm 2023, riêng huyện Kon Plong năm 2022-2023 đã hỗ trợ 5 tỷ đồng lập Quy hoạch chung thị trấn Măng Đen (tổng dự toán phê duyệt 6.899 Triệu đồng)</t>
  </si>
  <si>
    <t>Hỗ trợ thành phố Kon Tum được công nhận đô thị loại II</t>
  </si>
  <si>
    <t>Quyết định số 12/QĐ-TTg ngày 10 tháng 01 năm 2023 của Thủ tướng Chính phủ về việc công nhận thành phố Kon Tum là đô thị loại II trực thuộc tỉnh Kon Tum</t>
  </si>
  <si>
    <t>Kinh phí phục vụ tăng cường công tác quản lý lĩnh vực tôn giáo và các chính sách hỗ trợ các tổ chức tôn giáo, chức sắc, chức việc tôn giáo hoạt động trên địa bàn tỉnh (Chủ trì và phối hợp với các Đoàn của Tỉnh đi giải quyết vướng mắc, các điểm nóng về tôn giáo trên địa bàn toàn tỉnh; Kinh phí phối hợp làm việc với các tỉnh thành trao đổi về công tác tín ngưỡng, tôn giáo…)</t>
  </si>
  <si>
    <t>DỰ TOÁN BỔ SUNG NHIỆM VỤ, CỤ THỂ NGÂN SÁCH TỈNH CHO NGÂN SÁCH HUYỆN, THÀNH PHỐ NĂM 2024</t>
  </si>
  <si>
    <t>Tổng Nhu cầu các huyện, thành phố (STNMT phối hợp với các huyện, TP đề xuất)</t>
  </si>
  <si>
    <t>Ban quản lý Rừng đặc dụng Đăk Uy</t>
  </si>
  <si>
    <t xml:space="preserve">Sửa chữa xe ô tô Ford, Ranger; biển số 82B-0601 </t>
  </si>
  <si>
    <t>Hạt Kiểm lâm Sa Thầy</t>
  </si>
  <si>
    <t>Sửa chữa xe ô tô Ford Ranger; biển số 82B-0818</t>
  </si>
  <si>
    <t>Hạt Kiểm lâm Kon Plông</t>
  </si>
  <si>
    <t>Sửa chữa xe ô tô Isuzu; biển số 82A-002.90</t>
  </si>
  <si>
    <t>Sửa chữa xe ô tô Ford Ranger; biển số 82A-004.40</t>
  </si>
  <si>
    <t xml:space="preserve">Sửa chữa Trụ sở làm việc </t>
  </si>
  <si>
    <t>Chi cục Chăn nuôi và Thú y</t>
  </si>
  <si>
    <t>1.5</t>
  </si>
  <si>
    <t>Sửa chữa Sân bê tông phía trước, phía sau và bên hông nhà làm việc 2 tầng cấp 3</t>
  </si>
  <si>
    <t>Sửa chữa xe ô tô Toyota Landcruiser; biển số 82A-004.37</t>
  </si>
  <si>
    <t>Sở Văn hóa</t>
  </si>
  <si>
    <t>Sửa chữa xe ô tô Bahai CAK, biển số 82A-001.81</t>
  </si>
  <si>
    <t>Sửa chữa xe ô tô Ford Ranger, biển số 82A-001.62</t>
  </si>
  <si>
    <t>Sửa chữa xe ô tô Ford Everest; biển số 82A-000.32</t>
  </si>
  <si>
    <t>Ban Quản lý Khu kinh tế</t>
  </si>
  <si>
    <t>Sửa chữa xe ô tô Toyota Camry; biển số 82B-0656</t>
  </si>
  <si>
    <t>Hội Cựu chiến binh</t>
  </si>
  <si>
    <t>Sửa chữa xe ô tô Mitsubishi; biển số 82B-0566</t>
  </si>
  <si>
    <t>Đảng ủy Khối cơ quan và doanh nghiệp tỉnh</t>
  </si>
  <si>
    <t>Sửa chữa xe ô tô Mitsubishi; biển số 82A-001.40</t>
  </si>
  <si>
    <t>Ủy ban Mặt trận tổ quốc Việt Nam</t>
  </si>
  <si>
    <t>Sửa chữa Phòng họp truyền thống tầng 1, phòng họp tầng 2, phòng họp tầng 3</t>
  </si>
  <si>
    <t>Sửa chữa xe ô tô Mitsubishi PaJero; biển số 82B-0595</t>
  </si>
  <si>
    <t>Trường Chính trị</t>
  </si>
  <si>
    <t>Sửa chữa xe ô tô Mitsubishi PaJero ; biển số 82A-002.72</t>
  </si>
  <si>
    <t>Văn phòng Sở Y tế</t>
  </si>
  <si>
    <t>Sửa chữa xe ô tô Toyota Fotuner; biển số 82B-0888</t>
  </si>
  <si>
    <t xml:space="preserve">Chi cục Dân số - Kế hoạch hoá gia đình </t>
  </si>
  <si>
    <t>Sửa chữa nhà làm việc</t>
  </si>
  <si>
    <t>Sửa chữa trụ sở làm việc: Công an thị trấn Đăk Tô; Công an thị trấn Đăk Rve; Công an thị trấn Đăk Glei; Nhà tạm giữ Công an Huyện Tu Mơ Rông; Nhà tạm giữ Công an Huyện Kon Rẫy; Nhà tạm giữ Công an Huyện Ia H'Drai</t>
  </si>
  <si>
    <t>Biểu số 3a/TT</t>
  </si>
  <si>
    <t xml:space="preserve">      DỰ TOÁN CHI NGUỒN TRUNG ƯƠNG BỔ SUNG CÓ MỤC TIÊU THỰC HIỆN CÁC CHẾ ĐỘ, NHIỆM VỤ VÀ CHÍNH SÁCH THEO QUY ĐỊNH NĂM 2024 - KHỐI HUYỆN</t>
  </si>
  <si>
    <t>Không bao gồm 02 biên chế tăng thêm theo QĐ 72 đã phân bổ từ nguồn TW BSMT</t>
  </si>
  <si>
    <t>VB số 09/UBND-KGVX ngày 02/01/2020; Đề xuất tăng thêm cho các ngành giáo dục, y tế và các địa phương, đơn vị phục vụ giải quyết TTHC (7700)</t>
  </si>
  <si>
    <t>Tăng thu từ các dự án khai thác quỹ đất, xử lý nhà đất, bán tài sản công,... so với dự toán Trung ương giao (Bao gồm Ghi thu tiền thuê đất, tiền sử dụng đất tương ứng số tiền đền bù GPMB của các DA đầu tư mà nhà đầu tư đã tự nguyện ứng trước)</t>
  </si>
  <si>
    <t>Chi từ nguồn thu các dự án khai thác quỹ đất, xử lý nhà đất, bán tài sản công,...  so với dự toán Trung ương giao (Bao gồm chi đền bù GPMB của các DA đầu tư mà nhà đầu tư đã tự nguyện ứng trước từ nguồn thu tiền thuê đất, tiền sử dụng đất  phân bổ cho các dự án, nhiệm vụ theo tiến độ nguồn thu thực tế)</t>
  </si>
  <si>
    <t xml:space="preserve">các dự án khai thác quỹ đất, </t>
  </si>
  <si>
    <t>Nguồn thu tiền sử dụng đất, tiền thuê đất, xử lý nhà đất, bán tài sản công,... giao tăng thu so với dự toán trung ương giao để chi cho công tác đo đạc, đăng ký đất đai, cấp Giấy chứng nhận, xây dựng cơ sở dữ liệu đất đai và đăng ký biến động, chỉnh lý hồ sơ địa chính thường xuyên theo Chỉ thị số 1474/CT-TTg ngày 24/8/2011 của Thủ tướng Chính phủ (1)</t>
  </si>
  <si>
    <t>10c</t>
  </si>
  <si>
    <t>10d</t>
  </si>
  <si>
    <t>Công văn số 2460/UBND-HTKT ngày 29/7/2022 của UBND tỉnh giao Sở Xây dựng tổ chức lập Quy hoạch chung xây dựng Khu du lịch Măng Đen, huyện Kon Plông</t>
  </si>
  <si>
    <t>Theo quy định tại khoản 2 Điều 15 Luật nhà ở năm 2014: “Trên cơ sở chương trình phát triển nhà ở của địa phương đã được phê duyệt theo quy định tại khoản 1 Điều này, Ủy ban nhân dân cấp tỉnh phải tổ chức lập, phê duyệt kế hoạch phát triển nhà ở hằng năm và 05 năm trên địa bàn "</t>
  </si>
  <si>
    <t>Văn bản 2569/UBND-HTKT ngày 17/7/2020 của UBND tỉnh về việc thực hiện Chương trình phát triển vật liệu xây không nung trên địa bàn tỉnh Kon Tum.</t>
  </si>
  <si>
    <t>Kế hoạch số 535/KH-UBND ngày 12/3/2019 của UBND tỉnh về triển khai thực hiện Đề án "Dạy và học ngoại ngữ trong hệ thống giáo dục quốc dân" trên địa bàn tỉnh Kon Tum giai đoạn 2019-2025</t>
  </si>
  <si>
    <t>Quyết định số 709/QĐ-UBND ngày 04/08/2021 của UBND tỉnh Về việc phê duyệt Đề án bảo đảm cơ sở vật chất cho chương trình giáo dục mầm non và giáo dục phổ thông trên địa bàn tỉnh Kon Tum giai đoạn 2021-2025</t>
  </si>
  <si>
    <t>Quyết định số 720/QĐ-UBND ngày 06/8/2021 của UBND tỉnh phê duyệt Đề án nâng cao chất lượng giáo dục đối với học sinh dân tộc thiểu số tính đến năm 2025, định hướng đến năm 2030</t>
  </si>
  <si>
    <t>Gồm: thuê dịch vụ chứng thực chữ ký số trên phần mềm quản lý trường học: 990 triệu; thuê phần mềm trung tâm điều hành giáo dục: 671 triệu đồng; thuê dịch vụ phần mềm học tập trực tuyến: 766 triệu đồng; tổ chức tập huấn công nghệ thông tin và chuyển đổi số: 170 triệu đồng; thuê dịch vụ phần mềm tuyển sinh đầu cấp: 90 triệu đồng; số hóa hồ sơ tốt nghiệp THPT: 50 triệu đồng; Thuê dịch vụ phần mềm thi chọn HS giỏi: 95 triệu đồng.</t>
  </si>
  <si>
    <t>Văn bản số239/UBND-NC ngày 25 tháng 01 năm 2022 và sô 2564/UBND-KTTH ngày 10/8/2023  cùa UBND tỉnh</t>
  </si>
  <si>
    <t>Kế hoạch 1469/KH-UBND ngày 17/5/2023 của UBND tỉnh, trong đó nhu cầu kinh phí thực hiện Đề án "Tăng cường ứng dụng công nghệ thông tin và chuyển đổi số trong giáo dục và đào tạo năm 2024 là 7.792 triệu đồng</t>
  </si>
  <si>
    <t>Xác định theo số BTC bổ sung cân đối NSĐP năm 2024</t>
  </si>
  <si>
    <t>Kế hoạch số 724/KH-UBND ngày 15/3/2023 về phục hồi, phát triển hoạt động du lịch thích ứng an toàn, linh hoạt, kiểm soát hiệu quả dịch COVID-19 địa bàn tỉnh Kon Tum, Nghị quyết số 12/NQ-TU của Tỉnh ủy về phát triển du lịch tỉnh Kon Tum đến năm 2025, định hướng đến năm 2030</t>
  </si>
  <si>
    <t>Văn bản số 556/UBND-KGVX, ngày 09 tháng 02 năm 2021 của Ủy ban nhân dân tỉnh Kon Tum về việc tiếp tục hỗ trợ các điểm thư viện có tiếp nhận dự án BMGF-VN trên địa bàn tỉnh</t>
  </si>
  <si>
    <t>Nhu cầu đơn vị đề xuất là: 2.072 Triệu đồng, đề nghị đơn vị cân đối trong nguồn quỹ phát triển hoạt động sự nghiệp 186 triệu đồng để thực hiện. Đối với nhu cầu kinh phí còn lại, ngân sách hỗ trợ theo khả năng cân đối năm 2024  (Theo chủ trương UBND tỉnh tại Văn bản số 1308/UBND-KGVX ngày 08/5/2023)</t>
  </si>
  <si>
    <t>Theo Nghị quyết số 44/2021/NQ-HĐND về cơ chế thu và sử dụng mức thu dịch vụ tuyển sinh các cấp học trên địa bàn tỉnh Kon Tum, trong đó quy định lộ trình thu: năm học 2023-2024: thu 70%, NSNN cân đối hỗ trợ: 30%; năm học 2024-2025: thu 80%, NSNN cân đối hỗ trợ: 20%;</t>
  </si>
  <si>
    <t xml:space="preserve">Quyết định số 555/QĐ-UBND ngày 27/09/2023 của UBND tỉnh phê duyệt Đề án Tổ chức Festival Sâm Ngọc Linh - Kon Tum, Việt Nam. 	</t>
  </si>
  <si>
    <t>Tại VB số 5468, VPTU báo cáo không có nhu cầu</t>
  </si>
  <si>
    <t>13 người *0,5*1.800.000*12 tháng</t>
  </si>
  <si>
    <t>Chi cục An toàn vệ sinh thực phẩm</t>
  </si>
  <si>
    <t>Sửa chữa xe ô tô FORD, RANGERÔ tô tải (PICKUP ca bin kép); biển số 82A-003.32</t>
  </si>
  <si>
    <t>(Kèm theo Tờ trình số        /TTr-UBND ngày    tháng    năm 2023 của Ủy ban nhân dân tỉnh Kon Tum)</t>
  </si>
  <si>
    <t>Tên đơn vị - Nội dung</t>
  </si>
  <si>
    <t>Văn bản số 3177/UBND-KTTH ngày 28/11/2019 và Văn bản số 2803/UBND-KTTH ngày 11/8/2021 của UBND tỉnh (trong đó có nêu: hỗ trợ theo mức chung để thực hiện đối với các quy hoạch đã có chủ trương và đã được cấp thẩm quyền). Hỗ trợ theo mức chung: 2.000 triệu đồng/huyện đối với các huyện chưa được hỗ trợ kinh phí năm 2023 (riêng huyện Kon Rẫy không có nhu cầu)</t>
  </si>
  <si>
    <t>Kinh phí phục vụ hoạt động Ban tiếp công dân tỉnh</t>
  </si>
  <si>
    <t>Chi cân đối  TX: 1.372 Triệu đồng</t>
  </si>
  <si>
    <t>Tại Quyết định số 549/QĐ-UBND ngày 26/8/2022 UBND tỉnh đã phê duyệt dự toán: 1.603 triệu đồng, trong đó đã bố trí năm 2022: 900 triệu đồng, năm 2023: 703 triệu đồng tuy nhiên không giải ngân được do thủ tục phê duyệt Chương trình phát triển đô thị tỉnh Kon Tum gặp các vướng  mắc  pháp  lý, đơn vị đã có Văn bản số 1152/SXD-HCTH ngày 26/7/2023 đăng ký cắt giảm, điều chỉnh và xin đươc bố trí năm 2024</t>
  </si>
  <si>
    <t>Theo Nghị quyết  số 58/2021/NQ-HĐND; Dành 50% nguồn thu cân đối chi TX bổ sung nguồn cải cách tiền lương để thực hiện chi trả tiền lương tăng thêm do tăng mức tiền lương cơ sở trong lĩnh vực chi tương ứng</t>
  </si>
  <si>
    <t>Triển khai thực hiện theo tiêu chuẩn, định mức quy định hiện hành (gồm: mua máy vi tính dạy học, ti vi, bàn ghế học sinh và các trang thiết bị dạy học khác)</t>
  </si>
  <si>
    <t>Công văn số 3465/UBND-NCXDPL ngày 12/2/2018 của UBND tỉnh về việc đào tạo lưu học sinh Lào và Campuchia đang học tập tại tỉnh Kon Tum</t>
  </si>
  <si>
    <t>Cân đối trong nguồn thu: 8.799 triệu đồng</t>
  </si>
  <si>
    <t>Văn bản số 5846-CV/VPTU ngày 19/6/2020 của Thường trực Tỉnh ủy tại về việc tăng cường công tác quản lý, bảo vệ, khai thác các di tích lịch sử trên địa bàn;  Kế hoạch số 2865/KH-UBND ngày 29/10/2019 của UBND tỉnh</t>
  </si>
  <si>
    <t>Thư viện tỉnh Kon Tum được xây dựng từ năm 2005. Qua thời gian nhiều năm sử dụng cùng với việc ảnh hưởng của việc thi công đường Duy Tân, đến nay nhiều hạng mục đã xuống cấp, hư hỏng, ảnh hưởng đến các hoạt động chuyên môn của Thư viện và công tác phục vụbạn đọc; vấn đề này cũng đã được phản ảnh trên trang điện tử Báo Giáo dục và Thời đại ngày 26/05/2023</t>
  </si>
  <si>
    <t>Quyết định số 681/QĐ-UBND ngày 21/7/2021 của UBND tỉnh; Kế hoạch số 2193/KH-UBND ngày 29/06/2021 tổ chức Hội thi cồng chiêng, xoang các dân tộc thiểu số tỉnh Kon Tum; trong đó Hội thi cồng chiêng, xoang các dân tộc thiểu số tỉnh Kon Tum lần thứ I, được tổ chức vào năm 2022. Những năm tiếp theo, định kỳ 02 năm tổ chức một lần</t>
  </si>
  <si>
    <t>Quyết định số 540/QĐ-UBND ngày 20/9/2023 của UBND tỉnh sửa đổi, bổ sung một số điều tại Quyết định số 1523/QĐ-UBND ngày 31/12/2019 phê duyệt Đề án Phát triển thể thao thành tích cao tỉnh Kon Tum giai đoạn 2020 - 2025 (bổ sung thêm nhiệm vụ đào tạo tuyến năng khiếu gồm các môn: Bóng đá U11, Điền kinh, Võ Cổ truyền)</t>
  </si>
  <si>
    <t>Quyết định số 30/2016/QĐ-UBND, ngày 25/7/2016 của UBND tỉnh; Công văn của Tổng cục Thể dục thể thao về việc ban hành lịch thi đấu thể thao thành tích cao hàng năm</t>
  </si>
  <si>
    <t>Kinh phí an ninh, quốc phòng; Hội nghị BCH, hội nghị do BTVTU  triệu tập  và chủ trì, kể cả hội nghị hưu trí, hội nghị tổng kết năm của khối Đảng; Xây dựng, thẩm định các đề án, báo cáo; Công tác kiểm tra, giám sát của cấp ủy; Hoạt động TTTU; Kinh phí khen thưởng TCĐ, đảng viên và tiền mua vật tư khen thưởng…</t>
  </si>
  <si>
    <t>Tăng chi phí đấu thầu</t>
  </si>
  <si>
    <t>tại Quyết định số 834/QĐ-UBND ngày 27/8/2020 về việc phê duyệt điều chỉnh dự toán chi phí dịch vụ sự nghiệp công sử dụng ngân sách nhà nước tại Khu kinh tế cửa khẩu quốc tế Bờ Y: 6.504 triệu đồng. Dự toán năm 2023, UBND tỉnh giao 5.304 triệu đồng để đơn vị thực hiện nhiệm vụ, phần còn lại đơn vị chủ động cân đối sử dụng thêm từ nguồn thu được để lại của đơn vị sự nghiệp trực thuộc Ban Quản lý Khu kinh tế và từ Quỹ Phát triển sự nghiệp 1.200 triệu đồng để thực hiện nhiệm vụ này, năm 2024 là năm tiếp theo của thời kỳ ổn định ngân sách giai đoạn 2023- 2025, do đó  đề nghị đơn vị tiếp tục cân đối năm 2024 để thực hiện nhiệm vụ; đồng thời ưu tiên rà soát, cân đối thêm từ nguồn thu dịch vụ và Quỹ Phát triển sự nghiệp để thực hiện.</t>
  </si>
  <si>
    <t>Theo chủ trương UBND tỉnh tại Văn bản số 1308/UBND-KGVX ngày 08/5/2023</t>
  </si>
  <si>
    <t>Căn cứ Chương trình 2422/CTr-UBND ngày 07 tháng 7 năm 2020 của UBND tỉnh về việc thực hiện Chỉ thị số 24/CT-TTg ngày 28 tháng 5 năm 2020 của Thủ tướng Chính phủ về đẩy mạnh phát triển nhân lực có kỹ năng nghề, góp phần nâng cao năng suất lao động và tăng năng lực cạnh tranh quốc gia trong tình hình mới trên địa bàn tỉnh năm 2020 và những năm tiếp theo; Căn cứ Quyết định số 531/QĐ-UBND ngày 21/6/2021 của UBND tỉnh về việc thành lập Tổ kết nối doanh nghiệp với các cơ sở giáo dục nghề nghiệp trên địa bàn tỉnh Kon Tum</t>
  </si>
  <si>
    <t>Căn cứ Biên bản thỏa thuận hợp tác phát triển kinh tế -xã hội giữa Thành phố Hồ Chí Minh và các tỉnh vùng Tây Nguyên đến năm 2025, ký kết ngày 29/12/2022</t>
  </si>
  <si>
    <t>Hội Nông dân tỉnh có Tờ trình số 36-TTr/ĐĐ ngày 17/10/2023 về việc Xin chủ trương phát sóng Chuyên mục về nông dân</t>
  </si>
  <si>
    <t xml:space="preserve"> Tại văn bản số 273/TB-MTTW-BTT ngày 04/4/2023Năm 2023, UBMTQVN tỉnh có văn bản Cụm phó, theo quy định năm 2024 cụm trưởng</t>
  </si>
  <si>
    <t>Hiện nay, đơn vị có Tờ trình xin chủ trương 111/TTr-HNBKT ngày 27/10/2023</t>
  </si>
  <si>
    <t>Căn cứ số ước thực hiện năm 2023</t>
  </si>
  <si>
    <t>KP thực hiện chính sách ASXH của địa phương (KP BHYT theo NĐ 75/2023/NĐ-CP của CP) (Triển khai sau khi có Nghị quyết của HĐND tỉnh), KP ASXH khác do Trung ương ban hành địa phương đảm bảo nguồn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</si>
</sst>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6">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00\ _₫_-;\-* #,##0.00\ _₫_-;_-* &quot;-&quot;??\ _₫_-;_-@_-"/>
    <numFmt numFmtId="167" formatCode="_(* #,##0.00_);_(* \(#,##0.00\);_(* \-??_);_(@_)"/>
    <numFmt numFmtId="168" formatCode="_(* #,##0_);_(* \(#,##0\);_(* \-??_);_(@_)"/>
    <numFmt numFmtId="169" formatCode="_-* #,##0\ _₫_-;\-* #,##0\ _₫_-;_-* &quot;-&quot;??\ _₫_-;_-@_-"/>
    <numFmt numFmtId="170" formatCode="_(* #,##0_);_(* \(#,##0\);_(* &quot;-&quot;??_);_(@_)"/>
    <numFmt numFmtId="171" formatCode="_-* #,##0.000\ _₫_-;\-* #,##0.000\ _₫_-;_-* &quot;-&quot;??\ _₫_-;_-@_-"/>
    <numFmt numFmtId="172" formatCode="_-* #,##0.0\ _₫_-;\-* #,##0.0\ _₫_-;_-* &quot;-&quot;??\ _₫_-;_-@_-"/>
    <numFmt numFmtId="173" formatCode="_(* #,##0.0_);_(* \(#,##0.0\);_(* &quot;-&quot;_);_(@_)"/>
    <numFmt numFmtId="174" formatCode="_(* #,##0.000_);_(* \(#,##0.000\);_(* &quot;-&quot;??_);_(@_)"/>
    <numFmt numFmtId="175" formatCode="_(* #,##0.0_);_(* \(#,##0.0\);_(* &quot;-&quot;??_);_(@_)"/>
    <numFmt numFmtId="176" formatCode="_(* #,##0.00_);_(* \(#,##0.00\);_(* &quot;-&quot;_);_(@_)"/>
    <numFmt numFmtId="177" formatCode="_(* #,##0.000_);_(* \(#,##0.000\);_(* &quot;-&quot;_);_(@_)"/>
    <numFmt numFmtId="178" formatCode="_-* #,##0.0_-;\-* #,##0.0_-;_-* &quot;-&quot;??_-;_-@_-"/>
    <numFmt numFmtId="179" formatCode="0.0%"/>
    <numFmt numFmtId="180" formatCode="_(* #,##0.0_);_(* \(#,##0.0\);_(* \-??_);_(@_)"/>
    <numFmt numFmtId="181" formatCode="0.E+00"/>
    <numFmt numFmtId="182" formatCode="#,##0.0"/>
    <numFmt numFmtId="183" formatCode="_(* #,##0.00000_);_(* \(#,##0.00000\);_(* &quot;-&quot;??_);_(@_)"/>
    <numFmt numFmtId="184" formatCode="#,###;[Red]\-#,###"/>
    <numFmt numFmtId="185" formatCode="_-* #,##0_-;\-* #,##0_-;_-* &quot;-&quot;??_-;_-@_-"/>
    <numFmt numFmtId="186" formatCode="[&lt;=9999999][$-1000000]###\-####;[$-1000000]\(#\)\ ###\-####"/>
    <numFmt numFmtId="187" formatCode="_(* #,##0.000_);_(* \(#,##0.000\);_(* \-??_);_(@_)"/>
    <numFmt numFmtId="188" formatCode="_(* #,##0.0000000000_);_(* \(#,##0.0000000000\);_(* \-??_);_(@_)"/>
    <numFmt numFmtId="189" formatCode="_(* #,##0.0000_);_(* \(#,##0.0000\);_(* \-??_);_(@_)"/>
    <numFmt numFmtId="190" formatCode="_(* #,##0.0000_);_(* \(#,##0.0000\);_(* &quot;-&quot;??_);_(@_)"/>
    <numFmt numFmtId="191" formatCode="#,##0.000"/>
    <numFmt numFmtId="192" formatCode="#,##0.0000"/>
    <numFmt numFmtId="193" formatCode="_(* #,##0.000000_);_(* \(#,##0.000000\);_(* &quot;-&quot;??_);_(@_)"/>
    <numFmt numFmtId="194" formatCode="_(* #,##0.0000000_);_(* \(#,##0.0000000\);_(* &quot;-&quot;??_);_(@_)"/>
    <numFmt numFmtId="195" formatCode="0.00000000%"/>
    <numFmt numFmtId="196" formatCode="0.000000000%"/>
    <numFmt numFmtId="197" formatCode="_-* #,##0\ _₫_-;\-* #,##0\ _₫_-;_-* &quot;-&quot;\ _₫_-;_-@_-"/>
    <numFmt numFmtId="198" formatCode="_-* #,##0\ &quot;€&quot;_-;\-* #,##0\ &quot;€&quot;_-;_-* &quot;-&quot;\ &quot;€&quot;_-;_-@_-"/>
    <numFmt numFmtId="199" formatCode="_-* #,##0\ _€_-;\-* #,##0\ _€_-;_-* &quot;-&quot;\ _€_-;_-@_-"/>
    <numFmt numFmtId="200" formatCode="_-* #,##0.00\ _€_-;\-* #,##0.00\ _€_-;_-* &quot;-&quot;??\ _€_-;_-@_-"/>
    <numFmt numFmtId="201" formatCode="\$#,##0\ ;&quot;($&quot;#,##0\)"/>
    <numFmt numFmtId="202" formatCode="_-&quot;$&quot;* #,##0_-;\-&quot;$&quot;* #,##0_-;_-&quot;$&quot;* &quot;-&quot;_-;_-@_-"/>
    <numFmt numFmtId="203" formatCode="_(&quot;£&quot;\ * #,##0_);_(&quot;£&quot;\ * \(#,##0\);_(&quot;£&quot;\ * &quot;-&quot;_);_(@_)"/>
    <numFmt numFmtId="204" formatCode="&quot;€&quot;###,0&quot;.&quot;00_);\(&quot;€&quot;###,0&quot;.&quot;00\)"/>
    <numFmt numFmtId="205" formatCode="&quot;\&quot;#,##0;[Red]&quot;\&quot;&quot;\&quot;\-#,##0"/>
    <numFmt numFmtId="206" formatCode="_-&quot;£&quot;* #,##0_-;\-&quot;£&quot;* #,##0_-;_-&quot;£&quot;* &quot;-&quot;_-;_-@_-"/>
    <numFmt numFmtId="207" formatCode="_-&quot;£&quot;* #,##0.00_-;\-&quot;£&quot;* #,##0.00_-;_-&quot;£&quot;* &quot;-&quot;??_-;_-@_-"/>
    <numFmt numFmtId="208" formatCode="#.##00"/>
    <numFmt numFmtId="209" formatCode="_-* #,##0\ _F_-;\-* #,##0\ _F_-;_-* &quot;-&quot;\ _F_-;_-@_-"/>
    <numFmt numFmtId="210" formatCode="_-* #,##0\ &quot;F&quot;_-;\-* #,##0\ &quot;F&quot;_-;_-* &quot;-&quot;\ &quot;F&quot;_-;_-@_-"/>
    <numFmt numFmtId="211" formatCode="_-* #,##0&quot;$&quot;_-;_-* #,##0&quot;$&quot;\-;_-* &quot;-&quot;&quot;$&quot;_-;_-@_-"/>
    <numFmt numFmtId="212" formatCode="_-* #,##0\ &quot;$&quot;_-;\-* #,##0\ &quot;$&quot;_-;_-* &quot;-&quot;\ &quot;$&quot;_-;_-@_-"/>
    <numFmt numFmtId="213" formatCode="_-&quot;$&quot;* #,##0.00_-;\-&quot;$&quot;* #,##0.00_-;_-&quot;$&quot;* &quot;-&quot;??_-;_-@_-"/>
    <numFmt numFmtId="214" formatCode="_-&quot;ñ&quot;* #,##0_-;\-&quot;ñ&quot;* #,##0_-;_-&quot;ñ&quot;* &quot;-&quot;_-;_-@_-"/>
    <numFmt numFmtId="215" formatCode="0.0000"/>
    <numFmt numFmtId="216" formatCode="_-&quot;€&quot;* #,##0_-;\-&quot;€&quot;* #,##0_-;_-&quot;€&quot;* &quot;-&quot;_-;_-@_-"/>
    <numFmt numFmtId="217" formatCode="_-* ###,0&quot;.&quot;00_-;\-* ###,0&quot;.&quot;00_-;_-* &quot;-&quot;??_-;_-@_-"/>
    <numFmt numFmtId="218" formatCode="_-* #,##0.00\ _F_-;\-* #,##0.00\ _F_-;_-* &quot;-&quot;??\ _F_-;_-@_-"/>
    <numFmt numFmtId="219" formatCode="_ * #,##0.00_ ;_ * \-#,##0.00_ ;_ * &quot;-&quot;??_ ;_ @_ "/>
    <numFmt numFmtId="220" formatCode="_-* #,##0.00\ _V_N_D_-;\-* #,##0.00\ _V_N_D_-;_-* &quot;-&quot;??\ _V_N_D_-;_-@_-"/>
    <numFmt numFmtId="221" formatCode="_-* #,##0.00\ _V_N_Ñ_-;_-* #,##0.00\ _V_N_Ñ\-;_-* &quot;-&quot;??\ _V_N_Ñ_-;_-@_-"/>
    <numFmt numFmtId="222" formatCode="_-* #,##0.00_$_-;_-* #,##0.00_$\-;_-* &quot;-&quot;??_$_-;_-@_-"/>
    <numFmt numFmtId="223" formatCode="_(* ###,0&quot;.&quot;00_);_(* \(###,0&quot;.&quot;00\);_(* &quot;-&quot;??_);_(@_)"/>
    <numFmt numFmtId="224" formatCode="&quot;£&quot;#,##0;[Red]\-&quot;£&quot;#,##0"/>
    <numFmt numFmtId="225" formatCode="_-* #,##0.00\ _ñ_-;\-* #,##0.00\ _ñ_-;_-* &quot;-&quot;??\ _ñ_-;_-@_-"/>
    <numFmt numFmtId="226" formatCode="0.00000"/>
    <numFmt numFmtId="227" formatCode="#,##0.00\ &quot;F&quot;;\-#,##0.00\ &quot;F&quot;"/>
    <numFmt numFmtId="228" formatCode="&quot;$&quot;#,##0;[Red]\-&quot;$&quot;#,##0"/>
    <numFmt numFmtId="229" formatCode="_(&quot;$&quot;\ * #,##0_);_(&quot;$&quot;\ * \(#,##0\);_(&quot;$&quot;\ * &quot;-&quot;_);_(@_)"/>
    <numFmt numFmtId="230" formatCode="&quot;$&quot;#,##0.00;[Red]\-&quot;$&quot;#,##0.00"/>
    <numFmt numFmtId="231" formatCode="_-* #,##0\ &quot;ñ&quot;_-;\-* #,##0\ &quot;ñ&quot;_-;_-* &quot;-&quot;\ &quot;ñ&quot;_-;_-@_-"/>
    <numFmt numFmtId="232" formatCode="0.0000000"/>
    <numFmt numFmtId="233" formatCode="_(&quot;€&quot;* #,##0_);_(&quot;€&quot;* \(#,##0\);_(&quot;€&quot;* &quot;-&quot;_);_(@_)"/>
    <numFmt numFmtId="234" formatCode="_ * #,##0_ ;_ * \-#,##0_ ;_ * &quot;-&quot;_ ;_ @_ "/>
    <numFmt numFmtId="235" formatCode="_-* #,##0\ _V_N_D_-;\-* #,##0\ _V_N_D_-;_-* &quot;-&quot;\ _V_N_D_-;_-@_-"/>
    <numFmt numFmtId="236" formatCode="_-* #,##0\ _V_N_Ñ_-;_-* #,##0\ _V_N_Ñ\-;_-* &quot;-&quot;\ _V_N_Ñ_-;_-@_-"/>
    <numFmt numFmtId="237" formatCode="_-* #,##0_$_-;_-* #,##0_$\-;_-* &quot;-&quot;_$_-;_-@_-"/>
    <numFmt numFmtId="238" formatCode="_-* #,##0\ _$_-;\-* #,##0\ _$_-;_-* &quot;-&quot;\ _$_-;_-@_-"/>
    <numFmt numFmtId="239" formatCode="_-* #,##0\ _m_k_-;\-* #,##0\ _m_k_-;_-* &quot;-&quot;\ _m_k_-;_-@_-"/>
    <numFmt numFmtId="240" formatCode="&quot;£&quot;#,##0;\-&quot;£&quot;#,##0"/>
    <numFmt numFmtId="241" formatCode="_-* #,##0\ _ñ_-;\-* #,##0\ _ñ_-;_-* &quot;-&quot;\ _ñ_-;_-@_-"/>
    <numFmt numFmtId="242" formatCode="0.000000"/>
    <numFmt numFmtId="243" formatCode="#,##0.0_);[Red]\(#,##0.0\)"/>
    <numFmt numFmtId="244" formatCode="_ &quot;\&quot;* #,##0_ ;_ &quot;\&quot;* \-#,##0_ ;_ &quot;\&quot;* &quot;-&quot;_ ;_ @_ "/>
    <numFmt numFmtId="245" formatCode="&quot;\&quot;#,##0.00;[Red]&quot;\&quot;\-#,##0.00"/>
    <numFmt numFmtId="246" formatCode="&quot;\&quot;#,##0;[Red]&quot;\&quot;\-#,##0"/>
    <numFmt numFmtId="247" formatCode="&quot;SFr.&quot;\ #,##0.00;[Red]&quot;SFr.&quot;\ \-#,##0.00"/>
    <numFmt numFmtId="248" formatCode="&quot;SFr.&quot;\ #,##0.00;&quot;SFr.&quot;\ \-#,##0.00"/>
    <numFmt numFmtId="249" formatCode="_ &quot;SFr.&quot;\ * #,##0_ ;_ &quot;SFr.&quot;\ * \-#,##0_ ;_ &quot;SFr.&quot;\ * &quot;-&quot;_ ;_ @_ "/>
    <numFmt numFmtId="250" formatCode="#,##0.0_);\(#,##0.0\)"/>
    <numFmt numFmtId="251" formatCode="0.0%;[Red]\(0.0%\)"/>
    <numFmt numFmtId="252" formatCode="_ * #,##0.00_)&quot;£&quot;_ ;_ * \(#,##0.00\)&quot;£&quot;_ ;_ * &quot;-&quot;??_)&quot;£&quot;_ ;_ @_ "/>
    <numFmt numFmtId="253" formatCode="0.0%;\(0.0%\)"/>
    <numFmt numFmtId="254" formatCode="_-* #,##0.00\ &quot;F&quot;_-;\-* #,##0.00\ &quot;F&quot;_-;_-* &quot;-&quot;??\ &quot;F&quot;_-;_-@_-"/>
    <numFmt numFmtId="255" formatCode="0.000_)"/>
    <numFmt numFmtId="256" formatCode="_(* #,##0_);_(* \(#,##0\);_(* \-_);_(@_)"/>
    <numFmt numFmtId="257" formatCode="#,##0.00;[Red]#,##0.00"/>
    <numFmt numFmtId="258" formatCode="#,##0;\(#,##0\)"/>
    <numFmt numFmtId="259" formatCode="_ &quot;R&quot;\ * #,##0_ ;_ &quot;R&quot;\ * \-#,##0_ ;_ &quot;R&quot;\ * &quot;-&quot;_ ;_ @_ "/>
    <numFmt numFmtId="260" formatCode="\$#,##0\ ;\(\$#,##0\)"/>
    <numFmt numFmtId="261" formatCode="#,##0.000_);\(#,##0.000\)"/>
    <numFmt numFmtId="262" formatCode="\t0.00%"/>
    <numFmt numFmtId="263" formatCode="0.000"/>
    <numFmt numFmtId="264" formatCode="?\,???.??__;[Red]&quot;- &quot;?\,???.??__"/>
    <numFmt numFmtId="265" formatCode="?,???.??__;[Red]\-\ ?,???.??__;"/>
    <numFmt numFmtId="266" formatCode="\U\S\$#,##0.00;\(\U\S\$#,##0.00\)"/>
    <numFmt numFmtId="267" formatCode="_(\§\g\ #,##0_);_(\§\g\ \(#,##0\);_(\§\g\ &quot;-&quot;??_);_(@_)"/>
    <numFmt numFmtId="268" formatCode="_(\§\g\ #,##0_);_(\§\g\ \(#,##0\);_(\§\g\ &quot;-&quot;_);_(@_)"/>
    <numFmt numFmtId="269" formatCode="\t#\ ??/??"/>
    <numFmt numFmtId="270" formatCode="\§\g#,##0_);\(\§\g#,##0\)"/>
    <numFmt numFmtId="271" formatCode="_-&quot;VND&quot;* #,##0_-;\-&quot;VND&quot;* #,##0_-;_-&quot;VND&quot;* &quot;-&quot;_-;_-@_-"/>
    <numFmt numFmtId="272" formatCode="_(&quot;Rp&quot;* #,##0.00_);_(&quot;Rp&quot;* \(#,##0.00\);_(&quot;Rp&quot;* &quot;-&quot;??_);_(@_)"/>
    <numFmt numFmtId="273" formatCode="#,##0.00\ &quot;FB&quot;;[Red]\-#,##0.00\ &quot;FB&quot;"/>
    <numFmt numFmtId="274" formatCode="#,##0\ &quot;$&quot;;\-#,##0\ &quot;$&quot;"/>
    <numFmt numFmtId="275" formatCode="&quot;$&quot;#,##0;\-&quot;$&quot;#,##0"/>
    <numFmt numFmtId="276" formatCode="_-* #,##0\ _F_B_-;\-* #,##0\ _F_B_-;_-* &quot;-&quot;\ _F_B_-;_-@_-"/>
    <numFmt numFmtId="277" formatCode="_-[$€]* #,##0.00_-;\-[$€]* #,##0.00_-;_-[$€]* &quot;-&quot;??_-;_-@_-"/>
    <numFmt numFmtId="278" formatCode="&quot;öS&quot;\ #,##0;[Red]\-&quot;öS&quot;\ #,##0"/>
    <numFmt numFmtId="279" formatCode="&quot;Q&quot;#,##0_);\(&quot;Q&quot;#,##0\)"/>
    <numFmt numFmtId="280" formatCode="#,##0_);\-#,##0_)"/>
    <numFmt numFmtId="281" formatCode="#,##0\ &quot;$&quot;_);\(#,##0\ &quot;$&quot;\)"/>
    <numFmt numFmtId="282" formatCode="#,###"/>
    <numFmt numFmtId="283" formatCode="#,##0\ &quot;£&quot;_);[Red]\(#,##0\ &quot;£&quot;\)"/>
    <numFmt numFmtId="284" formatCode="&quot;£&quot;###,0&quot;.&quot;00_);[Red]\(&quot;£&quot;###,0&quot;.&quot;00\)"/>
    <numFmt numFmtId="285" formatCode="&quot;\&quot;#,##0;[Red]\-&quot;\&quot;#,##0"/>
    <numFmt numFmtId="286" formatCode="&quot;\&quot;#,##0.00;\-&quot;\&quot;#,##0.00"/>
    <numFmt numFmtId="287" formatCode="0#,###,#&quot;.&quot;00"/>
    <numFmt numFmtId="288" formatCode="_ * #,##0_)\ &quot;$&quot;_ ;_ * \(#,##0\)\ &quot;$&quot;_ ;_ * &quot;-&quot;_)\ &quot;$&quot;_ ;_ @_ "/>
    <numFmt numFmtId="289" formatCode="&quot;VND&quot;#,##0_);[Red]\(&quot;VND&quot;#,##0\)"/>
    <numFmt numFmtId="290" formatCode="_ * #,##0_)&quot; $&quot;_ ;_ * \(#,##0&quot;) $&quot;_ ;_ * \-_)&quot; $&quot;_ ;_ @_ "/>
    <numFmt numFmtId="291" formatCode="#,##0.00_);\-#,##0.00_)"/>
    <numFmt numFmtId="292" formatCode="#"/>
    <numFmt numFmtId="293" formatCode="&quot;¡Ì&quot;#,##0;[Red]\-&quot;¡Ì&quot;#,##0"/>
    <numFmt numFmtId="294" formatCode="#,##0.00\ &quot;F&quot;;[Red]\-#,##0.00\ &quot;F&quot;"/>
    <numFmt numFmtId="295" formatCode="#,##0.00&quot; F&quot;;[Red]\-#,##0.00&quot; F&quot;"/>
    <numFmt numFmtId="296" formatCode="_-* #,##0.0\ _F_-;\-* #,##0.0\ _F_-;_-* &quot;-&quot;??\ _F_-;_-@_-"/>
    <numFmt numFmtId="297" formatCode="#,##0.00\ \ "/>
    <numFmt numFmtId="298" formatCode="0.00000000"/>
    <numFmt numFmtId="299" formatCode="_ * #,##0.0_ ;_ * \-#,##0.0_ ;_ * &quot;-&quot;??_ ;_ @_ "/>
    <numFmt numFmtId="300" formatCode="#,##0.00\ \ \ \ "/>
    <numFmt numFmtId="301" formatCode="_(* #.##0.00_);_(* \(#.##0.00\);_(* &quot;-&quot;??_);_(@_)"/>
    <numFmt numFmtId="302" formatCode="###\ ###\ ##0"/>
    <numFmt numFmtId="303" formatCode="&quot;\&quot;#,##0;&quot;\&quot;\-#,##0"/>
    <numFmt numFmtId="304" formatCode="_-* ###,0&quot;.&quot;00\ _F_B_-;\-* ###,0&quot;.&quot;00\ _F_B_-;_-* &quot;-&quot;??\ _F_B_-;_-@_-"/>
    <numFmt numFmtId="305" formatCode="\\#,##0;[Red]&quot;-\&quot;#,##0"/>
    <numFmt numFmtId="306" formatCode="_ * #.##._ ;_ * \-#.##._ ;_ * &quot;-&quot;??_ ;_ @_ⴆ"/>
    <numFmt numFmtId="307" formatCode="#,##0\ &quot;F&quot;;\-#,##0\ &quot;F&quot;"/>
    <numFmt numFmtId="308" formatCode="#,##0\ &quot;F&quot;;[Red]\-#,##0\ &quot;F&quot;"/>
    <numFmt numFmtId="309" formatCode="_-* #,##0\ _F_-;\-* #,##0\ _F_-;_-* &quot;-&quot;??\ _F_-;_-@_-"/>
    <numFmt numFmtId="310" formatCode="#.00\ ##0"/>
    <numFmt numFmtId="311" formatCode="#.\ ##0"/>
    <numFmt numFmtId="312" formatCode="_-* #,##0\ &quot;DM&quot;_-;\-* #,##0\ &quot;DM&quot;_-;_-* &quot;-&quot;\ &quot;DM&quot;_-;_-@_-"/>
    <numFmt numFmtId="313" formatCode="_-* #,##0.00\ &quot;DM&quot;_-;\-* #,##0.00\ &quot;DM&quot;_-;_-* &quot;-&quot;??\ &quot;DM&quot;_-;_-@_-"/>
    <numFmt numFmtId="314" formatCode="#,###;\-#,###;&quot;&quot;;_(@_)"/>
  </numFmts>
  <fonts count="300">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0"/>
      <name val="Arial"/>
      <family val="2"/>
    </font>
    <font>
      <sz val="10"/>
      <name val="Arial Narrow"/>
      <family val="2"/>
    </font>
    <font>
      <b/>
      <sz val="10"/>
      <name val="Arial Narrow"/>
      <family val="2"/>
    </font>
    <font>
      <b/>
      <sz val="10"/>
      <color rgb="FFFF0000"/>
      <name val="Arial Narrow"/>
      <family val="2"/>
    </font>
    <font>
      <b/>
      <sz val="10"/>
      <color rgb="FF0070C0"/>
      <name val="Arial Narrow"/>
      <family val="2"/>
    </font>
    <font>
      <sz val="10"/>
      <color rgb="FFFF0000"/>
      <name val="Arial Narrow"/>
      <family val="2"/>
    </font>
    <font>
      <i/>
      <sz val="10"/>
      <name val="Arial Narrow"/>
      <family val="2"/>
    </font>
    <font>
      <b/>
      <i/>
      <sz val="10"/>
      <name val="Arial Narrow"/>
      <family val="2"/>
    </font>
    <font>
      <sz val="11"/>
      <color theme="1"/>
      <name val="Calibri"/>
      <family val="2"/>
      <charset val="163"/>
      <scheme val="minor"/>
    </font>
    <font>
      <sz val="11"/>
      <color theme="1"/>
      <name val="Calibri"/>
      <family val="2"/>
      <scheme val="minor"/>
    </font>
    <font>
      <sz val="12"/>
      <name val=".VnArial Narrow"/>
      <family val="2"/>
    </font>
    <font>
      <sz val="10"/>
      <color theme="1"/>
      <name val="Arial Narrow"/>
      <family val="2"/>
    </font>
    <font>
      <b/>
      <sz val="10"/>
      <color theme="1"/>
      <name val="Arial Narrow"/>
      <family val="2"/>
    </font>
    <font>
      <sz val="10"/>
      <color rgb="FF00B0F0"/>
      <name val="Arial Narrow"/>
      <family val="2"/>
    </font>
    <font>
      <i/>
      <sz val="10"/>
      <color rgb="FFFF0000"/>
      <name val="Arial Narrow"/>
      <family val="2"/>
    </font>
    <font>
      <sz val="10"/>
      <color theme="0"/>
      <name val="Arial Narrow"/>
      <family val="2"/>
    </font>
    <font>
      <sz val="10"/>
      <color theme="0"/>
      <name val="Arial"/>
      <family val="2"/>
    </font>
    <font>
      <b/>
      <sz val="12"/>
      <name val="Arial Narrow"/>
      <family val="2"/>
    </font>
    <font>
      <i/>
      <sz val="10"/>
      <color theme="1"/>
      <name val="Arial Narrow"/>
      <family val="2"/>
    </font>
    <font>
      <sz val="12"/>
      <name val="Times New Roman"/>
      <family val="1"/>
    </font>
    <font>
      <b/>
      <sz val="14"/>
      <name val="Times New Roman"/>
      <family val="1"/>
    </font>
    <font>
      <b/>
      <sz val="12"/>
      <name val="Times New Roman"/>
      <family val="1"/>
    </font>
    <font>
      <i/>
      <sz val="12"/>
      <name val="Times New Roman"/>
      <family val="1"/>
    </font>
    <font>
      <b/>
      <i/>
      <sz val="12"/>
      <name val="Times New Roman"/>
      <family val="1"/>
    </font>
    <font>
      <sz val="11"/>
      <name val="Times New Roman"/>
      <family val="1"/>
    </font>
    <font>
      <sz val="12"/>
      <name val="Arial Narrow"/>
      <family val="2"/>
    </font>
    <font>
      <sz val="10"/>
      <name val="Arial Narrow"/>
      <family val="2"/>
      <charset val="163"/>
    </font>
    <font>
      <b/>
      <sz val="13"/>
      <name val="Times New Roman"/>
      <family val="1"/>
    </font>
    <font>
      <sz val="13"/>
      <name val="Times New Roman"/>
      <family val="1"/>
    </font>
    <font>
      <i/>
      <sz val="13"/>
      <name val="Times New Roman"/>
      <family val="1"/>
    </font>
    <font>
      <sz val="13"/>
      <name val=".VnTime"/>
      <family val="2"/>
    </font>
    <font>
      <sz val="11"/>
      <color indexed="8"/>
      <name val="Calibri"/>
      <family val="2"/>
    </font>
    <font>
      <sz val="10"/>
      <name val="Arial"/>
      <family val="2"/>
      <charset val="163"/>
    </font>
    <font>
      <b/>
      <sz val="10"/>
      <name val="Arial Narrow"/>
      <family val="2"/>
      <charset val="163"/>
    </font>
    <font>
      <i/>
      <sz val="10"/>
      <name val="Arial Narrow"/>
      <family val="2"/>
      <charset val="163"/>
    </font>
    <font>
      <b/>
      <sz val="12"/>
      <name val="Arial Narrow"/>
      <family val="2"/>
      <charset val="163"/>
    </font>
    <font>
      <b/>
      <i/>
      <sz val="10"/>
      <name val="Arial Narrow"/>
      <family val="2"/>
      <charset val="163"/>
    </font>
    <font>
      <sz val="8"/>
      <name val="Arial Narrow"/>
      <family val="2"/>
    </font>
    <font>
      <sz val="9"/>
      <name val="Arial Narrow"/>
      <family val="2"/>
    </font>
    <font>
      <b/>
      <sz val="12"/>
      <color rgb="FF0070C0"/>
      <name val="Times New Roman"/>
      <family val="1"/>
    </font>
    <font>
      <sz val="12"/>
      <name val="Arial"/>
      <family val="2"/>
      <charset val="163"/>
    </font>
    <font>
      <b/>
      <sz val="10"/>
      <name val="Arial"/>
      <family val="2"/>
      <charset val="163"/>
    </font>
    <font>
      <b/>
      <sz val="12"/>
      <name val="Arial"/>
      <family val="2"/>
      <charset val="163"/>
    </font>
    <font>
      <sz val="14"/>
      <name val="Times New Roman"/>
      <family val="1"/>
    </font>
    <font>
      <i/>
      <sz val="12"/>
      <name val="Arial Narrow"/>
      <family val="2"/>
    </font>
    <font>
      <sz val="10"/>
      <name val="Arial"/>
      <family val="2"/>
      <charset val="163"/>
    </font>
    <font>
      <sz val="11"/>
      <name val="Arial Narrow"/>
      <family val="2"/>
    </font>
    <font>
      <b/>
      <sz val="13"/>
      <name val="Arial Narrow"/>
      <family val="2"/>
    </font>
    <font>
      <b/>
      <sz val="10.5"/>
      <name val="Arial Narrow"/>
      <family val="2"/>
    </font>
    <font>
      <sz val="10.5"/>
      <name val="Arial Narrow"/>
      <family val="2"/>
    </font>
    <font>
      <b/>
      <sz val="14"/>
      <name val="Arial Narrow"/>
      <family val="2"/>
    </font>
    <font>
      <sz val="14"/>
      <name val="Arial Narrow"/>
      <family val="2"/>
      <charset val="163"/>
    </font>
    <font>
      <sz val="15"/>
      <name val="Arial"/>
      <family val="2"/>
      <charset val="163"/>
    </font>
    <font>
      <sz val="15"/>
      <name val="Arial Narrow"/>
      <family val="2"/>
      <charset val="163"/>
    </font>
    <font>
      <b/>
      <sz val="15"/>
      <name val="Arial"/>
      <family val="2"/>
      <charset val="163"/>
    </font>
    <font>
      <sz val="14"/>
      <color theme="1"/>
      <name val="Times New Roman"/>
      <family val="2"/>
    </font>
    <font>
      <b/>
      <sz val="11"/>
      <name val="Arial Narrow"/>
      <family val="2"/>
    </font>
    <font>
      <i/>
      <sz val="11"/>
      <name val="Arial Narrow"/>
      <family val="2"/>
    </font>
    <font>
      <sz val="15"/>
      <name val="Arial Narrow"/>
      <family val="2"/>
    </font>
    <font>
      <b/>
      <sz val="15"/>
      <name val="Arial Narrow"/>
      <family val="2"/>
    </font>
    <font>
      <b/>
      <sz val="15"/>
      <color theme="5" tint="-0.249977111117893"/>
      <name val="Arial Narrow"/>
      <family val="2"/>
    </font>
    <font>
      <sz val="10"/>
      <color rgb="FF0070C0"/>
      <name val="Arial"/>
      <family val="2"/>
    </font>
    <font>
      <sz val="15"/>
      <color rgb="FF0070C0"/>
      <name val="Arial Narrow"/>
      <family val="2"/>
    </font>
    <font>
      <b/>
      <sz val="15"/>
      <color rgb="FF0070C0"/>
      <name val="Arial Narrow"/>
      <family val="2"/>
    </font>
    <font>
      <i/>
      <sz val="15"/>
      <name val="Arial Narrow"/>
      <family val="2"/>
    </font>
    <font>
      <i/>
      <u/>
      <sz val="10"/>
      <name val="Arial Narrow"/>
      <family val="2"/>
      <charset val="163"/>
    </font>
    <font>
      <b/>
      <sz val="14"/>
      <name val="Arial Narrow"/>
      <family val="2"/>
      <charset val="163"/>
    </font>
    <font>
      <sz val="12"/>
      <name val="Arial Narrow"/>
      <family val="2"/>
      <charset val="163"/>
    </font>
    <font>
      <i/>
      <sz val="12"/>
      <name val="Times New Roman"/>
      <family val="1"/>
      <charset val="163"/>
    </font>
    <font>
      <i/>
      <sz val="10"/>
      <name val="Times New Roman"/>
      <family val="1"/>
      <charset val="163"/>
    </font>
    <font>
      <i/>
      <sz val="11"/>
      <name val="Arial Narrow"/>
      <family val="2"/>
      <charset val="163"/>
    </font>
    <font>
      <sz val="10"/>
      <name val="Times New Roman"/>
      <family val="1"/>
      <charset val="163"/>
    </font>
    <font>
      <i/>
      <sz val="10"/>
      <name val="Arial"/>
      <family val="2"/>
      <charset val="163"/>
    </font>
    <font>
      <b/>
      <u val="singleAccounting"/>
      <sz val="10"/>
      <name val="Arial Narrow"/>
      <family val="2"/>
      <charset val="163"/>
    </font>
    <font>
      <b/>
      <sz val="13"/>
      <color rgb="FF0070C0"/>
      <name val="Times New Roman"/>
      <family val="1"/>
    </font>
    <font>
      <sz val="8"/>
      <color theme="1"/>
      <name val="Arial Narrow"/>
      <family val="2"/>
    </font>
    <font>
      <b/>
      <i/>
      <sz val="10"/>
      <color theme="1"/>
      <name val="Arial Narrow"/>
      <family val="2"/>
    </font>
    <font>
      <i/>
      <u/>
      <sz val="10"/>
      <color theme="1"/>
      <name val="Arial Narrow"/>
      <family val="2"/>
    </font>
    <font>
      <u/>
      <sz val="10"/>
      <color theme="1"/>
      <name val="Arial Narrow"/>
      <family val="2"/>
    </font>
    <font>
      <b/>
      <u/>
      <sz val="10"/>
      <color theme="1"/>
      <name val="Arial Narrow"/>
      <family val="2"/>
    </font>
    <font>
      <sz val="10"/>
      <color theme="1"/>
      <name val="Arial"/>
      <family val="2"/>
    </font>
    <font>
      <b/>
      <u val="singleAccounting"/>
      <sz val="10"/>
      <color theme="1"/>
      <name val="Arial Narrow"/>
      <family val="2"/>
    </font>
    <font>
      <sz val="13"/>
      <color theme="0"/>
      <name val="Times New Roman"/>
      <family val="1"/>
    </font>
    <font>
      <sz val="10"/>
      <color theme="1"/>
      <name val="Arial Narrow"/>
      <family val="2"/>
      <charset val="163"/>
    </font>
    <font>
      <sz val="11"/>
      <color theme="1"/>
      <name val="Arial Narrow"/>
      <family val="2"/>
      <charset val="163"/>
    </font>
    <font>
      <sz val="8"/>
      <color theme="1"/>
      <name val="Arial Narrow"/>
      <family val="2"/>
      <charset val="163"/>
    </font>
    <font>
      <b/>
      <sz val="12"/>
      <color theme="1"/>
      <name val="Arial Narrow"/>
      <family val="2"/>
      <charset val="163"/>
    </font>
    <font>
      <b/>
      <sz val="11"/>
      <color theme="1"/>
      <name val="Arial Narrow"/>
      <family val="2"/>
      <charset val="163"/>
    </font>
    <font>
      <b/>
      <sz val="10"/>
      <color theme="1"/>
      <name val="Arial Narrow"/>
      <family val="2"/>
      <charset val="163"/>
    </font>
    <font>
      <sz val="10"/>
      <color theme="1"/>
      <name val="Arial"/>
      <family val="2"/>
      <charset val="163"/>
    </font>
    <font>
      <i/>
      <sz val="10"/>
      <color theme="1"/>
      <name val="Arial Narrow"/>
      <family val="2"/>
      <charset val="163"/>
    </font>
    <font>
      <i/>
      <sz val="11"/>
      <color theme="1"/>
      <name val="Arial Narrow"/>
      <family val="2"/>
      <charset val="163"/>
    </font>
    <font>
      <b/>
      <i/>
      <sz val="15"/>
      <name val="Arial Narrow"/>
      <family val="2"/>
    </font>
    <font>
      <sz val="10"/>
      <name val="Arial"/>
      <family val="2"/>
    </font>
    <font>
      <b/>
      <i/>
      <sz val="13"/>
      <name val="Times New Roman"/>
      <family val="1"/>
    </font>
    <font>
      <sz val="13"/>
      <color theme="1"/>
      <name val="Times New Roman"/>
      <family val="1"/>
    </font>
    <font>
      <b/>
      <sz val="13"/>
      <color theme="1"/>
      <name val="Times New Roman"/>
      <family val="1"/>
    </font>
    <font>
      <sz val="12"/>
      <color theme="1"/>
      <name val="Times New Roman"/>
      <family val="2"/>
      <charset val="163"/>
    </font>
    <font>
      <sz val="12"/>
      <color theme="1"/>
      <name val="Times New Roman"/>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VnArial"/>
      <family val="2"/>
    </font>
    <font>
      <b/>
      <sz val="11"/>
      <color indexed="63"/>
      <name val="Calibri"/>
      <family val="2"/>
    </font>
    <font>
      <b/>
      <sz val="18"/>
      <color indexed="56"/>
      <name val="Cambria"/>
      <family val="2"/>
    </font>
    <font>
      <sz val="11"/>
      <color indexed="10"/>
      <name val="Calibri"/>
      <family val="2"/>
    </font>
    <font>
      <sz val="12"/>
      <name val="뼻뮝"/>
      <family val="1"/>
      <charset val="129"/>
    </font>
    <font>
      <sz val="8"/>
      <name val="Arial"/>
      <family val="2"/>
    </font>
    <font>
      <sz val="13"/>
      <name val="Times New Roman"/>
      <family val="1"/>
      <charset val="163"/>
    </font>
    <font>
      <sz val="12"/>
      <name val="VNI-Times"/>
    </font>
    <font>
      <sz val="12"/>
      <name val=".VnTime"/>
      <family val="2"/>
    </font>
    <font>
      <sz val="12"/>
      <name val="돋움체"/>
      <family val="3"/>
      <charset val="129"/>
    </font>
    <font>
      <sz val="12"/>
      <name val="VNtimes new roman"/>
      <family val="2"/>
    </font>
    <font>
      <sz val="10"/>
      <name val=".VnTime"/>
      <family val="2"/>
    </font>
    <font>
      <sz val="10"/>
      <name val="Helv"/>
      <family val="2"/>
    </font>
    <font>
      <sz val="10"/>
      <name val="Times New Roman"/>
      <family val="1"/>
    </font>
    <font>
      <sz val="12"/>
      <name val=".VnArial"/>
      <family val="2"/>
    </font>
    <font>
      <sz val="10"/>
      <name val="??"/>
      <family val="3"/>
      <charset val="129"/>
    </font>
    <font>
      <sz val="16"/>
      <name val="AngsanaUPC"/>
      <family val="3"/>
    </font>
    <font>
      <sz val="12"/>
      <name val="????"/>
      <family val="1"/>
      <charset val="136"/>
    </font>
    <font>
      <sz val="12"/>
      <name val="Courier"/>
      <family val="3"/>
    </font>
    <font>
      <sz val="10"/>
      <name val="AngsanaUPC"/>
      <family val="1"/>
    </font>
    <font>
      <sz val="12"/>
      <name val="|??¢¥¢¬¨Ï"/>
      <family val="1"/>
      <charset val="129"/>
    </font>
    <font>
      <sz val="10"/>
      <name val="VNI-Times"/>
    </font>
    <font>
      <sz val="10"/>
      <name val="MS Sans Serif"/>
      <family val="2"/>
    </font>
    <font>
      <sz val="10"/>
      <color indexed="8"/>
      <name val="Arial"/>
      <family val="2"/>
    </font>
    <font>
      <sz val="10"/>
      <name val="VNtimes new roman"/>
      <family val="2"/>
    </font>
    <font>
      <sz val="10"/>
      <name val="VNI-Helve"/>
    </font>
    <font>
      <sz val="12"/>
      <name val="???"/>
    </font>
    <font>
      <sz val="11"/>
      <name val="‚l‚r ‚oƒSƒVƒbƒN"/>
      <family val="3"/>
      <charset val="128"/>
    </font>
    <font>
      <sz val="11"/>
      <name val="–¾’©"/>
      <family val="1"/>
      <charset val="128"/>
    </font>
    <font>
      <sz val="14"/>
      <name val="Terminal"/>
      <family val="3"/>
      <charset val="128"/>
    </font>
    <font>
      <sz val="14"/>
      <name val="VnTime"/>
    </font>
    <font>
      <b/>
      <sz val="10"/>
      <name val=".VnTimeH"/>
      <family val="2"/>
    </font>
    <font>
      <sz val="11"/>
      <name val=".VnTime"/>
      <family val="2"/>
    </font>
    <font>
      <b/>
      <u/>
      <sz val="14"/>
      <color indexed="8"/>
      <name val=".VnBook-AntiquaH"/>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2"/>
      <color indexed="8"/>
      <name val="Arial Narrow"/>
      <family val="2"/>
    </font>
    <font>
      <b/>
      <sz val="12"/>
      <color indexed="8"/>
      <name val=".VnBook-Antiqua"/>
      <family val="2"/>
    </font>
    <font>
      <i/>
      <sz val="12"/>
      <color indexed="8"/>
      <name val=".VnBook-Antiqua"/>
      <family val="2"/>
    </font>
    <font>
      <sz val="12"/>
      <color indexed="9"/>
      <name val="Arial Narrow"/>
      <family val="2"/>
    </font>
    <font>
      <sz val="14"/>
      <name val=".VnTime"/>
      <family val="2"/>
    </font>
    <font>
      <sz val="12"/>
      <name val="¹UAAA¼"/>
      <family val="3"/>
      <charset val="129"/>
    </font>
    <font>
      <sz val="8"/>
      <name val="Times New Roman"/>
      <family val="1"/>
    </font>
    <font>
      <b/>
      <sz val="12"/>
      <color indexed="63"/>
      <name val="VNI-Times"/>
    </font>
    <font>
      <sz val="12"/>
      <name val="¹ÙÅÁÃ¼"/>
      <charset val="129"/>
    </font>
    <font>
      <sz val="12"/>
      <color indexed="20"/>
      <name val="Arial Narrow"/>
      <family val="2"/>
    </font>
    <font>
      <sz val="12"/>
      <name val="Tms Rmn"/>
    </font>
    <font>
      <sz val="11"/>
      <name val="µ¸¿ò"/>
      <charset val="129"/>
    </font>
    <font>
      <sz val="10"/>
      <name val="±¼¸²A¼"/>
      <family val="3"/>
      <charset val="129"/>
    </font>
    <font>
      <sz val="12"/>
      <name val="¹ÙÅÁÃ¼"/>
      <family val="1"/>
      <charset val="129"/>
    </font>
    <font>
      <sz val="10"/>
      <name val="Helv"/>
    </font>
    <font>
      <b/>
      <sz val="12"/>
      <color indexed="52"/>
      <name val="Arial Narrow"/>
      <family val="2"/>
    </font>
    <font>
      <b/>
      <sz val="10"/>
      <name val="Helv"/>
    </font>
    <font>
      <b/>
      <sz val="12"/>
      <color indexed="9"/>
      <name val="Arial Narrow"/>
      <family val="2"/>
    </font>
    <font>
      <sz val="11"/>
      <name val="VNbook-Antiqua"/>
      <family val="2"/>
    </font>
    <font>
      <sz val="10"/>
      <name val="VNI-Aptima"/>
    </font>
    <font>
      <sz val="11"/>
      <name val="VNtimes new roman"/>
      <family val="2"/>
    </font>
    <font>
      <sz val="11"/>
      <name val="Tms Rmn"/>
    </font>
    <font>
      <sz val="11"/>
      <name val="UVnTime"/>
    </font>
    <font>
      <sz val="12"/>
      <color indexed="8"/>
      <name val="Times New Roman"/>
      <family val="2"/>
    </font>
    <font>
      <sz val="10"/>
      <name val="BERNHARD"/>
    </font>
    <font>
      <b/>
      <sz val="12"/>
      <name val="VNTime"/>
      <family val="2"/>
    </font>
    <font>
      <sz val="10"/>
      <name val="MS Serif"/>
      <family val="1"/>
    </font>
    <font>
      <b/>
      <sz val="12"/>
      <name val="VNTimeH"/>
      <family val="2"/>
    </font>
    <font>
      <b/>
      <sz val="15"/>
      <color indexed="56"/>
      <name val="Calibri"/>
      <family val="2"/>
    </font>
    <font>
      <b/>
      <sz val="13"/>
      <color indexed="56"/>
      <name val="Calibri"/>
      <family val="2"/>
    </font>
    <font>
      <sz val="1"/>
      <color indexed="8"/>
      <name val="Courier"/>
      <family val="3"/>
    </font>
    <font>
      <sz val="10"/>
      <name val="Arial CE"/>
      <charset val="238"/>
    </font>
    <font>
      <b/>
      <sz val="1"/>
      <color indexed="8"/>
      <name val="Courier"/>
      <family val="3"/>
    </font>
    <font>
      <sz val="10"/>
      <color indexed="16"/>
      <name val="MS Serif"/>
      <family val="1"/>
    </font>
    <font>
      <sz val="14"/>
      <name val="VNtimes new roman"/>
      <family val="2"/>
    </font>
    <font>
      <i/>
      <sz val="12"/>
      <color indexed="23"/>
      <name val="Arial Narrow"/>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6"/>
      <color indexed="14"/>
      <name val="VNottawa"/>
      <family val="2"/>
    </font>
    <font>
      <sz val="8"/>
      <color indexed="8"/>
      <name val="Helvetica"/>
    </font>
    <font>
      <sz val="12"/>
      <name val="VNTime"/>
      <family val="2"/>
    </font>
    <font>
      <sz val="12"/>
      <color indexed="17"/>
      <name val="Arial Narrow"/>
      <family val="2"/>
    </font>
    <font>
      <b/>
      <sz val="11"/>
      <name val="Times New Roman"/>
      <family val="1"/>
    </font>
    <font>
      <sz val="10"/>
      <name val=".VnArialH"/>
      <family val="2"/>
    </font>
    <font>
      <b/>
      <sz val="12"/>
      <name val=".VnBook-AntiquaH"/>
      <family val="2"/>
    </font>
    <font>
      <b/>
      <sz val="12"/>
      <color indexed="9"/>
      <name val="Tms Rmn"/>
    </font>
    <font>
      <b/>
      <sz val="12"/>
      <name val="Helv"/>
    </font>
    <font>
      <b/>
      <sz val="11"/>
      <color indexed="56"/>
      <name val="Arial Narrow"/>
      <family val="2"/>
    </font>
    <font>
      <b/>
      <sz val="8"/>
      <name val="MS Sans Serif"/>
      <family val="2"/>
    </font>
    <font>
      <b/>
      <sz val="10"/>
      <name val=".VnTime"/>
      <family val="2"/>
    </font>
    <font>
      <sz val="10"/>
      <name val="vnTimesRoman"/>
    </font>
    <font>
      <b/>
      <sz val="14"/>
      <name val=".VnTimeH"/>
      <family val="2"/>
    </font>
    <font>
      <sz val="12"/>
      <name val="±¼¸²Ã¼"/>
      <family val="3"/>
      <charset val="129"/>
    </font>
    <font>
      <sz val="12"/>
      <color indexed="62"/>
      <name val="Arial Narrow"/>
      <family val="2"/>
    </font>
    <font>
      <u/>
      <sz val="10"/>
      <color indexed="12"/>
      <name val=".VnTime"/>
      <family val="2"/>
    </font>
    <font>
      <u/>
      <sz val="12"/>
      <color indexed="12"/>
      <name val=".VnTime"/>
      <family val="2"/>
    </font>
    <font>
      <u/>
      <sz val="12"/>
      <color indexed="12"/>
      <name val="Arial"/>
      <family val="2"/>
    </font>
    <font>
      <sz val="10"/>
      <name val="VNI-Avo"/>
    </font>
    <font>
      <b/>
      <sz val="14"/>
      <name val=".VnArialH"/>
      <family val="2"/>
    </font>
    <font>
      <sz val="12"/>
      <color indexed="52"/>
      <name val="Arial Narrow"/>
      <family val="2"/>
    </font>
    <font>
      <sz val="8"/>
      <name val="VNarial"/>
      <family val="2"/>
    </font>
    <font>
      <b/>
      <sz val="11"/>
      <name val="Helv"/>
    </font>
    <font>
      <sz val="10"/>
      <name val=".VnAvant"/>
      <family val="2"/>
    </font>
    <font>
      <sz val="12"/>
      <name val="Arial"/>
      <family val="2"/>
    </font>
    <font>
      <sz val="12"/>
      <color indexed="60"/>
      <name val="Arial Narrow"/>
      <family val="2"/>
    </font>
    <font>
      <sz val="7"/>
      <name val="Small Fonts"/>
      <family val="2"/>
    </font>
    <font>
      <b/>
      <sz val="12"/>
      <name val="VN-NTime"/>
    </font>
    <font>
      <sz val="12"/>
      <name val="???"/>
      <family val="1"/>
      <charset val="129"/>
    </font>
    <font>
      <sz val="12"/>
      <name val="바탕체"/>
      <family val="1"/>
      <charset val="129"/>
    </font>
    <font>
      <sz val="11"/>
      <color indexed="8"/>
      <name val="Helvetica Neue"/>
    </font>
    <font>
      <sz val="10"/>
      <name val="VNlucida sans"/>
      <family val="2"/>
    </font>
    <font>
      <sz val="11"/>
      <name val="VNI-Aptima"/>
    </font>
    <font>
      <b/>
      <sz val="11"/>
      <name val="Arial"/>
      <family val="2"/>
    </font>
    <font>
      <b/>
      <sz val="12"/>
      <color indexed="63"/>
      <name val="Arial Narrow"/>
      <family val="2"/>
    </font>
    <font>
      <sz val="14"/>
      <name val=".VnArial Narrow"/>
      <family val="2"/>
    </font>
    <font>
      <sz val="12"/>
      <color indexed="8"/>
      <name val="Times New Roman"/>
      <family val="1"/>
    </font>
    <font>
      <sz val="12"/>
      <name val="Helv"/>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sz val="8"/>
      <name val="MS Sans Serif"/>
      <family val="2"/>
    </font>
    <font>
      <b/>
      <sz val="10.5"/>
      <name val=".VnAvantH"/>
      <family val="2"/>
    </font>
    <font>
      <sz val="10"/>
      <name val="VNbook-Antiqua"/>
      <family val="2"/>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sz val="12"/>
      <name val="VNI-Times"/>
    </font>
    <font>
      <sz val="12"/>
      <color indexed="8"/>
      <name val=".VnTime"/>
      <family val="2"/>
    </font>
    <font>
      <sz val="11"/>
      <name val=".VnAvant"/>
      <family val="2"/>
    </font>
    <font>
      <b/>
      <sz val="13"/>
      <color indexed="8"/>
      <name val=".VnTimeH"/>
      <family val="2"/>
    </font>
    <font>
      <b/>
      <u val="double"/>
      <sz val="12"/>
      <color indexed="12"/>
      <name val=".VnBahamasB"/>
      <family val="2"/>
    </font>
    <font>
      <sz val="9.5"/>
      <name val=".VnBlackH"/>
      <family val="2"/>
    </font>
    <font>
      <b/>
      <sz val="10"/>
      <name val=".VnBahamasBH"/>
      <family val="2"/>
    </font>
    <font>
      <b/>
      <sz val="11"/>
      <name val=".VnArialH"/>
      <family val="2"/>
    </font>
    <font>
      <b/>
      <sz val="11"/>
      <color indexed="8"/>
      <name val="Calibri"/>
      <family val="2"/>
    </font>
    <font>
      <b/>
      <sz val="10"/>
      <name val=".VnArialH"/>
      <family val="2"/>
    </font>
    <font>
      <sz val="10"/>
      <name val=".VnArial Narrow"/>
      <family val="2"/>
    </font>
    <font>
      <sz val="9"/>
      <name val="VNswitzerlandCondensed"/>
      <family val="2"/>
    </font>
    <font>
      <sz val="11"/>
      <name val="VNI-Times"/>
    </font>
    <font>
      <sz val="8"/>
      <name val="VNI-Helve"/>
    </font>
    <font>
      <sz val="10"/>
      <color indexed="8"/>
      <name val="MS Sans Serif"/>
      <family val="2"/>
    </font>
    <font>
      <sz val="14"/>
      <name val="VnTime"/>
      <family val="2"/>
    </font>
    <font>
      <sz val="8"/>
      <name val=".VnTime"/>
      <family val="2"/>
    </font>
    <font>
      <b/>
      <sz val="8"/>
      <name val="VN Helvetica"/>
    </font>
    <font>
      <b/>
      <sz val="12"/>
      <name val=".VnTime"/>
      <family val="2"/>
    </font>
    <font>
      <b/>
      <sz val="10"/>
      <name val="VN AvantGBook"/>
    </font>
    <font>
      <b/>
      <sz val="16"/>
      <name val=".VnTime"/>
      <family val="2"/>
    </font>
    <font>
      <sz val="9"/>
      <name val=".VnTime"/>
      <family val="2"/>
    </font>
    <font>
      <sz val="12"/>
      <color indexed="10"/>
      <name val="Arial Narrow"/>
      <family val="2"/>
    </font>
    <font>
      <sz val="10"/>
      <name val="Geneva"/>
      <family val="2"/>
    </font>
    <font>
      <sz val="14"/>
      <name val=".VnArial"/>
      <family val="2"/>
    </font>
    <font>
      <sz val="10"/>
      <name val=" "/>
      <family val="1"/>
      <charset val="136"/>
    </font>
    <font>
      <sz val="12"/>
      <color indexed="8"/>
      <name val="바탕체"/>
      <family val="3"/>
    </font>
    <font>
      <sz val="10"/>
      <name val="명조"/>
      <family val="3"/>
      <charset val="129"/>
    </font>
    <font>
      <sz val="10"/>
      <name val="돋움체"/>
      <family val="3"/>
      <charset val="129"/>
    </font>
    <font>
      <sz val="9"/>
      <name val="Arial"/>
      <family val="2"/>
    </font>
    <font>
      <b/>
      <u/>
      <sz val="13"/>
      <name val="VnTime"/>
    </font>
    <font>
      <sz val="12"/>
      <color indexed="8"/>
      <name val="Times New Roman"/>
      <family val="2"/>
      <charset val="163"/>
    </font>
    <font>
      <sz val="8"/>
      <name val="Tms Rmn"/>
    </font>
    <font>
      <sz val="11"/>
      <color indexed="8"/>
      <name val="Calibri"/>
      <family val="2"/>
      <charset val="163"/>
    </font>
    <font>
      <sz val="10"/>
      <color rgb="FFFF0000"/>
      <name val="Arial Narrow"/>
      <family val="2"/>
      <charset val="163"/>
    </font>
    <font>
      <sz val="8"/>
      <color rgb="FFFF0000"/>
      <name val="Arial Narrow"/>
      <family val="2"/>
      <charset val="163"/>
    </font>
    <font>
      <sz val="11"/>
      <color rgb="FFFF0000"/>
      <name val="Arial Narrow"/>
      <family val="2"/>
      <charset val="163"/>
    </font>
    <font>
      <b/>
      <sz val="10"/>
      <color rgb="FFFF0000"/>
      <name val="Arial Narrow"/>
      <family val="2"/>
      <charset val="163"/>
    </font>
    <font>
      <i/>
      <sz val="10"/>
      <color rgb="FFFF0000"/>
      <name val="Arial Narrow"/>
      <family val="2"/>
      <charset val="163"/>
    </font>
    <font>
      <b/>
      <u val="singleAccounting"/>
      <sz val="10"/>
      <color rgb="FFFF0000"/>
      <name val="Arial Narrow"/>
      <family val="2"/>
      <charset val="163"/>
    </font>
    <font>
      <sz val="12"/>
      <color rgb="FFFF0000"/>
      <name val="Arial Narrow"/>
      <family val="2"/>
      <charset val="163"/>
    </font>
    <font>
      <b/>
      <sz val="12"/>
      <color rgb="FFFF0000"/>
      <name val="Arial Narrow"/>
      <family val="2"/>
      <charset val="163"/>
    </font>
    <font>
      <i/>
      <u/>
      <sz val="10"/>
      <color rgb="FFFF0000"/>
      <name val="Arial Narrow"/>
      <family val="2"/>
      <charset val="163"/>
    </font>
  </fonts>
  <fills count="7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8A968"/>
        <bgColor indexed="64"/>
      </patternFill>
    </fill>
    <fill>
      <patternFill patternType="solid">
        <fgColor theme="7"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26"/>
      </patternFill>
    </fill>
    <fill>
      <patternFill patternType="solid">
        <fgColor indexed="9"/>
        <bgColor indexed="64"/>
      </patternFill>
    </fill>
    <fill>
      <patternFill patternType="solid">
        <fgColor indexed="65"/>
        <bgColor indexed="64"/>
      </patternFill>
    </fill>
    <fill>
      <patternFill patternType="solid">
        <fgColor indexed="40"/>
        <bgColor indexed="64"/>
      </patternFill>
    </fill>
    <fill>
      <patternFill patternType="solid">
        <fgColor indexed="43"/>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9"/>
        <bgColor indexed="10"/>
      </patternFill>
    </fill>
  </fills>
  <borders count="80">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hair">
        <color indexed="64"/>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8"/>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right style="double">
        <color indexed="64"/>
      </right>
      <top/>
      <bottom/>
      <diagonal/>
    </border>
    <border>
      <left/>
      <right/>
      <top/>
      <bottom style="thick">
        <color indexed="62"/>
      </bottom>
      <diagonal/>
    </border>
    <border>
      <left/>
      <right/>
      <top/>
      <bottom style="thick">
        <color indexed="22"/>
      </bottom>
      <diagonal/>
    </border>
    <border>
      <left/>
      <right/>
      <top style="double">
        <color indexed="64"/>
      </top>
      <bottom style="double">
        <color indexed="64"/>
      </bottom>
      <diagonal/>
    </border>
    <border>
      <left style="thick">
        <color indexed="64"/>
      </left>
      <right/>
      <top style="thick">
        <color indexed="64"/>
      </top>
      <bottom/>
      <diagonal/>
    </border>
    <border>
      <left style="medium">
        <color indexed="10"/>
      </left>
      <right style="medium">
        <color indexed="10"/>
      </right>
      <top style="hair">
        <color indexed="10"/>
      </top>
      <bottom style="hair">
        <color indexed="10"/>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8"/>
      </top>
      <bottom style="thin">
        <color indexed="64"/>
      </bottom>
      <diagonal/>
    </border>
    <border>
      <left style="double">
        <color indexed="64"/>
      </left>
      <right style="thin">
        <color indexed="64"/>
      </right>
      <top style="hair">
        <color indexed="64"/>
      </top>
      <bottom style="hair">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right style="medium">
        <color indexed="0"/>
      </right>
      <top/>
      <bottom/>
      <diagonal/>
    </border>
    <border>
      <left style="double">
        <color indexed="64"/>
      </left>
      <right style="thin">
        <color indexed="64"/>
      </right>
      <top style="double">
        <color indexed="64"/>
      </top>
      <bottom/>
      <diagonal/>
    </border>
    <border>
      <left/>
      <right/>
      <top style="thin">
        <color indexed="62"/>
      </top>
      <bottom style="double">
        <color indexed="62"/>
      </bottom>
      <diagonal/>
    </border>
    <border>
      <left style="double">
        <color indexed="64"/>
      </left>
      <right style="thin">
        <color indexed="64"/>
      </right>
      <top style="hair">
        <color indexed="64"/>
      </top>
      <bottom style="double">
        <color indexed="64"/>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s>
  <cellStyleXfs count="2838">
    <xf numFmtId="0" fontId="0" fillId="0" borderId="0"/>
    <xf numFmtId="167" fontId="6" fillId="0" borderId="0" applyFill="0" applyBorder="0" applyAlignment="0" applyProtection="0"/>
    <xf numFmtId="0" fontId="14" fillId="0" borderId="0"/>
    <xf numFmtId="166" fontId="14" fillId="0" borderId="0" applyFont="0" applyFill="0" applyBorder="0" applyAlignment="0" applyProtection="0"/>
    <xf numFmtId="0" fontId="6" fillId="0" borderId="0"/>
    <xf numFmtId="165" fontId="15" fillId="0" borderId="0" applyFont="0" applyFill="0" applyBorder="0" applyAlignment="0" applyProtection="0"/>
    <xf numFmtId="43" fontId="6" fillId="0" borderId="0" applyFont="0" applyFill="0" applyBorder="0" applyAlignment="0" applyProtection="0"/>
    <xf numFmtId="0" fontId="16" fillId="0" borderId="0"/>
    <xf numFmtId="0" fontId="6" fillId="0" borderId="0"/>
    <xf numFmtId="9" fontId="6" fillId="0" borderId="0" applyFont="0" applyFill="0" applyBorder="0" applyAlignment="0" applyProtection="0"/>
    <xf numFmtId="167"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6"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6" fillId="0" borderId="0"/>
    <xf numFmtId="0" fontId="36" fillId="0" borderId="0"/>
    <xf numFmtId="0" fontId="37" fillId="0" borderId="0"/>
    <xf numFmtId="0" fontId="6" fillId="0" borderId="0"/>
    <xf numFmtId="0" fontId="6" fillId="0" borderId="0"/>
    <xf numFmtId="167" fontId="6" fillId="0" borderId="0" applyFill="0" applyBorder="0" applyAlignment="0" applyProtection="0"/>
    <xf numFmtId="166" fontId="5" fillId="0" borderId="0" applyFont="0" applyFill="0" applyBorder="0" applyAlignment="0" applyProtection="0"/>
    <xf numFmtId="0" fontId="37" fillId="0" borderId="0"/>
    <xf numFmtId="0" fontId="15" fillId="0" borderId="0"/>
    <xf numFmtId="0" fontId="6" fillId="0" borderId="0"/>
    <xf numFmtId="0" fontId="15" fillId="0" borderId="0"/>
    <xf numFmtId="166"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6" fontId="15" fillId="0" borderId="0" applyFont="0" applyFill="0" applyBorder="0" applyAlignment="0" applyProtection="0"/>
    <xf numFmtId="166" fontId="4" fillId="0" borderId="0" applyFont="0" applyFill="0" applyBorder="0" applyAlignment="0" applyProtection="0"/>
    <xf numFmtId="0" fontId="15" fillId="0" borderId="0"/>
    <xf numFmtId="0" fontId="25" fillId="0" borderId="0"/>
    <xf numFmtId="43" fontId="15" fillId="0" borderId="0" applyFont="0" applyFill="0" applyBorder="0" applyAlignment="0" applyProtection="0"/>
    <xf numFmtId="0" fontId="51" fillId="0" borderId="0"/>
    <xf numFmtId="43" fontId="51"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0" fontId="61" fillId="0" borderId="0"/>
    <xf numFmtId="165" fontId="3" fillId="0" borderId="0" applyFont="0" applyFill="0" applyBorder="0" applyAlignment="0" applyProtection="0"/>
    <xf numFmtId="0" fontId="15" fillId="0" borderId="0"/>
    <xf numFmtId="9"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0" fontId="15" fillId="0" borderId="0"/>
    <xf numFmtId="165" fontId="15" fillId="0" borderId="0" applyFont="0" applyFill="0" applyBorder="0" applyAlignment="0" applyProtection="0"/>
    <xf numFmtId="0" fontId="2" fillId="0" borderId="0"/>
    <xf numFmtId="166" fontId="2" fillId="0" borderId="0" applyFont="0" applyFill="0" applyBorder="0" applyAlignment="0" applyProtection="0"/>
    <xf numFmtId="165" fontId="1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2" fillId="0" borderId="0" applyFont="0" applyFill="0" applyBorder="0" applyAlignment="0" applyProtection="0"/>
    <xf numFmtId="165" fontId="15" fillId="0" borderId="0" applyFont="0" applyFill="0" applyBorder="0" applyAlignment="0" applyProtection="0"/>
    <xf numFmtId="166" fontId="2" fillId="0" borderId="0" applyFont="0" applyFill="0" applyBorder="0" applyAlignment="0" applyProtection="0"/>
    <xf numFmtId="0" fontId="38" fillId="0" borderId="0"/>
    <xf numFmtId="165" fontId="38" fillId="0" borderId="0" applyFont="0" applyFill="0" applyBorder="0" applyAlignment="0" applyProtection="0"/>
    <xf numFmtId="165" fontId="6" fillId="0" borderId="0" applyFont="0" applyFill="0" applyBorder="0" applyAlignment="0" applyProtection="0"/>
    <xf numFmtId="165" fontId="61" fillId="0" borderId="0" applyFont="0" applyFill="0" applyBorder="0" applyAlignment="0" applyProtection="0"/>
    <xf numFmtId="165" fontId="2"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99" fillId="0" borderId="0" applyFont="0" applyFill="0" applyBorder="0" applyAlignment="0" applyProtection="0"/>
    <xf numFmtId="43" fontId="6" fillId="0" borderId="0" applyFont="0" applyFill="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105" fillId="16"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17" borderId="0" applyNumberFormat="0" applyBorder="0" applyAlignment="0" applyProtection="0"/>
    <xf numFmtId="0" fontId="105"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22" borderId="0" applyNumberFormat="0" applyBorder="0" applyAlignment="0" applyProtection="0"/>
    <xf numFmtId="0" fontId="105" fillId="17" borderId="0" applyNumberFormat="0" applyBorder="0" applyAlignment="0" applyProtection="0"/>
    <xf numFmtId="0" fontId="105" fillId="18" borderId="0" applyNumberFormat="0" applyBorder="0" applyAlignment="0" applyProtection="0"/>
    <xf numFmtId="0" fontId="105" fillId="23" borderId="0" applyNumberFormat="0" applyBorder="0" applyAlignment="0" applyProtection="0"/>
    <xf numFmtId="0" fontId="6" fillId="0" borderId="0"/>
    <xf numFmtId="0" fontId="6" fillId="0" borderId="0"/>
    <xf numFmtId="0" fontId="106" fillId="7" borderId="0" applyNumberFormat="0" applyBorder="0" applyAlignment="0" applyProtection="0"/>
    <xf numFmtId="0" fontId="107" fillId="24" borderId="39" applyNumberFormat="0" applyAlignment="0" applyProtection="0"/>
    <xf numFmtId="0" fontId="108" fillId="25" borderId="40" applyNumberFormat="0" applyAlignment="0" applyProtection="0"/>
    <xf numFmtId="165" fontId="6" fillId="0" borderId="0" applyFont="0" applyFill="0" applyBorder="0" applyAlignment="0" applyProtection="0"/>
    <xf numFmtId="167" fontId="6" fillId="0" borderId="0" applyFill="0" applyBorder="0" applyAlignment="0" applyProtection="0"/>
    <xf numFmtId="165" fontId="6" fillId="0" borderId="0" applyFont="0" applyFill="0" applyBorder="0" applyAlignment="0" applyProtection="0"/>
    <xf numFmtId="3" fontId="6" fillId="0" borderId="0" applyFill="0" applyBorder="0" applyAlignment="0" applyProtection="0"/>
    <xf numFmtId="201" fontId="6" fillId="0" borderId="0" applyFill="0" applyBorder="0" applyAlignment="0" applyProtection="0"/>
    <xf numFmtId="0" fontId="6" fillId="0" borderId="0" applyFill="0" applyBorder="0" applyAlignment="0" applyProtection="0"/>
    <xf numFmtId="0" fontId="109" fillId="0" borderId="0" applyNumberFormat="0" applyFill="0" applyBorder="0" applyAlignment="0" applyProtection="0"/>
    <xf numFmtId="2" fontId="6" fillId="0" borderId="0" applyFill="0" applyBorder="0" applyAlignment="0" applyProtection="0"/>
    <xf numFmtId="0" fontId="110" fillId="8" borderId="0" applyNumberFormat="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3" fillId="0" borderId="41" applyNumberFormat="0" applyFill="0" applyAlignment="0" applyProtection="0"/>
    <xf numFmtId="0" fontId="113" fillId="0" borderId="0" applyNumberFormat="0" applyFill="0" applyBorder="0" applyAlignment="0" applyProtection="0"/>
    <xf numFmtId="0" fontId="114" fillId="11" borderId="39" applyNumberFormat="0" applyAlignment="0" applyProtection="0"/>
    <xf numFmtId="0" fontId="115" fillId="0" borderId="42" applyNumberFormat="0" applyFill="0" applyAlignment="0" applyProtection="0"/>
    <xf numFmtId="0" fontId="116" fillId="26" borderId="0" applyNumberFormat="0" applyBorder="0" applyAlignment="0" applyProtection="0"/>
    <xf numFmtId="0" fontId="31" fillId="0" borderId="0"/>
    <xf numFmtId="0" fontId="117" fillId="0" borderId="0"/>
    <xf numFmtId="0" fontId="37" fillId="0" borderId="0"/>
    <xf numFmtId="0" fontId="123" fillId="0" borderId="0"/>
    <xf numFmtId="0" fontId="37" fillId="0" borderId="0"/>
    <xf numFmtId="0" fontId="6" fillId="27" borderId="43" applyNumberFormat="0" applyAlignment="0" applyProtection="0"/>
    <xf numFmtId="0" fontId="118" fillId="24" borderId="44" applyNumberFormat="0" applyAlignment="0" applyProtection="0"/>
    <xf numFmtId="0" fontId="119" fillId="0" borderId="0" applyNumberFormat="0" applyFill="0" applyBorder="0" applyAlignment="0" applyProtection="0"/>
    <xf numFmtId="0" fontId="6" fillId="0" borderId="45" applyNumberFormat="0" applyFill="0" applyAlignment="0" applyProtection="0"/>
    <xf numFmtId="0" fontId="120" fillId="0" borderId="0" applyNumberFormat="0" applyFill="0" applyBorder="0" applyAlignment="0" applyProtection="0"/>
    <xf numFmtId="40" fontId="6" fillId="0" borderId="0" applyFill="0" applyBorder="0" applyAlignment="0" applyProtection="0"/>
    <xf numFmtId="38" fontId="6" fillId="0" borderId="0" applyFill="0" applyBorder="0" applyAlignment="0" applyProtection="0"/>
    <xf numFmtId="0" fontId="6" fillId="0" borderId="0" applyFill="0" applyBorder="0" applyAlignment="0" applyProtection="0"/>
    <xf numFmtId="0" fontId="6" fillId="0" borderId="0" applyFill="0" applyBorder="0" applyAlignment="0" applyProtection="0"/>
    <xf numFmtId="0" fontId="121"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37" fillId="0" borderId="0"/>
    <xf numFmtId="9" fontId="37" fillId="0" borderId="0" applyFont="0" applyFill="0" applyBorder="0" applyAlignment="0" applyProtection="0"/>
    <xf numFmtId="165" fontId="6" fillId="0" borderId="0" applyFont="0" applyFill="0" applyBorder="0" applyAlignment="0" applyProtection="0"/>
    <xf numFmtId="0" fontId="6" fillId="0" borderId="0"/>
    <xf numFmtId="0" fontId="15" fillId="0" borderId="0"/>
    <xf numFmtId="165" fontId="15" fillId="0" borderId="0" applyFont="0" applyFill="0" applyBorder="0" applyAlignment="0" applyProtection="0"/>
    <xf numFmtId="3" fontId="36" fillId="0" borderId="0"/>
    <xf numFmtId="0" fontId="15" fillId="0" borderId="0"/>
    <xf numFmtId="0" fontId="15" fillId="0" borderId="0"/>
    <xf numFmtId="165" fontId="15" fillId="0" borderId="0" applyFont="0" applyFill="0" applyBorder="0" applyAlignment="0" applyProtection="0"/>
    <xf numFmtId="166" fontId="1" fillId="0" borderId="0" applyFont="0" applyFill="0" applyBorder="0" applyAlignment="0" applyProtection="0"/>
    <xf numFmtId="0" fontId="1" fillId="0" borderId="0"/>
    <xf numFmtId="202" fontId="124" fillId="0" borderId="0" applyFont="0" applyFill="0" applyBorder="0" applyAlignment="0" applyProtection="0"/>
    <xf numFmtId="0" fontId="125" fillId="0" borderId="0" applyNumberFormat="0" applyFill="0" applyBorder="0" applyAlignment="0" applyProtection="0"/>
    <xf numFmtId="3" fontId="126" fillId="0" borderId="10"/>
    <xf numFmtId="170" fontId="127" fillId="0" borderId="47" applyFont="0" applyBorder="0"/>
    <xf numFmtId="168" fontId="31" fillId="0" borderId="0" applyBorder="0"/>
    <xf numFmtId="170" fontId="127" fillId="0" borderId="47" applyFont="0" applyBorder="0"/>
    <xf numFmtId="0" fontId="128" fillId="0" borderId="0"/>
    <xf numFmtId="203" fontId="117"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204" fontId="130" fillId="0" borderId="0" applyFont="0" applyFill="0" applyBorder="0" applyAlignment="0" applyProtection="0"/>
    <xf numFmtId="205" fontId="6" fillId="0" borderId="0" applyFont="0" applyFill="0" applyBorder="0" applyAlignment="0" applyProtection="0"/>
    <xf numFmtId="0" fontId="6" fillId="0" borderId="0" applyNumberFormat="0" applyFill="0" applyBorder="0" applyAlignment="0" applyProtection="0"/>
    <xf numFmtId="0" fontId="131" fillId="0" borderId="0" applyFont="0" applyFill="0" applyBorder="0" applyAlignment="0" applyProtection="0"/>
    <xf numFmtId="0" fontId="132" fillId="0" borderId="48"/>
    <xf numFmtId="206" fontId="133" fillId="0" borderId="0" applyFont="0" applyFill="0" applyBorder="0" applyAlignment="0" applyProtection="0"/>
    <xf numFmtId="207" fontId="133" fillId="0" borderId="0" applyFont="0" applyFill="0" applyBorder="0" applyAlignment="0" applyProtection="0"/>
    <xf numFmtId="208" fontId="128" fillId="0" borderId="0" applyFont="0" applyFill="0" applyBorder="0" applyAlignment="0" applyProtection="0"/>
    <xf numFmtId="164" fontId="134" fillId="0" borderId="0" applyFont="0" applyFill="0" applyBorder="0" applyAlignment="0" applyProtection="0"/>
    <xf numFmtId="165" fontId="134" fillId="0" borderId="0" applyFont="0" applyFill="0" applyBorder="0" applyAlignment="0" applyProtection="0"/>
    <xf numFmtId="6" fontId="135" fillId="0" borderId="0" applyFont="0" applyFill="0" applyBorder="0" applyAlignment="0" applyProtection="0"/>
    <xf numFmtId="0" fontId="13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37" fillId="0" borderId="0"/>
    <xf numFmtId="0" fontId="6" fillId="0" borderId="0" applyNumberFormat="0" applyFill="0" applyBorder="0" applyAlignment="0" applyProtection="0"/>
    <xf numFmtId="164" fontId="125" fillId="0" borderId="0" applyFont="0" applyFill="0" applyBorder="0" applyAlignment="0" applyProtection="0"/>
    <xf numFmtId="42" fontId="138" fillId="0" borderId="0" applyFont="0" applyFill="0" applyBorder="0" applyAlignment="0" applyProtection="0"/>
    <xf numFmtId="209" fontId="125" fillId="0" borderId="0" applyFont="0" applyFill="0" applyBorder="0" applyAlignment="0" applyProtection="0"/>
    <xf numFmtId="42" fontId="138" fillId="0" borderId="0" applyFont="0" applyFill="0" applyBorder="0" applyAlignment="0" applyProtection="0"/>
    <xf numFmtId="0" fontId="139" fillId="0" borderId="0"/>
    <xf numFmtId="0" fontId="129" fillId="0" borderId="0"/>
    <xf numFmtId="0" fontId="140" fillId="0" borderId="0">
      <alignment vertical="top"/>
    </xf>
    <xf numFmtId="0" fontId="140" fillId="0" borderId="0">
      <alignment vertical="top"/>
    </xf>
    <xf numFmtId="42" fontId="138" fillId="0" borderId="0" applyFont="0" applyFill="0" applyBorder="0" applyAlignment="0" applyProtection="0"/>
    <xf numFmtId="210" fontId="124" fillId="0" borderId="0" applyFont="0" applyFill="0" applyBorder="0" applyAlignment="0" applyProtection="0"/>
    <xf numFmtId="211" fontId="138" fillId="0" borderId="0" applyFont="0" applyFill="0" applyBorder="0" applyAlignment="0" applyProtection="0"/>
    <xf numFmtId="212" fontId="138" fillId="0" borderId="0" applyFont="0" applyFill="0" applyBorder="0" applyAlignment="0" applyProtection="0"/>
    <xf numFmtId="211" fontId="138" fillId="0" borderId="0" applyFont="0" applyFill="0" applyBorder="0" applyAlignment="0" applyProtection="0"/>
    <xf numFmtId="210" fontId="124" fillId="0" borderId="0" applyFont="0" applyFill="0" applyBorder="0" applyAlignment="0" applyProtection="0"/>
    <xf numFmtId="0" fontId="129" fillId="0" borderId="0"/>
    <xf numFmtId="0" fontId="128" fillId="0" borderId="0" applyNumberFormat="0" applyFill="0" applyBorder="0" applyAlignment="0" applyProtection="0"/>
    <xf numFmtId="0" fontId="128" fillId="0" borderId="0" applyNumberFormat="0" applyFill="0" applyBorder="0" applyAlignment="0" applyProtection="0"/>
    <xf numFmtId="210" fontId="124" fillId="0" borderId="0" applyFont="0" applyFill="0" applyBorder="0" applyAlignment="0" applyProtection="0"/>
    <xf numFmtId="0" fontId="129" fillId="0" borderId="0"/>
    <xf numFmtId="42" fontId="138" fillId="0" borderId="0" applyFont="0" applyFill="0" applyBorder="0" applyAlignment="0" applyProtection="0"/>
    <xf numFmtId="42" fontId="138" fillId="0" borderId="0" applyFont="0" applyFill="0" applyBorder="0" applyAlignment="0" applyProtection="0"/>
    <xf numFmtId="202" fontId="141"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xf numFmtId="0" fontId="129" fillId="0" borderId="0"/>
    <xf numFmtId="0" fontId="129"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9" fillId="0" borderId="0" applyFont="0" applyFill="0" applyBorder="0" applyAlignment="0" applyProtection="0"/>
    <xf numFmtId="0" fontId="139" fillId="0" borderId="0" applyFont="0" applyFill="0" applyBorder="0" applyAlignment="0" applyProtection="0"/>
    <xf numFmtId="0" fontId="129" fillId="0" borderId="0"/>
    <xf numFmtId="42" fontId="138" fillId="0" borderId="0" applyFont="0" applyFill="0" applyBorder="0" applyAlignment="0" applyProtection="0"/>
    <xf numFmtId="185" fontId="124" fillId="0" borderId="0" applyFont="0" applyFill="0" applyBorder="0" applyAlignment="0" applyProtection="0"/>
    <xf numFmtId="206" fontId="138" fillId="0" borderId="0" applyFont="0" applyFill="0" applyBorder="0" applyAlignment="0" applyProtection="0"/>
    <xf numFmtId="206" fontId="124" fillId="0" borderId="0" applyFont="0" applyFill="0" applyBorder="0" applyAlignment="0" applyProtection="0"/>
    <xf numFmtId="202" fontId="124" fillId="0" borderId="0" applyFont="0" applyFill="0" applyBorder="0" applyAlignment="0" applyProtection="0"/>
    <xf numFmtId="202" fontId="124" fillId="0" borderId="0" applyFont="0" applyFill="0" applyBorder="0" applyAlignment="0" applyProtection="0"/>
    <xf numFmtId="213" fontId="142" fillId="0" borderId="0" applyFont="0" applyFill="0" applyBorder="0" applyAlignment="0" applyProtection="0"/>
    <xf numFmtId="214" fontId="124" fillId="0" borderId="0" applyFont="0" applyFill="0" applyBorder="0" applyAlignment="0" applyProtection="0"/>
    <xf numFmtId="214" fontId="124" fillId="0" borderId="0" applyFont="0" applyFill="0" applyBorder="0" applyAlignment="0" applyProtection="0"/>
    <xf numFmtId="215" fontId="6" fillId="0" borderId="0" applyFont="0" applyFill="0" applyBorder="0" applyAlignment="0" applyProtection="0"/>
    <xf numFmtId="215" fontId="142" fillId="0" borderId="0" applyFont="0" applyFill="0" applyBorder="0" applyAlignment="0" applyProtection="0"/>
    <xf numFmtId="214" fontId="124" fillId="0" borderId="0" applyFont="0" applyFill="0" applyBorder="0" applyAlignment="0" applyProtection="0"/>
    <xf numFmtId="213" fontId="142" fillId="0" borderId="0" applyFont="0" applyFill="0" applyBorder="0" applyAlignment="0" applyProtection="0"/>
    <xf numFmtId="216" fontId="124" fillId="0" borderId="0" applyFont="0" applyFill="0" applyBorder="0" applyAlignment="0" applyProtection="0"/>
    <xf numFmtId="202" fontId="124" fillId="0" borderId="0" applyFont="0" applyFill="0" applyBorder="0" applyAlignment="0" applyProtection="0"/>
    <xf numFmtId="165" fontId="124" fillId="0" borderId="0" applyFont="0" applyFill="0" applyBorder="0" applyAlignment="0" applyProtection="0"/>
    <xf numFmtId="165" fontId="124" fillId="0" borderId="0" applyFont="0" applyFill="0" applyBorder="0" applyAlignment="0" applyProtection="0"/>
    <xf numFmtId="217" fontId="124" fillId="0" borderId="0" applyFont="0" applyFill="0" applyBorder="0" applyAlignment="0" applyProtection="0"/>
    <xf numFmtId="217" fontId="124" fillId="0" borderId="0" applyFont="0" applyFill="0" applyBorder="0" applyAlignment="0" applyProtection="0"/>
    <xf numFmtId="218" fontId="138" fillId="0" borderId="0" applyFont="0" applyFill="0" applyBorder="0" applyAlignment="0" applyProtection="0"/>
    <xf numFmtId="166" fontId="138" fillId="0" borderId="0" applyFont="0" applyFill="0" applyBorder="0" applyAlignment="0" applyProtection="0"/>
    <xf numFmtId="219"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166" fontId="138" fillId="0" borderId="0" applyFont="0" applyFill="0" applyBorder="0" applyAlignment="0" applyProtection="0"/>
    <xf numFmtId="218" fontId="138" fillId="0" borderId="0" applyFont="0" applyFill="0" applyBorder="0" applyAlignment="0" applyProtection="0"/>
    <xf numFmtId="219" fontId="138" fillId="0" borderId="0" applyFont="0" applyFill="0" applyBorder="0" applyAlignment="0" applyProtection="0"/>
    <xf numFmtId="221" fontId="138" fillId="0" borderId="0" applyFont="0" applyFill="0" applyBorder="0" applyAlignment="0" applyProtection="0"/>
    <xf numFmtId="0" fontId="138" fillId="0" borderId="0" applyFont="0" applyFill="0" applyBorder="0" applyAlignment="0" applyProtection="0"/>
    <xf numFmtId="166" fontId="138" fillId="0" borderId="0" applyFont="0" applyFill="0" applyBorder="0" applyAlignment="0" applyProtection="0"/>
    <xf numFmtId="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19" fontId="138" fillId="0" borderId="0" applyFont="0" applyFill="0" applyBorder="0" applyAlignment="0" applyProtection="0"/>
    <xf numFmtId="200" fontId="138" fillId="0" borderId="0" applyFont="0" applyFill="0" applyBorder="0" applyAlignment="0" applyProtection="0"/>
    <xf numFmtId="220" fontId="138" fillId="0" borderId="0" applyFont="0" applyFill="0" applyBorder="0" applyAlignment="0" applyProtection="0"/>
    <xf numFmtId="222" fontId="138" fillId="0" borderId="0" applyFont="0" applyFill="0" applyBorder="0" applyAlignment="0" applyProtection="0"/>
    <xf numFmtId="222" fontId="138" fillId="0" borderId="0" applyFont="0" applyFill="0" applyBorder="0" applyAlignment="0" applyProtection="0"/>
    <xf numFmtId="219" fontId="138" fillId="0" borderId="0" applyFont="0" applyFill="0" applyBorder="0" applyAlignment="0" applyProtection="0"/>
    <xf numFmtId="218" fontId="138" fillId="0" borderId="0" applyFont="0" applyFill="0" applyBorder="0" applyAlignment="0" applyProtection="0"/>
    <xf numFmtId="218"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00" fontId="138" fillId="0" borderId="0" applyFont="0" applyFill="0" applyBorder="0" applyAlignment="0" applyProtection="0"/>
    <xf numFmtId="200" fontId="138" fillId="0" borderId="0" applyFont="0" applyFill="0" applyBorder="0" applyAlignment="0" applyProtection="0"/>
    <xf numFmtId="218" fontId="138" fillId="0" borderId="0" applyFont="0" applyFill="0" applyBorder="0" applyAlignment="0" applyProtection="0"/>
    <xf numFmtId="223"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224" fontId="124"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164" fontId="142" fillId="0" borderId="0" applyFont="0" applyFill="0" applyBorder="0" applyAlignment="0" applyProtection="0"/>
    <xf numFmtId="225" fontId="138" fillId="0" borderId="0" applyFont="0" applyFill="0" applyBorder="0" applyAlignment="0" applyProtection="0"/>
    <xf numFmtId="225" fontId="138" fillId="0" borderId="0" applyFont="0" applyFill="0" applyBorder="0" applyAlignment="0" applyProtection="0"/>
    <xf numFmtId="226" fontId="6" fillId="0" borderId="0" applyFont="0" applyFill="0" applyBorder="0" applyAlignment="0" applyProtection="0"/>
    <xf numFmtId="165" fontId="142" fillId="0" borderId="0" applyFont="0" applyFill="0" applyBorder="0" applyAlignment="0" applyProtection="0"/>
    <xf numFmtId="225" fontId="138" fillId="0" borderId="0" applyFont="0" applyFill="0" applyBorder="0" applyAlignment="0" applyProtection="0"/>
    <xf numFmtId="164" fontId="142" fillId="0" borderId="0" applyFont="0" applyFill="0" applyBorder="0" applyAlignment="0" applyProtection="0"/>
    <xf numFmtId="227" fontId="36" fillId="0" borderId="0" applyFont="0" applyFill="0" applyBorder="0" applyAlignment="0" applyProtection="0"/>
    <xf numFmtId="223" fontId="138" fillId="0" borderId="0" applyFont="0" applyFill="0" applyBorder="0" applyAlignment="0" applyProtection="0"/>
    <xf numFmtId="220"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164" fontId="124" fillId="0" borderId="0" applyFont="0" applyFill="0" applyBorder="0" applyAlignment="0" applyProtection="0"/>
    <xf numFmtId="206" fontId="138" fillId="0" borderId="0" applyFont="0" applyFill="0" applyBorder="0" applyAlignment="0" applyProtection="0"/>
    <xf numFmtId="210" fontId="124" fillId="0" borderId="0" applyFont="0" applyFill="0" applyBorder="0" applyAlignment="0" applyProtection="0"/>
    <xf numFmtId="211" fontId="138" fillId="0" borderId="0" applyFont="0" applyFill="0" applyBorder="0" applyAlignment="0" applyProtection="0"/>
    <xf numFmtId="212" fontId="138" fillId="0" borderId="0" applyFont="0" applyFill="0" applyBorder="0" applyAlignment="0" applyProtection="0"/>
    <xf numFmtId="211" fontId="138" fillId="0" borderId="0" applyFont="0" applyFill="0" applyBorder="0" applyAlignment="0" applyProtection="0"/>
    <xf numFmtId="202" fontId="141" fillId="0" borderId="0" applyFont="0" applyFill="0" applyBorder="0" applyAlignment="0" applyProtection="0"/>
    <xf numFmtId="42" fontId="138" fillId="0" borderId="0" applyFont="0" applyFill="0" applyBorder="0" applyAlignment="0" applyProtection="0"/>
    <xf numFmtId="185" fontId="124" fillId="0" borderId="0" applyFont="0" applyFill="0" applyBorder="0" applyAlignment="0" applyProtection="0"/>
    <xf numFmtId="42" fontId="138" fillId="0" borderId="0" applyFont="0" applyFill="0" applyBorder="0" applyAlignment="0" applyProtection="0"/>
    <xf numFmtId="211" fontId="138" fillId="0" borderId="0" applyFont="0" applyFill="0" applyBorder="0" applyAlignment="0" applyProtection="0"/>
    <xf numFmtId="202" fontId="141" fillId="0" borderId="0" applyFont="0" applyFill="0" applyBorder="0" applyAlignment="0" applyProtection="0"/>
    <xf numFmtId="203" fontId="138" fillId="0" borderId="0" applyFont="0" applyFill="0" applyBorder="0" applyAlignment="0" applyProtection="0"/>
    <xf numFmtId="210" fontId="124" fillId="0" borderId="0" applyFont="0" applyFill="0" applyBorder="0" applyAlignment="0" applyProtection="0"/>
    <xf numFmtId="228" fontId="142" fillId="0" borderId="0" applyFont="0" applyFill="0" applyBorder="0" applyAlignment="0" applyProtection="0"/>
    <xf numFmtId="229" fontId="138" fillId="0" borderId="0" applyFont="0" applyFill="0" applyBorder="0" applyAlignment="0" applyProtection="0"/>
    <xf numFmtId="229" fontId="138" fillId="0" borderId="0" applyFont="0" applyFill="0" applyBorder="0" applyAlignment="0" applyProtection="0"/>
    <xf numFmtId="230" fontId="142" fillId="0" borderId="0" applyFont="0" applyFill="0" applyBorder="0" applyAlignment="0" applyProtection="0"/>
    <xf numFmtId="229" fontId="138" fillId="0" borderId="0" applyFont="0" applyFill="0" applyBorder="0" applyAlignment="0" applyProtection="0"/>
    <xf numFmtId="228" fontId="142" fillId="0" borderId="0" applyFont="0" applyFill="0" applyBorder="0" applyAlignment="0" applyProtection="0"/>
    <xf numFmtId="229" fontId="138" fillId="0" borderId="0" applyFont="0" applyFill="0" applyBorder="0" applyAlignment="0" applyProtection="0"/>
    <xf numFmtId="210" fontId="138" fillId="0" borderId="0" applyFont="0" applyFill="0" applyBorder="0" applyAlignment="0" applyProtection="0"/>
    <xf numFmtId="210" fontId="138" fillId="0" borderId="0" applyFont="0" applyFill="0" applyBorder="0" applyAlignment="0" applyProtection="0"/>
    <xf numFmtId="230" fontId="142" fillId="0" borderId="0" applyFont="0" applyFill="0" applyBorder="0" applyAlignment="0" applyProtection="0"/>
    <xf numFmtId="231" fontId="138" fillId="0" borderId="0" applyFont="0" applyFill="0" applyBorder="0" applyAlignment="0" applyProtection="0"/>
    <xf numFmtId="231" fontId="138" fillId="0" borderId="0" applyFont="0" applyFill="0" applyBorder="0" applyAlignment="0" applyProtection="0"/>
    <xf numFmtId="232" fontId="6" fillId="0" borderId="0" applyFont="0" applyFill="0" applyBorder="0" applyAlignment="0" applyProtection="0"/>
    <xf numFmtId="164" fontId="142" fillId="0" borderId="0" applyFont="0" applyFill="0" applyBorder="0" applyAlignment="0" applyProtection="0"/>
    <xf numFmtId="231" fontId="138" fillId="0" borderId="0" applyFont="0" applyFill="0" applyBorder="0" applyAlignment="0" applyProtection="0"/>
    <xf numFmtId="230" fontId="142" fillId="0" borderId="0" applyFont="0" applyFill="0" applyBorder="0" applyAlignment="0" applyProtection="0"/>
    <xf numFmtId="182" fontId="36" fillId="0" borderId="0" applyFont="0" applyFill="0" applyBorder="0" applyAlignment="0" applyProtection="0"/>
    <xf numFmtId="233" fontId="138" fillId="0" borderId="0" applyFont="0" applyFill="0" applyBorder="0" applyAlignment="0" applyProtection="0"/>
    <xf numFmtId="42" fontId="138" fillId="0" borderId="0" applyFont="0" applyFill="0" applyBorder="0" applyAlignment="0" applyProtection="0"/>
    <xf numFmtId="218" fontId="138" fillId="0" borderId="0" applyFont="0" applyFill="0" applyBorder="0" applyAlignment="0" applyProtection="0"/>
    <xf numFmtId="166" fontId="138" fillId="0" borderId="0" applyFont="0" applyFill="0" applyBorder="0" applyAlignment="0" applyProtection="0"/>
    <xf numFmtId="219"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166" fontId="138" fillId="0" borderId="0" applyFont="0" applyFill="0" applyBorder="0" applyAlignment="0" applyProtection="0"/>
    <xf numFmtId="218" fontId="138" fillId="0" borderId="0" applyFont="0" applyFill="0" applyBorder="0" applyAlignment="0" applyProtection="0"/>
    <xf numFmtId="219" fontId="138" fillId="0" borderId="0" applyFont="0" applyFill="0" applyBorder="0" applyAlignment="0" applyProtection="0"/>
    <xf numFmtId="221" fontId="138" fillId="0" borderId="0" applyFont="0" applyFill="0" applyBorder="0" applyAlignment="0" applyProtection="0"/>
    <xf numFmtId="0" fontId="138" fillId="0" borderId="0" applyFont="0" applyFill="0" applyBorder="0" applyAlignment="0" applyProtection="0"/>
    <xf numFmtId="166" fontId="138" fillId="0" borderId="0" applyFont="0" applyFill="0" applyBorder="0" applyAlignment="0" applyProtection="0"/>
    <xf numFmtId="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19" fontId="138" fillId="0" borderId="0" applyFont="0" applyFill="0" applyBorder="0" applyAlignment="0" applyProtection="0"/>
    <xf numFmtId="200" fontId="138" fillId="0" borderId="0" applyFont="0" applyFill="0" applyBorder="0" applyAlignment="0" applyProtection="0"/>
    <xf numFmtId="220" fontId="138" fillId="0" borderId="0" applyFont="0" applyFill="0" applyBorder="0" applyAlignment="0" applyProtection="0"/>
    <xf numFmtId="222" fontId="138" fillId="0" borderId="0" applyFont="0" applyFill="0" applyBorder="0" applyAlignment="0" applyProtection="0"/>
    <xf numFmtId="222" fontId="138" fillId="0" borderId="0" applyFont="0" applyFill="0" applyBorder="0" applyAlignment="0" applyProtection="0"/>
    <xf numFmtId="219" fontId="138" fillId="0" borderId="0" applyFont="0" applyFill="0" applyBorder="0" applyAlignment="0" applyProtection="0"/>
    <xf numFmtId="218" fontId="138" fillId="0" borderId="0" applyFont="0" applyFill="0" applyBorder="0" applyAlignment="0" applyProtection="0"/>
    <xf numFmtId="218"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00" fontId="138" fillId="0" borderId="0" applyFont="0" applyFill="0" applyBorder="0" applyAlignment="0" applyProtection="0"/>
    <xf numFmtId="200" fontId="138" fillId="0" borderId="0" applyFont="0" applyFill="0" applyBorder="0" applyAlignment="0" applyProtection="0"/>
    <xf numFmtId="218" fontId="138" fillId="0" borderId="0" applyFont="0" applyFill="0" applyBorder="0" applyAlignment="0" applyProtection="0"/>
    <xf numFmtId="223"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224" fontId="124"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164" fontId="142" fillId="0" borderId="0" applyFont="0" applyFill="0" applyBorder="0" applyAlignment="0" applyProtection="0"/>
    <xf numFmtId="225" fontId="138" fillId="0" borderId="0" applyFont="0" applyFill="0" applyBorder="0" applyAlignment="0" applyProtection="0"/>
    <xf numFmtId="225" fontId="138" fillId="0" borderId="0" applyFont="0" applyFill="0" applyBorder="0" applyAlignment="0" applyProtection="0"/>
    <xf numFmtId="226" fontId="6" fillId="0" borderId="0" applyFont="0" applyFill="0" applyBorder="0" applyAlignment="0" applyProtection="0"/>
    <xf numFmtId="165" fontId="142" fillId="0" borderId="0" applyFont="0" applyFill="0" applyBorder="0" applyAlignment="0" applyProtection="0"/>
    <xf numFmtId="225" fontId="138" fillId="0" borderId="0" applyFont="0" applyFill="0" applyBorder="0" applyAlignment="0" applyProtection="0"/>
    <xf numFmtId="164" fontId="142" fillId="0" borderId="0" applyFont="0" applyFill="0" applyBorder="0" applyAlignment="0" applyProtection="0"/>
    <xf numFmtId="227" fontId="36" fillId="0" borderId="0" applyFont="0" applyFill="0" applyBorder="0" applyAlignment="0" applyProtection="0"/>
    <xf numFmtId="223" fontId="138" fillId="0" borderId="0" applyFont="0" applyFill="0" applyBorder="0" applyAlignment="0" applyProtection="0"/>
    <xf numFmtId="220" fontId="138" fillId="0" borderId="0" applyFont="0" applyFill="0" applyBorder="0" applyAlignment="0" applyProtection="0"/>
    <xf numFmtId="165" fontId="138" fillId="0" borderId="0" applyFont="0" applyFill="0" applyBorder="0" applyAlignment="0" applyProtection="0"/>
    <xf numFmtId="165" fontId="124" fillId="0" borderId="0" applyFont="0" applyFill="0" applyBorder="0" applyAlignment="0" applyProtection="0"/>
    <xf numFmtId="165" fontId="124" fillId="0" borderId="0" applyFont="0" applyFill="0" applyBorder="0" applyAlignment="0" applyProtection="0"/>
    <xf numFmtId="217" fontId="124" fillId="0" borderId="0" applyFont="0" applyFill="0" applyBorder="0" applyAlignment="0" applyProtection="0"/>
    <xf numFmtId="217" fontId="124" fillId="0" borderId="0" applyFont="0" applyFill="0" applyBorder="0" applyAlignment="0" applyProtection="0"/>
    <xf numFmtId="165"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209" fontId="138" fillId="0" borderId="0" applyFont="0" applyFill="0" applyBorder="0" applyAlignment="0" applyProtection="0"/>
    <xf numFmtId="197" fontId="138" fillId="0" borderId="0" applyFont="0" applyFill="0" applyBorder="0" applyAlignment="0" applyProtection="0"/>
    <xf numFmtId="234"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234" fontId="138" fillId="0" borderId="0" applyFont="0" applyFill="0" applyBorder="0" applyAlignment="0" applyProtection="0"/>
    <xf numFmtId="236" fontId="138" fillId="0" borderId="0" applyFont="0" applyFill="0" applyBorder="0" applyAlignment="0" applyProtection="0"/>
    <xf numFmtId="209" fontId="124" fillId="0" borderId="0" applyFont="0" applyFill="0" applyBorder="0" applyAlignment="0" applyProtection="0"/>
    <xf numFmtId="197" fontId="138" fillId="0" borderId="0" applyFont="0" applyFill="0" applyBorder="0" applyAlignment="0" applyProtection="0"/>
    <xf numFmtId="209" fontId="124"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4" fontId="138" fillId="0" borderId="0" applyFont="0" applyFill="0" applyBorder="0" applyAlignment="0" applyProtection="0"/>
    <xf numFmtId="199" fontId="138" fillId="0" borderId="0" applyFont="0" applyFill="0" applyBorder="0" applyAlignment="0" applyProtection="0"/>
    <xf numFmtId="235" fontId="138" fillId="0" borderId="0" applyFont="0" applyFill="0" applyBorder="0" applyAlignment="0" applyProtection="0"/>
    <xf numFmtId="237" fontId="138" fillId="0" borderId="0" applyFont="0" applyFill="0" applyBorder="0" applyAlignment="0" applyProtection="0"/>
    <xf numFmtId="238" fontId="138" fillId="0" borderId="0" applyFont="0" applyFill="0" applyBorder="0" applyAlignment="0" applyProtection="0"/>
    <xf numFmtId="237" fontId="138" fillId="0" borderId="0" applyFont="0" applyFill="0" applyBorder="0" applyAlignment="0" applyProtection="0"/>
    <xf numFmtId="234" fontId="138" fillId="0" borderId="0" applyFont="0" applyFill="0" applyBorder="0" applyAlignment="0" applyProtection="0"/>
    <xf numFmtId="209" fontId="138" fillId="0" borderId="0" applyFont="0" applyFill="0" applyBorder="0" applyAlignment="0" applyProtection="0"/>
    <xf numFmtId="209"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199" fontId="138" fillId="0" borderId="0" applyFont="0" applyFill="0" applyBorder="0" applyAlignment="0" applyProtection="0"/>
    <xf numFmtId="199" fontId="138" fillId="0" borderId="0" applyFont="0" applyFill="0" applyBorder="0" applyAlignment="0" applyProtection="0"/>
    <xf numFmtId="209" fontId="138" fillId="0" borderId="0" applyFont="0" applyFill="0" applyBorder="0" applyAlignment="0" applyProtection="0"/>
    <xf numFmtId="239"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240" fontId="124"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02" fontId="142" fillId="0" borderId="0" applyFont="0" applyFill="0" applyBorder="0" applyAlignment="0" applyProtection="0"/>
    <xf numFmtId="241" fontId="138" fillId="0" borderId="0" applyFont="0" applyFill="0" applyBorder="0" applyAlignment="0" applyProtection="0"/>
    <xf numFmtId="241" fontId="138" fillId="0" borderId="0" applyFont="0" applyFill="0" applyBorder="0" applyAlignment="0" applyProtection="0"/>
    <xf numFmtId="242" fontId="6" fillId="0" borderId="0" applyFont="0" applyFill="0" applyBorder="0" applyAlignment="0" applyProtection="0"/>
    <xf numFmtId="213" fontId="142" fillId="0" borderId="0" applyFont="0" applyFill="0" applyBorder="0" applyAlignment="0" applyProtection="0"/>
    <xf numFmtId="241" fontId="138" fillId="0" borderId="0" applyFont="0" applyFill="0" applyBorder="0" applyAlignment="0" applyProtection="0"/>
    <xf numFmtId="202" fontId="142" fillId="0" borderId="0" applyFont="0" applyFill="0" applyBorder="0" applyAlignment="0" applyProtection="0"/>
    <xf numFmtId="243" fontId="36" fillId="0" borderId="0" applyFont="0" applyFill="0" applyBorder="0" applyAlignment="0" applyProtection="0"/>
    <xf numFmtId="235"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210" fontId="124" fillId="0" borderId="0" applyFont="0" applyFill="0" applyBorder="0" applyAlignment="0" applyProtection="0"/>
    <xf numFmtId="211" fontId="138" fillId="0" borderId="0" applyFont="0" applyFill="0" applyBorder="0" applyAlignment="0" applyProtection="0"/>
    <xf numFmtId="212" fontId="138" fillId="0" borderId="0" applyFont="0" applyFill="0" applyBorder="0" applyAlignment="0" applyProtection="0"/>
    <xf numFmtId="211" fontId="138" fillId="0" borderId="0" applyFont="0" applyFill="0" applyBorder="0" applyAlignment="0" applyProtection="0"/>
    <xf numFmtId="202" fontId="141" fillId="0" borderId="0" applyFont="0" applyFill="0" applyBorder="0" applyAlignment="0" applyProtection="0"/>
    <xf numFmtId="42" fontId="138" fillId="0" borderId="0" applyFont="0" applyFill="0" applyBorder="0" applyAlignment="0" applyProtection="0"/>
    <xf numFmtId="185" fontId="124" fillId="0" borderId="0" applyFont="0" applyFill="0" applyBorder="0" applyAlignment="0" applyProtection="0"/>
    <xf numFmtId="42" fontId="138" fillId="0" borderId="0" applyFont="0" applyFill="0" applyBorder="0" applyAlignment="0" applyProtection="0"/>
    <xf numFmtId="211" fontId="138" fillId="0" borderId="0" applyFont="0" applyFill="0" applyBorder="0" applyAlignment="0" applyProtection="0"/>
    <xf numFmtId="202" fontId="141" fillId="0" borderId="0" applyFont="0" applyFill="0" applyBorder="0" applyAlignment="0" applyProtection="0"/>
    <xf numFmtId="203" fontId="138" fillId="0" borderId="0" applyFont="0" applyFill="0" applyBorder="0" applyAlignment="0" applyProtection="0"/>
    <xf numFmtId="210" fontId="124" fillId="0" borderId="0" applyFont="0" applyFill="0" applyBorder="0" applyAlignment="0" applyProtection="0"/>
    <xf numFmtId="228" fontId="142" fillId="0" borderId="0" applyFont="0" applyFill="0" applyBorder="0" applyAlignment="0" applyProtection="0"/>
    <xf numFmtId="229" fontId="138" fillId="0" borderId="0" applyFont="0" applyFill="0" applyBorder="0" applyAlignment="0" applyProtection="0"/>
    <xf numFmtId="229" fontId="138" fillId="0" borderId="0" applyFont="0" applyFill="0" applyBorder="0" applyAlignment="0" applyProtection="0"/>
    <xf numFmtId="230" fontId="142" fillId="0" borderId="0" applyFont="0" applyFill="0" applyBorder="0" applyAlignment="0" applyProtection="0"/>
    <xf numFmtId="229" fontId="138" fillId="0" borderId="0" applyFont="0" applyFill="0" applyBorder="0" applyAlignment="0" applyProtection="0"/>
    <xf numFmtId="228" fontId="142" fillId="0" borderId="0" applyFont="0" applyFill="0" applyBorder="0" applyAlignment="0" applyProtection="0"/>
    <xf numFmtId="229" fontId="138" fillId="0" borderId="0" applyFont="0" applyFill="0" applyBorder="0" applyAlignment="0" applyProtection="0"/>
    <xf numFmtId="210" fontId="138" fillId="0" borderId="0" applyFont="0" applyFill="0" applyBorder="0" applyAlignment="0" applyProtection="0"/>
    <xf numFmtId="210" fontId="138" fillId="0" borderId="0" applyFont="0" applyFill="0" applyBorder="0" applyAlignment="0" applyProtection="0"/>
    <xf numFmtId="230" fontId="142" fillId="0" borderId="0" applyFont="0" applyFill="0" applyBorder="0" applyAlignment="0" applyProtection="0"/>
    <xf numFmtId="231" fontId="138" fillId="0" borderId="0" applyFont="0" applyFill="0" applyBorder="0" applyAlignment="0" applyProtection="0"/>
    <xf numFmtId="231" fontId="138" fillId="0" borderId="0" applyFont="0" applyFill="0" applyBorder="0" applyAlignment="0" applyProtection="0"/>
    <xf numFmtId="232" fontId="6" fillId="0" borderId="0" applyFont="0" applyFill="0" applyBorder="0" applyAlignment="0" applyProtection="0"/>
    <xf numFmtId="164" fontId="142" fillId="0" borderId="0" applyFont="0" applyFill="0" applyBorder="0" applyAlignment="0" applyProtection="0"/>
    <xf numFmtId="231" fontId="138" fillId="0" borderId="0" applyFont="0" applyFill="0" applyBorder="0" applyAlignment="0" applyProtection="0"/>
    <xf numFmtId="230" fontId="142" fillId="0" borderId="0" applyFont="0" applyFill="0" applyBorder="0" applyAlignment="0" applyProtection="0"/>
    <xf numFmtId="182" fontId="36" fillId="0" borderId="0" applyFont="0" applyFill="0" applyBorder="0" applyAlignment="0" applyProtection="0"/>
    <xf numFmtId="233" fontId="138" fillId="0" borderId="0" applyFont="0" applyFill="0" applyBorder="0" applyAlignment="0" applyProtection="0"/>
    <xf numFmtId="164" fontId="124" fillId="0" borderId="0" applyFont="0" applyFill="0" applyBorder="0" applyAlignment="0" applyProtection="0"/>
    <xf numFmtId="42" fontId="138" fillId="0" borderId="0" applyFont="0" applyFill="0" applyBorder="0" applyAlignment="0" applyProtection="0"/>
    <xf numFmtId="165" fontId="124" fillId="0" borderId="0" applyFont="0" applyFill="0" applyBorder="0" applyAlignment="0" applyProtection="0"/>
    <xf numFmtId="209" fontId="138" fillId="0" borderId="0" applyFont="0" applyFill="0" applyBorder="0" applyAlignment="0" applyProtection="0"/>
    <xf numFmtId="197" fontId="138" fillId="0" borderId="0" applyFont="0" applyFill="0" applyBorder="0" applyAlignment="0" applyProtection="0"/>
    <xf numFmtId="234"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234" fontId="138" fillId="0" borderId="0" applyFont="0" applyFill="0" applyBorder="0" applyAlignment="0" applyProtection="0"/>
    <xf numFmtId="236" fontId="138" fillId="0" borderId="0" applyFont="0" applyFill="0" applyBorder="0" applyAlignment="0" applyProtection="0"/>
    <xf numFmtId="209" fontId="124" fillId="0" borderId="0" applyFont="0" applyFill="0" applyBorder="0" applyAlignment="0" applyProtection="0"/>
    <xf numFmtId="197" fontId="138" fillId="0" borderId="0" applyFont="0" applyFill="0" applyBorder="0" applyAlignment="0" applyProtection="0"/>
    <xf numFmtId="209" fontId="124"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4" fontId="138" fillId="0" borderId="0" applyFont="0" applyFill="0" applyBorder="0" applyAlignment="0" applyProtection="0"/>
    <xf numFmtId="199" fontId="138" fillId="0" borderId="0" applyFont="0" applyFill="0" applyBorder="0" applyAlignment="0" applyProtection="0"/>
    <xf numFmtId="235" fontId="138" fillId="0" borderId="0" applyFont="0" applyFill="0" applyBorder="0" applyAlignment="0" applyProtection="0"/>
    <xf numFmtId="237" fontId="138" fillId="0" borderId="0" applyFont="0" applyFill="0" applyBorder="0" applyAlignment="0" applyProtection="0"/>
    <xf numFmtId="238" fontId="138" fillId="0" borderId="0" applyFont="0" applyFill="0" applyBorder="0" applyAlignment="0" applyProtection="0"/>
    <xf numFmtId="237" fontId="138" fillId="0" borderId="0" applyFont="0" applyFill="0" applyBorder="0" applyAlignment="0" applyProtection="0"/>
    <xf numFmtId="234" fontId="138" fillId="0" borderId="0" applyFont="0" applyFill="0" applyBorder="0" applyAlignment="0" applyProtection="0"/>
    <xf numFmtId="209" fontId="138" fillId="0" borderId="0" applyFont="0" applyFill="0" applyBorder="0" applyAlignment="0" applyProtection="0"/>
    <xf numFmtId="209"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199" fontId="138" fillId="0" borderId="0" applyFont="0" applyFill="0" applyBorder="0" applyAlignment="0" applyProtection="0"/>
    <xf numFmtId="199" fontId="138" fillId="0" borderId="0" applyFont="0" applyFill="0" applyBorder="0" applyAlignment="0" applyProtection="0"/>
    <xf numFmtId="209" fontId="138" fillId="0" borderId="0" applyFont="0" applyFill="0" applyBorder="0" applyAlignment="0" applyProtection="0"/>
    <xf numFmtId="239"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240" fontId="124"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02" fontId="142" fillId="0" borderId="0" applyFont="0" applyFill="0" applyBorder="0" applyAlignment="0" applyProtection="0"/>
    <xf numFmtId="241" fontId="138" fillId="0" borderId="0" applyFont="0" applyFill="0" applyBorder="0" applyAlignment="0" applyProtection="0"/>
    <xf numFmtId="241" fontId="138" fillId="0" borderId="0" applyFont="0" applyFill="0" applyBorder="0" applyAlignment="0" applyProtection="0"/>
    <xf numFmtId="242" fontId="6" fillId="0" borderId="0" applyFont="0" applyFill="0" applyBorder="0" applyAlignment="0" applyProtection="0"/>
    <xf numFmtId="213" fontId="142" fillId="0" borderId="0" applyFont="0" applyFill="0" applyBorder="0" applyAlignment="0" applyProtection="0"/>
    <xf numFmtId="241" fontId="138" fillId="0" borderId="0" applyFont="0" applyFill="0" applyBorder="0" applyAlignment="0" applyProtection="0"/>
    <xf numFmtId="202" fontId="142" fillId="0" borderId="0" applyFont="0" applyFill="0" applyBorder="0" applyAlignment="0" applyProtection="0"/>
    <xf numFmtId="243" fontId="36" fillId="0" borderId="0" applyFont="0" applyFill="0" applyBorder="0" applyAlignment="0" applyProtection="0"/>
    <xf numFmtId="235"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218" fontId="138" fillId="0" borderId="0" applyFont="0" applyFill="0" applyBorder="0" applyAlignment="0" applyProtection="0"/>
    <xf numFmtId="166" fontId="138" fillId="0" borderId="0" applyFont="0" applyFill="0" applyBorder="0" applyAlignment="0" applyProtection="0"/>
    <xf numFmtId="219"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166" fontId="138" fillId="0" borderId="0" applyFont="0" applyFill="0" applyBorder="0" applyAlignment="0" applyProtection="0"/>
    <xf numFmtId="218" fontId="138" fillId="0" borderId="0" applyFont="0" applyFill="0" applyBorder="0" applyAlignment="0" applyProtection="0"/>
    <xf numFmtId="219" fontId="138" fillId="0" borderId="0" applyFont="0" applyFill="0" applyBorder="0" applyAlignment="0" applyProtection="0"/>
    <xf numFmtId="221" fontId="138" fillId="0" borderId="0" applyFont="0" applyFill="0" applyBorder="0" applyAlignment="0" applyProtection="0"/>
    <xf numFmtId="0" fontId="138" fillId="0" borderId="0" applyFont="0" applyFill="0" applyBorder="0" applyAlignment="0" applyProtection="0"/>
    <xf numFmtId="166" fontId="138" fillId="0" borderId="0" applyFont="0" applyFill="0" applyBorder="0" applyAlignment="0" applyProtection="0"/>
    <xf numFmtId="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19" fontId="138" fillId="0" borderId="0" applyFont="0" applyFill="0" applyBorder="0" applyAlignment="0" applyProtection="0"/>
    <xf numFmtId="200" fontId="138" fillId="0" borderId="0" applyFont="0" applyFill="0" applyBorder="0" applyAlignment="0" applyProtection="0"/>
    <xf numFmtId="220" fontId="138" fillId="0" borderId="0" applyFont="0" applyFill="0" applyBorder="0" applyAlignment="0" applyProtection="0"/>
    <xf numFmtId="222" fontId="138" fillId="0" borderId="0" applyFont="0" applyFill="0" applyBorder="0" applyAlignment="0" applyProtection="0"/>
    <xf numFmtId="222" fontId="138" fillId="0" borderId="0" applyFont="0" applyFill="0" applyBorder="0" applyAlignment="0" applyProtection="0"/>
    <xf numFmtId="219" fontId="138" fillId="0" borderId="0" applyFont="0" applyFill="0" applyBorder="0" applyAlignment="0" applyProtection="0"/>
    <xf numFmtId="218" fontId="138" fillId="0" borderId="0" applyFont="0" applyFill="0" applyBorder="0" applyAlignment="0" applyProtection="0"/>
    <xf numFmtId="218"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00" fontId="138" fillId="0" borderId="0" applyFont="0" applyFill="0" applyBorder="0" applyAlignment="0" applyProtection="0"/>
    <xf numFmtId="200" fontId="138" fillId="0" borderId="0" applyFont="0" applyFill="0" applyBorder="0" applyAlignment="0" applyProtection="0"/>
    <xf numFmtId="218" fontId="138" fillId="0" borderId="0" applyFont="0" applyFill="0" applyBorder="0" applyAlignment="0" applyProtection="0"/>
    <xf numFmtId="223"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224" fontId="124"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164" fontId="142" fillId="0" borderId="0" applyFont="0" applyFill="0" applyBorder="0" applyAlignment="0" applyProtection="0"/>
    <xf numFmtId="225" fontId="138" fillId="0" borderId="0" applyFont="0" applyFill="0" applyBorder="0" applyAlignment="0" applyProtection="0"/>
    <xf numFmtId="225" fontId="138" fillId="0" borderId="0" applyFont="0" applyFill="0" applyBorder="0" applyAlignment="0" applyProtection="0"/>
    <xf numFmtId="226" fontId="6" fillId="0" borderId="0" applyFont="0" applyFill="0" applyBorder="0" applyAlignment="0" applyProtection="0"/>
    <xf numFmtId="165" fontId="142" fillId="0" borderId="0" applyFont="0" applyFill="0" applyBorder="0" applyAlignment="0" applyProtection="0"/>
    <xf numFmtId="225" fontId="138" fillId="0" borderId="0" applyFont="0" applyFill="0" applyBorder="0" applyAlignment="0" applyProtection="0"/>
    <xf numFmtId="164" fontId="142" fillId="0" borderId="0" applyFont="0" applyFill="0" applyBorder="0" applyAlignment="0" applyProtection="0"/>
    <xf numFmtId="227" fontId="36" fillId="0" borderId="0" applyFont="0" applyFill="0" applyBorder="0" applyAlignment="0" applyProtection="0"/>
    <xf numFmtId="223" fontId="138" fillId="0" borderId="0" applyFont="0" applyFill="0" applyBorder="0" applyAlignment="0" applyProtection="0"/>
    <xf numFmtId="220"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164" fontId="124" fillId="0" borderId="0" applyFont="0" applyFill="0" applyBorder="0" applyAlignment="0" applyProtection="0"/>
    <xf numFmtId="206" fontId="124" fillId="0" borderId="0" applyFont="0" applyFill="0" applyBorder="0" applyAlignment="0" applyProtection="0"/>
    <xf numFmtId="202" fontId="124" fillId="0" borderId="0" applyFont="0" applyFill="0" applyBorder="0" applyAlignment="0" applyProtection="0"/>
    <xf numFmtId="202" fontId="124" fillId="0" borderId="0" applyFont="0" applyFill="0" applyBorder="0" applyAlignment="0" applyProtection="0"/>
    <xf numFmtId="213" fontId="142" fillId="0" borderId="0" applyFont="0" applyFill="0" applyBorder="0" applyAlignment="0" applyProtection="0"/>
    <xf numFmtId="214" fontId="124" fillId="0" borderId="0" applyFont="0" applyFill="0" applyBorder="0" applyAlignment="0" applyProtection="0"/>
    <xf numFmtId="214" fontId="124" fillId="0" borderId="0" applyFont="0" applyFill="0" applyBorder="0" applyAlignment="0" applyProtection="0"/>
    <xf numFmtId="215" fontId="6" fillId="0" borderId="0" applyFont="0" applyFill="0" applyBorder="0" applyAlignment="0" applyProtection="0"/>
    <xf numFmtId="215" fontId="142" fillId="0" borderId="0" applyFont="0" applyFill="0" applyBorder="0" applyAlignment="0" applyProtection="0"/>
    <xf numFmtId="214" fontId="124" fillId="0" borderId="0" applyFont="0" applyFill="0" applyBorder="0" applyAlignment="0" applyProtection="0"/>
    <xf numFmtId="213" fontId="142" fillId="0" borderId="0" applyFont="0" applyFill="0" applyBorder="0" applyAlignment="0" applyProtection="0"/>
    <xf numFmtId="216" fontId="124" fillId="0" borderId="0" applyFont="0" applyFill="0" applyBorder="0" applyAlignment="0" applyProtection="0"/>
    <xf numFmtId="202" fontId="124" fillId="0" borderId="0" applyFont="0" applyFill="0" applyBorder="0" applyAlignment="0" applyProtection="0"/>
    <xf numFmtId="165" fontId="124" fillId="0" borderId="0" applyFont="0" applyFill="0" applyBorder="0" applyAlignment="0" applyProtection="0"/>
    <xf numFmtId="217" fontId="124" fillId="0" borderId="0" applyFont="0" applyFill="0" applyBorder="0" applyAlignment="0" applyProtection="0"/>
    <xf numFmtId="217" fontId="124" fillId="0" borderId="0" applyFont="0" applyFill="0" applyBorder="0" applyAlignment="0" applyProtection="0"/>
    <xf numFmtId="42" fontId="138" fillId="0" borderId="0" applyFont="0" applyFill="0" applyBorder="0" applyAlignment="0" applyProtection="0"/>
    <xf numFmtId="211" fontId="138" fillId="0" borderId="0" applyFont="0" applyFill="0" applyBorder="0" applyAlignment="0" applyProtection="0"/>
    <xf numFmtId="202" fontId="141"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203" fontId="138" fillId="0" borderId="0" applyFont="0" applyFill="0" applyBorder="0" applyAlignment="0" applyProtection="0"/>
    <xf numFmtId="210" fontId="124" fillId="0" borderId="0" applyFont="0" applyFill="0" applyBorder="0" applyAlignment="0" applyProtection="0"/>
    <xf numFmtId="228" fontId="142" fillId="0" borderId="0" applyFont="0" applyFill="0" applyBorder="0" applyAlignment="0" applyProtection="0"/>
    <xf numFmtId="229" fontId="138" fillId="0" borderId="0" applyFont="0" applyFill="0" applyBorder="0" applyAlignment="0" applyProtection="0"/>
    <xf numFmtId="229" fontId="138" fillId="0" borderId="0" applyFont="0" applyFill="0" applyBorder="0" applyAlignment="0" applyProtection="0"/>
    <xf numFmtId="230" fontId="142" fillId="0" borderId="0" applyFont="0" applyFill="0" applyBorder="0" applyAlignment="0" applyProtection="0"/>
    <xf numFmtId="229" fontId="138" fillId="0" borderId="0" applyFont="0" applyFill="0" applyBorder="0" applyAlignment="0" applyProtection="0"/>
    <xf numFmtId="228" fontId="142" fillId="0" borderId="0" applyFont="0" applyFill="0" applyBorder="0" applyAlignment="0" applyProtection="0"/>
    <xf numFmtId="229" fontId="138" fillId="0" borderId="0" applyFont="0" applyFill="0" applyBorder="0" applyAlignment="0" applyProtection="0"/>
    <xf numFmtId="210" fontId="138" fillId="0" borderId="0" applyFont="0" applyFill="0" applyBorder="0" applyAlignment="0" applyProtection="0"/>
    <xf numFmtId="210" fontId="138" fillId="0" borderId="0" applyFont="0" applyFill="0" applyBorder="0" applyAlignment="0" applyProtection="0"/>
    <xf numFmtId="42" fontId="138" fillId="0" borderId="0" applyFont="0" applyFill="0" applyBorder="0" applyAlignment="0" applyProtection="0"/>
    <xf numFmtId="42" fontId="138" fillId="0" borderId="0" applyFont="0" applyFill="0" applyBorder="0" applyAlignment="0" applyProtection="0"/>
    <xf numFmtId="0" fontId="129" fillId="0" borderId="0"/>
    <xf numFmtId="230" fontId="142" fillId="0" borderId="0" applyFont="0" applyFill="0" applyBorder="0" applyAlignment="0" applyProtection="0"/>
    <xf numFmtId="231" fontId="138" fillId="0" borderId="0" applyFont="0" applyFill="0" applyBorder="0" applyAlignment="0" applyProtection="0"/>
    <xf numFmtId="231" fontId="138" fillId="0" borderId="0" applyFont="0" applyFill="0" applyBorder="0" applyAlignment="0" applyProtection="0"/>
    <xf numFmtId="232" fontId="6" fillId="0" borderId="0" applyFont="0" applyFill="0" applyBorder="0" applyAlignment="0" applyProtection="0"/>
    <xf numFmtId="164" fontId="142" fillId="0" borderId="0" applyFont="0" applyFill="0" applyBorder="0" applyAlignment="0" applyProtection="0"/>
    <xf numFmtId="231" fontId="138" fillId="0" borderId="0" applyFont="0" applyFill="0" applyBorder="0" applyAlignment="0" applyProtection="0"/>
    <xf numFmtId="230" fontId="142" fillId="0" borderId="0" applyFont="0" applyFill="0" applyBorder="0" applyAlignment="0" applyProtection="0"/>
    <xf numFmtId="182" fontId="36" fillId="0" borderId="0" applyFont="0" applyFill="0" applyBorder="0" applyAlignment="0" applyProtection="0"/>
    <xf numFmtId="233" fontId="138" fillId="0" borderId="0" applyFont="0" applyFill="0" applyBorder="0" applyAlignment="0" applyProtection="0"/>
    <xf numFmtId="42" fontId="138" fillId="0" borderId="0" applyFont="0" applyFill="0" applyBorder="0" applyAlignment="0" applyProtection="0"/>
    <xf numFmtId="42" fontId="138" fillId="0" borderId="0" applyFont="0" applyFill="0" applyBorder="0" applyAlignment="0" applyProtection="0"/>
    <xf numFmtId="164" fontId="124" fillId="0" borderId="0" applyFont="0" applyFill="0" applyBorder="0" applyAlignment="0" applyProtection="0"/>
    <xf numFmtId="209" fontId="138" fillId="0" borderId="0" applyFont="0" applyFill="0" applyBorder="0" applyAlignment="0" applyProtection="0"/>
    <xf numFmtId="197" fontId="138" fillId="0" borderId="0" applyFont="0" applyFill="0" applyBorder="0" applyAlignment="0" applyProtection="0"/>
    <xf numFmtId="234"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234" fontId="138" fillId="0" borderId="0" applyFont="0" applyFill="0" applyBorder="0" applyAlignment="0" applyProtection="0"/>
    <xf numFmtId="236" fontId="138" fillId="0" borderId="0" applyFont="0" applyFill="0" applyBorder="0" applyAlignment="0" applyProtection="0"/>
    <xf numFmtId="209" fontId="124" fillId="0" borderId="0" applyFont="0" applyFill="0" applyBorder="0" applyAlignment="0" applyProtection="0"/>
    <xf numFmtId="197" fontId="138" fillId="0" borderId="0" applyFont="0" applyFill="0" applyBorder="0" applyAlignment="0" applyProtection="0"/>
    <xf numFmtId="209" fontId="124"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4" fontId="138" fillId="0" borderId="0" applyFont="0" applyFill="0" applyBorder="0" applyAlignment="0" applyProtection="0"/>
    <xf numFmtId="199" fontId="138" fillId="0" borderId="0" applyFont="0" applyFill="0" applyBorder="0" applyAlignment="0" applyProtection="0"/>
    <xf numFmtId="235" fontId="138" fillId="0" borderId="0" applyFont="0" applyFill="0" applyBorder="0" applyAlignment="0" applyProtection="0"/>
    <xf numFmtId="237" fontId="138" fillId="0" borderId="0" applyFont="0" applyFill="0" applyBorder="0" applyAlignment="0" applyProtection="0"/>
    <xf numFmtId="238" fontId="138" fillId="0" borderId="0" applyFont="0" applyFill="0" applyBorder="0" applyAlignment="0" applyProtection="0"/>
    <xf numFmtId="237" fontId="138" fillId="0" borderId="0" applyFont="0" applyFill="0" applyBorder="0" applyAlignment="0" applyProtection="0"/>
    <xf numFmtId="234" fontId="138" fillId="0" borderId="0" applyFont="0" applyFill="0" applyBorder="0" applyAlignment="0" applyProtection="0"/>
    <xf numFmtId="209" fontId="138" fillId="0" borderId="0" applyFont="0" applyFill="0" applyBorder="0" applyAlignment="0" applyProtection="0"/>
    <xf numFmtId="209"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199" fontId="138" fillId="0" borderId="0" applyFont="0" applyFill="0" applyBorder="0" applyAlignment="0" applyProtection="0"/>
    <xf numFmtId="199" fontId="138" fillId="0" borderId="0" applyFont="0" applyFill="0" applyBorder="0" applyAlignment="0" applyProtection="0"/>
    <xf numFmtId="209" fontId="138" fillId="0" borderId="0" applyFont="0" applyFill="0" applyBorder="0" applyAlignment="0" applyProtection="0"/>
    <xf numFmtId="239"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240" fontId="124"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02" fontId="142" fillId="0" borderId="0" applyFont="0" applyFill="0" applyBorder="0" applyAlignment="0" applyProtection="0"/>
    <xf numFmtId="241" fontId="138" fillId="0" borderId="0" applyFont="0" applyFill="0" applyBorder="0" applyAlignment="0" applyProtection="0"/>
    <xf numFmtId="241" fontId="138" fillId="0" borderId="0" applyFont="0" applyFill="0" applyBorder="0" applyAlignment="0" applyProtection="0"/>
    <xf numFmtId="242" fontId="6" fillId="0" borderId="0" applyFont="0" applyFill="0" applyBorder="0" applyAlignment="0" applyProtection="0"/>
    <xf numFmtId="213" fontId="142" fillId="0" borderId="0" applyFont="0" applyFill="0" applyBorder="0" applyAlignment="0" applyProtection="0"/>
    <xf numFmtId="241" fontId="138" fillId="0" borderId="0" applyFont="0" applyFill="0" applyBorder="0" applyAlignment="0" applyProtection="0"/>
    <xf numFmtId="202" fontId="142" fillId="0" borderId="0" applyFont="0" applyFill="0" applyBorder="0" applyAlignment="0" applyProtection="0"/>
    <xf numFmtId="243" fontId="36" fillId="0" borderId="0" applyFont="0" applyFill="0" applyBorder="0" applyAlignment="0" applyProtection="0"/>
    <xf numFmtId="235"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218" fontId="138" fillId="0" borderId="0" applyFont="0" applyFill="0" applyBorder="0" applyAlignment="0" applyProtection="0"/>
    <xf numFmtId="166" fontId="138" fillId="0" borderId="0" applyFont="0" applyFill="0" applyBorder="0" applyAlignment="0" applyProtection="0"/>
    <xf numFmtId="219"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166" fontId="138" fillId="0" borderId="0" applyFont="0" applyFill="0" applyBorder="0" applyAlignment="0" applyProtection="0"/>
    <xf numFmtId="218" fontId="138" fillId="0" borderId="0" applyFont="0" applyFill="0" applyBorder="0" applyAlignment="0" applyProtection="0"/>
    <xf numFmtId="219" fontId="138" fillId="0" borderId="0" applyFont="0" applyFill="0" applyBorder="0" applyAlignment="0" applyProtection="0"/>
    <xf numFmtId="221" fontId="138" fillId="0" borderId="0" applyFont="0" applyFill="0" applyBorder="0" applyAlignment="0" applyProtection="0"/>
    <xf numFmtId="0" fontId="138" fillId="0" borderId="0" applyFont="0" applyFill="0" applyBorder="0" applyAlignment="0" applyProtection="0"/>
    <xf numFmtId="166" fontId="138" fillId="0" borderId="0" applyFont="0" applyFill="0" applyBorder="0" applyAlignment="0" applyProtection="0"/>
    <xf numFmtId="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19" fontId="138" fillId="0" borderId="0" applyFont="0" applyFill="0" applyBorder="0" applyAlignment="0" applyProtection="0"/>
    <xf numFmtId="200" fontId="138" fillId="0" borderId="0" applyFont="0" applyFill="0" applyBorder="0" applyAlignment="0" applyProtection="0"/>
    <xf numFmtId="220" fontId="138" fillId="0" borderId="0" applyFont="0" applyFill="0" applyBorder="0" applyAlignment="0" applyProtection="0"/>
    <xf numFmtId="222" fontId="138" fillId="0" borderId="0" applyFont="0" applyFill="0" applyBorder="0" applyAlignment="0" applyProtection="0"/>
    <xf numFmtId="222" fontId="138" fillId="0" borderId="0" applyFont="0" applyFill="0" applyBorder="0" applyAlignment="0" applyProtection="0"/>
    <xf numFmtId="219" fontId="138" fillId="0" borderId="0" applyFont="0" applyFill="0" applyBorder="0" applyAlignment="0" applyProtection="0"/>
    <xf numFmtId="218" fontId="138" fillId="0" borderId="0" applyFont="0" applyFill="0" applyBorder="0" applyAlignment="0" applyProtection="0"/>
    <xf numFmtId="218"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00" fontId="138" fillId="0" borderId="0" applyFont="0" applyFill="0" applyBorder="0" applyAlignment="0" applyProtection="0"/>
    <xf numFmtId="200" fontId="138" fillId="0" borderId="0" applyFont="0" applyFill="0" applyBorder="0" applyAlignment="0" applyProtection="0"/>
    <xf numFmtId="218" fontId="138" fillId="0" borderId="0" applyFont="0" applyFill="0" applyBorder="0" applyAlignment="0" applyProtection="0"/>
    <xf numFmtId="223"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224" fontId="124"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220" fontId="138" fillId="0" borderId="0" applyFont="0" applyFill="0" applyBorder="0" applyAlignment="0" applyProtection="0"/>
    <xf numFmtId="218" fontId="138" fillId="0" borderId="0" applyFont="0" applyFill="0" applyBorder="0" applyAlignment="0" applyProtection="0"/>
    <xf numFmtId="164" fontId="142" fillId="0" borderId="0" applyFont="0" applyFill="0" applyBorder="0" applyAlignment="0" applyProtection="0"/>
    <xf numFmtId="225" fontId="138" fillId="0" borderId="0" applyFont="0" applyFill="0" applyBorder="0" applyAlignment="0" applyProtection="0"/>
    <xf numFmtId="225" fontId="138" fillId="0" borderId="0" applyFont="0" applyFill="0" applyBorder="0" applyAlignment="0" applyProtection="0"/>
    <xf numFmtId="226" fontId="6" fillId="0" borderId="0" applyFont="0" applyFill="0" applyBorder="0" applyAlignment="0" applyProtection="0"/>
    <xf numFmtId="165" fontId="142" fillId="0" borderId="0" applyFont="0" applyFill="0" applyBorder="0" applyAlignment="0" applyProtection="0"/>
    <xf numFmtId="225" fontId="138" fillId="0" borderId="0" applyFont="0" applyFill="0" applyBorder="0" applyAlignment="0" applyProtection="0"/>
    <xf numFmtId="164" fontId="142" fillId="0" borderId="0" applyFont="0" applyFill="0" applyBorder="0" applyAlignment="0" applyProtection="0"/>
    <xf numFmtId="227" fontId="36" fillId="0" borderId="0" applyFont="0" applyFill="0" applyBorder="0" applyAlignment="0" applyProtection="0"/>
    <xf numFmtId="223" fontId="138" fillId="0" borderId="0" applyFont="0" applyFill="0" applyBorder="0" applyAlignment="0" applyProtection="0"/>
    <xf numFmtId="220"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220" fontId="138" fillId="0" borderId="0" applyFont="0" applyFill="0" applyBorder="0" applyAlignment="0" applyProtection="0"/>
    <xf numFmtId="220" fontId="138" fillId="0" borderId="0" applyFont="0" applyFill="0" applyBorder="0" applyAlignment="0" applyProtection="0"/>
    <xf numFmtId="166" fontId="138" fillId="0" borderId="0" applyFont="0" applyFill="0" applyBorder="0" applyAlignment="0" applyProtection="0"/>
    <xf numFmtId="220" fontId="138" fillId="0" borderId="0" applyFont="0" applyFill="0" applyBorder="0" applyAlignment="0" applyProtection="0"/>
    <xf numFmtId="206" fontId="124" fillId="0" borderId="0" applyFont="0" applyFill="0" applyBorder="0" applyAlignment="0" applyProtection="0"/>
    <xf numFmtId="202" fontId="124" fillId="0" borderId="0" applyFont="0" applyFill="0" applyBorder="0" applyAlignment="0" applyProtection="0"/>
    <xf numFmtId="202" fontId="124" fillId="0" borderId="0" applyFont="0" applyFill="0" applyBorder="0" applyAlignment="0" applyProtection="0"/>
    <xf numFmtId="213" fontId="142" fillId="0" borderId="0" applyFont="0" applyFill="0" applyBorder="0" applyAlignment="0" applyProtection="0"/>
    <xf numFmtId="214" fontId="124" fillId="0" borderId="0" applyFont="0" applyFill="0" applyBorder="0" applyAlignment="0" applyProtection="0"/>
    <xf numFmtId="214" fontId="124" fillId="0" borderId="0" applyFont="0" applyFill="0" applyBorder="0" applyAlignment="0" applyProtection="0"/>
    <xf numFmtId="215" fontId="6" fillId="0" borderId="0" applyFont="0" applyFill="0" applyBorder="0" applyAlignment="0" applyProtection="0"/>
    <xf numFmtId="215" fontId="142" fillId="0" borderId="0" applyFont="0" applyFill="0" applyBorder="0" applyAlignment="0" applyProtection="0"/>
    <xf numFmtId="214" fontId="124" fillId="0" borderId="0" applyFont="0" applyFill="0" applyBorder="0" applyAlignment="0" applyProtection="0"/>
    <xf numFmtId="213" fontId="142" fillId="0" borderId="0" applyFont="0" applyFill="0" applyBorder="0" applyAlignment="0" applyProtection="0"/>
    <xf numFmtId="216" fontId="124" fillId="0" borderId="0" applyFont="0" applyFill="0" applyBorder="0" applyAlignment="0" applyProtection="0"/>
    <xf numFmtId="202" fontId="124" fillId="0" borderId="0" applyFont="0" applyFill="0" applyBorder="0" applyAlignment="0" applyProtection="0"/>
    <xf numFmtId="165" fontId="124" fillId="0" borderId="0" applyFont="0" applyFill="0" applyBorder="0" applyAlignment="0" applyProtection="0"/>
    <xf numFmtId="165" fontId="124" fillId="0" borderId="0" applyFont="0" applyFill="0" applyBorder="0" applyAlignment="0" applyProtection="0"/>
    <xf numFmtId="217" fontId="124" fillId="0" borderId="0" applyFont="0" applyFill="0" applyBorder="0" applyAlignment="0" applyProtection="0"/>
    <xf numFmtId="217" fontId="124" fillId="0" borderId="0" applyFont="0" applyFill="0" applyBorder="0" applyAlignment="0" applyProtection="0"/>
    <xf numFmtId="42" fontId="138" fillId="0" borderId="0" applyFont="0" applyFill="0" applyBorder="0" applyAlignment="0" applyProtection="0"/>
    <xf numFmtId="0" fontId="128" fillId="0" borderId="0" applyNumberFormat="0" applyFill="0" applyBorder="0" applyAlignment="0" applyProtection="0"/>
    <xf numFmtId="42" fontId="138" fillId="0" borderId="0" applyFont="0" applyFill="0" applyBorder="0" applyAlignment="0" applyProtection="0"/>
    <xf numFmtId="42" fontId="138" fillId="0" borderId="0" applyFont="0" applyFill="0" applyBorder="0" applyAlignment="0" applyProtection="0"/>
    <xf numFmtId="0" fontId="129" fillId="0" borderId="0"/>
    <xf numFmtId="0" fontId="128" fillId="0" borderId="0" applyNumberFormat="0" applyFill="0" applyBorder="0" applyAlignment="0" applyProtection="0"/>
    <xf numFmtId="0" fontId="128" fillId="0" borderId="0" applyNumberFormat="0" applyFill="0" applyBorder="0" applyAlignment="0" applyProtection="0"/>
    <xf numFmtId="42" fontId="138" fillId="0" borderId="0" applyFont="0" applyFill="0" applyBorder="0" applyAlignment="0" applyProtection="0"/>
    <xf numFmtId="0" fontId="140" fillId="0" borderId="0">
      <alignment vertical="top"/>
    </xf>
    <xf numFmtId="0" fontId="140" fillId="0" borderId="0">
      <alignment vertical="top"/>
    </xf>
    <xf numFmtId="0" fontId="140" fillId="0" borderId="0">
      <alignment vertical="top"/>
    </xf>
    <xf numFmtId="0" fontId="128" fillId="0" borderId="0" applyNumberFormat="0" applyFill="0" applyBorder="0" applyAlignment="0" applyProtection="0"/>
    <xf numFmtId="0" fontId="129" fillId="0" borderId="0"/>
    <xf numFmtId="0" fontId="139" fillId="0" borderId="0"/>
    <xf numFmtId="0" fontId="139" fillId="0" borderId="0"/>
    <xf numFmtId="206" fontId="138" fillId="0" borderId="0" applyFont="0" applyFill="0" applyBorder="0" applyAlignment="0" applyProtection="0"/>
    <xf numFmtId="244" fontId="143" fillId="0" borderId="0" applyFont="0" applyFill="0" applyBorder="0" applyAlignment="0" applyProtection="0"/>
    <xf numFmtId="245" fontId="144" fillId="0" borderId="0" applyFont="0" applyFill="0" applyBorder="0" applyAlignment="0" applyProtection="0"/>
    <xf numFmtId="246" fontId="144" fillId="0" borderId="0" applyFont="0" applyFill="0" applyBorder="0" applyAlignment="0" applyProtection="0"/>
    <xf numFmtId="0" fontId="145" fillId="0" borderId="0"/>
    <xf numFmtId="0" fontId="146" fillId="0" borderId="0"/>
    <xf numFmtId="0" fontId="146" fillId="0" borderId="0"/>
    <xf numFmtId="0" fontId="130" fillId="0" borderId="0"/>
    <xf numFmtId="1" fontId="147" fillId="0" borderId="10" applyBorder="0" applyAlignment="0">
      <alignment horizontal="center"/>
    </xf>
    <xf numFmtId="3" fontId="126" fillId="0" borderId="10"/>
    <xf numFmtId="3" fontId="126" fillId="0" borderId="10"/>
    <xf numFmtId="244" fontId="143" fillId="0" borderId="0" applyFont="0" applyFill="0" applyBorder="0" applyAlignment="0" applyProtection="0"/>
    <xf numFmtId="0" fontId="148" fillId="0" borderId="8" applyFont="0" applyAlignment="0">
      <alignment horizontal="left"/>
    </xf>
    <xf numFmtId="0" fontId="149" fillId="28" borderId="0"/>
    <xf numFmtId="0" fontId="150" fillId="28" borderId="0"/>
    <xf numFmtId="0" fontId="31" fillId="0" borderId="49" applyAlignment="0"/>
    <xf numFmtId="0" fontId="31" fillId="0" borderId="49" applyAlignment="0"/>
    <xf numFmtId="0" fontId="31" fillId="0" borderId="49" applyAlignment="0"/>
    <xf numFmtId="0" fontId="31" fillId="0" borderId="49" applyAlignment="0"/>
    <xf numFmtId="0" fontId="150" fillId="24" borderId="0"/>
    <xf numFmtId="0" fontId="150" fillId="28" borderId="0"/>
    <xf numFmtId="0" fontId="148" fillId="0" borderId="8" applyFont="0" applyAlignment="0">
      <alignment horizontal="left"/>
    </xf>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150" fillId="28" borderId="0"/>
    <xf numFmtId="0" fontId="148" fillId="0" borderId="8" applyFont="0" applyAlignment="0">
      <alignment horizontal="left"/>
    </xf>
    <xf numFmtId="0" fontId="31" fillId="0" borderId="49" applyAlignment="0"/>
    <xf numFmtId="0" fontId="149" fillId="28" borderId="0"/>
    <xf numFmtId="0" fontId="31" fillId="0" borderId="50" applyFill="0" applyAlignment="0"/>
    <xf numFmtId="0" fontId="150" fillId="24" borderId="0"/>
    <xf numFmtId="0" fontId="31" fillId="0" borderId="50" applyFill="0" applyAlignment="0"/>
    <xf numFmtId="0" fontId="150" fillId="28" borderId="0"/>
    <xf numFmtId="0" fontId="150" fillId="28" borderId="0"/>
    <xf numFmtId="0" fontId="31" fillId="0" borderId="49" applyAlignment="0"/>
    <xf numFmtId="0" fontId="31" fillId="0" borderId="49" applyAlignment="0"/>
    <xf numFmtId="0" fontId="149" fillId="28" borderId="0"/>
    <xf numFmtId="244" fontId="143" fillId="0" borderId="0" applyFont="0" applyFill="0" applyBorder="0" applyAlignment="0" applyProtection="0"/>
    <xf numFmtId="0" fontId="31" fillId="0" borderId="49" applyAlignment="0"/>
    <xf numFmtId="0" fontId="31" fillId="0" borderId="49" applyAlignment="0"/>
    <xf numFmtId="0" fontId="31" fillId="0" borderId="49" applyAlignment="0"/>
    <xf numFmtId="0" fontId="31" fillId="0" borderId="49" applyAlignment="0"/>
    <xf numFmtId="244" fontId="143" fillId="0" borderId="0" applyFont="0" applyFill="0" applyBorder="0" applyAlignment="0" applyProtection="0"/>
    <xf numFmtId="244" fontId="143" fillId="0" borderId="0" applyFont="0" applyFill="0" applyBorder="0" applyAlignment="0" applyProtection="0"/>
    <xf numFmtId="0" fontId="125" fillId="28" borderId="0"/>
    <xf numFmtId="0" fontId="150" fillId="28" borderId="0"/>
    <xf numFmtId="0" fontId="149" fillId="28" borderId="0"/>
    <xf numFmtId="0" fontId="150" fillId="28" borderId="0"/>
    <xf numFmtId="0" fontId="148" fillId="0" borderId="8" applyFont="0" applyAlignment="0">
      <alignment horizontal="left"/>
    </xf>
    <xf numFmtId="0" fontId="149" fillId="28" borderId="0"/>
    <xf numFmtId="0" fontId="148" fillId="0" borderId="8" applyFont="0" applyAlignment="0">
      <alignment horizontal="left"/>
    </xf>
    <xf numFmtId="0" fontId="31" fillId="0" borderId="49" applyAlignment="0"/>
    <xf numFmtId="0" fontId="31" fillId="0" borderId="49" applyAlignment="0"/>
    <xf numFmtId="0" fontId="151" fillId="0" borderId="0" applyFont="0" applyFill="0" applyBorder="0" applyAlignment="0">
      <alignment horizontal="left"/>
    </xf>
    <xf numFmtId="0" fontId="150" fillId="28" borderId="0"/>
    <xf numFmtId="0" fontId="148" fillId="0" borderId="8" applyFont="0" applyAlignment="0">
      <alignment horizontal="left"/>
    </xf>
    <xf numFmtId="0" fontId="150" fillId="28" borderId="0"/>
    <xf numFmtId="0" fontId="149" fillId="28" borderId="0"/>
    <xf numFmtId="0" fontId="150" fillId="28" borderId="0"/>
    <xf numFmtId="0" fontId="125" fillId="0" borderId="50" applyAlignment="0"/>
    <xf numFmtId="0" fontId="125" fillId="0" borderId="50" applyAlignment="0"/>
    <xf numFmtId="0" fontId="125" fillId="0" borderId="50" applyAlignment="0"/>
    <xf numFmtId="0" fontId="125" fillId="0" borderId="50" applyAlignment="0"/>
    <xf numFmtId="0" fontId="125" fillId="0" borderId="50" applyAlignment="0"/>
    <xf numFmtId="0" fontId="125" fillId="0" borderId="50" applyAlignment="0"/>
    <xf numFmtId="0" fontId="148" fillId="0" borderId="8" applyFont="0" applyAlignment="0">
      <alignment horizontal="left"/>
    </xf>
    <xf numFmtId="0" fontId="31" fillId="0" borderId="49" applyAlignment="0"/>
    <xf numFmtId="0" fontId="31" fillId="0" borderId="49" applyAlignment="0"/>
    <xf numFmtId="0" fontId="149" fillId="28" borderId="0"/>
    <xf numFmtId="0" fontId="149" fillId="28" borderId="0"/>
    <xf numFmtId="0" fontId="150" fillId="28" borderId="0"/>
    <xf numFmtId="0" fontId="150" fillId="28" borderId="0"/>
    <xf numFmtId="0" fontId="148" fillId="0" borderId="8" applyFont="0" applyAlignment="0">
      <alignment horizontal="left"/>
    </xf>
    <xf numFmtId="0" fontId="31" fillId="0" borderId="49" applyAlignment="0"/>
    <xf numFmtId="0" fontId="152" fillId="0" borderId="10" applyNumberFormat="0" applyFont="0" applyBorder="0">
      <alignment horizontal="left" indent="2"/>
    </xf>
    <xf numFmtId="0" fontId="151" fillId="0" borderId="0" applyFont="0" applyFill="0" applyBorder="0" applyAlignment="0">
      <alignment horizontal="left"/>
    </xf>
    <xf numFmtId="0" fontId="152" fillId="0" borderId="10" applyNumberFormat="0" applyFont="0" applyBorder="0">
      <alignment horizontal="left" indent="2"/>
    </xf>
    <xf numFmtId="0" fontId="150" fillId="28" borderId="0"/>
    <xf numFmtId="0" fontId="150" fillId="28" borderId="0"/>
    <xf numFmtId="0" fontId="153" fillId="0" borderId="0"/>
    <xf numFmtId="0" fontId="154" fillId="29" borderId="51" applyFont="0" applyFill="0" applyAlignment="0">
      <alignment vertical="center" wrapText="1"/>
    </xf>
    <xf numFmtId="9" fontId="155" fillId="0" borderId="0" applyBorder="0" applyAlignment="0" applyProtection="0"/>
    <xf numFmtId="0" fontId="156" fillId="28" borderId="0"/>
    <xf numFmtId="0" fontId="149" fillId="28" borderId="0"/>
    <xf numFmtId="0" fontId="156" fillId="24" borderId="0"/>
    <xf numFmtId="0" fontId="125" fillId="0" borderId="49" applyNumberFormat="0" applyFill="0"/>
    <xf numFmtId="0" fontId="149" fillId="28" borderId="0"/>
    <xf numFmtId="0" fontId="125" fillId="0" borderId="49" applyNumberFormat="0" applyFill="0"/>
    <xf numFmtId="0" fontId="125" fillId="0" borderId="49" applyNumberFormat="0" applyFill="0"/>
    <xf numFmtId="0" fontId="125" fillId="0" borderId="49" applyNumberFormat="0" applyFill="0"/>
    <xf numFmtId="0" fontId="156" fillId="28" borderId="0"/>
    <xf numFmtId="0" fontId="125" fillId="0" borderId="49" applyNumberFormat="0" applyFill="0"/>
    <xf numFmtId="0" fontId="149" fillId="28" borderId="0"/>
    <xf numFmtId="0" fontId="125" fillId="28" borderId="0"/>
    <xf numFmtId="0" fontId="149" fillId="28" borderId="0"/>
    <xf numFmtId="0" fontId="149" fillId="28" borderId="0"/>
    <xf numFmtId="0" fontId="156" fillId="28" borderId="0"/>
    <xf numFmtId="0" fontId="149" fillId="28" borderId="0"/>
    <xf numFmtId="0" fontId="125" fillId="0" borderId="49" applyNumberFormat="0" applyAlignment="0"/>
    <xf numFmtId="0" fontId="125" fillId="0" borderId="49" applyNumberFormat="0" applyAlignment="0"/>
    <xf numFmtId="0" fontId="125" fillId="0" borderId="49" applyNumberFormat="0" applyAlignment="0"/>
    <xf numFmtId="0" fontId="125" fillId="0" borderId="49" applyNumberFormat="0" applyAlignment="0"/>
    <xf numFmtId="0" fontId="125" fillId="0" borderId="49" applyNumberFormat="0" applyAlignment="0"/>
    <xf numFmtId="0" fontId="125" fillId="0" borderId="49" applyNumberFormat="0" applyAlignment="0"/>
    <xf numFmtId="0" fontId="149" fillId="28" borderId="0"/>
    <xf numFmtId="0" fontId="149" fillId="28" borderId="0"/>
    <xf numFmtId="0" fontId="125" fillId="0" borderId="49" applyNumberFormat="0" applyFill="0"/>
    <xf numFmtId="0" fontId="125" fillId="0" borderId="49" applyNumberFormat="0" applyFill="0"/>
    <xf numFmtId="0" fontId="125" fillId="0" borderId="49" applyNumberFormat="0" applyFill="0"/>
    <xf numFmtId="0" fontId="125" fillId="0" borderId="49" applyNumberFormat="0" applyFill="0"/>
    <xf numFmtId="0" fontId="125" fillId="0" borderId="49" applyNumberFormat="0" applyFill="0"/>
    <xf numFmtId="0" fontId="156" fillId="28" borderId="0"/>
    <xf numFmtId="0" fontId="156" fillId="28" borderId="0"/>
    <xf numFmtId="0" fontId="156" fillId="28" borderId="0"/>
    <xf numFmtId="0" fontId="152" fillId="0" borderId="10" applyNumberFormat="0" applyFont="0" applyBorder="0" applyAlignment="0">
      <alignment horizontal="center"/>
    </xf>
    <xf numFmtId="0" fontId="152" fillId="0" borderId="10" applyNumberFormat="0" applyFont="0" applyBorder="0" applyAlignment="0">
      <alignment horizontal="center"/>
    </xf>
    <xf numFmtId="0" fontId="125" fillId="0" borderId="0"/>
    <xf numFmtId="0" fontId="157" fillId="30"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3" borderId="0" applyNumberFormat="0" applyBorder="0" applyAlignment="0" applyProtection="0"/>
    <xf numFmtId="0" fontId="157" fillId="34" borderId="0" applyNumberFormat="0" applyBorder="0" applyAlignment="0" applyProtection="0"/>
    <xf numFmtId="0" fontId="157" fillId="35"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6" fillId="0" borderId="0"/>
    <xf numFmtId="0" fontId="158" fillId="28" borderId="0"/>
    <xf numFmtId="0" fontId="149" fillId="28" borderId="0"/>
    <xf numFmtId="0" fontId="158" fillId="24" borderId="0"/>
    <xf numFmtId="0" fontId="149" fillId="28" borderId="0"/>
    <xf numFmtId="0" fontId="149" fillId="28" borderId="0"/>
    <xf numFmtId="0" fontId="125" fillId="28" borderId="0"/>
    <xf numFmtId="0" fontId="149" fillId="28" borderId="0"/>
    <xf numFmtId="0" fontId="149" fillId="28" borderId="0"/>
    <xf numFmtId="0" fontId="158" fillId="28" borderId="0"/>
    <xf numFmtId="0" fontId="149" fillId="28" borderId="0"/>
    <xf numFmtId="0" fontId="149" fillId="28" borderId="0"/>
    <xf numFmtId="0" fontId="149" fillId="28" borderId="0"/>
    <xf numFmtId="0" fontId="158" fillId="28" borderId="0"/>
    <xf numFmtId="0" fontId="158" fillId="28" borderId="0"/>
    <xf numFmtId="0" fontId="159" fillId="0" borderId="0">
      <alignment wrapText="1"/>
    </xf>
    <xf numFmtId="0" fontId="149" fillId="0" borderId="0">
      <alignment wrapText="1"/>
    </xf>
    <xf numFmtId="0" fontId="159" fillId="0" borderId="0">
      <alignment wrapText="1"/>
    </xf>
    <xf numFmtId="0" fontId="149" fillId="0" borderId="0">
      <alignment wrapText="1"/>
    </xf>
    <xf numFmtId="0" fontId="149" fillId="0" borderId="0">
      <alignment wrapText="1"/>
    </xf>
    <xf numFmtId="0" fontId="125" fillId="0" borderId="0">
      <alignment wrapText="1"/>
    </xf>
    <xf numFmtId="0" fontId="149" fillId="0" borderId="0">
      <alignment wrapText="1"/>
    </xf>
    <xf numFmtId="0" fontId="149" fillId="0" borderId="0">
      <alignment wrapText="1"/>
    </xf>
    <xf numFmtId="0" fontId="159" fillId="0" borderId="0">
      <alignment wrapText="1"/>
    </xf>
    <xf numFmtId="0" fontId="149" fillId="0" borderId="0">
      <alignment wrapText="1"/>
    </xf>
    <xf numFmtId="0" fontId="149" fillId="0" borderId="0">
      <alignment wrapText="1"/>
    </xf>
    <xf numFmtId="0" fontId="149" fillId="0" borderId="0">
      <alignment wrapText="1"/>
    </xf>
    <xf numFmtId="0" fontId="159" fillId="0" borderId="0">
      <alignment wrapText="1"/>
    </xf>
    <xf numFmtId="0" fontId="157" fillId="36" borderId="0" applyNumberFormat="0" applyBorder="0" applyAlignment="0" applyProtection="0"/>
    <xf numFmtId="0" fontId="157" fillId="37" borderId="0" applyNumberFormat="0" applyBorder="0" applyAlignment="0" applyProtection="0"/>
    <xf numFmtId="0" fontId="157" fillId="38" borderId="0" applyNumberFormat="0" applyBorder="0" applyAlignment="0" applyProtection="0"/>
    <xf numFmtId="0" fontId="157" fillId="33" borderId="0" applyNumberFormat="0" applyBorder="0" applyAlignment="0" applyProtection="0"/>
    <xf numFmtId="0" fontId="157" fillId="36" borderId="0" applyNumberFormat="0" applyBorder="0" applyAlignment="0" applyProtection="0"/>
    <xf numFmtId="0" fontId="157" fillId="39"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39" borderId="0" applyNumberFormat="0" applyBorder="0" applyAlignment="0" applyProtection="0"/>
    <xf numFmtId="0" fontId="128" fillId="0" borderId="0"/>
    <xf numFmtId="0" fontId="128" fillId="0" borderId="0"/>
    <xf numFmtId="0" fontId="128" fillId="0" borderId="0"/>
    <xf numFmtId="0" fontId="125" fillId="0" borderId="0"/>
    <xf numFmtId="0" fontId="128" fillId="0" borderId="0"/>
    <xf numFmtId="0" fontId="160" fillId="40" borderId="0" applyNumberFormat="0" applyBorder="0" applyAlignment="0" applyProtection="0"/>
    <xf numFmtId="0" fontId="160" fillId="37" borderId="0" applyNumberFormat="0" applyBorder="0" applyAlignment="0" applyProtection="0"/>
    <xf numFmtId="0" fontId="160" fillId="38" borderId="0" applyNumberFormat="0" applyBorder="0" applyAlignment="0" applyProtection="0"/>
    <xf numFmtId="0" fontId="160" fillId="41" borderId="0" applyNumberFormat="0" applyBorder="0" applyAlignment="0" applyProtection="0"/>
    <xf numFmtId="0" fontId="160" fillId="42" borderId="0" applyNumberFormat="0" applyBorder="0" applyAlignment="0" applyProtection="0"/>
    <xf numFmtId="0" fontId="160" fillId="43" borderId="0" applyNumberFormat="0" applyBorder="0" applyAlignment="0" applyProtection="0"/>
    <xf numFmtId="0" fontId="105" fillId="40" borderId="0" applyNumberFormat="0" applyBorder="0" applyAlignment="0" applyProtection="0"/>
    <xf numFmtId="0" fontId="105" fillId="37" borderId="0" applyNumberFormat="0" applyBorder="0" applyAlignment="0" applyProtection="0"/>
    <xf numFmtId="0" fontId="105" fillId="38" borderId="0" applyNumberFormat="0" applyBorder="0" applyAlignment="0" applyProtection="0"/>
    <xf numFmtId="0" fontId="105" fillId="4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61" fillId="0" borderId="0"/>
    <xf numFmtId="0" fontId="160" fillId="44" borderId="0" applyNumberFormat="0" applyBorder="0" applyAlignment="0" applyProtection="0"/>
    <xf numFmtId="0" fontId="160" fillId="45" borderId="0" applyNumberFormat="0" applyBorder="0" applyAlignment="0" applyProtection="0"/>
    <xf numFmtId="0" fontId="160" fillId="46" borderId="0" applyNumberFormat="0" applyBorder="0" applyAlignment="0" applyProtection="0"/>
    <xf numFmtId="0" fontId="160" fillId="41" borderId="0" applyNumberFormat="0" applyBorder="0" applyAlignment="0" applyProtection="0"/>
    <xf numFmtId="0" fontId="160" fillId="42" borderId="0" applyNumberFormat="0" applyBorder="0" applyAlignment="0" applyProtection="0"/>
    <xf numFmtId="0" fontId="160" fillId="47" borderId="0" applyNumberFormat="0" applyBorder="0" applyAlignment="0" applyProtection="0"/>
    <xf numFmtId="247" fontId="6" fillId="0" borderId="0" applyFont="0" applyFill="0" applyBorder="0" applyAlignment="0" applyProtection="0"/>
    <xf numFmtId="0" fontId="162" fillId="0" borderId="0" applyFont="0" applyFill="0" applyBorder="0" applyAlignment="0" applyProtection="0"/>
    <xf numFmtId="248" fontId="124" fillId="0" borderId="0" applyFont="0" applyFill="0" applyBorder="0" applyAlignment="0" applyProtection="0"/>
    <xf numFmtId="249" fontId="6" fillId="0" borderId="0" applyFont="0" applyFill="0" applyBorder="0" applyAlignment="0" applyProtection="0"/>
    <xf numFmtId="0" fontId="162" fillId="0" borderId="0" applyFont="0" applyFill="0" applyBorder="0" applyAlignment="0" applyProtection="0"/>
    <xf numFmtId="247" fontId="124" fillId="0" borderId="0" applyFont="0" applyFill="0" applyBorder="0" applyAlignment="0" applyProtection="0"/>
    <xf numFmtId="0" fontId="163" fillId="0" borderId="0">
      <alignment horizontal="center" wrapText="1"/>
      <protection locked="0"/>
    </xf>
    <xf numFmtId="0" fontId="164" fillId="0" borderId="0" applyNumberFormat="0" applyBorder="0" applyAlignment="0">
      <alignment horizontal="center"/>
    </xf>
    <xf numFmtId="234" fontId="165" fillId="0" borderId="0" applyFont="0" applyFill="0" applyBorder="0" applyAlignment="0" applyProtection="0"/>
    <xf numFmtId="0" fontId="162" fillId="0" borderId="0" applyFont="0" applyFill="0" applyBorder="0" applyAlignment="0" applyProtection="0"/>
    <xf numFmtId="234" fontId="165" fillId="0" borderId="0" applyFont="0" applyFill="0" applyBorder="0" applyAlignment="0" applyProtection="0"/>
    <xf numFmtId="219" fontId="165" fillId="0" borderId="0" applyFont="0" applyFill="0" applyBorder="0" applyAlignment="0" applyProtection="0"/>
    <xf numFmtId="0" fontId="162" fillId="0" borderId="0" applyFont="0" applyFill="0" applyBorder="0" applyAlignment="0" applyProtection="0"/>
    <xf numFmtId="219" fontId="165" fillId="0" borderId="0" applyFont="0" applyFill="0" applyBorder="0" applyAlignment="0" applyProtection="0"/>
    <xf numFmtId="206" fontId="124" fillId="0" borderId="0" applyFont="0" applyFill="0" applyBorder="0" applyAlignment="0" applyProtection="0"/>
    <xf numFmtId="0" fontId="166" fillId="31" borderId="0" applyNumberFormat="0" applyBorder="0" applyAlignment="0" applyProtection="0"/>
    <xf numFmtId="0" fontId="167" fillId="0" borderId="0" applyNumberFormat="0" applyFill="0" applyBorder="0" applyAlignment="0" applyProtection="0"/>
    <xf numFmtId="0" fontId="162" fillId="0" borderId="0"/>
    <xf numFmtId="0" fontId="36" fillId="0" borderId="0"/>
    <xf numFmtId="0" fontId="130" fillId="0" borderId="0"/>
    <xf numFmtId="0" fontId="162" fillId="0" borderId="0"/>
    <xf numFmtId="0" fontId="168" fillId="0" borderId="0"/>
    <xf numFmtId="0" fontId="169" fillId="0" borderId="0"/>
    <xf numFmtId="0" fontId="170" fillId="0" borderId="0"/>
    <xf numFmtId="0" fontId="6" fillId="0" borderId="0" applyFill="0" applyBorder="0" applyAlignment="0"/>
    <xf numFmtId="250" fontId="171" fillId="0" borderId="0" applyFill="0" applyBorder="0" applyAlignment="0"/>
    <xf numFmtId="190" fontId="171" fillId="0" borderId="0" applyFill="0" applyBorder="0" applyAlignment="0"/>
    <xf numFmtId="251" fontId="171" fillId="0" borderId="0" applyFill="0" applyBorder="0" applyAlignment="0"/>
    <xf numFmtId="252" fontId="6" fillId="0" borderId="0" applyFill="0" applyBorder="0" applyAlignment="0"/>
    <xf numFmtId="207" fontId="171" fillId="0" borderId="0" applyFill="0" applyBorder="0" applyAlignment="0"/>
    <xf numFmtId="253" fontId="171" fillId="0" borderId="0" applyFill="0" applyBorder="0" applyAlignment="0"/>
    <xf numFmtId="250" fontId="171" fillId="0" borderId="0" applyFill="0" applyBorder="0" applyAlignment="0"/>
    <xf numFmtId="0" fontId="172" fillId="48" borderId="39" applyNumberFormat="0" applyAlignment="0" applyProtection="0"/>
    <xf numFmtId="0" fontId="173" fillId="0" borderId="0"/>
    <xf numFmtId="254" fontId="138" fillId="0" borderId="0" applyFont="0" applyFill="0" applyBorder="0" applyAlignment="0" applyProtection="0"/>
    <xf numFmtId="0" fontId="174" fillId="49" borderId="40" applyNumberFormat="0" applyAlignment="0" applyProtection="0"/>
    <xf numFmtId="170" fontId="117" fillId="0" borderId="0" applyFont="0" applyFill="0" applyBorder="0" applyAlignment="0" applyProtection="0"/>
    <xf numFmtId="4" fontId="175" fillId="0" borderId="0" applyAlignment="0"/>
    <xf numFmtId="1" fontId="176" fillId="0" borderId="46" applyBorder="0"/>
    <xf numFmtId="218" fontId="177" fillId="0" borderId="0" applyFont="0" applyFill="0" applyBorder="0" applyAlignment="0" applyProtection="0"/>
    <xf numFmtId="255" fontId="178" fillId="0" borderId="0"/>
    <xf numFmtId="255" fontId="178" fillId="0" borderId="0"/>
    <xf numFmtId="255" fontId="178" fillId="0" borderId="0"/>
    <xf numFmtId="255" fontId="178" fillId="0" borderId="0"/>
    <xf numFmtId="255" fontId="178" fillId="0" borderId="0"/>
    <xf numFmtId="255" fontId="178" fillId="0" borderId="0"/>
    <xf numFmtId="255" fontId="178" fillId="0" borderId="0"/>
    <xf numFmtId="255" fontId="178" fillId="0" borderId="0"/>
    <xf numFmtId="256" fontId="31" fillId="0" borderId="0" applyFill="0" applyBorder="0" applyAlignment="0" applyProtection="0"/>
    <xf numFmtId="256" fontId="31" fillId="0" borderId="0" applyFill="0" applyBorder="0" applyAlignment="0" applyProtection="0"/>
    <xf numFmtId="256" fontId="31" fillId="0" borderId="0" applyFill="0" applyBorder="0" applyAlignment="0" applyProtection="0"/>
    <xf numFmtId="197" fontId="117" fillId="0" borderId="0" applyFont="0" applyFill="0" applyBorder="0" applyAlignment="0" applyProtection="0"/>
    <xf numFmtId="207" fontId="171" fillId="0" borderId="0" applyFont="0" applyFill="0" applyBorder="0" applyAlignment="0" applyProtection="0"/>
    <xf numFmtId="166" fontId="179" fillId="0" borderId="0" applyFont="0" applyFill="0" applyBorder="0" applyAlignment="0" applyProtection="0"/>
    <xf numFmtId="165" fontId="180" fillId="0" borderId="0" applyFont="0" applyFill="0" applyBorder="0" applyAlignment="0" applyProtection="0"/>
    <xf numFmtId="165" fontId="6" fillId="0" borderId="0" applyFont="0" applyFill="0" applyBorder="0" applyAlignment="0" applyProtection="0"/>
    <xf numFmtId="167" fontId="125" fillId="0" borderId="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257" fontId="25" fillId="0" borderId="0" applyFont="0" applyFill="0" applyBorder="0" applyAlignment="0" applyProtection="0"/>
    <xf numFmtId="258" fontId="130" fillId="0" borderId="0"/>
    <xf numFmtId="0" fontId="181" fillId="0" borderId="0"/>
    <xf numFmtId="0" fontId="171" fillId="0" borderId="0"/>
    <xf numFmtId="3" fontId="6" fillId="0" borderId="0" applyFont="0" applyFill="0" applyBorder="0" applyAlignment="0" applyProtection="0"/>
    <xf numFmtId="3" fontId="6" fillId="0" borderId="0" applyFont="0" applyFill="0" applyBorder="0" applyAlignment="0" applyProtection="0"/>
    <xf numFmtId="0" fontId="181" fillId="0" borderId="0"/>
    <xf numFmtId="0" fontId="171" fillId="0" borderId="0"/>
    <xf numFmtId="0" fontId="182" fillId="0" borderId="0">
      <alignment horizontal="center"/>
    </xf>
    <xf numFmtId="0" fontId="183" fillId="0" borderId="0" applyNumberFormat="0" applyAlignment="0">
      <alignment horizontal="left"/>
    </xf>
    <xf numFmtId="259" fontId="36" fillId="0" borderId="0" applyFont="0" applyFill="0" applyBorder="0" applyAlignment="0" applyProtection="0"/>
    <xf numFmtId="250" fontId="17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60" fontId="6" fillId="0" borderId="0" applyFont="0" applyFill="0" applyBorder="0" applyAlignment="0" applyProtection="0"/>
    <xf numFmtId="260" fontId="6" fillId="0" borderId="0" applyFont="0" applyFill="0" applyBorder="0" applyAlignment="0" applyProtection="0"/>
    <xf numFmtId="260" fontId="6" fillId="0" borderId="0" applyFont="0" applyFill="0" applyBorder="0" applyAlignment="0" applyProtection="0"/>
    <xf numFmtId="260" fontId="6" fillId="0" borderId="0" applyFont="0" applyFill="0" applyBorder="0" applyAlignment="0" applyProtection="0"/>
    <xf numFmtId="261" fontId="6" fillId="0" borderId="0" applyFont="0" applyFill="0" applyBorder="0" applyAlignment="0" applyProtection="0"/>
    <xf numFmtId="261" fontId="6" fillId="0" borderId="0" applyFont="0" applyFill="0" applyBorder="0" applyAlignment="0" applyProtection="0"/>
    <xf numFmtId="261" fontId="6" fillId="0" borderId="0" applyFont="0" applyFill="0" applyBorder="0" applyAlignment="0" applyProtection="0"/>
    <xf numFmtId="260" fontId="6" fillId="0" borderId="0" applyFont="0" applyFill="0" applyBorder="0" applyAlignment="0" applyProtection="0"/>
    <xf numFmtId="262" fontId="6" fillId="0" borderId="0"/>
    <xf numFmtId="263" fontId="125" fillId="0" borderId="52"/>
    <xf numFmtId="0" fontId="6" fillId="0" borderId="0" applyFont="0" applyFill="0" applyBorder="0" applyAlignment="0" applyProtection="0"/>
    <xf numFmtId="14" fontId="140" fillId="0" borderId="0" applyFill="0" applyBorder="0" applyAlignment="0"/>
    <xf numFmtId="0" fontId="6" fillId="0" borderId="0" applyFont="0" applyFill="0" applyBorder="0" applyAlignment="0" applyProtection="0"/>
    <xf numFmtId="0" fontId="118" fillId="48" borderId="44" applyNumberFormat="0" applyAlignment="0" applyProtection="0"/>
    <xf numFmtId="0" fontId="114" fillId="35" borderId="39" applyNumberFormat="0" applyAlignment="0" applyProtection="0"/>
    <xf numFmtId="3" fontId="184" fillId="0" borderId="5">
      <alignment horizontal="left" vertical="top" wrapText="1"/>
    </xf>
    <xf numFmtId="0" fontId="185" fillId="0" borderId="53" applyNumberFormat="0" applyFill="0" applyAlignment="0" applyProtection="0"/>
    <xf numFmtId="0" fontId="186" fillId="0" borderId="54" applyNumberFormat="0" applyFill="0" applyAlignment="0" applyProtection="0"/>
    <xf numFmtId="0" fontId="113" fillId="0" borderId="41" applyNumberFormat="0" applyFill="0" applyAlignment="0" applyProtection="0"/>
    <xf numFmtId="0" fontId="113" fillId="0" borderId="0" applyNumberFormat="0" applyFill="0" applyBorder="0" applyAlignment="0" applyProtection="0"/>
    <xf numFmtId="264" fontId="31" fillId="0" borderId="0" applyFill="0" applyBorder="0" applyProtection="0">
      <alignment vertical="center"/>
    </xf>
    <xf numFmtId="265" fontId="125" fillId="0" borderId="0" applyFont="0" applyFill="0" applyBorder="0" applyProtection="0">
      <alignment vertical="center"/>
    </xf>
    <xf numFmtId="265" fontId="125" fillId="0" borderId="0" applyFont="0" applyFill="0" applyBorder="0" applyProtection="0">
      <alignment vertical="center"/>
    </xf>
    <xf numFmtId="265" fontId="125" fillId="0" borderId="0" applyFont="0" applyFill="0" applyBorder="0" applyProtection="0">
      <alignment vertical="center"/>
    </xf>
    <xf numFmtId="266" fontId="6" fillId="0" borderId="55">
      <alignment vertical="center"/>
    </xf>
    <xf numFmtId="0" fontId="6" fillId="0" borderId="0" applyFont="0" applyFill="0" applyBorder="0" applyAlignment="0" applyProtection="0"/>
    <xf numFmtId="0" fontId="6" fillId="0" borderId="0" applyFont="0" applyFill="0" applyBorder="0" applyAlignment="0" applyProtection="0"/>
    <xf numFmtId="267" fontId="125" fillId="0" borderId="0"/>
    <xf numFmtId="268" fontId="128" fillId="0" borderId="10"/>
    <xf numFmtId="0" fontId="187" fillId="0" borderId="0">
      <protection locked="0"/>
    </xf>
    <xf numFmtId="269" fontId="6" fillId="0" borderId="0"/>
    <xf numFmtId="270" fontId="128" fillId="0" borderId="0"/>
    <xf numFmtId="0" fontId="177" fillId="0" borderId="0">
      <alignment vertical="top" wrapText="1"/>
    </xf>
    <xf numFmtId="164" fontId="188" fillId="0" borderId="0" applyFont="0" applyFill="0" applyBorder="0" applyAlignment="0" applyProtection="0"/>
    <xf numFmtId="165" fontId="188" fillId="0" borderId="0" applyFont="0" applyFill="0" applyBorder="0" applyAlignment="0" applyProtection="0"/>
    <xf numFmtId="164" fontId="188" fillId="0" borderId="0" applyFont="0" applyFill="0" applyBorder="0" applyAlignment="0" applyProtection="0"/>
    <xf numFmtId="197" fontId="188" fillId="0" borderId="0" applyFont="0" applyFill="0" applyBorder="0" applyAlignment="0" applyProtection="0"/>
    <xf numFmtId="271" fontId="6" fillId="0" borderId="0" applyFont="0" applyFill="0" applyBorder="0" applyAlignment="0" applyProtection="0"/>
    <xf numFmtId="271" fontId="6" fillId="0" borderId="0" applyFont="0" applyFill="0" applyBorder="0" applyAlignment="0" applyProtection="0"/>
    <xf numFmtId="271" fontId="6" fillId="0" borderId="0" applyFont="0" applyFill="0" applyBorder="0" applyAlignment="0" applyProtection="0"/>
    <xf numFmtId="271" fontId="6" fillId="0" borderId="0" applyFont="0" applyFill="0" applyBorder="0" applyAlignment="0" applyProtection="0"/>
    <xf numFmtId="164" fontId="188" fillId="0" borderId="0" applyFont="0" applyFill="0" applyBorder="0" applyAlignment="0" applyProtection="0"/>
    <xf numFmtId="164" fontId="188" fillId="0" borderId="0" applyFont="0" applyFill="0" applyBorder="0" applyAlignment="0" applyProtection="0"/>
    <xf numFmtId="271" fontId="6" fillId="0" borderId="0" applyFont="0" applyFill="0" applyBorder="0" applyAlignment="0" applyProtection="0"/>
    <xf numFmtId="271" fontId="6" fillId="0" borderId="0" applyFont="0" applyFill="0" applyBorder="0" applyAlignment="0" applyProtection="0"/>
    <xf numFmtId="272" fontId="125" fillId="0" borderId="0" applyFont="0" applyFill="0" applyBorder="0" applyAlignment="0" applyProtection="0"/>
    <xf numFmtId="272" fontId="125" fillId="0" borderId="0" applyFont="0" applyFill="0" applyBorder="0" applyAlignment="0" applyProtection="0"/>
    <xf numFmtId="273" fontId="125" fillId="0" borderId="0" applyFont="0" applyFill="0" applyBorder="0" applyAlignment="0" applyProtection="0"/>
    <xf numFmtId="273" fontId="125"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64" fontId="188" fillId="0" borderId="0" applyFont="0" applyFill="0" applyBorder="0" applyAlignment="0" applyProtection="0"/>
    <xf numFmtId="197" fontId="188" fillId="0" borderId="0" applyFont="0" applyFill="0" applyBorder="0" applyAlignment="0" applyProtection="0"/>
    <xf numFmtId="164"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97" fontId="188" fillId="0" borderId="0" applyFont="0" applyFill="0" applyBorder="0" applyAlignment="0" applyProtection="0"/>
    <xf numFmtId="165" fontId="188" fillId="0" borderId="0" applyFont="0" applyFill="0" applyBorder="0" applyAlignment="0" applyProtection="0"/>
    <xf numFmtId="166" fontId="188" fillId="0" borderId="0" applyFont="0" applyFill="0" applyBorder="0" applyAlignment="0" applyProtection="0"/>
    <xf numFmtId="274" fontId="6" fillId="0" borderId="0" applyFont="0" applyFill="0" applyBorder="0" applyAlignment="0" applyProtection="0"/>
    <xf numFmtId="274" fontId="6" fillId="0" borderId="0" applyFont="0" applyFill="0" applyBorder="0" applyAlignment="0" applyProtection="0"/>
    <xf numFmtId="274" fontId="6" fillId="0" borderId="0" applyFont="0" applyFill="0" applyBorder="0" applyAlignment="0" applyProtection="0"/>
    <xf numFmtId="274" fontId="6" fillId="0" borderId="0" applyFont="0" applyFill="0" applyBorder="0" applyAlignment="0" applyProtection="0"/>
    <xf numFmtId="165" fontId="188" fillId="0" borderId="0" applyFont="0" applyFill="0" applyBorder="0" applyAlignment="0" applyProtection="0"/>
    <xf numFmtId="165" fontId="188" fillId="0" borderId="0" applyFont="0" applyFill="0" applyBorder="0" applyAlignment="0" applyProtection="0"/>
    <xf numFmtId="274" fontId="6" fillId="0" borderId="0" applyFont="0" applyFill="0" applyBorder="0" applyAlignment="0" applyProtection="0"/>
    <xf numFmtId="274" fontId="6" fillId="0" borderId="0" applyFont="0" applyFill="0" applyBorder="0" applyAlignment="0" applyProtection="0"/>
    <xf numFmtId="275" fontId="125" fillId="0" borderId="0" applyFont="0" applyFill="0" applyBorder="0" applyAlignment="0" applyProtection="0"/>
    <xf numFmtId="275" fontId="125" fillId="0" borderId="0" applyFont="0" applyFill="0" applyBorder="0" applyAlignment="0" applyProtection="0"/>
    <xf numFmtId="276" fontId="125" fillId="0" borderId="0" applyFont="0" applyFill="0" applyBorder="0" applyAlignment="0" applyProtection="0"/>
    <xf numFmtId="276" fontId="125"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5" fontId="188" fillId="0" borderId="0" applyFont="0" applyFill="0" applyBorder="0" applyAlignment="0" applyProtection="0"/>
    <xf numFmtId="166" fontId="188" fillId="0" borderId="0" applyFont="0" applyFill="0" applyBorder="0" applyAlignment="0" applyProtection="0"/>
    <xf numFmtId="165"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166" fontId="188" fillId="0" borderId="0" applyFont="0" applyFill="0" applyBorder="0" applyAlignment="0" applyProtection="0"/>
    <xf numFmtId="3" fontId="125" fillId="0" borderId="0" applyFont="0" applyBorder="0" applyAlignment="0"/>
    <xf numFmtId="0" fontId="189" fillId="0" borderId="0">
      <protection locked="0"/>
    </xf>
    <xf numFmtId="0" fontId="189" fillId="0" borderId="0">
      <protection locked="0"/>
    </xf>
    <xf numFmtId="207" fontId="171" fillId="0" borderId="0" applyFill="0" applyBorder="0" applyAlignment="0"/>
    <xf numFmtId="250" fontId="171" fillId="0" borderId="0" applyFill="0" applyBorder="0" applyAlignment="0"/>
    <xf numFmtId="207" fontId="171" fillId="0" borderId="0" applyFill="0" applyBorder="0" applyAlignment="0"/>
    <xf numFmtId="253" fontId="171" fillId="0" borderId="0" applyFill="0" applyBorder="0" applyAlignment="0"/>
    <xf numFmtId="250" fontId="171" fillId="0" borderId="0" applyFill="0" applyBorder="0" applyAlignment="0"/>
    <xf numFmtId="0" fontId="190" fillId="0" borderId="0" applyNumberFormat="0" applyAlignment="0">
      <alignment horizontal="left"/>
    </xf>
    <xf numFmtId="175" fontId="191" fillId="0" borderId="0">
      <protection locked="0"/>
    </xf>
    <xf numFmtId="175" fontId="191" fillId="0" borderId="0">
      <protection locked="0"/>
    </xf>
    <xf numFmtId="277" fontId="6" fillId="0" borderId="0" applyFont="0" applyFill="0" applyBorder="0" applyAlignment="0" applyProtection="0"/>
    <xf numFmtId="0" fontId="192" fillId="0" borderId="0" applyNumberFormat="0" applyFill="0" applyBorder="0" applyAlignment="0" applyProtection="0"/>
    <xf numFmtId="3" fontId="125" fillId="0" borderId="0" applyFont="0" applyBorder="0" applyAlignment="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4" fontId="187" fillId="0" borderId="0">
      <protection locked="0"/>
    </xf>
    <xf numFmtId="0" fontId="187" fillId="0" borderId="0">
      <protection locked="0"/>
    </xf>
    <xf numFmtId="278" fontId="125" fillId="0" borderId="0">
      <protection locked="0"/>
    </xf>
    <xf numFmtId="2" fontId="6" fillId="0" borderId="0" applyFont="0" applyFill="0" applyBorder="0" applyAlignment="0" applyProtection="0"/>
    <xf numFmtId="0" fontId="193" fillId="0" borderId="0" applyNumberFormat="0" applyFill="0" applyBorder="0" applyAlignment="0" applyProtection="0"/>
    <xf numFmtId="0" fontId="194" fillId="0" borderId="0" applyNumberFormat="0" applyFill="0" applyBorder="0" applyProtection="0">
      <alignment vertical="center"/>
    </xf>
    <xf numFmtId="0" fontId="195" fillId="0" borderId="0" applyNumberFormat="0" applyFill="0" applyBorder="0" applyAlignment="0" applyProtection="0"/>
    <xf numFmtId="0" fontId="196" fillId="0" borderId="0" applyNumberFormat="0" applyFill="0" applyBorder="0" applyProtection="0">
      <alignment vertical="center"/>
    </xf>
    <xf numFmtId="0" fontId="197" fillId="0" borderId="0" applyNumberFormat="0" applyFill="0" applyBorder="0" applyAlignment="0" applyProtection="0"/>
    <xf numFmtId="0" fontId="198" fillId="0" borderId="0" applyNumberFormat="0" applyFill="0" applyBorder="0" applyAlignment="0" applyProtection="0"/>
    <xf numFmtId="279" fontId="127" fillId="0" borderId="56" applyNumberFormat="0" applyFill="0" applyBorder="0" applyAlignment="0" applyProtection="0"/>
    <xf numFmtId="0" fontId="199" fillId="0" borderId="0" applyNumberFormat="0" applyFill="0" applyBorder="0" applyAlignment="0" applyProtection="0"/>
    <xf numFmtId="0" fontId="200" fillId="50" borderId="57" applyNumberFormat="0" applyAlignment="0">
      <protection locked="0"/>
    </xf>
    <xf numFmtId="0" fontId="6" fillId="51" borderId="43" applyNumberFormat="0" applyFont="0" applyAlignment="0" applyProtection="0"/>
    <xf numFmtId="0" fontId="201" fillId="0" borderId="0">
      <alignment vertical="top" wrapText="1"/>
    </xf>
    <xf numFmtId="0" fontId="202" fillId="32" borderId="0" applyNumberFormat="0" applyBorder="0" applyAlignment="0" applyProtection="0"/>
    <xf numFmtId="38" fontId="122" fillId="52" borderId="0" applyNumberFormat="0" applyBorder="0" applyAlignment="0" applyProtection="0"/>
    <xf numFmtId="280" fontId="203" fillId="28" borderId="0" applyBorder="0" applyProtection="0"/>
    <xf numFmtId="0" fontId="204" fillId="0" borderId="18" applyNumberFormat="0" applyFill="0" applyBorder="0" applyAlignment="0" applyProtection="0">
      <alignment horizontal="center" vertical="center"/>
    </xf>
    <xf numFmtId="0" fontId="205" fillId="0" borderId="0" applyNumberFormat="0" applyFont="0" applyBorder="0" applyAlignment="0">
      <alignment horizontal="left" vertical="center"/>
    </xf>
    <xf numFmtId="0" fontId="206" fillId="53" borderId="0"/>
    <xf numFmtId="0" fontId="207" fillId="0" borderId="0">
      <alignment horizontal="left"/>
    </xf>
    <xf numFmtId="0" fontId="112" fillId="0" borderId="58" applyNumberFormat="0" applyAlignment="0" applyProtection="0">
      <alignment horizontal="left" vertical="center"/>
    </xf>
    <xf numFmtId="0" fontId="112" fillId="0" borderId="3">
      <alignment horizontal="left" vertical="center"/>
    </xf>
    <xf numFmtId="0" fontId="111" fillId="0" borderId="0" applyNumberFormat="0" applyFill="0" applyBorder="0" applyAlignment="0" applyProtection="0"/>
    <xf numFmtId="0" fontId="185" fillId="0" borderId="53" applyNumberFormat="0" applyFill="0" applyAlignment="0" applyProtection="0"/>
    <xf numFmtId="0" fontId="112" fillId="0" borderId="0" applyNumberFormat="0" applyFill="0" applyBorder="0" applyAlignment="0" applyProtection="0"/>
    <xf numFmtId="0" fontId="186" fillId="0" borderId="54" applyNumberFormat="0" applyFill="0" applyAlignment="0" applyProtection="0"/>
    <xf numFmtId="0" fontId="208" fillId="0" borderId="41" applyNumberFormat="0" applyFill="0" applyAlignment="0" applyProtection="0"/>
    <xf numFmtId="0" fontId="208" fillId="0" borderId="0" applyNumberFormat="0" applyFill="0" applyBorder="0" applyAlignment="0" applyProtection="0"/>
    <xf numFmtId="193" fontId="124" fillId="0" borderId="0">
      <protection locked="0"/>
    </xf>
    <xf numFmtId="193" fontId="124" fillId="0" borderId="0">
      <protection locked="0"/>
    </xf>
    <xf numFmtId="0" fontId="209" fillId="0" borderId="59">
      <alignment horizontal="center"/>
    </xf>
    <xf numFmtId="0" fontId="209" fillId="0" borderId="0">
      <alignment horizontal="center"/>
    </xf>
    <xf numFmtId="240" fontId="210" fillId="54" borderId="10" applyNumberFormat="0" applyAlignment="0">
      <alignment horizontal="left" vertical="top"/>
    </xf>
    <xf numFmtId="0" fontId="211" fillId="0" borderId="0"/>
    <xf numFmtId="49" fontId="212" fillId="0" borderId="10">
      <alignment vertical="center"/>
    </xf>
    <xf numFmtId="0" fontId="130" fillId="0" borderId="0"/>
    <xf numFmtId="164" fontId="125" fillId="0" borderId="0" applyFont="0" applyFill="0" applyBorder="0" applyAlignment="0" applyProtection="0"/>
    <xf numFmtId="38" fontId="139" fillId="0" borderId="0" applyFont="0" applyFill="0" applyBorder="0" applyAlignment="0" applyProtection="0"/>
    <xf numFmtId="235" fontId="138" fillId="0" borderId="0" applyFont="0" applyFill="0" applyBorder="0" applyAlignment="0" applyProtection="0"/>
    <xf numFmtId="281" fontId="213" fillId="0" borderId="0" applyFont="0" applyFill="0" applyBorder="0" applyAlignment="0" applyProtection="0"/>
    <xf numFmtId="10" fontId="122" fillId="52" borderId="10" applyNumberFormat="0" applyBorder="0" applyAlignment="0" applyProtection="0"/>
    <xf numFmtId="0" fontId="214" fillId="35" borderId="39" applyNumberFormat="0" applyAlignment="0" applyProtection="0"/>
    <xf numFmtId="2" fontId="142" fillId="0" borderId="2" applyBorder="0"/>
    <xf numFmtId="0" fontId="215" fillId="0" borderId="0" applyNumberFormat="0" applyFill="0" applyBorder="0" applyAlignment="0" applyProtection="0">
      <alignment vertical="top"/>
      <protection locked="0"/>
    </xf>
    <xf numFmtId="0" fontId="216"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164" fontId="125" fillId="0" borderId="0" applyFont="0" applyFill="0" applyBorder="0" applyAlignment="0" applyProtection="0"/>
    <xf numFmtId="0" fontId="125" fillId="0" borderId="0"/>
    <xf numFmtId="2" fontId="218" fillId="0" borderId="1" applyBorder="0"/>
    <xf numFmtId="0" fontId="163" fillId="0" borderId="60">
      <alignment horizontal="centerContinuous"/>
    </xf>
    <xf numFmtId="0" fontId="108" fillId="49" borderId="40" applyNumberFormat="0" applyAlignment="0" applyProtection="0"/>
    <xf numFmtId="0" fontId="219" fillId="0" borderId="61">
      <alignment horizontal="center" vertical="center" wrapText="1"/>
    </xf>
    <xf numFmtId="0" fontId="177" fillId="52" borderId="0" applyNumberFormat="0" applyFont="0" applyBorder="0" applyAlignment="0"/>
    <xf numFmtId="0" fontId="139" fillId="0" borderId="0"/>
    <xf numFmtId="0" fontId="130" fillId="0" borderId="0" applyNumberFormat="0" applyFont="0" applyFill="0" applyBorder="0" applyProtection="0">
      <alignment horizontal="left" vertical="center"/>
    </xf>
    <xf numFmtId="0" fontId="139" fillId="0" borderId="0"/>
    <xf numFmtId="207" fontId="171" fillId="0" borderId="0" applyFill="0" applyBorder="0" applyAlignment="0"/>
    <xf numFmtId="250" fontId="171" fillId="0" borderId="0" applyFill="0" applyBorder="0" applyAlignment="0"/>
    <xf numFmtId="207" fontId="171" fillId="0" borderId="0" applyFill="0" applyBorder="0" applyAlignment="0"/>
    <xf numFmtId="253" fontId="171" fillId="0" borderId="0" applyFill="0" applyBorder="0" applyAlignment="0"/>
    <xf numFmtId="250" fontId="171" fillId="0" borderId="0" applyFill="0" applyBorder="0" applyAlignment="0"/>
    <xf numFmtId="0" fontId="220" fillId="0" borderId="42" applyNumberFormat="0" applyFill="0" applyAlignment="0" applyProtection="0"/>
    <xf numFmtId="263" fontId="221" fillId="0" borderId="7" applyNumberFormat="0" applyFont="0" applyFill="0" applyBorder="0">
      <alignment horizontal="center"/>
    </xf>
    <xf numFmtId="38" fontId="139" fillId="0" borderId="0" applyFont="0" applyFill="0" applyBorder="0" applyAlignment="0" applyProtection="0"/>
    <xf numFmtId="4" fontId="171" fillId="0" borderId="0" applyFont="0" applyFill="0" applyBorder="0" applyAlignment="0" applyProtection="0"/>
    <xf numFmtId="233" fontId="130" fillId="0" borderId="0" applyFont="0" applyFill="0" applyBorder="0" applyAlignment="0" applyProtection="0"/>
    <xf numFmtId="40" fontId="139"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0" fontId="222" fillId="0" borderId="59"/>
    <xf numFmtId="282" fontId="223" fillId="0" borderId="7"/>
    <xf numFmtId="283" fontId="139" fillId="0" borderId="0" applyFont="0" applyFill="0" applyBorder="0" applyAlignment="0" applyProtection="0"/>
    <xf numFmtId="284" fontId="139" fillId="0" borderId="0" applyFont="0" applyFill="0" applyBorder="0" applyAlignment="0" applyProtection="0"/>
    <xf numFmtId="165" fontId="191" fillId="0" borderId="0">
      <protection locked="0"/>
    </xf>
    <xf numFmtId="285" fontId="6" fillId="0" borderId="0" applyFont="0" applyFill="0" applyBorder="0" applyAlignment="0" applyProtection="0"/>
    <xf numFmtId="286" fontId="6" fillId="0" borderId="0" applyFont="0" applyFill="0" applyBorder="0" applyAlignment="0" applyProtection="0"/>
    <xf numFmtId="0" fontId="224" fillId="0" borderId="0" applyNumberFormat="0" applyFont="0" applyFill="0" applyAlignment="0"/>
    <xf numFmtId="0" fontId="224" fillId="0" borderId="0" applyNumberFormat="0" applyFont="0" applyFill="0" applyAlignment="0"/>
    <xf numFmtId="0" fontId="31" fillId="0" borderId="0" applyNumberFormat="0" applyFill="0" applyAlignment="0"/>
    <xf numFmtId="0" fontId="31" fillId="0" borderId="0" applyNumberFormat="0" applyFill="0" applyAlignment="0"/>
    <xf numFmtId="0" fontId="224" fillId="0" borderId="0" applyNumberFormat="0" applyFont="0" applyFill="0" applyAlignment="0"/>
    <xf numFmtId="0" fontId="225" fillId="55" borderId="0" applyNumberFormat="0" applyBorder="0" applyAlignment="0" applyProtection="0"/>
    <xf numFmtId="0" fontId="36" fillId="0" borderId="10"/>
    <xf numFmtId="0" fontId="130" fillId="0" borderId="0"/>
    <xf numFmtId="0" fontId="128" fillId="0" borderId="8" applyNumberFormat="0" applyAlignment="0">
      <alignment horizontal="center"/>
    </xf>
    <xf numFmtId="0" fontId="105" fillId="44" borderId="0" applyNumberFormat="0" applyBorder="0" applyAlignment="0" applyProtection="0"/>
    <xf numFmtId="0" fontId="105" fillId="45" borderId="0" applyNumberFormat="0" applyBorder="0" applyAlignment="0" applyProtection="0"/>
    <xf numFmtId="0" fontId="105" fillId="46" borderId="0" applyNumberFormat="0" applyBorder="0" applyAlignment="0" applyProtection="0"/>
    <xf numFmtId="0" fontId="105" fillId="41" borderId="0" applyNumberFormat="0" applyBorder="0" applyAlignment="0" applyProtection="0"/>
    <xf numFmtId="0" fontId="105" fillId="42" borderId="0" applyNumberFormat="0" applyBorder="0" applyAlignment="0" applyProtection="0"/>
    <xf numFmtId="0" fontId="105" fillId="47" borderId="0" applyNumberFormat="0" applyBorder="0" applyAlignment="0" applyProtection="0"/>
    <xf numFmtId="37" fontId="226" fillId="0" borderId="0"/>
    <xf numFmtId="0" fontId="227" fillId="0" borderId="10" applyNumberFormat="0" applyFont="0" applyFill="0" applyBorder="0" applyAlignment="0">
      <alignment horizontal="center"/>
    </xf>
    <xf numFmtId="0" fontId="228" fillId="0" borderId="0"/>
    <xf numFmtId="287" fontId="127" fillId="0" borderId="0"/>
    <xf numFmtId="288" fontId="125" fillId="0" borderId="0"/>
    <xf numFmtId="288" fontId="125" fillId="0" borderId="0"/>
    <xf numFmtId="288" fontId="125" fillId="0" borderId="0"/>
    <xf numFmtId="288" fontId="125" fillId="0" borderId="0"/>
    <xf numFmtId="289" fontId="141" fillId="0" borderId="0"/>
    <xf numFmtId="289" fontId="141" fillId="0" borderId="0"/>
    <xf numFmtId="289" fontId="141" fillId="0" borderId="0"/>
    <xf numFmtId="290" fontId="125" fillId="0" borderId="0"/>
    <xf numFmtId="0" fontId="229" fillId="0" borderId="0"/>
    <xf numFmtId="0" fontId="37" fillId="0" borderId="0"/>
    <xf numFmtId="0" fontId="37" fillId="0" borderId="0"/>
    <xf numFmtId="0" fontId="15" fillId="0" borderId="0"/>
    <xf numFmtId="0" fontId="6" fillId="0" borderId="0"/>
    <xf numFmtId="0" fontId="25" fillId="0" borderId="0"/>
    <xf numFmtId="0" fontId="25" fillId="0" borderId="0"/>
    <xf numFmtId="0" fontId="31" fillId="0" borderId="0"/>
    <xf numFmtId="0" fontId="6" fillId="0" borderId="0"/>
    <xf numFmtId="0" fontId="25" fillId="0" borderId="0"/>
    <xf numFmtId="0" fontId="104" fillId="0" borderId="0"/>
    <xf numFmtId="0" fontId="230" fillId="0" borderId="0" applyNumberFormat="0" applyFill="0" applyBorder="0" applyProtection="0">
      <alignment vertical="top"/>
    </xf>
    <xf numFmtId="0" fontId="125" fillId="0" borderId="0"/>
    <xf numFmtId="0" fontId="147" fillId="0" borderId="0" applyFont="0"/>
    <xf numFmtId="0" fontId="231" fillId="0" borderId="0">
      <alignment horizontal="left" vertical="top"/>
    </xf>
    <xf numFmtId="0" fontId="171" fillId="52" borderId="0"/>
    <xf numFmtId="0" fontId="188" fillId="0" borderId="0"/>
    <xf numFmtId="0" fontId="6" fillId="51" borderId="43" applyNumberFormat="0" applyFont="0" applyAlignment="0" applyProtection="0"/>
    <xf numFmtId="291" fontId="232" fillId="0" borderId="0" applyFont="0" applyFill="0" applyBorder="0" applyProtection="0">
      <alignment vertical="top" wrapText="1"/>
    </xf>
    <xf numFmtId="0" fontId="115" fillId="0" borderId="42" applyNumberFormat="0" applyFill="0" applyAlignment="0" applyProtection="0"/>
    <xf numFmtId="0" fontId="128" fillId="0" borderId="0"/>
    <xf numFmtId="165" fontId="145" fillId="0" borderId="0" applyFont="0" applyFill="0" applyBorder="0" applyAlignment="0" applyProtection="0"/>
    <xf numFmtId="164" fontId="145" fillId="0" borderId="0" applyFon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36" fillId="0" borderId="0" applyNumberFormat="0" applyFill="0" applyBorder="0" applyAlignment="0" applyProtection="0"/>
    <xf numFmtId="0" fontId="125" fillId="0" borderId="0" applyNumberFormat="0" applyFill="0" applyBorder="0" applyAlignment="0" applyProtection="0"/>
    <xf numFmtId="0" fontId="31" fillId="0" borderId="0" applyFill="0" applyBorder="0" applyAlignment="0" applyProtection="0"/>
    <xf numFmtId="0" fontId="130" fillId="0" borderId="0"/>
    <xf numFmtId="0" fontId="234" fillId="48" borderId="44" applyNumberFormat="0" applyAlignment="0" applyProtection="0"/>
    <xf numFmtId="170" fontId="235" fillId="0" borderId="8" applyFont="0" applyBorder="0" applyAlignment="0"/>
    <xf numFmtId="0" fontId="236" fillId="52" borderId="0"/>
    <xf numFmtId="197" fontId="6" fillId="0" borderId="0" applyFont="0" applyFill="0" applyBorder="0" applyAlignment="0" applyProtection="0"/>
    <xf numFmtId="14" fontId="163" fillId="0" borderId="0">
      <alignment horizontal="center" wrapText="1"/>
      <protection locked="0"/>
    </xf>
    <xf numFmtId="252" fontId="6" fillId="0" borderId="0" applyFont="0" applyFill="0" applyBorder="0" applyAlignment="0" applyProtection="0"/>
    <xf numFmtId="261" fontId="6" fillId="0" borderId="0" applyFont="0" applyFill="0" applyBorder="0" applyAlignment="0" applyProtection="0"/>
    <xf numFmtId="10" fontId="6" fillId="0" borderId="0" applyFont="0" applyFill="0" applyBorder="0" applyAlignment="0" applyProtection="0"/>
    <xf numFmtId="9" fontId="37" fillId="0" borderId="0" applyFont="0" applyFill="0" applyBorder="0" applyAlignment="0" applyProtection="0"/>
    <xf numFmtId="9" fontId="139" fillId="0" borderId="62" applyNumberFormat="0" applyBorder="0"/>
    <xf numFmtId="0" fontId="6" fillId="0" borderId="0"/>
    <xf numFmtId="170" fontId="191" fillId="0" borderId="0">
      <protection locked="0"/>
    </xf>
    <xf numFmtId="207" fontId="171" fillId="0" borderId="0" applyFill="0" applyBorder="0" applyAlignment="0"/>
    <xf numFmtId="250" fontId="171" fillId="0" borderId="0" applyFill="0" applyBorder="0" applyAlignment="0"/>
    <xf numFmtId="207" fontId="171" fillId="0" borderId="0" applyFill="0" applyBorder="0" applyAlignment="0"/>
    <xf numFmtId="253" fontId="171" fillId="0" borderId="0" applyFill="0" applyBorder="0" applyAlignment="0"/>
    <xf numFmtId="250" fontId="171" fillId="0" borderId="0" applyFill="0" applyBorder="0" applyAlignment="0"/>
    <xf numFmtId="0" fontId="237" fillId="0" borderId="0"/>
    <xf numFmtId="0" fontId="139" fillId="0" borderId="0" applyNumberFormat="0" applyFont="0" applyFill="0" applyBorder="0" applyAlignment="0" applyProtection="0">
      <alignment horizontal="left"/>
    </xf>
    <xf numFmtId="0" fontId="238" fillId="0" borderId="59">
      <alignment horizontal="center"/>
    </xf>
    <xf numFmtId="0" fontId="239" fillId="56" borderId="0" applyNumberFormat="0" applyFont="0" applyBorder="0" applyAlignment="0">
      <alignment horizontal="center"/>
    </xf>
    <xf numFmtId="14" fontId="240" fillId="0" borderId="0" applyNumberFormat="0" applyFill="0" applyBorder="0" applyAlignment="0" applyProtection="0">
      <alignment horizontal="left"/>
    </xf>
    <xf numFmtId="0" fontId="216" fillId="0" borderId="0" applyNumberFormat="0" applyFill="0" applyBorder="0" applyAlignment="0" applyProtection="0">
      <alignment vertical="top"/>
      <protection locked="0"/>
    </xf>
    <xf numFmtId="0" fontId="128" fillId="0" borderId="0"/>
    <xf numFmtId="235" fontId="138" fillId="0" borderId="0" applyFont="0" applyFill="0" applyBorder="0" applyAlignment="0" applyProtection="0"/>
    <xf numFmtId="0" fontId="125" fillId="0" borderId="0" applyNumberFormat="0" applyFill="0" applyBorder="0" applyAlignment="0" applyProtection="0"/>
    <xf numFmtId="4" fontId="241" fillId="57" borderId="63" applyNumberFormat="0" applyProtection="0">
      <alignment vertical="center"/>
    </xf>
    <xf numFmtId="4" fontId="242" fillId="57" borderId="63" applyNumberFormat="0" applyProtection="0">
      <alignment vertical="center"/>
    </xf>
    <xf numFmtId="4" fontId="243" fillId="57" borderId="63" applyNumberFormat="0" applyProtection="0">
      <alignment horizontal="left" vertical="center" indent="1"/>
    </xf>
    <xf numFmtId="4" fontId="243" fillId="58" borderId="0" applyNumberFormat="0" applyProtection="0">
      <alignment horizontal="left" vertical="center" indent="1"/>
    </xf>
    <xf numFmtId="4" fontId="243" fillId="59" borderId="63" applyNumberFormat="0" applyProtection="0">
      <alignment horizontal="right" vertical="center"/>
    </xf>
    <xf numFmtId="4" fontId="243" fillId="60" borderId="63" applyNumberFormat="0" applyProtection="0">
      <alignment horizontal="right" vertical="center"/>
    </xf>
    <xf numFmtId="4" fontId="243" fillId="61" borderId="63" applyNumberFormat="0" applyProtection="0">
      <alignment horizontal="right" vertical="center"/>
    </xf>
    <xf numFmtId="4" fontId="243" fillId="62" borderId="63" applyNumberFormat="0" applyProtection="0">
      <alignment horizontal="right" vertical="center"/>
    </xf>
    <xf numFmtId="4" fontId="243" fillId="63" borderId="63" applyNumberFormat="0" applyProtection="0">
      <alignment horizontal="right" vertical="center"/>
    </xf>
    <xf numFmtId="4" fontId="243" fillId="64" borderId="63" applyNumberFormat="0" applyProtection="0">
      <alignment horizontal="right" vertical="center"/>
    </xf>
    <xf numFmtId="4" fontId="243" fillId="65" borderId="63" applyNumberFormat="0" applyProtection="0">
      <alignment horizontal="right" vertical="center"/>
    </xf>
    <xf numFmtId="4" fontId="243" fillId="66" borderId="63" applyNumberFormat="0" applyProtection="0">
      <alignment horizontal="right" vertical="center"/>
    </xf>
    <xf numFmtId="4" fontId="243" fillId="67" borderId="63" applyNumberFormat="0" applyProtection="0">
      <alignment horizontal="right" vertical="center"/>
    </xf>
    <xf numFmtId="4" fontId="241" fillId="68" borderId="64" applyNumberFormat="0" applyProtection="0">
      <alignment horizontal="left" vertical="center" indent="1"/>
    </xf>
    <xf numFmtId="4" fontId="241" fillId="69" borderId="0" applyNumberFormat="0" applyProtection="0">
      <alignment horizontal="left" vertical="center" indent="1"/>
    </xf>
    <xf numFmtId="4" fontId="241" fillId="58" borderId="0" applyNumberFormat="0" applyProtection="0">
      <alignment horizontal="left" vertical="center" indent="1"/>
    </xf>
    <xf numFmtId="4" fontId="243" fillId="69" borderId="63" applyNumberFormat="0" applyProtection="0">
      <alignment horizontal="right" vertical="center"/>
    </xf>
    <xf numFmtId="4" fontId="140" fillId="69" borderId="0" applyNumberFormat="0" applyProtection="0">
      <alignment horizontal="left" vertical="center" indent="1"/>
    </xf>
    <xf numFmtId="4" fontId="140" fillId="58" borderId="0" applyNumberFormat="0" applyProtection="0">
      <alignment horizontal="left" vertical="center" indent="1"/>
    </xf>
    <xf numFmtId="4" fontId="243" fillId="70" borderId="63" applyNumberFormat="0" applyProtection="0">
      <alignment vertical="center"/>
    </xf>
    <xf numFmtId="4" fontId="244" fillId="70" borderId="63" applyNumberFormat="0" applyProtection="0">
      <alignment vertical="center"/>
    </xf>
    <xf numFmtId="4" fontId="241" fillId="69" borderId="65" applyNumberFormat="0" applyProtection="0">
      <alignment horizontal="left" vertical="center" indent="1"/>
    </xf>
    <xf numFmtId="4" fontId="243" fillId="70" borderId="63" applyNumberFormat="0" applyProtection="0">
      <alignment horizontal="right" vertical="center"/>
    </xf>
    <xf numFmtId="4" fontId="244" fillId="70" borderId="63" applyNumberFormat="0" applyProtection="0">
      <alignment horizontal="right" vertical="center"/>
    </xf>
    <xf numFmtId="4" fontId="241" fillId="69" borderId="63" applyNumberFormat="0" applyProtection="0">
      <alignment horizontal="left" vertical="center" indent="1"/>
    </xf>
    <xf numFmtId="4" fontId="245" fillId="54" borderId="65" applyNumberFormat="0" applyProtection="0">
      <alignment horizontal="left" vertical="center" indent="1"/>
    </xf>
    <xf numFmtId="4" fontId="246" fillId="70" borderId="63" applyNumberFormat="0" applyProtection="0">
      <alignment horizontal="right" vertical="center"/>
    </xf>
    <xf numFmtId="292" fontId="247" fillId="0" borderId="0" applyFont="0" applyFill="0" applyBorder="0" applyAlignment="0" applyProtection="0"/>
    <xf numFmtId="0" fontId="239" fillId="1" borderId="3" applyNumberFormat="0" applyFont="0" applyAlignment="0">
      <alignment horizontal="center"/>
    </xf>
    <xf numFmtId="4" fontId="6" fillId="0" borderId="5" applyBorder="0"/>
    <xf numFmtId="2" fontId="6" fillId="0" borderId="5"/>
    <xf numFmtId="192" fontId="6" fillId="0" borderId="0"/>
    <xf numFmtId="3" fontId="124" fillId="0" borderId="0"/>
    <xf numFmtId="0" fontId="248" fillId="0" borderId="0" applyNumberFormat="0" applyFill="0" applyBorder="0" applyAlignment="0">
      <alignment horizontal="center"/>
    </xf>
    <xf numFmtId="1" fontId="6" fillId="0" borderId="0"/>
    <xf numFmtId="170" fontId="249" fillId="0" borderId="0" applyNumberFormat="0" applyBorder="0" applyAlignment="0">
      <alignment horizontal="centerContinuous"/>
    </xf>
    <xf numFmtId="0" fontId="129" fillId="0" borderId="0"/>
    <xf numFmtId="170" fontId="117" fillId="0" borderId="0" applyFont="0" applyFill="0" applyBorder="0" applyAlignment="0" applyProtection="0"/>
    <xf numFmtId="235" fontId="138" fillId="0" borderId="0" applyFont="0" applyFill="0" applyBorder="0" applyAlignment="0" applyProtection="0"/>
    <xf numFmtId="199" fontId="138" fillId="0" borderId="0" applyFont="0" applyFill="0" applyBorder="0" applyAlignment="0" applyProtection="0"/>
    <xf numFmtId="199" fontId="138" fillId="0" borderId="0" applyFont="0" applyFill="0" applyBorder="0" applyAlignment="0" applyProtection="0"/>
    <xf numFmtId="209" fontId="138" fillId="0" borderId="0" applyFont="0" applyFill="0" applyBorder="0" applyAlignment="0" applyProtection="0"/>
    <xf numFmtId="239"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240" fontId="124"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164" fontId="125"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02" fontId="142" fillId="0" borderId="0" applyFont="0" applyFill="0" applyBorder="0" applyAlignment="0" applyProtection="0"/>
    <xf numFmtId="241" fontId="138" fillId="0" borderId="0" applyFont="0" applyFill="0" applyBorder="0" applyAlignment="0" applyProtection="0"/>
    <xf numFmtId="241" fontId="138" fillId="0" borderId="0" applyFont="0" applyFill="0" applyBorder="0" applyAlignment="0" applyProtection="0"/>
    <xf numFmtId="242" fontId="6" fillId="0" borderId="0" applyFont="0" applyFill="0" applyBorder="0" applyAlignment="0" applyProtection="0"/>
    <xf numFmtId="213" fontId="142" fillId="0" borderId="0" applyFont="0" applyFill="0" applyBorder="0" applyAlignment="0" applyProtection="0"/>
    <xf numFmtId="164" fontId="125" fillId="0" borderId="0" applyFont="0" applyFill="0" applyBorder="0" applyAlignment="0" applyProtection="0"/>
    <xf numFmtId="241" fontId="138" fillId="0" borderId="0" applyFont="0" applyFill="0" applyBorder="0" applyAlignment="0" applyProtection="0"/>
    <xf numFmtId="202" fontId="142" fillId="0" borderId="0" applyFont="0" applyFill="0" applyBorder="0" applyAlignment="0" applyProtection="0"/>
    <xf numFmtId="243" fontId="36" fillId="0" borderId="0" applyFont="0" applyFill="0" applyBorder="0" applyAlignment="0" applyProtection="0"/>
    <xf numFmtId="235"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164" fontId="125" fillId="0" borderId="0" applyFont="0" applyFill="0" applyBorder="0" applyAlignment="0" applyProtection="0"/>
    <xf numFmtId="206" fontId="138" fillId="0" borderId="0" applyFont="0" applyFill="0" applyBorder="0" applyAlignment="0" applyProtection="0"/>
    <xf numFmtId="210" fontId="124" fillId="0" borderId="0" applyFont="0" applyFill="0" applyBorder="0" applyAlignment="0" applyProtection="0"/>
    <xf numFmtId="211" fontId="138" fillId="0" borderId="0" applyFont="0" applyFill="0" applyBorder="0" applyAlignment="0" applyProtection="0"/>
    <xf numFmtId="212" fontId="138" fillId="0" borderId="0" applyFont="0" applyFill="0" applyBorder="0" applyAlignment="0" applyProtection="0"/>
    <xf numFmtId="211" fontId="138" fillId="0" borderId="0" applyFont="0" applyFill="0" applyBorder="0" applyAlignment="0" applyProtection="0"/>
    <xf numFmtId="202" fontId="141" fillId="0" borderId="0" applyFont="0" applyFill="0" applyBorder="0" applyAlignment="0" applyProtection="0"/>
    <xf numFmtId="42" fontId="138" fillId="0" borderId="0" applyFont="0" applyFill="0" applyBorder="0" applyAlignment="0" applyProtection="0"/>
    <xf numFmtId="185" fontId="124" fillId="0" borderId="0" applyFont="0" applyFill="0" applyBorder="0" applyAlignment="0" applyProtection="0"/>
    <xf numFmtId="42" fontId="138" fillId="0" borderId="0" applyFont="0" applyFill="0" applyBorder="0" applyAlignment="0" applyProtection="0"/>
    <xf numFmtId="211" fontId="138" fillId="0" borderId="0" applyFont="0" applyFill="0" applyBorder="0" applyAlignment="0" applyProtection="0"/>
    <xf numFmtId="170" fontId="117" fillId="0" borderId="0" applyFont="0" applyFill="0" applyBorder="0" applyAlignment="0" applyProtection="0"/>
    <xf numFmtId="202" fontId="141" fillId="0" borderId="0" applyFont="0" applyFill="0" applyBorder="0" applyAlignment="0" applyProtection="0"/>
    <xf numFmtId="203" fontId="138" fillId="0" borderId="0" applyFont="0" applyFill="0" applyBorder="0" applyAlignment="0" applyProtection="0"/>
    <xf numFmtId="210" fontId="124" fillId="0" borderId="0" applyFont="0" applyFill="0" applyBorder="0" applyAlignment="0" applyProtection="0"/>
    <xf numFmtId="228" fontId="142" fillId="0" borderId="0" applyFont="0" applyFill="0" applyBorder="0" applyAlignment="0" applyProtection="0"/>
    <xf numFmtId="229" fontId="138" fillId="0" borderId="0" applyFont="0" applyFill="0" applyBorder="0" applyAlignment="0" applyProtection="0"/>
    <xf numFmtId="229" fontId="138" fillId="0" borderId="0" applyFont="0" applyFill="0" applyBorder="0" applyAlignment="0" applyProtection="0"/>
    <xf numFmtId="230" fontId="142" fillId="0" borderId="0" applyFont="0" applyFill="0" applyBorder="0" applyAlignment="0" applyProtection="0"/>
    <xf numFmtId="229" fontId="138" fillId="0" borderId="0" applyFont="0" applyFill="0" applyBorder="0" applyAlignment="0" applyProtection="0"/>
    <xf numFmtId="228" fontId="142" fillId="0" borderId="0" applyFont="0" applyFill="0" applyBorder="0" applyAlignment="0" applyProtection="0"/>
    <xf numFmtId="229" fontId="138" fillId="0" borderId="0" applyFont="0" applyFill="0" applyBorder="0" applyAlignment="0" applyProtection="0"/>
    <xf numFmtId="170" fontId="117" fillId="0" borderId="0" applyFont="0" applyFill="0" applyBorder="0" applyAlignment="0" applyProtection="0"/>
    <xf numFmtId="210" fontId="138" fillId="0" borderId="0" applyFont="0" applyFill="0" applyBorder="0" applyAlignment="0" applyProtection="0"/>
    <xf numFmtId="210" fontId="138" fillId="0" borderId="0" applyFont="0" applyFill="0" applyBorder="0" applyAlignment="0" applyProtection="0"/>
    <xf numFmtId="230" fontId="142" fillId="0" borderId="0" applyFont="0" applyFill="0" applyBorder="0" applyAlignment="0" applyProtection="0"/>
    <xf numFmtId="231" fontId="138" fillId="0" borderId="0" applyFont="0" applyFill="0" applyBorder="0" applyAlignment="0" applyProtection="0"/>
    <xf numFmtId="231" fontId="138" fillId="0" borderId="0" applyFont="0" applyFill="0" applyBorder="0" applyAlignment="0" applyProtection="0"/>
    <xf numFmtId="232" fontId="6" fillId="0" borderId="0" applyFont="0" applyFill="0" applyBorder="0" applyAlignment="0" applyProtection="0"/>
    <xf numFmtId="164" fontId="142" fillId="0" borderId="0" applyFont="0" applyFill="0" applyBorder="0" applyAlignment="0" applyProtection="0"/>
    <xf numFmtId="231" fontId="138" fillId="0" borderId="0" applyFont="0" applyFill="0" applyBorder="0" applyAlignment="0" applyProtection="0"/>
    <xf numFmtId="230" fontId="142" fillId="0" borderId="0" applyFont="0" applyFill="0" applyBorder="0" applyAlignment="0" applyProtection="0"/>
    <xf numFmtId="182" fontId="36" fillId="0" borderId="0" applyFont="0" applyFill="0" applyBorder="0" applyAlignment="0" applyProtection="0"/>
    <xf numFmtId="197" fontId="138" fillId="0" borderId="0" applyFont="0" applyFill="0" applyBorder="0" applyAlignment="0" applyProtection="0"/>
    <xf numFmtId="233" fontId="138" fillId="0" borderId="0" applyFont="0" applyFill="0" applyBorder="0" applyAlignment="0" applyProtection="0"/>
    <xf numFmtId="42" fontId="138" fillId="0" borderId="0" applyFont="0" applyFill="0" applyBorder="0" applyAlignment="0" applyProtection="0"/>
    <xf numFmtId="0" fontId="128" fillId="0" borderId="0"/>
    <xf numFmtId="293" fontId="36"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170" fontId="117"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42" fontId="138" fillId="0" borderId="0" applyFont="0" applyFill="0" applyBorder="0" applyAlignment="0" applyProtection="0"/>
    <xf numFmtId="229" fontId="138" fillId="0" borderId="0" applyFont="0" applyFill="0" applyBorder="0" applyAlignment="0" applyProtection="0"/>
    <xf numFmtId="210" fontId="124" fillId="0" borderId="0" applyFont="0" applyFill="0" applyBorder="0" applyAlignment="0" applyProtection="0"/>
    <xf numFmtId="210" fontId="138" fillId="0" borderId="0" applyFont="0" applyFill="0" applyBorder="0" applyAlignment="0" applyProtection="0"/>
    <xf numFmtId="0" fontId="128" fillId="0" borderId="0"/>
    <xf numFmtId="293" fontId="36"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199" fontId="138" fillId="0" borderId="0" applyFont="0" applyFill="0" applyBorder="0" applyAlignment="0" applyProtection="0"/>
    <xf numFmtId="209" fontId="138" fillId="0" borderId="0" applyFont="0" applyFill="0" applyBorder="0" applyAlignment="0" applyProtection="0"/>
    <xf numFmtId="239"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40" fontId="124"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02" fontId="142" fillId="0" borderId="0" applyFont="0" applyFill="0" applyBorder="0" applyAlignment="0" applyProtection="0"/>
    <xf numFmtId="241" fontId="138" fillId="0" borderId="0" applyFont="0" applyFill="0" applyBorder="0" applyAlignment="0" applyProtection="0"/>
    <xf numFmtId="209" fontId="138" fillId="0" borderId="0" applyFont="0" applyFill="0" applyBorder="0" applyAlignment="0" applyProtection="0"/>
    <xf numFmtId="241" fontId="138" fillId="0" borderId="0" applyFont="0" applyFill="0" applyBorder="0" applyAlignment="0" applyProtection="0"/>
    <xf numFmtId="242" fontId="6" fillId="0" borderId="0" applyFont="0" applyFill="0" applyBorder="0" applyAlignment="0" applyProtection="0"/>
    <xf numFmtId="213" fontId="142" fillId="0" borderId="0" applyFont="0" applyFill="0" applyBorder="0" applyAlignment="0" applyProtection="0"/>
    <xf numFmtId="241" fontId="138" fillId="0" borderId="0" applyFont="0" applyFill="0" applyBorder="0" applyAlignment="0" applyProtection="0"/>
    <xf numFmtId="202" fontId="142" fillId="0" borderId="0" applyFont="0" applyFill="0" applyBorder="0" applyAlignment="0" applyProtection="0"/>
    <xf numFmtId="243" fontId="36" fillId="0" borderId="0" applyFont="0" applyFill="0" applyBorder="0" applyAlignment="0" applyProtection="0"/>
    <xf numFmtId="235"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170" fontId="117" fillId="0" borderId="0" applyFont="0" applyFill="0" applyBorder="0" applyAlignment="0" applyProtection="0"/>
    <xf numFmtId="164" fontId="125" fillId="0" borderId="0" applyFont="0" applyFill="0" applyBorder="0" applyAlignment="0" applyProtection="0"/>
    <xf numFmtId="164" fontId="125" fillId="0" borderId="0" applyFont="0" applyFill="0" applyBorder="0" applyAlignment="0" applyProtection="0"/>
    <xf numFmtId="164" fontId="125" fillId="0" borderId="0" applyFont="0" applyFill="0" applyBorder="0" applyAlignment="0" applyProtection="0"/>
    <xf numFmtId="170" fontId="117" fillId="0" borderId="0" applyFont="0" applyFill="0" applyBorder="0" applyAlignment="0" applyProtection="0"/>
    <xf numFmtId="170" fontId="117" fillId="0" borderId="0" applyFont="0" applyFill="0" applyBorder="0" applyAlignment="0" applyProtection="0"/>
    <xf numFmtId="209" fontId="138"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234" fontId="138" fillId="0" borderId="0" applyFont="0" applyFill="0" applyBorder="0" applyAlignment="0" applyProtection="0"/>
    <xf numFmtId="235"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234" fontId="138" fillId="0" borderId="0" applyFont="0" applyFill="0" applyBorder="0" applyAlignment="0" applyProtection="0"/>
    <xf numFmtId="236" fontId="138" fillId="0" borderId="0" applyFont="0" applyFill="0" applyBorder="0" applyAlignment="0" applyProtection="0"/>
    <xf numFmtId="197" fontId="138" fillId="0" borderId="0" applyFont="0" applyFill="0" applyBorder="0" applyAlignment="0" applyProtection="0"/>
    <xf numFmtId="209" fontId="124" fillId="0" borderId="0" applyFont="0" applyFill="0" applyBorder="0" applyAlignment="0" applyProtection="0"/>
    <xf numFmtId="197" fontId="138" fillId="0" borderId="0" applyFont="0" applyFill="0" applyBorder="0" applyAlignment="0" applyProtection="0"/>
    <xf numFmtId="209" fontId="124"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234" fontId="138" fillId="0" borderId="0" applyFont="0" applyFill="0" applyBorder="0" applyAlignment="0" applyProtection="0"/>
    <xf numFmtId="199" fontId="138" fillId="0" borderId="0" applyFont="0" applyFill="0" applyBorder="0" applyAlignment="0" applyProtection="0"/>
    <xf numFmtId="235" fontId="138" fillId="0" borderId="0" applyFont="0" applyFill="0" applyBorder="0" applyAlignment="0" applyProtection="0"/>
    <xf numFmtId="237" fontId="138" fillId="0" borderId="0" applyFont="0" applyFill="0" applyBorder="0" applyAlignment="0" applyProtection="0"/>
    <xf numFmtId="238" fontId="138" fillId="0" borderId="0" applyFont="0" applyFill="0" applyBorder="0" applyAlignment="0" applyProtection="0"/>
    <xf numFmtId="197" fontId="138" fillId="0" borderId="0" applyFont="0" applyFill="0" applyBorder="0" applyAlignment="0" applyProtection="0"/>
    <xf numFmtId="237" fontId="138" fillId="0" borderId="0" applyFont="0" applyFill="0" applyBorder="0" applyAlignment="0" applyProtection="0"/>
    <xf numFmtId="234" fontId="138" fillId="0" borderId="0" applyFont="0" applyFill="0" applyBorder="0" applyAlignment="0" applyProtection="0"/>
    <xf numFmtId="209" fontId="138" fillId="0" borderId="0" applyFont="0" applyFill="0" applyBorder="0" applyAlignment="0" applyProtection="0"/>
    <xf numFmtId="209" fontId="138" fillId="0" borderId="0" applyFont="0" applyFill="0" applyBorder="0" applyAlignment="0" applyProtection="0"/>
    <xf numFmtId="197" fontId="138" fillId="0" borderId="0" applyFont="0" applyFill="0" applyBorder="0" applyAlignment="0" applyProtection="0"/>
    <xf numFmtId="235" fontId="138" fillId="0" borderId="0" applyFont="0" applyFill="0" applyBorder="0" applyAlignment="0" applyProtection="0"/>
    <xf numFmtId="197" fontId="138" fillId="0" borderId="0" applyFont="0" applyFill="0" applyBorder="0" applyAlignment="0" applyProtection="0"/>
    <xf numFmtId="209" fontId="138" fillId="0" borderId="0" applyFont="0" applyFill="0" applyBorder="0" applyAlignment="0" applyProtection="0"/>
    <xf numFmtId="235" fontId="138" fillId="0" borderId="0" applyFont="0" applyFill="0" applyBorder="0" applyAlignment="0" applyProtection="0"/>
    <xf numFmtId="235" fontId="138" fillId="0" borderId="0" applyFont="0" applyFill="0" applyBorder="0" applyAlignment="0" applyProtection="0"/>
    <xf numFmtId="14" fontId="250" fillId="0" borderId="0"/>
    <xf numFmtId="0" fontId="251" fillId="0" borderId="0"/>
    <xf numFmtId="0" fontId="222" fillId="0" borderId="0"/>
    <xf numFmtId="40" fontId="252" fillId="0" borderId="0" applyBorder="0">
      <alignment horizontal="right"/>
    </xf>
    <xf numFmtId="0" fontId="253" fillId="0" borderId="0"/>
    <xf numFmtId="294" fontId="36" fillId="0" borderId="2">
      <alignment horizontal="right" vertical="center"/>
    </xf>
    <xf numFmtId="294" fontId="36" fillId="0" borderId="2">
      <alignment horizontal="right" vertical="center"/>
    </xf>
    <xf numFmtId="206" fontId="254" fillId="0" borderId="2">
      <alignment horizontal="right" vertical="center"/>
    </xf>
    <xf numFmtId="224" fontId="161"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5" fontId="36" fillId="0" borderId="66">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94" fontId="36" fillId="0" borderId="2">
      <alignment horizontal="right" vertical="center"/>
    </xf>
    <xf numFmtId="295" fontId="36" fillId="0" borderId="66">
      <alignment horizontal="right" vertical="center"/>
    </xf>
    <xf numFmtId="207" fontId="128" fillId="0" borderId="2">
      <alignment horizontal="right" vertical="center"/>
    </xf>
    <xf numFmtId="224" fontId="161" fillId="0" borderId="2">
      <alignment horizontal="right" vertical="center"/>
    </xf>
    <xf numFmtId="224" fontId="161" fillId="0" borderId="2">
      <alignment horizontal="right" vertical="center"/>
    </xf>
    <xf numFmtId="207" fontId="128" fillId="0" borderId="2">
      <alignment horizontal="right" vertical="center"/>
    </xf>
    <xf numFmtId="226" fontId="125" fillId="0" borderId="2">
      <alignment horizontal="right" vertical="center"/>
    </xf>
    <xf numFmtId="296" fontId="125" fillId="0" borderId="2">
      <alignment horizontal="right" vertical="center"/>
    </xf>
    <xf numFmtId="297" fontId="138" fillId="0" borderId="2">
      <alignment horizontal="right" vertical="center"/>
    </xf>
    <xf numFmtId="298" fontId="125" fillId="0" borderId="2">
      <alignment horizontal="right" vertical="center"/>
    </xf>
    <xf numFmtId="298" fontId="125" fillId="0" borderId="2">
      <alignment horizontal="right" vertical="center"/>
    </xf>
    <xf numFmtId="296" fontId="125" fillId="0" borderId="2">
      <alignment horizontal="right" vertical="center"/>
    </xf>
    <xf numFmtId="207" fontId="128" fillId="0" borderId="2">
      <alignment horizontal="right" vertical="center"/>
    </xf>
    <xf numFmtId="226" fontId="125" fillId="0" borderId="2">
      <alignment horizontal="right" vertical="center"/>
    </xf>
    <xf numFmtId="207" fontId="128" fillId="0" borderId="2">
      <alignment horizontal="right" vertical="center"/>
    </xf>
    <xf numFmtId="224" fontId="161" fillId="0" borderId="2">
      <alignment horizontal="right" vertical="center"/>
    </xf>
    <xf numFmtId="224" fontId="161" fillId="0" borderId="2">
      <alignment horizontal="right" vertical="center"/>
    </xf>
    <xf numFmtId="299" fontId="124" fillId="0" borderId="2">
      <alignment horizontal="right" vertical="center"/>
    </xf>
    <xf numFmtId="207" fontId="128" fillId="0" borderId="2">
      <alignment horizontal="right" vertical="center"/>
    </xf>
    <xf numFmtId="295" fontId="36" fillId="0" borderId="66">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5" fontId="36" fillId="0" borderId="66">
      <alignment horizontal="right" vertical="center"/>
    </xf>
    <xf numFmtId="296" fontId="125" fillId="0" borderId="2">
      <alignment horizontal="right" vertical="center"/>
    </xf>
    <xf numFmtId="297" fontId="138" fillId="0" borderId="2">
      <alignment horizontal="right" vertical="center"/>
    </xf>
    <xf numFmtId="296" fontId="125" fillId="0" borderId="2">
      <alignment horizontal="right" vertical="center"/>
    </xf>
    <xf numFmtId="298" fontId="125"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6" fontId="125" fillId="0" borderId="2">
      <alignment horizontal="right" vertical="center"/>
    </xf>
    <xf numFmtId="300" fontId="255" fillId="28" borderId="67" applyFont="0" applyFill="0" applyBorder="0"/>
    <xf numFmtId="296" fontId="125" fillId="0" borderId="2">
      <alignment horizontal="right" vertical="center"/>
    </xf>
    <xf numFmtId="295" fontId="36" fillId="0" borderId="66">
      <alignment horizontal="right" vertical="center"/>
    </xf>
    <xf numFmtId="294" fontId="36" fillId="0" borderId="2">
      <alignment horizontal="right" vertical="center"/>
    </xf>
    <xf numFmtId="294" fontId="36" fillId="0" borderId="2">
      <alignment horizontal="right" vertical="center"/>
    </xf>
    <xf numFmtId="240" fontId="36" fillId="0" borderId="2">
      <alignment horizontal="right" vertical="center"/>
    </xf>
    <xf numFmtId="300" fontId="255" fillId="28" borderId="67" applyFont="0" applyFill="0" applyBorder="0"/>
    <xf numFmtId="301" fontId="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40" fontId="36" fillId="0" borderId="2">
      <alignment horizontal="right" vertical="center"/>
    </xf>
    <xf numFmtId="226" fontId="125" fillId="0" borderId="2">
      <alignment horizontal="right" vertical="center"/>
    </xf>
    <xf numFmtId="295" fontId="36" fillId="0" borderId="66">
      <alignment horizontal="right" vertical="center"/>
    </xf>
    <xf numFmtId="296" fontId="125" fillId="0" borderId="2">
      <alignment horizontal="right" vertical="center"/>
    </xf>
    <xf numFmtId="297" fontId="138" fillId="0" borderId="2">
      <alignment horizontal="right" vertical="center"/>
    </xf>
    <xf numFmtId="296" fontId="125" fillId="0" borderId="2">
      <alignment horizontal="right" vertical="center"/>
    </xf>
    <xf numFmtId="294" fontId="36" fillId="0" borderId="2">
      <alignment horizontal="right" vertical="center"/>
    </xf>
    <xf numFmtId="226" fontId="125" fillId="0" borderId="2">
      <alignment horizontal="right" vertical="center"/>
    </xf>
    <xf numFmtId="226" fontId="125" fillId="0" borderId="2">
      <alignment horizontal="right" vertical="center"/>
    </xf>
    <xf numFmtId="302" fontId="124" fillId="0" borderId="2">
      <alignment horizontal="right" vertical="center"/>
    </xf>
    <xf numFmtId="295" fontId="36" fillId="0" borderId="66">
      <alignment horizontal="right" vertical="center"/>
    </xf>
    <xf numFmtId="303" fontId="125"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96" fontId="125" fillId="0" borderId="2">
      <alignment horizontal="right" vertical="center"/>
    </xf>
    <xf numFmtId="298" fontId="125" fillId="0" borderId="2">
      <alignment horizontal="right" vertical="center"/>
    </xf>
    <xf numFmtId="228" fontId="125"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300" fontId="255" fillId="28" borderId="67" applyFont="0" applyFill="0" applyBorder="0"/>
    <xf numFmtId="296" fontId="125"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6" fontId="125"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304" fontId="161" fillId="0" borderId="2">
      <alignment horizontal="right" vertical="center"/>
    </xf>
    <xf numFmtId="296" fontId="125" fillId="0" borderId="2">
      <alignment horizontal="right" vertical="center"/>
    </xf>
    <xf numFmtId="300" fontId="255" fillId="28" borderId="67" applyFont="0" applyFill="0" applyBorder="0"/>
    <xf numFmtId="300" fontId="255" fillId="28" borderId="67" applyFont="0" applyFill="0" applyBorder="0"/>
    <xf numFmtId="227" fontId="36" fillId="0" borderId="2">
      <alignment horizontal="right" vertical="center"/>
    </xf>
    <xf numFmtId="207" fontId="128" fillId="0" borderId="2">
      <alignment horizontal="right" vertical="center"/>
    </xf>
    <xf numFmtId="224" fontId="161" fillId="0" borderId="2">
      <alignment horizontal="right" vertical="center"/>
    </xf>
    <xf numFmtId="296" fontId="125" fillId="0" borderId="2">
      <alignment horizontal="right" vertical="center"/>
    </xf>
    <xf numFmtId="294" fontId="36" fillId="0" borderId="2">
      <alignment horizontal="right" vertical="center"/>
    </xf>
    <xf numFmtId="294" fontId="36"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94" fontId="36" fillId="0" borderId="2">
      <alignment horizontal="right" vertical="center"/>
    </xf>
    <xf numFmtId="300" fontId="255" fillId="28" borderId="67" applyFont="0" applyFill="0" applyBorder="0"/>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94" fontId="36" fillId="0" borderId="2">
      <alignment horizontal="right" vertical="center"/>
    </xf>
    <xf numFmtId="285" fontId="125" fillId="0" borderId="2">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206" fontId="254" fillId="0" borderId="2">
      <alignment horizontal="right" vertical="center"/>
    </xf>
    <xf numFmtId="294" fontId="36" fillId="0" borderId="2">
      <alignment horizontal="right" vertical="center"/>
    </xf>
    <xf numFmtId="228" fontId="125" fillId="0" borderId="2">
      <alignment horizontal="right" vertical="center"/>
    </xf>
    <xf numFmtId="207" fontId="128"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07" fontId="128" fillId="0" borderId="2">
      <alignment horizontal="right" vertical="center"/>
    </xf>
    <xf numFmtId="294" fontId="36" fillId="0" borderId="2">
      <alignment horizontal="right" vertical="center"/>
    </xf>
    <xf numFmtId="296" fontId="125" fillId="0" borderId="2">
      <alignment horizontal="right" vertical="center"/>
    </xf>
    <xf numFmtId="294" fontId="36" fillId="0" borderId="2">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4" fontId="36" fillId="0" borderId="2">
      <alignment horizontal="right" vertical="center"/>
    </xf>
    <xf numFmtId="227" fontId="36" fillId="0" borderId="2">
      <alignment horizontal="right" vertical="center"/>
    </xf>
    <xf numFmtId="306" fontId="256" fillId="0" borderId="2">
      <alignment horizontal="right" vertical="center"/>
    </xf>
    <xf numFmtId="49" fontId="31" fillId="0" borderId="0" applyFill="0" applyBorder="0" applyProtection="0">
      <alignment horizontal="center" vertical="center" wrapText="1" shrinkToFit="1"/>
    </xf>
    <xf numFmtId="49" fontId="140" fillId="0" borderId="0" applyFill="0" applyBorder="0" applyAlignment="0"/>
    <xf numFmtId="307" fontId="6" fillId="0" borderId="0" applyFill="0" applyBorder="0" applyAlignment="0"/>
    <xf numFmtId="308" fontId="6" fillId="0" borderId="0" applyFill="0" applyBorder="0" applyAlignment="0"/>
    <xf numFmtId="49" fontId="31" fillId="0" borderId="0" applyFill="0" applyBorder="0" applyProtection="0">
      <alignment horizontal="center" vertical="center" wrapText="1" shrinkToFit="1"/>
    </xf>
    <xf numFmtId="210" fontId="36" fillId="0" borderId="2">
      <alignment horizontal="center"/>
    </xf>
    <xf numFmtId="309" fontId="257" fillId="0" borderId="0" applyNumberFormat="0" applyFont="0" applyFill="0" applyBorder="0" applyAlignment="0">
      <alignment horizontal="centerContinuous"/>
    </xf>
    <xf numFmtId="282" fontId="258" fillId="0" borderId="0">
      <alignment horizontal="center"/>
      <protection locked="0"/>
    </xf>
    <xf numFmtId="0" fontId="125" fillId="0" borderId="68"/>
    <xf numFmtId="0" fontId="36" fillId="0" borderId="0" applyNumberFormat="0" applyFill="0" applyBorder="0" applyAlignment="0" applyProtection="0"/>
    <xf numFmtId="0" fontId="6" fillId="0" borderId="0" applyNumberFormat="0" applyFill="0" applyBorder="0" applyAlignment="0" applyProtection="0"/>
    <xf numFmtId="0" fontId="233" fillId="0" borderId="0" applyNumberFormat="0" applyFill="0" applyBorder="0" applyAlignment="0" applyProtection="0"/>
    <xf numFmtId="0" fontId="117" fillId="0" borderId="8" applyNumberFormat="0" applyBorder="0" applyAlignment="0"/>
    <xf numFmtId="0" fontId="259" fillId="0" borderId="7" applyNumberFormat="0" applyBorder="0" applyAlignment="0">
      <alignment horizontal="center"/>
    </xf>
    <xf numFmtId="3" fontId="260" fillId="0" borderId="18" applyNumberFormat="0" applyBorder="0" applyAlignment="0"/>
    <xf numFmtId="0" fontId="261" fillId="0" borderId="8">
      <alignment horizontal="center" vertical="center" wrapText="1"/>
    </xf>
    <xf numFmtId="0" fontId="119" fillId="0" borderId="0" applyNumberFormat="0" applyFill="0" applyBorder="0" applyAlignment="0" applyProtection="0"/>
    <xf numFmtId="40" fontId="203" fillId="0" borderId="0"/>
    <xf numFmtId="0" fontId="107" fillId="48" borderId="39" applyNumberFormat="0" applyAlignment="0" applyProtection="0"/>
    <xf numFmtId="3" fontId="262" fillId="0" borderId="0" applyNumberFormat="0" applyFill="0" applyBorder="0" applyAlignment="0" applyProtection="0">
      <alignment horizontal="center" wrapText="1"/>
    </xf>
    <xf numFmtId="0" fontId="263" fillId="0" borderId="1" applyBorder="0" applyAlignment="0">
      <alignment horizontal="center" vertical="center"/>
    </xf>
    <xf numFmtId="0" fontId="264" fillId="0" borderId="0" applyNumberFormat="0" applyFill="0" applyBorder="0" applyAlignment="0" applyProtection="0">
      <alignment horizontal="centerContinuous"/>
    </xf>
    <xf numFmtId="0" fontId="204" fillId="0" borderId="69" applyNumberFormat="0" applyFill="0" applyBorder="0" applyAlignment="0" applyProtection="0">
      <alignment horizontal="center" vertical="center" wrapText="1"/>
    </xf>
    <xf numFmtId="0" fontId="119" fillId="0" borderId="0" applyNumberFormat="0" applyFill="0" applyBorder="0" applyAlignment="0" applyProtection="0"/>
    <xf numFmtId="0" fontId="265" fillId="0" borderId="70" applyNumberFormat="0" applyFill="0" applyAlignment="0" applyProtection="0"/>
    <xf numFmtId="0" fontId="266" fillId="0" borderId="71" applyNumberFormat="0" applyBorder="0" applyAlignment="0">
      <alignment vertical="center"/>
    </xf>
    <xf numFmtId="0" fontId="110" fillId="32" borderId="0" applyNumberFormat="0" applyBorder="0" applyAlignment="0" applyProtection="0"/>
    <xf numFmtId="0" fontId="6" fillId="0" borderId="51" applyNumberFormat="0" applyFont="0" applyFill="0" applyAlignment="0" applyProtection="0"/>
    <xf numFmtId="0" fontId="265" fillId="0" borderId="70" applyNumberFormat="0" applyFill="0" applyAlignment="0" applyProtection="0"/>
    <xf numFmtId="0" fontId="223" fillId="0" borderId="72" applyNumberFormat="0" applyAlignment="0">
      <alignment horizontal="center"/>
    </xf>
    <xf numFmtId="0" fontId="116" fillId="55" borderId="0" applyNumberFormat="0" applyBorder="0" applyAlignment="0" applyProtection="0"/>
    <xf numFmtId="0" fontId="267" fillId="0" borderId="73">
      <alignment horizontal="center"/>
    </xf>
    <xf numFmtId="3" fontId="268" fillId="0" borderId="0" applyFill="0">
      <alignment vertical="center"/>
    </xf>
    <xf numFmtId="164" fontId="6" fillId="0" borderId="0" applyFont="0" applyFill="0" applyBorder="0" applyAlignment="0" applyProtection="0"/>
    <xf numFmtId="217" fontId="6" fillId="0" borderId="0" applyFont="0" applyFill="0" applyBorder="0" applyAlignment="0" applyProtection="0"/>
    <xf numFmtId="170" fontId="269" fillId="0" borderId="74" applyNumberFormat="0" applyFont="0" applyAlignment="0">
      <alignment horizontal="centerContinuous"/>
    </xf>
    <xf numFmtId="275" fontId="213" fillId="0" borderId="0" applyFont="0" applyFill="0" applyBorder="0" applyAlignment="0" applyProtection="0"/>
    <xf numFmtId="310" fontId="125" fillId="0" borderId="0" applyFont="0" applyFill="0" applyBorder="0" applyAlignment="0" applyProtection="0"/>
    <xf numFmtId="311" fontId="125" fillId="0" borderId="0" applyFont="0" applyFill="0" applyBorder="0" applyAlignment="0" applyProtection="0"/>
    <xf numFmtId="0" fontId="120" fillId="0" borderId="0" applyNumberFormat="0" applyFill="0" applyBorder="0" applyAlignment="0" applyProtection="0"/>
    <xf numFmtId="0" fontId="109" fillId="0" borderId="0" applyNumberFormat="0" applyFill="0" applyBorder="0" applyAlignment="0" applyProtection="0"/>
    <xf numFmtId="0" fontId="112" fillId="0" borderId="75">
      <alignment horizontal="center"/>
    </xf>
    <xf numFmtId="308" fontId="36" fillId="0" borderId="0"/>
    <xf numFmtId="227" fontId="36" fillId="0" borderId="10"/>
    <xf numFmtId="0" fontId="270" fillId="0" borderId="0"/>
    <xf numFmtId="0" fontId="141" fillId="0" borderId="0"/>
    <xf numFmtId="0" fontId="271" fillId="0" borderId="0"/>
    <xf numFmtId="3" fontId="36" fillId="0" borderId="0" applyNumberFormat="0" applyBorder="0" applyAlignment="0" applyProtection="0">
      <alignment horizontal="centerContinuous"/>
      <protection locked="0"/>
    </xf>
    <xf numFmtId="3" fontId="272" fillId="0" borderId="0">
      <protection locked="0"/>
    </xf>
    <xf numFmtId="0" fontId="141" fillId="0" borderId="0"/>
    <xf numFmtId="0" fontId="273" fillId="0" borderId="76" applyFill="0" applyBorder="0" applyAlignment="0">
      <alignment horizontal="center"/>
    </xf>
    <xf numFmtId="240" fontId="274" fillId="71" borderId="1">
      <alignment vertical="top"/>
    </xf>
    <xf numFmtId="0" fontId="275" fillId="72" borderId="10">
      <alignment horizontal="left" vertical="center"/>
    </xf>
    <xf numFmtId="224" fontId="276" fillId="27" borderId="1"/>
    <xf numFmtId="240" fontId="210" fillId="0" borderId="1">
      <alignment horizontal="left" vertical="top"/>
    </xf>
    <xf numFmtId="0" fontId="277" fillId="73" borderId="0">
      <alignment horizontal="left" vertical="center"/>
    </xf>
    <xf numFmtId="240" fontId="128" fillId="0" borderId="5">
      <alignment horizontal="left" vertical="top"/>
    </xf>
    <xf numFmtId="0" fontId="278" fillId="0" borderId="5">
      <alignment horizontal="left" vertical="center"/>
    </xf>
    <xf numFmtId="0" fontId="6" fillId="0" borderId="0" applyFont="0" applyFill="0" applyBorder="0" applyAlignment="0" applyProtection="0"/>
    <xf numFmtId="0" fontId="6" fillId="0" borderId="0" applyFont="0" applyFill="0" applyBorder="0" applyAlignment="0" applyProtection="0"/>
    <xf numFmtId="312" fontId="6" fillId="0" borderId="0" applyFont="0" applyFill="0" applyBorder="0" applyAlignment="0" applyProtection="0"/>
    <xf numFmtId="313" fontId="6" fillId="0" borderId="0" applyFont="0" applyFill="0" applyBorder="0" applyAlignment="0" applyProtection="0"/>
    <xf numFmtId="42" fontId="188" fillId="0" borderId="0" applyFont="0" applyFill="0" applyBorder="0" applyAlignment="0" applyProtection="0"/>
    <xf numFmtId="44" fontId="188" fillId="0" borderId="0" applyFont="0" applyFill="0" applyBorder="0" applyAlignment="0" applyProtection="0"/>
    <xf numFmtId="0" fontId="279" fillId="0" borderId="0" applyNumberFormat="0" applyFill="0" applyBorder="0" applyAlignment="0" applyProtection="0"/>
    <xf numFmtId="0" fontId="280" fillId="0" borderId="0" applyNumberFormat="0" applyFont="0" applyFill="0" applyBorder="0" applyProtection="0">
      <alignment horizontal="center" vertical="center" wrapText="1"/>
    </xf>
    <xf numFmtId="0" fontId="6" fillId="0" borderId="0" applyFont="0" applyFill="0" applyBorder="0" applyAlignment="0" applyProtection="0"/>
    <xf numFmtId="0" fontId="6" fillId="0" borderId="0" applyFont="0" applyFill="0" applyBorder="0" applyAlignment="0" applyProtection="0"/>
    <xf numFmtId="0" fontId="106" fillId="31" borderId="0" applyNumberFormat="0" applyBorder="0" applyAlignment="0" applyProtection="0"/>
    <xf numFmtId="0" fontId="281" fillId="0" borderId="0" applyNumberFormat="0" applyFill="0" applyBorder="0" applyAlignment="0" applyProtection="0"/>
    <xf numFmtId="0" fontId="161" fillId="0" borderId="77" applyFont="0" applyBorder="0" applyAlignment="0">
      <alignment horizontal="center"/>
    </xf>
    <xf numFmtId="164" fontId="125" fillId="0" borderId="0" applyFont="0" applyFill="0" applyBorder="0" applyAlignment="0" applyProtection="0"/>
    <xf numFmtId="206" fontId="133" fillId="0" borderId="0" applyFont="0" applyFill="0" applyBorder="0" applyAlignment="0" applyProtection="0"/>
    <xf numFmtId="207" fontId="133" fillId="0" borderId="0" applyFont="0" applyFill="0" applyBorder="0" applyAlignment="0" applyProtection="0"/>
    <xf numFmtId="0" fontId="133" fillId="0" borderId="0"/>
    <xf numFmtId="0" fontId="282" fillId="0" borderId="0" applyFont="0" applyFill="0" applyBorder="0" applyAlignment="0" applyProtection="0"/>
    <xf numFmtId="0" fontId="282" fillId="0" borderId="0" applyFont="0" applyFill="0" applyBorder="0" applyAlignment="0" applyProtection="0"/>
    <xf numFmtId="0" fontId="25" fillId="0" borderId="0">
      <alignment vertical="center"/>
    </xf>
    <xf numFmtId="9" fontId="283" fillId="0" borderId="0" applyBorder="0" applyAlignment="0" applyProtection="0"/>
    <xf numFmtId="0" fontId="284" fillId="0" borderId="48"/>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229" fillId="0" borderId="0" applyFont="0" applyFill="0" applyBorder="0" applyAlignment="0" applyProtection="0"/>
    <xf numFmtId="0" fontId="229" fillId="0" borderId="0" applyFont="0" applyFill="0" applyBorder="0" applyAlignment="0" applyProtection="0"/>
    <xf numFmtId="202" fontId="6" fillId="0" borderId="0" applyFont="0" applyFill="0" applyBorder="0" applyAlignment="0" applyProtection="0"/>
    <xf numFmtId="213" fontId="6" fillId="0" borderId="0" applyFont="0" applyFill="0" applyBorder="0" applyAlignment="0" applyProtection="0"/>
    <xf numFmtId="0" fontId="229" fillId="0" borderId="0"/>
    <xf numFmtId="0" fontId="285" fillId="0" borderId="0"/>
    <xf numFmtId="0" fontId="224" fillId="0" borderId="0"/>
    <xf numFmtId="164" fontId="286" fillId="0" borderId="0" applyFont="0" applyFill="0" applyBorder="0" applyAlignment="0" applyProtection="0"/>
    <xf numFmtId="165" fontId="286" fillId="0" borderId="0" applyFont="0" applyFill="0" applyBorder="0" applyAlignment="0" applyProtection="0"/>
    <xf numFmtId="191" fontId="141" fillId="0" borderId="0" applyFont="0" applyFill="0" applyBorder="0" applyAlignment="0" applyProtection="0"/>
    <xf numFmtId="192" fontId="141" fillId="0" borderId="0" applyFont="0" applyFill="0" applyBorder="0" applyAlignment="0" applyProtection="0"/>
    <xf numFmtId="0" fontId="6" fillId="0" borderId="0"/>
    <xf numFmtId="206" fontId="286" fillId="0" borderId="0" applyFont="0" applyFill="0" applyBorder="0" applyAlignment="0" applyProtection="0"/>
    <xf numFmtId="6" fontId="135" fillId="0" borderId="0" applyFont="0" applyFill="0" applyBorder="0" applyAlignment="0" applyProtection="0"/>
    <xf numFmtId="207" fontId="286" fillId="0" borderId="0" applyFont="0" applyFill="0" applyBorder="0" applyAlignment="0" applyProtection="0"/>
    <xf numFmtId="175" fontId="6" fillId="0" borderId="0" applyFont="0" applyFill="0" applyBorder="0" applyAlignment="0" applyProtection="0"/>
    <xf numFmtId="202" fontId="141" fillId="0" borderId="0" applyFont="0" applyFill="0" applyBorder="0" applyAlignment="0" applyProtection="0"/>
    <xf numFmtId="166" fontId="1" fillId="0" borderId="0" applyFont="0" applyFill="0" applyBorder="0" applyAlignment="0" applyProtection="0"/>
    <xf numFmtId="165" fontId="104" fillId="0" borderId="0" applyFont="0" applyFill="0" applyBorder="0" applyAlignment="0" applyProtection="0"/>
    <xf numFmtId="0" fontId="15" fillId="0" borderId="0"/>
    <xf numFmtId="168" fontId="6" fillId="0" borderId="0" applyFont="0" applyFill="0" applyBorder="0" applyAlignment="0" applyProtection="0"/>
    <xf numFmtId="165" fontId="104" fillId="0" borderId="0" applyFont="0" applyFill="0" applyBorder="0" applyAlignment="0" applyProtection="0"/>
    <xf numFmtId="0" fontId="104" fillId="0" borderId="0"/>
    <xf numFmtId="0" fontId="15" fillId="0" borderId="0"/>
    <xf numFmtId="0" fontId="15" fillId="0" borderId="0"/>
    <xf numFmtId="0" fontId="15" fillId="0" borderId="0"/>
    <xf numFmtId="165" fontId="104" fillId="0" borderId="0" applyFont="0" applyFill="0" applyBorder="0" applyAlignment="0" applyProtection="0"/>
    <xf numFmtId="0" fontId="104" fillId="0" borderId="0"/>
    <xf numFmtId="165" fontId="6" fillId="0" borderId="0" applyFont="0" applyFill="0" applyBorder="0" applyAlignment="0" applyProtection="0"/>
    <xf numFmtId="0" fontId="15" fillId="0" borderId="0"/>
    <xf numFmtId="0" fontId="15" fillId="0" borderId="0"/>
    <xf numFmtId="0" fontId="15" fillId="0" borderId="0"/>
    <xf numFmtId="165" fontId="104" fillId="0" borderId="0" applyFont="0" applyFill="0" applyBorder="0" applyAlignment="0" applyProtection="0"/>
    <xf numFmtId="0" fontId="104" fillId="0" borderId="0"/>
    <xf numFmtId="167" fontId="6" fillId="0" borderId="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15" fillId="0" borderId="0"/>
    <xf numFmtId="165" fontId="15" fillId="0" borderId="0" applyFont="0" applyFill="0" applyBorder="0" applyAlignment="0" applyProtection="0"/>
    <xf numFmtId="0" fontId="1" fillId="0" borderId="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105" fillId="16"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17" borderId="0" applyNumberFormat="0" applyBorder="0" applyAlignment="0" applyProtection="0"/>
    <xf numFmtId="0" fontId="105"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22" borderId="0" applyNumberFormat="0" applyBorder="0" applyAlignment="0" applyProtection="0"/>
    <xf numFmtId="0" fontId="105" fillId="17" borderId="0" applyNumberFormat="0" applyBorder="0" applyAlignment="0" applyProtection="0"/>
    <xf numFmtId="0" fontId="105" fillId="18" borderId="0" applyNumberFormat="0" applyBorder="0" applyAlignment="0" applyProtection="0"/>
    <xf numFmtId="0" fontId="105" fillId="23" borderId="0" applyNumberFormat="0" applyBorder="0" applyAlignment="0" applyProtection="0"/>
    <xf numFmtId="0" fontId="106" fillId="7" borderId="0" applyNumberFormat="0" applyBorder="0" applyAlignment="0" applyProtection="0"/>
    <xf numFmtId="0" fontId="107" fillId="24" borderId="39" applyNumberFormat="0" applyAlignment="0" applyProtection="0"/>
    <xf numFmtId="0" fontId="108" fillId="25" borderId="40" applyNumberFormat="0" applyAlignment="0" applyProtection="0"/>
    <xf numFmtId="167" fontId="6" fillId="0" borderId="0" applyFill="0" applyBorder="0" applyAlignment="0" applyProtection="0"/>
    <xf numFmtId="167" fontId="6" fillId="0" borderId="0" applyFill="0" applyBorder="0" applyAlignment="0" applyProtection="0"/>
    <xf numFmtId="0" fontId="109" fillId="0" borderId="0" applyNumberFormat="0" applyFill="0" applyBorder="0" applyAlignment="0" applyProtection="0"/>
    <xf numFmtId="0" fontId="110" fillId="8" borderId="0" applyNumberFormat="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3" fillId="0" borderId="41" applyNumberFormat="0" applyFill="0" applyAlignment="0" applyProtection="0"/>
    <xf numFmtId="0" fontId="113" fillId="0" borderId="0" applyNumberFormat="0" applyFill="0" applyBorder="0" applyAlignment="0" applyProtection="0"/>
    <xf numFmtId="0" fontId="114" fillId="11" borderId="39" applyNumberFormat="0" applyAlignment="0" applyProtection="0"/>
    <xf numFmtId="0" fontId="114" fillId="11" borderId="39" applyNumberFormat="0" applyAlignment="0" applyProtection="0"/>
    <xf numFmtId="0" fontId="114" fillId="11" borderId="39" applyNumberFormat="0" applyAlignment="0" applyProtection="0"/>
    <xf numFmtId="0" fontId="115" fillId="0" borderId="42" applyNumberFormat="0" applyFill="0" applyAlignment="0" applyProtection="0"/>
    <xf numFmtId="0" fontId="116" fillId="26" borderId="0" applyNumberFormat="0" applyBorder="0" applyAlignment="0" applyProtection="0"/>
    <xf numFmtId="0" fontId="6" fillId="0" borderId="0"/>
    <xf numFmtId="0" fontId="6" fillId="0" borderId="0"/>
    <xf numFmtId="0" fontId="6" fillId="0" borderId="0"/>
    <xf numFmtId="0" fontId="6" fillId="27" borderId="43" applyNumberFormat="0" applyAlignment="0" applyProtection="0"/>
    <xf numFmtId="0" fontId="118" fillId="24" borderId="4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19" fillId="0" borderId="0" applyNumberFormat="0" applyFill="0" applyBorder="0" applyAlignment="0" applyProtection="0"/>
    <xf numFmtId="0" fontId="6" fillId="0" borderId="45" applyNumberFormat="0" applyFill="0" applyAlignment="0" applyProtection="0"/>
    <xf numFmtId="0" fontId="120" fillId="0" borderId="0" applyNumberFormat="0" applyFill="0" applyBorder="0" applyAlignment="0" applyProtection="0"/>
    <xf numFmtId="0" fontId="6" fillId="0" borderId="0" applyNumberFormat="0" applyFill="0" applyBorder="0" applyAlignment="0" applyProtection="0"/>
    <xf numFmtId="198" fontId="138" fillId="0" borderId="0" applyFont="0" applyFill="0" applyBorder="0" applyAlignment="0" applyProtection="0"/>
    <xf numFmtId="198" fontId="138" fillId="0" borderId="0" applyFont="0" applyFill="0" applyBorder="0" applyAlignment="0" applyProtection="0"/>
    <xf numFmtId="0" fontId="139" fillId="0" borderId="0"/>
    <xf numFmtId="0" fontId="139" fillId="0" borderId="0"/>
    <xf numFmtId="0" fontId="139" fillId="0" borderId="0"/>
    <xf numFmtId="0" fontId="140" fillId="0" borderId="0">
      <alignment vertical="top"/>
    </xf>
    <xf numFmtId="0" fontId="140" fillId="0" borderId="0">
      <alignment vertical="top"/>
    </xf>
    <xf numFmtId="0" fontId="129" fillId="0" borderId="0"/>
    <xf numFmtId="0" fontId="139" fillId="0" borderId="0"/>
    <xf numFmtId="0" fontId="232" fillId="0" borderId="0"/>
    <xf numFmtId="244" fontId="143" fillId="0" borderId="0" applyFont="0" applyFill="0" applyBorder="0" applyAlignment="0" applyProtection="0"/>
    <xf numFmtId="244" fontId="143" fillId="0" borderId="0" applyFont="0" applyFill="0" applyBorder="0" applyAlignment="0" applyProtection="0"/>
    <xf numFmtId="244" fontId="143" fillId="0" borderId="0" applyFont="0" applyFill="0" applyBorder="0" applyAlignment="0" applyProtection="0"/>
    <xf numFmtId="0" fontId="150" fillId="28" borderId="0"/>
    <xf numFmtId="0" fontId="150" fillId="28" borderId="0"/>
    <xf numFmtId="0" fontId="150" fillId="28" borderId="0"/>
    <xf numFmtId="165" fontId="37" fillId="0" borderId="0" applyFont="0" applyFill="0" applyBorder="0" applyAlignment="0" applyProtection="0"/>
    <xf numFmtId="0" fontId="37" fillId="0" borderId="0" applyFont="0" applyFill="0" applyBorder="0" applyAlignment="0" applyProtection="0"/>
    <xf numFmtId="220" fontId="6" fillId="0" borderId="0" applyFont="0" applyFill="0" applyBorder="0" applyAlignment="0" applyProtection="0"/>
    <xf numFmtId="0" fontId="37" fillId="0" borderId="0" applyFont="0" applyFill="0" applyBorder="0" applyAlignment="0" applyProtection="0"/>
    <xf numFmtId="314" fontId="287" fillId="0" borderId="78" applyFont="0" applyFill="0" applyBorder="0" applyAlignment="0" applyProtection="0">
      <alignment horizontal="right"/>
    </xf>
    <xf numFmtId="0" fontId="37" fillId="0" borderId="0"/>
    <xf numFmtId="0" fontId="224" fillId="0" borderId="0"/>
    <xf numFmtId="0" fontId="37" fillId="0" borderId="0"/>
    <xf numFmtId="0" fontId="15" fillId="0" borderId="0"/>
    <xf numFmtId="0" fontId="125" fillId="0" borderId="0"/>
    <xf numFmtId="0" fontId="286" fillId="0" borderId="0" applyProtection="0"/>
    <xf numFmtId="0" fontId="286" fillId="0" borderId="0" applyProtection="0"/>
    <xf numFmtId="0" fontId="288" fillId="0" borderId="0"/>
    <xf numFmtId="0" fontId="37" fillId="0" borderId="0"/>
    <xf numFmtId="0" fontId="37" fillId="0" borderId="0"/>
    <xf numFmtId="0" fontId="286" fillId="0" borderId="0"/>
    <xf numFmtId="0" fontId="16" fillId="0" borderId="0"/>
    <xf numFmtId="0" fontId="6" fillId="0" borderId="0"/>
    <xf numFmtId="9" fontId="6" fillId="0" borderId="0" applyFont="0" applyFill="0" applyBorder="0" applyAlignment="0" applyProtection="0"/>
    <xf numFmtId="0" fontId="289" fillId="0" borderId="79" applyNumberFormat="0" applyFill="0" applyBorder="0" applyAlignment="0" applyProtection="0"/>
    <xf numFmtId="0" fontId="125" fillId="0" borderId="5">
      <alignment horizont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0" fontId="6" fillId="0" borderId="0" applyNumberFormat="0" applyFill="0" applyBorder="0" applyAlignment="0" applyProtection="0"/>
    <xf numFmtId="0" fontId="15" fillId="0" borderId="0"/>
    <xf numFmtId="165" fontId="15" fillId="0" borderId="0" applyFont="0" applyFill="0" applyBorder="0" applyAlignment="0" applyProtection="0"/>
    <xf numFmtId="0" fontId="6" fillId="0" borderId="0"/>
    <xf numFmtId="167" fontId="6" fillId="0" borderId="0" applyFill="0" applyBorder="0" applyAlignment="0" applyProtection="0"/>
    <xf numFmtId="167" fontId="6" fillId="0" borderId="0" applyFill="0" applyBorder="0" applyAlignment="0" applyProtection="0"/>
    <xf numFmtId="3" fontId="6" fillId="0" borderId="0" applyFill="0" applyBorder="0" applyAlignment="0" applyProtection="0"/>
    <xf numFmtId="201" fontId="6" fillId="0" borderId="0" applyFill="0" applyBorder="0" applyAlignment="0" applyProtection="0"/>
    <xf numFmtId="0" fontId="6" fillId="0" borderId="0" applyFill="0" applyBorder="0" applyAlignment="0" applyProtection="0"/>
    <xf numFmtId="2" fontId="6" fillId="0" borderId="0" applyFill="0" applyBorder="0" applyAlignment="0" applyProtection="0"/>
    <xf numFmtId="165" fontId="6" fillId="0" borderId="0" applyFont="0" applyFill="0" applyBorder="0" applyAlignment="0" applyProtection="0"/>
    <xf numFmtId="0" fontId="6" fillId="0" borderId="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77" fillId="52" borderId="0" applyNumberFormat="0" applyFont="0" applyBorder="0" applyAlignment="0"/>
    <xf numFmtId="0" fontId="15" fillId="0" borderId="0"/>
    <xf numFmtId="0" fontId="104" fillId="0" borderId="0"/>
    <xf numFmtId="165" fontId="104" fillId="0" borderId="0" applyFont="0" applyFill="0" applyBorder="0" applyAlignment="0" applyProtection="0"/>
    <xf numFmtId="0" fontId="15" fillId="0" borderId="0"/>
    <xf numFmtId="165" fontId="104" fillId="0" borderId="0" applyFont="0" applyFill="0" applyBorder="0" applyAlignment="0" applyProtection="0"/>
    <xf numFmtId="0" fontId="104" fillId="0" borderId="0"/>
    <xf numFmtId="0" fontId="15" fillId="0" borderId="0"/>
    <xf numFmtId="0" fontId="15" fillId="0" borderId="0"/>
    <xf numFmtId="0" fontId="15" fillId="0" borderId="0"/>
    <xf numFmtId="165" fontId="104" fillId="0" borderId="0" applyFont="0" applyFill="0" applyBorder="0" applyAlignment="0" applyProtection="0"/>
    <xf numFmtId="0" fontId="104" fillId="0" borderId="0"/>
    <xf numFmtId="0" fontId="15" fillId="0" borderId="0"/>
    <xf numFmtId="0" fontId="15" fillId="0" borderId="0"/>
    <xf numFmtId="0" fontId="15" fillId="0" borderId="0"/>
    <xf numFmtId="165"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0" fontId="15" fillId="0" borderId="0"/>
    <xf numFmtId="3" fontId="126" fillId="0" borderId="10"/>
    <xf numFmtId="3" fontId="126" fillId="0" borderId="10"/>
    <xf numFmtId="3" fontId="126" fillId="0" borderId="10"/>
    <xf numFmtId="3" fontId="126" fillId="0" borderId="10"/>
    <xf numFmtId="3" fontId="126" fillId="0" borderId="10"/>
    <xf numFmtId="170" fontId="127" fillId="0" borderId="47" applyFont="0" applyBorder="0"/>
    <xf numFmtId="170" fontId="127" fillId="0" borderId="47" applyFont="0" applyBorder="0"/>
    <xf numFmtId="170" fontId="127" fillId="0" borderId="47" applyFont="0" applyBorder="0"/>
    <xf numFmtId="170" fontId="127" fillId="0" borderId="47" applyFont="0" applyBorder="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1" fontId="147" fillId="0" borderId="10" applyBorder="0" applyAlignment="0">
      <alignment horizontal="center"/>
    </xf>
    <xf numFmtId="1" fontId="147" fillId="0" borderId="10" applyBorder="0" applyAlignment="0">
      <alignment horizontal="center"/>
    </xf>
    <xf numFmtId="1" fontId="147" fillId="0" borderId="10" applyBorder="0" applyAlignment="0">
      <alignment horizontal="center"/>
    </xf>
    <xf numFmtId="1" fontId="147" fillId="0" borderId="10" applyBorder="0" applyAlignment="0">
      <alignment horizontal="center"/>
    </xf>
    <xf numFmtId="1" fontId="147" fillId="0" borderId="10" applyBorder="0" applyAlignment="0">
      <alignment horizontal="center"/>
    </xf>
    <xf numFmtId="3" fontId="126" fillId="0" borderId="10"/>
    <xf numFmtId="3" fontId="126" fillId="0" borderId="10"/>
    <xf numFmtId="3" fontId="126" fillId="0" borderId="10"/>
    <xf numFmtId="3" fontId="126" fillId="0" borderId="10"/>
    <xf numFmtId="3" fontId="126" fillId="0" borderId="10"/>
    <xf numFmtId="3" fontId="126" fillId="0" borderId="10"/>
    <xf numFmtId="3" fontId="126" fillId="0" borderId="10"/>
    <xf numFmtId="3" fontId="126" fillId="0" borderId="10"/>
    <xf numFmtId="3" fontId="126" fillId="0" borderId="10"/>
    <xf numFmtId="3" fontId="126" fillId="0" borderId="10"/>
    <xf numFmtId="0" fontId="148" fillId="0" borderId="8" applyFont="0" applyAlignment="0">
      <alignment horizontal="left"/>
    </xf>
    <xf numFmtId="0" fontId="148" fillId="0" borderId="8" applyFont="0" applyAlignment="0">
      <alignment horizontal="left"/>
    </xf>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50" applyFill="0" applyAlignment="0"/>
    <xf numFmtId="0" fontId="31" fillId="0" borderId="50" applyFill="0"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31" fillId="0" borderId="49" applyAlignment="0"/>
    <xf numFmtId="0" fontId="125" fillId="0" borderId="50" applyAlignment="0"/>
    <xf numFmtId="0" fontId="125" fillId="0" borderId="50" applyAlignment="0"/>
    <xf numFmtId="0" fontId="125" fillId="0" borderId="50" applyAlignment="0"/>
    <xf numFmtId="0" fontId="125" fillId="0" borderId="50" applyAlignment="0"/>
    <xf numFmtId="0" fontId="125" fillId="0" borderId="50" applyAlignment="0"/>
    <xf numFmtId="0" fontId="125" fillId="0" borderId="50" applyAlignment="0"/>
    <xf numFmtId="0" fontId="31" fillId="0" borderId="49" applyAlignment="0"/>
    <xf numFmtId="0" fontId="31" fillId="0" borderId="49" applyAlignment="0"/>
    <xf numFmtId="0" fontId="31" fillId="0" borderId="49" applyAlignment="0"/>
    <xf numFmtId="0" fontId="152" fillId="0" borderId="10" applyNumberFormat="0" applyFont="0" applyBorder="0">
      <alignment horizontal="left" indent="2"/>
    </xf>
    <xf numFmtId="0" fontId="152" fillId="0" borderId="10" applyNumberFormat="0" applyFont="0" applyBorder="0">
      <alignment horizontal="left" indent="2"/>
    </xf>
    <xf numFmtId="0" fontId="152" fillId="0" borderId="10" applyNumberFormat="0" applyFont="0" applyBorder="0">
      <alignment horizontal="left" indent="2"/>
    </xf>
    <xf numFmtId="0" fontId="152" fillId="0" borderId="10" applyNumberFormat="0" applyFont="0" applyBorder="0">
      <alignment horizontal="left" indent="2"/>
    </xf>
    <xf numFmtId="0" fontId="152" fillId="0" borderId="10" applyNumberFormat="0" applyFont="0" applyBorder="0">
      <alignment horizontal="left" indent="2"/>
    </xf>
    <xf numFmtId="0" fontId="152" fillId="0" borderId="10" applyNumberFormat="0" applyFont="0" applyBorder="0">
      <alignment horizontal="left" indent="2"/>
    </xf>
    <xf numFmtId="0" fontId="125" fillId="0" borderId="49" applyNumberFormat="0" applyFill="0"/>
    <xf numFmtId="0" fontId="125" fillId="0" borderId="49" applyNumberFormat="0" applyFill="0"/>
    <xf numFmtId="0" fontId="125" fillId="0" borderId="49" applyNumberFormat="0" applyFill="0"/>
    <xf numFmtId="0" fontId="125" fillId="0" borderId="49" applyNumberFormat="0" applyFill="0"/>
    <xf numFmtId="0" fontId="125" fillId="0" borderId="49" applyNumberFormat="0" applyFill="0"/>
    <xf numFmtId="0" fontId="125" fillId="0" borderId="49" applyNumberFormat="0" applyAlignment="0"/>
    <xf numFmtId="0" fontId="125" fillId="0" borderId="49" applyNumberFormat="0" applyAlignment="0"/>
    <xf numFmtId="0" fontId="125" fillId="0" borderId="49" applyNumberFormat="0" applyAlignment="0"/>
    <xf numFmtId="0" fontId="125" fillId="0" borderId="49" applyNumberFormat="0" applyAlignment="0"/>
    <xf numFmtId="0" fontId="125" fillId="0" borderId="49" applyNumberFormat="0" applyAlignment="0"/>
    <xf numFmtId="0" fontId="125" fillId="0" borderId="49" applyNumberFormat="0" applyAlignment="0"/>
    <xf numFmtId="0" fontId="125" fillId="0" borderId="49" applyNumberFormat="0" applyFill="0"/>
    <xf numFmtId="0" fontId="125" fillId="0" borderId="49" applyNumberFormat="0" applyFill="0"/>
    <xf numFmtId="0" fontId="125" fillId="0" borderId="49" applyNumberFormat="0" applyFill="0"/>
    <xf numFmtId="0" fontId="125" fillId="0" borderId="49" applyNumberFormat="0" applyFill="0"/>
    <xf numFmtId="0" fontId="125" fillId="0" borderId="49" applyNumberFormat="0" applyFill="0"/>
    <xf numFmtId="0" fontId="152" fillId="0" borderId="10" applyNumberFormat="0" applyFont="0" applyBorder="0" applyAlignment="0">
      <alignment horizontal="center"/>
    </xf>
    <xf numFmtId="0" fontId="152" fillId="0" borderId="10" applyNumberFormat="0" applyFont="0" applyBorder="0" applyAlignment="0">
      <alignment horizontal="center"/>
    </xf>
    <xf numFmtId="0" fontId="152" fillId="0" borderId="10" applyNumberFormat="0" applyFont="0" applyBorder="0" applyAlignment="0">
      <alignment horizontal="center"/>
    </xf>
    <xf numFmtId="0" fontId="152" fillId="0" borderId="10" applyNumberFormat="0" applyFont="0" applyBorder="0" applyAlignment="0">
      <alignment horizontal="center"/>
    </xf>
    <xf numFmtId="0" fontId="152" fillId="0" borderId="10" applyNumberFormat="0" applyFont="0" applyBorder="0" applyAlignment="0">
      <alignment horizontal="center"/>
    </xf>
    <xf numFmtId="0" fontId="152" fillId="0" borderId="10" applyNumberFormat="0" applyFont="0" applyBorder="0" applyAlignment="0">
      <alignment horizontal="center"/>
    </xf>
    <xf numFmtId="0" fontId="172" fillId="48" borderId="39" applyNumberFormat="0" applyAlignment="0" applyProtection="0"/>
    <xf numFmtId="0" fontId="172" fillId="48" borderId="39" applyNumberFormat="0" applyAlignment="0" applyProtection="0"/>
    <xf numFmtId="0" fontId="172" fillId="48" borderId="39" applyNumberFormat="0" applyAlignment="0" applyProtection="0"/>
    <xf numFmtId="0" fontId="107" fillId="24" borderId="39" applyNumberFormat="0" applyAlignment="0" applyProtection="0"/>
    <xf numFmtId="165" fontId="15" fillId="0" borderId="0" applyFont="0" applyFill="0" applyBorder="0" applyAlignment="0" applyProtection="0"/>
    <xf numFmtId="165" fontId="104" fillId="0" borderId="0" applyFont="0" applyFill="0" applyBorder="0" applyAlignment="0" applyProtection="0"/>
    <xf numFmtId="165" fontId="6" fillId="0" borderId="0" applyFont="0" applyFill="0" applyBorder="0" applyAlignment="0" applyProtection="0"/>
    <xf numFmtId="166" fontId="117" fillId="0" borderId="0" applyFont="0" applyFill="0" applyBorder="0" applyAlignment="0" applyProtection="0"/>
    <xf numFmtId="166" fontId="37" fillId="0" borderId="0" applyFont="0" applyFill="0" applyBorder="0" applyAlignment="0" applyProtection="0"/>
    <xf numFmtId="3" fontId="6" fillId="0" borderId="0" applyFill="0" applyBorder="0" applyAlignment="0" applyProtection="0"/>
    <xf numFmtId="3" fontId="6" fillId="0" borderId="0" applyFill="0" applyBorder="0" applyAlignment="0" applyProtection="0"/>
    <xf numFmtId="201" fontId="6" fillId="0" borderId="0" applyFill="0" applyBorder="0" applyAlignment="0" applyProtection="0"/>
    <xf numFmtId="201" fontId="6" fillId="0" borderId="0" applyFill="0" applyBorder="0" applyAlignment="0" applyProtection="0"/>
    <xf numFmtId="1" fontId="176" fillId="0" borderId="46" applyBorder="0"/>
    <xf numFmtId="1" fontId="176" fillId="0" borderId="46" applyBorder="0"/>
    <xf numFmtId="1" fontId="176" fillId="0" borderId="46" applyBorder="0"/>
    <xf numFmtId="268" fontId="128" fillId="0" borderId="10"/>
    <xf numFmtId="0" fontId="177" fillId="0" borderId="0">
      <alignment vertical="top" wrapText="1"/>
    </xf>
    <xf numFmtId="0" fontId="177" fillId="0" borderId="0">
      <alignment vertical="top" wrapText="1"/>
    </xf>
    <xf numFmtId="0" fontId="118" fillId="48" borderId="44" applyNumberFormat="0" applyAlignment="0" applyProtection="0"/>
    <xf numFmtId="0" fontId="118" fillId="48" borderId="44" applyNumberFormat="0" applyAlignment="0" applyProtection="0"/>
    <xf numFmtId="0" fontId="118" fillId="48" borderId="44" applyNumberFormat="0" applyAlignment="0" applyProtection="0"/>
    <xf numFmtId="0" fontId="114" fillId="35" borderId="39" applyNumberFormat="0" applyAlignment="0" applyProtection="0"/>
    <xf numFmtId="0" fontId="114" fillId="35" borderId="39" applyNumberFormat="0" applyAlignment="0" applyProtection="0"/>
    <xf numFmtId="0" fontId="114" fillId="35" borderId="39" applyNumberFormat="0" applyAlignment="0" applyProtection="0"/>
    <xf numFmtId="175" fontId="191" fillId="0" borderId="0">
      <protection locked="0"/>
    </xf>
    <xf numFmtId="175" fontId="191" fillId="0" borderId="0">
      <protection locked="0"/>
    </xf>
    <xf numFmtId="175" fontId="191" fillId="0" borderId="0">
      <protection locked="0"/>
    </xf>
    <xf numFmtId="175" fontId="191" fillId="0" borderId="0">
      <protection locked="0"/>
    </xf>
    <xf numFmtId="279" fontId="127" fillId="0" borderId="56" applyNumberFormat="0" applyFill="0" applyBorder="0" applyAlignment="0" applyProtection="0"/>
    <xf numFmtId="279" fontId="127" fillId="0" borderId="56" applyNumberFormat="0" applyFill="0" applyBorder="0" applyAlignment="0" applyProtection="0"/>
    <xf numFmtId="0" fontId="200" fillId="50" borderId="57" applyNumberFormat="0" applyAlignment="0">
      <protection locked="0"/>
    </xf>
    <xf numFmtId="0" fontId="200" fillId="50" borderId="57" applyNumberFormat="0" applyAlignment="0">
      <protection locked="0"/>
    </xf>
    <xf numFmtId="0" fontId="6" fillId="51" borderId="43" applyNumberFormat="0" applyFont="0" applyAlignment="0" applyProtection="0"/>
    <xf numFmtId="0" fontId="6" fillId="51" borderId="43" applyNumberFormat="0" applyFont="0" applyAlignment="0" applyProtection="0"/>
    <xf numFmtId="0" fontId="6" fillId="51" borderId="43" applyNumberFormat="0" applyFont="0" applyAlignment="0" applyProtection="0"/>
    <xf numFmtId="0" fontId="112" fillId="0" borderId="3">
      <alignment horizontal="left" vertical="center"/>
    </xf>
    <xf numFmtId="0" fontId="112" fillId="0" borderId="3">
      <alignment horizontal="left" vertical="center"/>
    </xf>
    <xf numFmtId="0" fontId="112" fillId="0" borderId="3">
      <alignment horizontal="left" vertical="center"/>
    </xf>
    <xf numFmtId="240" fontId="210" fillId="54" borderId="10" applyNumberFormat="0" applyAlignment="0">
      <alignment horizontal="left" vertical="top"/>
    </xf>
    <xf numFmtId="240" fontId="210" fillId="54" borderId="10" applyNumberFormat="0" applyAlignment="0">
      <alignment horizontal="left" vertical="top"/>
    </xf>
    <xf numFmtId="240" fontId="210" fillId="54" borderId="10" applyNumberFormat="0" applyAlignment="0">
      <alignment horizontal="left" vertical="top"/>
    </xf>
    <xf numFmtId="49" fontId="212" fillId="0" borderId="10">
      <alignment vertical="center"/>
    </xf>
    <xf numFmtId="49" fontId="212" fillId="0" borderId="10">
      <alignment vertical="center"/>
    </xf>
    <xf numFmtId="49" fontId="212" fillId="0" borderId="10">
      <alignment vertical="center"/>
    </xf>
    <xf numFmtId="10" fontId="122" fillId="52" borderId="10" applyNumberFormat="0" applyBorder="0" applyAlignment="0" applyProtection="0"/>
    <xf numFmtId="10" fontId="122" fillId="52" borderId="10" applyNumberFormat="0" applyBorder="0" applyAlignment="0" applyProtection="0"/>
    <xf numFmtId="10" fontId="122" fillId="52" borderId="10" applyNumberFormat="0" applyBorder="0" applyAlignment="0" applyProtection="0"/>
    <xf numFmtId="0" fontId="214" fillId="35" borderId="39" applyNumberFormat="0" applyAlignment="0" applyProtection="0"/>
    <xf numFmtId="0" fontId="214" fillId="35" borderId="39" applyNumberFormat="0" applyAlignment="0" applyProtection="0"/>
    <xf numFmtId="0" fontId="214" fillId="35" borderId="39" applyNumberFormat="0" applyAlignment="0" applyProtection="0"/>
    <xf numFmtId="0" fontId="114" fillId="11" borderId="39" applyNumberFormat="0" applyAlignment="0" applyProtection="0"/>
    <xf numFmtId="0" fontId="114" fillId="11" borderId="39" applyNumberFormat="0" applyAlignment="0" applyProtection="0"/>
    <xf numFmtId="0" fontId="114" fillId="11" borderId="39" applyNumberFormat="0" applyAlignment="0" applyProtection="0"/>
    <xf numFmtId="2" fontId="142" fillId="0" borderId="2" applyBorder="0"/>
    <xf numFmtId="2" fontId="142" fillId="0" borderId="2" applyBorder="0"/>
    <xf numFmtId="2" fontId="142" fillId="0" borderId="2" applyBorder="0"/>
    <xf numFmtId="2" fontId="218" fillId="0" borderId="1" applyBorder="0"/>
    <xf numFmtId="2" fontId="218" fillId="0" borderId="1" applyBorder="0"/>
    <xf numFmtId="2" fontId="218" fillId="0" borderId="1" applyBorder="0"/>
    <xf numFmtId="0" fontId="163" fillId="0" borderId="60">
      <alignment horizontal="centerContinuous"/>
    </xf>
    <xf numFmtId="0" fontId="163" fillId="0" borderId="60">
      <alignment horizontal="centerContinuous"/>
    </xf>
    <xf numFmtId="0" fontId="163" fillId="0" borderId="60">
      <alignment horizontal="centerContinuous"/>
    </xf>
    <xf numFmtId="165" fontId="191" fillId="0" borderId="0">
      <protection locked="0"/>
    </xf>
    <xf numFmtId="165" fontId="191" fillId="0" borderId="0">
      <protection locked="0"/>
    </xf>
    <xf numFmtId="165" fontId="191" fillId="0" borderId="0">
      <protection locked="0"/>
    </xf>
    <xf numFmtId="165" fontId="191" fillId="0" borderId="0">
      <protection locked="0"/>
    </xf>
    <xf numFmtId="0" fontId="36" fillId="0" borderId="10"/>
    <xf numFmtId="0" fontId="227" fillId="0" borderId="10" applyNumberFormat="0" applyFont="0" applyFill="0" applyBorder="0" applyAlignment="0">
      <alignment horizontal="center"/>
    </xf>
    <xf numFmtId="289" fontId="141" fillId="0" borderId="0"/>
    <xf numFmtId="289" fontId="141" fillId="0" borderId="0"/>
    <xf numFmtId="289" fontId="141" fillId="0" borderId="0"/>
    <xf numFmtId="289" fontId="141" fillId="0" borderId="0"/>
    <xf numFmtId="287" fontId="127" fillId="0" borderId="0"/>
    <xf numFmtId="287" fontId="127" fillId="0" borderId="0"/>
    <xf numFmtId="287" fontId="127" fillId="0" borderId="0"/>
    <xf numFmtId="287" fontId="127" fillId="0" borderId="0"/>
    <xf numFmtId="0" fontId="37" fillId="0" borderId="0"/>
    <xf numFmtId="0" fontId="3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 fillId="0" borderId="0"/>
    <xf numFmtId="0" fontId="6" fillId="0" borderId="0"/>
    <xf numFmtId="0" fontId="104" fillId="0" borderId="0"/>
    <xf numFmtId="0" fontId="6" fillId="0" borderId="0"/>
    <xf numFmtId="0" fontId="15" fillId="0" borderId="0"/>
    <xf numFmtId="0" fontId="15" fillId="0" borderId="0"/>
    <xf numFmtId="0" fontId="6" fillId="51" borderId="43" applyNumberFormat="0" applyFont="0" applyAlignment="0" applyProtection="0"/>
    <xf numFmtId="0" fontId="6" fillId="51" borderId="43" applyNumberFormat="0" applyFont="0" applyAlignment="0" applyProtection="0"/>
    <xf numFmtId="0" fontId="6" fillId="51" borderId="43" applyNumberFormat="0" applyFont="0" applyAlignment="0" applyProtection="0"/>
    <xf numFmtId="0" fontId="6" fillId="27" borderId="43" applyNumberFormat="0" applyAlignment="0" applyProtection="0"/>
    <xf numFmtId="0" fontId="234" fillId="48" borderId="44" applyNumberFormat="0" applyAlignment="0" applyProtection="0"/>
    <xf numFmtId="0" fontId="234" fillId="48" borderId="44" applyNumberFormat="0" applyAlignment="0" applyProtection="0"/>
    <xf numFmtId="0" fontId="234" fillId="48" borderId="44" applyNumberFormat="0" applyAlignment="0" applyProtection="0"/>
    <xf numFmtId="0" fontId="118" fillId="24" borderId="44" applyNumberFormat="0" applyAlignment="0" applyProtection="0"/>
    <xf numFmtId="9" fontId="16" fillId="0" borderId="0" applyFont="0" applyFill="0" applyBorder="0" applyAlignment="0" applyProtection="0"/>
    <xf numFmtId="170" fontId="191" fillId="0" borderId="0">
      <protection locked="0"/>
    </xf>
    <xf numFmtId="170" fontId="191" fillId="0" borderId="0">
      <protection locked="0"/>
    </xf>
    <xf numFmtId="4" fontId="241" fillId="57" borderId="63" applyNumberFormat="0" applyProtection="0">
      <alignment vertical="center"/>
    </xf>
    <xf numFmtId="4" fontId="241" fillId="57" borderId="63" applyNumberFormat="0" applyProtection="0">
      <alignment vertical="center"/>
    </xf>
    <xf numFmtId="4" fontId="241" fillId="57" borderId="63" applyNumberFormat="0" applyProtection="0">
      <alignment vertical="center"/>
    </xf>
    <xf numFmtId="4" fontId="242" fillId="57" borderId="63" applyNumberFormat="0" applyProtection="0">
      <alignment vertical="center"/>
    </xf>
    <xf numFmtId="4" fontId="242" fillId="57" borderId="63" applyNumberFormat="0" applyProtection="0">
      <alignment vertical="center"/>
    </xf>
    <xf numFmtId="4" fontId="242" fillId="57" borderId="63" applyNumberFormat="0" applyProtection="0">
      <alignment vertical="center"/>
    </xf>
    <xf numFmtId="4" fontId="243" fillId="57" borderId="63" applyNumberFormat="0" applyProtection="0">
      <alignment horizontal="left" vertical="center" indent="1"/>
    </xf>
    <xf numFmtId="4" fontId="243" fillId="57" borderId="63" applyNumberFormat="0" applyProtection="0">
      <alignment horizontal="left" vertical="center" indent="1"/>
    </xf>
    <xf numFmtId="4" fontId="243" fillId="57" borderId="63" applyNumberFormat="0" applyProtection="0">
      <alignment horizontal="left" vertical="center" indent="1"/>
    </xf>
    <xf numFmtId="4" fontId="243" fillId="59" borderId="63" applyNumberFormat="0" applyProtection="0">
      <alignment horizontal="right" vertical="center"/>
    </xf>
    <xf numFmtId="4" fontId="243" fillId="59" borderId="63" applyNumberFormat="0" applyProtection="0">
      <alignment horizontal="right" vertical="center"/>
    </xf>
    <xf numFmtId="4" fontId="243" fillId="59" borderId="63" applyNumberFormat="0" applyProtection="0">
      <alignment horizontal="right" vertical="center"/>
    </xf>
    <xf numFmtId="4" fontId="243" fillId="60" borderId="63" applyNumberFormat="0" applyProtection="0">
      <alignment horizontal="right" vertical="center"/>
    </xf>
    <xf numFmtId="4" fontId="243" fillId="60" borderId="63" applyNumberFormat="0" applyProtection="0">
      <alignment horizontal="right" vertical="center"/>
    </xf>
    <xf numFmtId="4" fontId="243" fillId="60" borderId="63" applyNumberFormat="0" applyProtection="0">
      <alignment horizontal="right" vertical="center"/>
    </xf>
    <xf numFmtId="4" fontId="243" fillId="61" borderId="63" applyNumberFormat="0" applyProtection="0">
      <alignment horizontal="right" vertical="center"/>
    </xf>
    <xf numFmtId="4" fontId="243" fillId="61" borderId="63" applyNumberFormat="0" applyProtection="0">
      <alignment horizontal="right" vertical="center"/>
    </xf>
    <xf numFmtId="4" fontId="243" fillId="61" borderId="63" applyNumberFormat="0" applyProtection="0">
      <alignment horizontal="right" vertical="center"/>
    </xf>
    <xf numFmtId="4" fontId="243" fillId="62" borderId="63" applyNumberFormat="0" applyProtection="0">
      <alignment horizontal="right" vertical="center"/>
    </xf>
    <xf numFmtId="4" fontId="243" fillId="62" borderId="63" applyNumberFormat="0" applyProtection="0">
      <alignment horizontal="right" vertical="center"/>
    </xf>
    <xf numFmtId="4" fontId="243" fillId="62" borderId="63" applyNumberFormat="0" applyProtection="0">
      <alignment horizontal="right" vertical="center"/>
    </xf>
    <xf numFmtId="4" fontId="243" fillId="63" borderId="63" applyNumberFormat="0" applyProtection="0">
      <alignment horizontal="right" vertical="center"/>
    </xf>
    <xf numFmtId="4" fontId="243" fillId="63" borderId="63" applyNumberFormat="0" applyProtection="0">
      <alignment horizontal="right" vertical="center"/>
    </xf>
    <xf numFmtId="4" fontId="243" fillId="63" borderId="63" applyNumberFormat="0" applyProtection="0">
      <alignment horizontal="right" vertical="center"/>
    </xf>
    <xf numFmtId="4" fontId="243" fillId="64" borderId="63" applyNumberFormat="0" applyProtection="0">
      <alignment horizontal="right" vertical="center"/>
    </xf>
    <xf numFmtId="4" fontId="243" fillId="64" borderId="63" applyNumberFormat="0" applyProtection="0">
      <alignment horizontal="right" vertical="center"/>
    </xf>
    <xf numFmtId="4" fontId="243" fillId="64" borderId="63" applyNumberFormat="0" applyProtection="0">
      <alignment horizontal="right" vertical="center"/>
    </xf>
    <xf numFmtId="4" fontId="243" fillId="65" borderId="63" applyNumberFormat="0" applyProtection="0">
      <alignment horizontal="right" vertical="center"/>
    </xf>
    <xf numFmtId="4" fontId="243" fillId="65" borderId="63" applyNumberFormat="0" applyProtection="0">
      <alignment horizontal="right" vertical="center"/>
    </xf>
    <xf numFmtId="4" fontId="243" fillId="65" borderId="63" applyNumberFormat="0" applyProtection="0">
      <alignment horizontal="right" vertical="center"/>
    </xf>
    <xf numFmtId="4" fontId="243" fillId="66" borderId="63" applyNumberFormat="0" applyProtection="0">
      <alignment horizontal="right" vertical="center"/>
    </xf>
    <xf numFmtId="4" fontId="243" fillId="66" borderId="63" applyNumberFormat="0" applyProtection="0">
      <alignment horizontal="right" vertical="center"/>
    </xf>
    <xf numFmtId="4" fontId="243" fillId="66" borderId="63" applyNumberFormat="0" applyProtection="0">
      <alignment horizontal="right" vertical="center"/>
    </xf>
    <xf numFmtId="4" fontId="243" fillId="67" borderId="63" applyNumberFormat="0" applyProtection="0">
      <alignment horizontal="right" vertical="center"/>
    </xf>
    <xf numFmtId="4" fontId="243" fillId="67" borderId="63" applyNumberFormat="0" applyProtection="0">
      <alignment horizontal="right" vertical="center"/>
    </xf>
    <xf numFmtId="4" fontId="243" fillId="67" borderId="63" applyNumberFormat="0" applyProtection="0">
      <alignment horizontal="right" vertical="center"/>
    </xf>
    <xf numFmtId="4" fontId="243" fillId="69" borderId="63" applyNumberFormat="0" applyProtection="0">
      <alignment horizontal="right" vertical="center"/>
    </xf>
    <xf numFmtId="4" fontId="243" fillId="69" borderId="63" applyNumberFormat="0" applyProtection="0">
      <alignment horizontal="right" vertical="center"/>
    </xf>
    <xf numFmtId="4" fontId="243" fillId="69" borderId="63" applyNumberFormat="0" applyProtection="0">
      <alignment horizontal="right" vertical="center"/>
    </xf>
    <xf numFmtId="4" fontId="243" fillId="70" borderId="63" applyNumberFormat="0" applyProtection="0">
      <alignment vertical="center"/>
    </xf>
    <xf numFmtId="4" fontId="243" fillId="70" borderId="63" applyNumberFormat="0" applyProtection="0">
      <alignment vertical="center"/>
    </xf>
    <xf numFmtId="4" fontId="243" fillId="70" borderId="63" applyNumberFormat="0" applyProtection="0">
      <alignment vertical="center"/>
    </xf>
    <xf numFmtId="4" fontId="244" fillId="70" borderId="63" applyNumberFormat="0" applyProtection="0">
      <alignment vertical="center"/>
    </xf>
    <xf numFmtId="4" fontId="244" fillId="70" borderId="63" applyNumberFormat="0" applyProtection="0">
      <alignment vertical="center"/>
    </xf>
    <xf numFmtId="4" fontId="244" fillId="70" borderId="63" applyNumberFormat="0" applyProtection="0">
      <alignment vertical="center"/>
    </xf>
    <xf numFmtId="4" fontId="241" fillId="69" borderId="65" applyNumberFormat="0" applyProtection="0">
      <alignment horizontal="left" vertical="center" indent="1"/>
    </xf>
    <xf numFmtId="4" fontId="241" fillId="69" borderId="65" applyNumberFormat="0" applyProtection="0">
      <alignment horizontal="left" vertical="center" indent="1"/>
    </xf>
    <xf numFmtId="4" fontId="241" fillId="69" borderId="65" applyNumberFormat="0" applyProtection="0">
      <alignment horizontal="left" vertical="center" indent="1"/>
    </xf>
    <xf numFmtId="4" fontId="243" fillId="70" borderId="63" applyNumberFormat="0" applyProtection="0">
      <alignment horizontal="right" vertical="center"/>
    </xf>
    <xf numFmtId="4" fontId="243" fillId="70" borderId="63" applyNumberFormat="0" applyProtection="0">
      <alignment horizontal="right" vertical="center"/>
    </xf>
    <xf numFmtId="4" fontId="243" fillId="70" borderId="63" applyNumberFormat="0" applyProtection="0">
      <alignment horizontal="right" vertical="center"/>
    </xf>
    <xf numFmtId="4" fontId="244" fillId="70" borderId="63" applyNumberFormat="0" applyProtection="0">
      <alignment horizontal="right" vertical="center"/>
    </xf>
    <xf numFmtId="4" fontId="244" fillId="70" borderId="63" applyNumberFormat="0" applyProtection="0">
      <alignment horizontal="right" vertical="center"/>
    </xf>
    <xf numFmtId="4" fontId="244" fillId="70" borderId="63" applyNumberFormat="0" applyProtection="0">
      <alignment horizontal="right" vertical="center"/>
    </xf>
    <xf numFmtId="4" fontId="241" fillId="69" borderId="63" applyNumberFormat="0" applyProtection="0">
      <alignment horizontal="left" vertical="center" indent="1"/>
    </xf>
    <xf numFmtId="4" fontId="241" fillId="69" borderId="63" applyNumberFormat="0" applyProtection="0">
      <alignment horizontal="left" vertical="center" indent="1"/>
    </xf>
    <xf numFmtId="4" fontId="241" fillId="69" borderId="63" applyNumberFormat="0" applyProtection="0">
      <alignment horizontal="left" vertical="center" indent="1"/>
    </xf>
    <xf numFmtId="4" fontId="245" fillId="54" borderId="65" applyNumberFormat="0" applyProtection="0">
      <alignment horizontal="left" vertical="center" indent="1"/>
    </xf>
    <xf numFmtId="4" fontId="245" fillId="54" borderId="65" applyNumberFormat="0" applyProtection="0">
      <alignment horizontal="left" vertical="center" indent="1"/>
    </xf>
    <xf numFmtId="4" fontId="245" fillId="54" borderId="65" applyNumberFormat="0" applyProtection="0">
      <alignment horizontal="left" vertical="center" indent="1"/>
    </xf>
    <xf numFmtId="4" fontId="246" fillId="70" borderId="63" applyNumberFormat="0" applyProtection="0">
      <alignment horizontal="right" vertical="center"/>
    </xf>
    <xf numFmtId="4" fontId="246" fillId="70" borderId="63" applyNumberFormat="0" applyProtection="0">
      <alignment horizontal="right" vertical="center"/>
    </xf>
    <xf numFmtId="4" fontId="246" fillId="70" borderId="63" applyNumberFormat="0" applyProtection="0">
      <alignment horizontal="right" vertical="center"/>
    </xf>
    <xf numFmtId="0" fontId="239" fillId="1" borderId="3" applyNumberFormat="0" applyFont="0" applyAlignment="0">
      <alignment horizontal="center"/>
    </xf>
    <xf numFmtId="0" fontId="239" fillId="1" borderId="3" applyNumberFormat="0" applyFont="0" applyAlignment="0">
      <alignment horizontal="center"/>
    </xf>
    <xf numFmtId="0" fontId="239" fillId="1" borderId="3" applyNumberFormat="0" applyFont="0" applyAlignment="0">
      <alignment horizontal="center"/>
    </xf>
    <xf numFmtId="0" fontId="289" fillId="0" borderId="79" applyNumberFormat="0" applyFill="0" applyBorder="0" applyAlignment="0" applyProtection="0"/>
    <xf numFmtId="0" fontId="6" fillId="0" borderId="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202" fontId="141" fillId="0" borderId="0" applyFont="0" applyFill="0" applyBorder="0" applyAlignment="0" applyProtection="0"/>
    <xf numFmtId="14" fontId="250" fillId="0" borderId="0"/>
    <xf numFmtId="14" fontId="250" fillId="0" borderId="0"/>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06" fontId="254" fillId="0" borderId="2">
      <alignment horizontal="right" vertical="center"/>
    </xf>
    <xf numFmtId="206" fontId="254" fillId="0" borderId="2">
      <alignment horizontal="right" vertical="center"/>
    </xf>
    <xf numFmtId="206" fontId="254"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07" fontId="128" fillId="0" borderId="2">
      <alignment horizontal="right" vertical="center"/>
    </xf>
    <xf numFmtId="207" fontId="128" fillId="0" borderId="2">
      <alignment horizontal="right" vertical="center"/>
    </xf>
    <xf numFmtId="207" fontId="128"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07" fontId="128" fillId="0" borderId="2">
      <alignment horizontal="right" vertical="center"/>
    </xf>
    <xf numFmtId="207" fontId="128" fillId="0" borderId="2">
      <alignment horizontal="right" vertical="center"/>
    </xf>
    <xf numFmtId="207" fontId="128" fillId="0" borderId="2">
      <alignment horizontal="right" vertical="center"/>
    </xf>
    <xf numFmtId="226" fontId="125" fillId="0" borderId="2">
      <alignment horizontal="right" vertical="center"/>
    </xf>
    <xf numFmtId="226" fontId="125" fillId="0" borderId="2">
      <alignment horizontal="right" vertical="center"/>
    </xf>
    <xf numFmtId="226" fontId="125" fillId="0" borderId="2">
      <alignment horizontal="right" vertical="center"/>
    </xf>
    <xf numFmtId="298" fontId="125" fillId="0" borderId="2">
      <alignment horizontal="right" vertical="center"/>
    </xf>
    <xf numFmtId="298" fontId="125" fillId="0" borderId="2">
      <alignment horizontal="right" vertical="center"/>
    </xf>
    <xf numFmtId="298" fontId="125" fillId="0" borderId="2">
      <alignment horizontal="right" vertical="center"/>
    </xf>
    <xf numFmtId="298" fontId="125" fillId="0" borderId="2">
      <alignment horizontal="right" vertical="center"/>
    </xf>
    <xf numFmtId="298" fontId="125" fillId="0" borderId="2">
      <alignment horizontal="right" vertical="center"/>
    </xf>
    <xf numFmtId="298" fontId="125"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7" fontId="138" fillId="0" borderId="2">
      <alignment horizontal="right" vertical="center"/>
    </xf>
    <xf numFmtId="297" fontId="138" fillId="0" borderId="2">
      <alignment horizontal="right" vertical="center"/>
    </xf>
    <xf numFmtId="297" fontId="138"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07" fontId="128" fillId="0" borderId="2">
      <alignment horizontal="right" vertical="center"/>
    </xf>
    <xf numFmtId="207" fontId="128" fillId="0" borderId="2">
      <alignment horizontal="right" vertical="center"/>
    </xf>
    <xf numFmtId="207" fontId="128"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6" fontId="125" fillId="0" borderId="2">
      <alignment horizontal="right" vertical="center"/>
    </xf>
    <xf numFmtId="226" fontId="125" fillId="0" borderId="2">
      <alignment horizontal="right" vertical="center"/>
    </xf>
    <xf numFmtId="226" fontId="125" fillId="0" borderId="2">
      <alignment horizontal="right" vertical="center"/>
    </xf>
    <xf numFmtId="207" fontId="128" fillId="0" borderId="2">
      <alignment horizontal="right" vertical="center"/>
    </xf>
    <xf numFmtId="207" fontId="128" fillId="0" borderId="2">
      <alignment horizontal="right" vertical="center"/>
    </xf>
    <xf numFmtId="207" fontId="128" fillId="0" borderId="2">
      <alignment horizontal="right" vertical="center"/>
    </xf>
    <xf numFmtId="299" fontId="124" fillId="0" borderId="2">
      <alignment horizontal="right" vertical="center"/>
    </xf>
    <xf numFmtId="299" fontId="124" fillId="0" borderId="2">
      <alignment horizontal="right" vertical="center"/>
    </xf>
    <xf numFmtId="299" fontId="124" fillId="0" borderId="2">
      <alignment horizontal="right" vertical="center"/>
    </xf>
    <xf numFmtId="207" fontId="128" fillId="0" borderId="2">
      <alignment horizontal="right" vertical="center"/>
    </xf>
    <xf numFmtId="207" fontId="128" fillId="0" borderId="2">
      <alignment horizontal="right" vertical="center"/>
    </xf>
    <xf numFmtId="207" fontId="128" fillId="0" borderId="2">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7" fontId="138" fillId="0" borderId="2">
      <alignment horizontal="right" vertical="center"/>
    </xf>
    <xf numFmtId="297" fontId="138" fillId="0" borderId="2">
      <alignment horizontal="right" vertical="center"/>
    </xf>
    <xf numFmtId="297" fontId="138"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8" fontId="125" fillId="0" borderId="2">
      <alignment horizontal="right" vertical="center"/>
    </xf>
    <xf numFmtId="298" fontId="125" fillId="0" borderId="2">
      <alignment horizontal="right" vertical="center"/>
    </xf>
    <xf numFmtId="298" fontId="125"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40" fontId="36" fillId="0" borderId="2">
      <alignment horizontal="right" vertical="center"/>
    </xf>
    <xf numFmtId="240" fontId="36" fillId="0" borderId="2">
      <alignment horizontal="right" vertical="center"/>
    </xf>
    <xf numFmtId="240" fontId="36" fillId="0" borderId="2">
      <alignment horizontal="right" vertical="center"/>
    </xf>
    <xf numFmtId="301" fontId="6" fillId="0" borderId="2">
      <alignment horizontal="right" vertical="center"/>
    </xf>
    <xf numFmtId="301" fontId="6" fillId="0" borderId="2">
      <alignment horizontal="right" vertical="center"/>
    </xf>
    <xf numFmtId="301" fontId="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40" fontId="36" fillId="0" borderId="2">
      <alignment horizontal="right" vertical="center"/>
    </xf>
    <xf numFmtId="240" fontId="36" fillId="0" borderId="2">
      <alignment horizontal="right" vertical="center"/>
    </xf>
    <xf numFmtId="240" fontId="36" fillId="0" borderId="2">
      <alignment horizontal="right" vertical="center"/>
    </xf>
    <xf numFmtId="226" fontId="125" fillId="0" borderId="2">
      <alignment horizontal="right" vertical="center"/>
    </xf>
    <xf numFmtId="226" fontId="125" fillId="0" borderId="2">
      <alignment horizontal="right" vertical="center"/>
    </xf>
    <xf numFmtId="226" fontId="125" fillId="0" borderId="2">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7" fontId="138" fillId="0" borderId="2">
      <alignment horizontal="right" vertical="center"/>
    </xf>
    <xf numFmtId="297" fontId="138" fillId="0" borderId="2">
      <alignment horizontal="right" vertical="center"/>
    </xf>
    <xf numFmtId="297" fontId="138"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26" fontId="125" fillId="0" borderId="2">
      <alignment horizontal="right" vertical="center"/>
    </xf>
    <xf numFmtId="226" fontId="125" fillId="0" borderId="2">
      <alignment horizontal="right" vertical="center"/>
    </xf>
    <xf numFmtId="226" fontId="125" fillId="0" borderId="2">
      <alignment horizontal="right" vertical="center"/>
    </xf>
    <xf numFmtId="226" fontId="125" fillId="0" borderId="2">
      <alignment horizontal="right" vertical="center"/>
    </xf>
    <xf numFmtId="226" fontId="125" fillId="0" borderId="2">
      <alignment horizontal="right" vertical="center"/>
    </xf>
    <xf numFmtId="226" fontId="125" fillId="0" borderId="2">
      <alignment horizontal="right" vertical="center"/>
    </xf>
    <xf numFmtId="302" fontId="124" fillId="0" borderId="2">
      <alignment horizontal="right" vertical="center"/>
    </xf>
    <xf numFmtId="302" fontId="124" fillId="0" borderId="2">
      <alignment horizontal="right" vertical="center"/>
    </xf>
    <xf numFmtId="302" fontId="124" fillId="0" borderId="2">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303" fontId="125" fillId="0" borderId="2">
      <alignment horizontal="right" vertical="center"/>
    </xf>
    <xf numFmtId="303" fontId="125" fillId="0" borderId="2">
      <alignment horizontal="right" vertical="center"/>
    </xf>
    <xf numFmtId="303" fontId="125"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8" fontId="125" fillId="0" borderId="2">
      <alignment horizontal="right" vertical="center"/>
    </xf>
    <xf numFmtId="298" fontId="125" fillId="0" borderId="2">
      <alignment horizontal="right" vertical="center"/>
    </xf>
    <xf numFmtId="298" fontId="125" fillId="0" borderId="2">
      <alignment horizontal="right" vertical="center"/>
    </xf>
    <xf numFmtId="228" fontId="125" fillId="0" borderId="2">
      <alignment horizontal="right" vertical="center"/>
    </xf>
    <xf numFmtId="228" fontId="125" fillId="0" borderId="2">
      <alignment horizontal="right" vertical="center"/>
    </xf>
    <xf numFmtId="228" fontId="125"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7" fontId="36" fillId="0" borderId="2">
      <alignment horizontal="right" vertical="center"/>
    </xf>
    <xf numFmtId="227" fontId="36" fillId="0" borderId="2">
      <alignment horizontal="right" vertical="center"/>
    </xf>
    <xf numFmtId="227" fontId="36" fillId="0" borderId="2">
      <alignment horizontal="right" vertical="center"/>
    </xf>
    <xf numFmtId="207" fontId="128" fillId="0" borderId="2">
      <alignment horizontal="right" vertical="center"/>
    </xf>
    <xf numFmtId="207" fontId="128" fillId="0" borderId="2">
      <alignment horizontal="right" vertical="center"/>
    </xf>
    <xf numFmtId="207" fontId="128"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304" fontId="161" fillId="0" borderId="2">
      <alignment horizontal="right" vertical="center"/>
    </xf>
    <xf numFmtId="304" fontId="161" fillId="0" borderId="2">
      <alignment horizontal="right" vertical="center"/>
    </xf>
    <xf numFmtId="304" fontId="161"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24" fontId="161"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85" fontId="125" fillId="0" borderId="2">
      <alignment horizontal="right" vertical="center"/>
    </xf>
    <xf numFmtId="285" fontId="125" fillId="0" borderId="2">
      <alignment horizontal="right" vertical="center"/>
    </xf>
    <xf numFmtId="285" fontId="125" fillId="0" borderId="2">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305" fontId="125" fillId="0" borderId="66">
      <alignment horizontal="right" vertical="center"/>
    </xf>
    <xf numFmtId="206" fontId="254" fillId="0" borderId="2">
      <alignment horizontal="right" vertical="center"/>
    </xf>
    <xf numFmtId="206" fontId="254" fillId="0" borderId="2">
      <alignment horizontal="right" vertical="center"/>
    </xf>
    <xf numFmtId="206" fontId="254" fillId="0" borderId="2">
      <alignment horizontal="right" vertical="center"/>
    </xf>
    <xf numFmtId="207" fontId="128" fillId="0" borderId="2">
      <alignment horizontal="right" vertical="center"/>
    </xf>
    <xf numFmtId="207" fontId="128" fillId="0" borderId="2">
      <alignment horizontal="right" vertical="center"/>
    </xf>
    <xf numFmtId="207" fontId="128"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6" fontId="125" fillId="0" borderId="2">
      <alignment horizontal="right" vertical="center"/>
    </xf>
    <xf numFmtId="296" fontId="125" fillId="0" borderId="2">
      <alignment horizontal="right" vertical="center"/>
    </xf>
    <xf numFmtId="296" fontId="125"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5" fontId="36" fillId="0" borderId="66">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28" fontId="125" fillId="0" borderId="2">
      <alignment horizontal="right" vertical="center"/>
    </xf>
    <xf numFmtId="228" fontId="125" fillId="0" borderId="2">
      <alignment horizontal="right" vertical="center"/>
    </xf>
    <xf numFmtId="228" fontId="125" fillId="0" borderId="2">
      <alignment horizontal="right" vertical="center"/>
    </xf>
    <xf numFmtId="207" fontId="128" fillId="0" borderId="2">
      <alignment horizontal="right" vertical="center"/>
    </xf>
    <xf numFmtId="207" fontId="128" fillId="0" borderId="2">
      <alignment horizontal="right" vertical="center"/>
    </xf>
    <xf numFmtId="207" fontId="128"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94" fontId="36" fillId="0" borderId="2">
      <alignment horizontal="right" vertical="center"/>
    </xf>
    <xf numFmtId="227" fontId="36" fillId="0" borderId="2">
      <alignment horizontal="right" vertical="center"/>
    </xf>
    <xf numFmtId="227" fontId="36" fillId="0" borderId="2">
      <alignment horizontal="right" vertical="center"/>
    </xf>
    <xf numFmtId="227" fontId="36" fillId="0" borderId="2">
      <alignment horizontal="right" vertical="center"/>
    </xf>
    <xf numFmtId="306" fontId="256" fillId="0" borderId="2">
      <alignment horizontal="right" vertical="center"/>
    </xf>
    <xf numFmtId="306" fontId="256" fillId="0" borderId="2">
      <alignment horizontal="right" vertical="center"/>
    </xf>
    <xf numFmtId="306" fontId="256" fillId="0" borderId="2">
      <alignment horizontal="right" vertical="center"/>
    </xf>
    <xf numFmtId="0" fontId="107" fillId="48" borderId="39" applyNumberFormat="0" applyAlignment="0" applyProtection="0"/>
    <xf numFmtId="0" fontId="107" fillId="48" borderId="39" applyNumberFormat="0" applyAlignment="0" applyProtection="0"/>
    <xf numFmtId="0" fontId="107" fillId="48" borderId="39" applyNumberFormat="0" applyAlignment="0" applyProtection="0"/>
    <xf numFmtId="0" fontId="263" fillId="0" borderId="1" applyBorder="0" applyAlignment="0">
      <alignment horizontal="center" vertical="center"/>
    </xf>
    <xf numFmtId="0" fontId="263" fillId="0" borderId="1" applyBorder="0" applyAlignment="0">
      <alignment horizontal="center" vertical="center"/>
    </xf>
    <xf numFmtId="0" fontId="263" fillId="0" borderId="1" applyBorder="0" applyAlignment="0">
      <alignment horizontal="center" vertical="center"/>
    </xf>
    <xf numFmtId="0" fontId="266" fillId="0" borderId="71" applyNumberFormat="0" applyBorder="0" applyAlignment="0">
      <alignment vertical="center"/>
    </xf>
    <xf numFmtId="0" fontId="265" fillId="0" borderId="70" applyNumberFormat="0" applyFill="0" applyAlignment="0" applyProtection="0"/>
    <xf numFmtId="0" fontId="265" fillId="0" borderId="70" applyNumberFormat="0" applyFill="0" applyAlignment="0" applyProtection="0"/>
    <xf numFmtId="0" fontId="265" fillId="0" borderId="70" applyNumberFormat="0" applyFill="0" applyAlignment="0" applyProtection="0"/>
    <xf numFmtId="0" fontId="265" fillId="0" borderId="70" applyNumberFormat="0" applyFill="0" applyAlignment="0" applyProtection="0"/>
    <xf numFmtId="0" fontId="265" fillId="0" borderId="70" applyNumberFormat="0" applyFill="0" applyAlignment="0" applyProtection="0"/>
    <xf numFmtId="0" fontId="265" fillId="0" borderId="70" applyNumberFormat="0" applyFill="0" applyAlignment="0" applyProtection="0"/>
    <xf numFmtId="210" fontId="36" fillId="0" borderId="2">
      <alignment horizontal="center"/>
    </xf>
    <xf numFmtId="210" fontId="36" fillId="0" borderId="2">
      <alignment horizontal="center"/>
    </xf>
    <xf numFmtId="210" fontId="36" fillId="0" borderId="2">
      <alignment horizontal="center"/>
    </xf>
    <xf numFmtId="227" fontId="36" fillId="0" borderId="10"/>
    <xf numFmtId="0" fontId="141" fillId="0" borderId="0"/>
    <xf numFmtId="0" fontId="141" fillId="0" borderId="0"/>
    <xf numFmtId="0" fontId="141" fillId="0" borderId="0"/>
    <xf numFmtId="0" fontId="141" fillId="0" borderId="0"/>
    <xf numFmtId="240" fontId="274" fillId="71" borderId="1">
      <alignment vertical="top"/>
    </xf>
    <xf numFmtId="240" fontId="274" fillId="71" borderId="1">
      <alignment vertical="top"/>
    </xf>
    <xf numFmtId="240" fontId="274" fillId="71" borderId="1">
      <alignment vertical="top"/>
    </xf>
    <xf numFmtId="0" fontId="275" fillId="72" borderId="10">
      <alignment horizontal="left" vertical="center"/>
    </xf>
    <xf numFmtId="224" fontId="276" fillId="27" borderId="1"/>
    <xf numFmtId="224" fontId="276" fillId="27" borderId="1"/>
    <xf numFmtId="224" fontId="276" fillId="27" borderId="1"/>
    <xf numFmtId="240" fontId="210" fillId="0" borderId="1">
      <alignment horizontal="left" vertical="top"/>
    </xf>
    <xf numFmtId="240" fontId="210" fillId="0" borderId="1">
      <alignment horizontal="left" vertical="top"/>
    </xf>
    <xf numFmtId="240" fontId="210" fillId="0" borderId="1">
      <alignment horizontal="left" vertical="top"/>
    </xf>
    <xf numFmtId="0" fontId="15" fillId="0" borderId="0"/>
    <xf numFmtId="165" fontId="15" fillId="0" borderId="0" applyFont="0" applyFill="0" applyBorder="0" applyAlignment="0" applyProtection="0"/>
    <xf numFmtId="0" fontId="15" fillId="0" borderId="0"/>
    <xf numFmtId="165" fontId="61" fillId="0" borderId="0" applyFont="0" applyFill="0" applyBorder="0" applyAlignment="0" applyProtection="0"/>
    <xf numFmtId="0" fontId="61" fillId="0" borderId="0"/>
    <xf numFmtId="0" fontId="15" fillId="0" borderId="0"/>
    <xf numFmtId="0" fontId="125" fillId="0" borderId="0"/>
    <xf numFmtId="0" fontId="125" fillId="0" borderId="0"/>
    <xf numFmtId="166" fontId="15" fillId="0" borderId="0" applyFont="0" applyFill="0" applyBorder="0" applyAlignment="0" applyProtection="0"/>
    <xf numFmtId="0" fontId="15" fillId="0" borderId="0"/>
    <xf numFmtId="166" fontId="290"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 fillId="0" borderId="0" applyFont="0" applyFill="0" applyBorder="0" applyAlignment="0" applyProtection="0"/>
    <xf numFmtId="0" fontId="38" fillId="0" borderId="0"/>
    <xf numFmtId="0" fontId="15" fillId="0" borderId="0"/>
    <xf numFmtId="166" fontId="15" fillId="0" borderId="0" applyFont="0" applyFill="0" applyBorder="0" applyAlignment="0" applyProtection="0"/>
    <xf numFmtId="0" fontId="15" fillId="0" borderId="0"/>
    <xf numFmtId="0" fontId="1" fillId="0" borderId="0"/>
  </cellStyleXfs>
  <cellXfs count="1747">
    <xf numFmtId="0" fontId="0" fillId="0" borderId="0" xfId="0"/>
    <xf numFmtId="168" fontId="7" fillId="0" borderId="8" xfId="1" applyNumberFormat="1" applyFont="1" applyFill="1" applyBorder="1" applyAlignment="1">
      <alignment horizontal="center" vertical="center" wrapText="1"/>
    </xf>
    <xf numFmtId="0" fontId="7" fillId="0" borderId="8" xfId="4" applyFont="1" applyBorder="1" applyAlignment="1">
      <alignment horizontal="left" vertical="center" wrapText="1"/>
    </xf>
    <xf numFmtId="0" fontId="8" fillId="0" borderId="8" xfId="4" applyFont="1" applyBorder="1" applyAlignment="1">
      <alignment horizontal="left" vertical="center" wrapText="1"/>
    </xf>
    <xf numFmtId="0" fontId="7" fillId="3" borderId="0" xfId="0" applyFont="1" applyFill="1"/>
    <xf numFmtId="0" fontId="17" fillId="3" borderId="0" xfId="0" applyFont="1" applyFill="1"/>
    <xf numFmtId="168" fontId="9" fillId="3" borderId="0" xfId="0" applyNumberFormat="1" applyFont="1" applyFill="1"/>
    <xf numFmtId="0" fontId="9" fillId="3" borderId="0" xfId="0" applyFont="1" applyFill="1"/>
    <xf numFmtId="0" fontId="19" fillId="3" borderId="0" xfId="0" applyFont="1" applyFill="1"/>
    <xf numFmtId="167" fontId="8" fillId="0" borderId="7" xfId="1" applyFont="1" applyFill="1" applyBorder="1" applyAlignment="1">
      <alignment horizontal="center" vertical="center" wrapText="1"/>
    </xf>
    <xf numFmtId="168" fontId="8" fillId="0" borderId="8" xfId="1" applyNumberFormat="1" applyFont="1" applyFill="1" applyBorder="1" applyAlignment="1">
      <alignment horizontal="center" vertical="center" wrapText="1"/>
    </xf>
    <xf numFmtId="0" fontId="7" fillId="0" borderId="0" xfId="0" applyFont="1" applyAlignment="1">
      <alignment horizontal="center"/>
    </xf>
    <xf numFmtId="0" fontId="7" fillId="0" borderId="0" xfId="0" applyFont="1"/>
    <xf numFmtId="0" fontId="17" fillId="0" borderId="0" xfId="0" applyFont="1" applyAlignment="1">
      <alignment horizontal="center"/>
    </xf>
    <xf numFmtId="0" fontId="17" fillId="0" borderId="0" xfId="0" applyFont="1"/>
    <xf numFmtId="0" fontId="11" fillId="0" borderId="0" xfId="0" applyFont="1"/>
    <xf numFmtId="168" fontId="9" fillId="2" borderId="0" xfId="0" applyNumberFormat="1" applyFont="1" applyFill="1"/>
    <xf numFmtId="0" fontId="9" fillId="2" borderId="0" xfId="0" applyFont="1" applyFill="1"/>
    <xf numFmtId="0" fontId="18" fillId="0" borderId="8" xfId="0" applyFont="1" applyBorder="1" applyAlignment="1">
      <alignment horizontal="center" vertical="center" wrapText="1"/>
    </xf>
    <xf numFmtId="0" fontId="18" fillId="0" borderId="8" xfId="0" applyFont="1" applyBorder="1" applyAlignment="1">
      <alignment vertical="center" wrapText="1"/>
    </xf>
    <xf numFmtId="168" fontId="18" fillId="0" borderId="8" xfId="0" applyNumberFormat="1" applyFont="1" applyBorder="1" applyAlignment="1">
      <alignment vertical="center" wrapText="1"/>
    </xf>
    <xf numFmtId="0" fontId="18" fillId="0" borderId="0" xfId="0" applyFont="1"/>
    <xf numFmtId="0" fontId="9" fillId="0" borderId="0" xfId="0" applyFont="1"/>
    <xf numFmtId="0" fontId="18" fillId="0" borderId="8" xfId="0" quotePrefix="1" applyFont="1" applyBorder="1" applyAlignment="1">
      <alignment horizontal="center" vertical="center" wrapText="1"/>
    </xf>
    <xf numFmtId="168" fontId="18" fillId="0" borderId="8" xfId="1" applyNumberFormat="1" applyFont="1" applyFill="1" applyBorder="1" applyAlignment="1">
      <alignment horizontal="center" vertical="center" wrapText="1"/>
    </xf>
    <xf numFmtId="168" fontId="9" fillId="0" borderId="0" xfId="0" applyNumberFormat="1" applyFont="1"/>
    <xf numFmtId="168" fontId="17" fillId="0" borderId="8" xfId="1" quotePrefix="1" applyNumberFormat="1" applyFont="1" applyFill="1" applyBorder="1" applyAlignment="1" applyProtection="1">
      <alignment horizontal="center" vertical="center" wrapText="1"/>
    </xf>
    <xf numFmtId="167" fontId="17" fillId="0" borderId="8" xfId="1" applyFont="1" applyFill="1" applyBorder="1" applyAlignment="1" applyProtection="1">
      <alignment horizontal="left" vertical="center" wrapText="1"/>
    </xf>
    <xf numFmtId="168" fontId="17" fillId="0" borderId="8" xfId="0" applyNumberFormat="1" applyFont="1" applyBorder="1" applyAlignment="1">
      <alignment vertical="center" wrapText="1"/>
    </xf>
    <xf numFmtId="168" fontId="18" fillId="0" borderId="0" xfId="0" applyNumberFormat="1" applyFont="1"/>
    <xf numFmtId="0" fontId="17" fillId="0" borderId="8" xfId="0" quotePrefix="1" applyFont="1" applyBorder="1" applyAlignment="1">
      <alignment horizontal="center" vertical="center" wrapText="1"/>
    </xf>
    <xf numFmtId="0" fontId="17" fillId="0" borderId="8" xfId="0" applyFont="1" applyBorder="1" applyAlignment="1">
      <alignment vertical="center" wrapText="1"/>
    </xf>
    <xf numFmtId="168" fontId="17" fillId="0" borderId="8" xfId="1" applyNumberFormat="1" applyFont="1" applyFill="1" applyBorder="1" applyAlignment="1">
      <alignment horizontal="center" vertical="center" wrapText="1"/>
    </xf>
    <xf numFmtId="0" fontId="20" fillId="2" borderId="0" xfId="0" applyFont="1" applyFill="1"/>
    <xf numFmtId="0" fontId="17" fillId="0" borderId="8" xfId="0" applyFont="1" applyBorder="1" applyAlignment="1">
      <alignment horizontal="center" vertical="center" wrapText="1"/>
    </xf>
    <xf numFmtId="168" fontId="17" fillId="0" borderId="0" xfId="0" applyNumberFormat="1" applyFont="1"/>
    <xf numFmtId="168" fontId="20" fillId="2" borderId="0" xfId="0" applyNumberFormat="1" applyFont="1" applyFill="1"/>
    <xf numFmtId="179" fontId="20" fillId="2" borderId="0" xfId="9" applyNumberFormat="1" applyFont="1" applyFill="1"/>
    <xf numFmtId="179" fontId="9" fillId="2" borderId="0" xfId="9" applyNumberFormat="1" applyFont="1" applyFill="1"/>
    <xf numFmtId="0" fontId="24" fillId="0" borderId="0" xfId="0" applyFont="1"/>
    <xf numFmtId="179" fontId="18" fillId="0" borderId="0" xfId="9" applyNumberFormat="1" applyFont="1"/>
    <xf numFmtId="168" fontId="11" fillId="0" borderId="0" xfId="0" applyNumberFormat="1" applyFont="1"/>
    <xf numFmtId="0" fontId="18" fillId="2" borderId="0" xfId="0" applyFont="1" applyFill="1"/>
    <xf numFmtId="0" fontId="21" fillId="0" borderId="0" xfId="0" applyFont="1"/>
    <xf numFmtId="168" fontId="22" fillId="0" borderId="0" xfId="1" applyNumberFormat="1" applyFont="1"/>
    <xf numFmtId="168" fontId="21" fillId="0" borderId="0" xfId="0" applyNumberFormat="1" applyFont="1"/>
    <xf numFmtId="49" fontId="25" fillId="0" borderId="0" xfId="5" applyNumberFormat="1" applyFont="1" applyFill="1" applyAlignment="1">
      <alignment horizontal="center" vertical="center"/>
    </xf>
    <xf numFmtId="170" fontId="25" fillId="0" borderId="0" xfId="5" applyNumberFormat="1" applyFont="1" applyFill="1" applyAlignment="1">
      <alignment horizontal="left" vertical="center"/>
    </xf>
    <xf numFmtId="170" fontId="25" fillId="0" borderId="0" xfId="5" applyNumberFormat="1" applyFont="1" applyFill="1" applyAlignment="1">
      <alignment horizontal="center" vertical="center"/>
    </xf>
    <xf numFmtId="41" fontId="25" fillId="0" borderId="0" xfId="5" applyNumberFormat="1" applyFont="1" applyFill="1" applyAlignment="1">
      <alignment horizontal="left" vertical="center"/>
    </xf>
    <xf numFmtId="41" fontId="25" fillId="0" borderId="0" xfId="5" applyNumberFormat="1" applyFont="1" applyFill="1" applyAlignment="1">
      <alignment vertical="center"/>
    </xf>
    <xf numFmtId="170" fontId="25" fillId="0" borderId="0" xfId="5" applyNumberFormat="1" applyFont="1" applyFill="1" applyAlignment="1">
      <alignment vertical="center"/>
    </xf>
    <xf numFmtId="169" fontId="25" fillId="0" borderId="0" xfId="5" applyNumberFormat="1" applyFont="1" applyFill="1" applyAlignment="1">
      <alignment horizontal="left" vertical="center"/>
    </xf>
    <xf numFmtId="170" fontId="26" fillId="0" borderId="0" xfId="5" applyNumberFormat="1" applyFont="1" applyFill="1" applyAlignment="1">
      <alignment horizontal="left" vertical="center"/>
    </xf>
    <xf numFmtId="169" fontId="25" fillId="0" borderId="0" xfId="5" applyNumberFormat="1" applyFont="1" applyFill="1" applyAlignment="1">
      <alignment vertical="center"/>
    </xf>
    <xf numFmtId="165" fontId="25" fillId="0" borderId="0" xfId="5" applyFont="1" applyFill="1" applyAlignment="1">
      <alignment horizontal="left" vertical="center"/>
    </xf>
    <xf numFmtId="165" fontId="25" fillId="0" borderId="0" xfId="5" applyFont="1" applyFill="1" applyAlignment="1">
      <alignment horizontal="center" vertical="center"/>
    </xf>
    <xf numFmtId="171" fontId="25" fillId="0" borderId="0" xfId="5" applyNumberFormat="1" applyFont="1" applyFill="1" applyAlignment="1">
      <alignment horizontal="left" vertical="center"/>
    </xf>
    <xf numFmtId="170" fontId="27" fillId="0" borderId="0" xfId="5" applyNumberFormat="1" applyFont="1" applyFill="1" applyAlignment="1">
      <alignment vertical="center"/>
    </xf>
    <xf numFmtId="49" fontId="25" fillId="0" borderId="1" xfId="5" applyNumberFormat="1" applyFont="1" applyFill="1" applyBorder="1" applyAlignment="1">
      <alignment horizontal="center" vertical="center" wrapText="1"/>
    </xf>
    <xf numFmtId="170" fontId="25" fillId="0" borderId="1" xfId="5" applyNumberFormat="1" applyFont="1" applyFill="1" applyBorder="1" applyAlignment="1">
      <alignment horizontal="center" vertical="center" wrapText="1"/>
    </xf>
    <xf numFmtId="169" fontId="25" fillId="0" borderId="1" xfId="5" quotePrefix="1" applyNumberFormat="1" applyFont="1" applyFill="1" applyBorder="1" applyAlignment="1">
      <alignment horizontal="center" vertical="center" wrapText="1"/>
    </xf>
    <xf numFmtId="49" fontId="27" fillId="0" borderId="7" xfId="5" applyNumberFormat="1" applyFont="1" applyFill="1" applyBorder="1" applyAlignment="1">
      <alignment horizontal="center" vertical="center" wrapText="1"/>
    </xf>
    <xf numFmtId="170" fontId="27" fillId="0" borderId="7" xfId="5" applyNumberFormat="1" applyFont="1" applyFill="1" applyBorder="1" applyAlignment="1">
      <alignment horizontal="left" vertical="center" wrapText="1"/>
    </xf>
    <xf numFmtId="170" fontId="27" fillId="0" borderId="7" xfId="5" applyNumberFormat="1" applyFont="1" applyFill="1" applyBorder="1" applyAlignment="1">
      <alignment horizontal="center" vertical="center" wrapText="1"/>
    </xf>
    <xf numFmtId="41" fontId="27" fillId="0" borderId="7" xfId="5" applyNumberFormat="1" applyFont="1" applyFill="1" applyBorder="1" applyAlignment="1">
      <alignment horizontal="left" vertical="center" wrapText="1"/>
    </xf>
    <xf numFmtId="41" fontId="27" fillId="0" borderId="7" xfId="5" applyNumberFormat="1" applyFont="1" applyFill="1" applyBorder="1" applyAlignment="1">
      <alignment horizontal="center" vertical="center" wrapText="1"/>
    </xf>
    <xf numFmtId="49" fontId="27" fillId="0" borderId="8" xfId="5" applyNumberFormat="1" applyFont="1" applyFill="1" applyBorder="1" applyAlignment="1">
      <alignment horizontal="center" vertical="center" wrapText="1"/>
    </xf>
    <xf numFmtId="170" fontId="27" fillId="0" borderId="8" xfId="5" applyNumberFormat="1" applyFont="1" applyFill="1" applyBorder="1" applyAlignment="1">
      <alignment horizontal="left" vertical="center" wrapText="1"/>
    </xf>
    <xf numFmtId="170" fontId="25" fillId="0" borderId="8" xfId="5" applyNumberFormat="1" applyFont="1" applyFill="1" applyBorder="1" applyAlignment="1">
      <alignment horizontal="center" vertical="center" wrapText="1"/>
    </xf>
    <xf numFmtId="41" fontId="25" fillId="0" borderId="8" xfId="5" applyNumberFormat="1" applyFont="1" applyFill="1" applyBorder="1" applyAlignment="1">
      <alignment horizontal="center" vertical="center" wrapText="1"/>
    </xf>
    <xf numFmtId="41" fontId="27" fillId="0" borderId="8" xfId="5" applyNumberFormat="1" applyFont="1" applyFill="1" applyBorder="1" applyAlignment="1">
      <alignment horizontal="left" vertical="center" wrapText="1"/>
    </xf>
    <xf numFmtId="41" fontId="27" fillId="0" borderId="8" xfId="5" applyNumberFormat="1" applyFont="1" applyFill="1" applyBorder="1" applyAlignment="1">
      <alignment horizontal="center" vertical="center" wrapText="1"/>
    </xf>
    <xf numFmtId="49" fontId="25" fillId="0" borderId="8" xfId="5" quotePrefix="1" applyNumberFormat="1" applyFont="1" applyFill="1" applyBorder="1" applyAlignment="1">
      <alignment horizontal="center" vertical="center" wrapText="1"/>
    </xf>
    <xf numFmtId="0" fontId="25" fillId="0" borderId="8" xfId="0" applyFont="1" applyBorder="1" applyAlignment="1">
      <alignment vertical="center" wrapText="1"/>
    </xf>
    <xf numFmtId="41" fontId="25" fillId="0" borderId="8" xfId="5" applyNumberFormat="1" applyFont="1" applyFill="1" applyBorder="1" applyAlignment="1">
      <alignment horizontal="left" vertical="center" wrapText="1"/>
    </xf>
    <xf numFmtId="49" fontId="27" fillId="0" borderId="8" xfId="5" quotePrefix="1" applyNumberFormat="1" applyFont="1" applyFill="1" applyBorder="1" applyAlignment="1">
      <alignment horizontal="center" vertical="center" wrapText="1"/>
    </xf>
    <xf numFmtId="170" fontId="27" fillId="0" borderId="8" xfId="5" applyNumberFormat="1" applyFont="1" applyFill="1" applyBorder="1" applyAlignment="1">
      <alignment horizontal="center" vertical="center" wrapText="1"/>
    </xf>
    <xf numFmtId="0" fontId="25" fillId="0" borderId="8" xfId="0" applyFont="1" applyBorder="1" applyAlignment="1">
      <alignment horizontal="justify" vertical="center"/>
    </xf>
    <xf numFmtId="0" fontId="25" fillId="0" borderId="8" xfId="0" applyFont="1" applyBorder="1" applyAlignment="1">
      <alignment horizontal="center" vertical="center"/>
    </xf>
    <xf numFmtId="41" fontId="25" fillId="0" borderId="8" xfId="0" applyNumberFormat="1" applyFont="1" applyBorder="1" applyAlignment="1">
      <alignment horizontal="center" vertical="center"/>
    </xf>
    <xf numFmtId="41" fontId="25" fillId="0" borderId="8" xfId="0" applyNumberFormat="1" applyFont="1" applyBorder="1" applyAlignment="1">
      <alignment horizontal="justify" vertical="center"/>
    </xf>
    <xf numFmtId="49" fontId="25" fillId="0" borderId="8" xfId="5" applyNumberFormat="1" applyFont="1" applyFill="1" applyBorder="1" applyAlignment="1">
      <alignment horizontal="center" vertical="center" wrapText="1"/>
    </xf>
    <xf numFmtId="170" fontId="25" fillId="0" borderId="8" xfId="5" applyNumberFormat="1" applyFont="1" applyFill="1" applyBorder="1" applyAlignment="1">
      <alignment horizontal="left" vertical="center" wrapText="1"/>
    </xf>
    <xf numFmtId="49" fontId="28" fillId="0" borderId="8" xfId="5" applyNumberFormat="1" applyFont="1" applyFill="1" applyBorder="1" applyAlignment="1">
      <alignment horizontal="center" vertical="center" wrapText="1"/>
    </xf>
    <xf numFmtId="172" fontId="28" fillId="0" borderId="8" xfId="5" applyNumberFormat="1" applyFont="1" applyFill="1" applyBorder="1" applyAlignment="1">
      <alignment horizontal="left" vertical="center" wrapText="1"/>
    </xf>
    <xf numFmtId="172" fontId="28" fillId="0" borderId="8" xfId="5" applyNumberFormat="1" applyFont="1" applyFill="1" applyBorder="1" applyAlignment="1">
      <alignment horizontal="center" vertical="center" wrapText="1"/>
    </xf>
    <xf numFmtId="41" fontId="28" fillId="0" borderId="8" xfId="5" applyNumberFormat="1" applyFont="1" applyFill="1" applyBorder="1" applyAlignment="1">
      <alignment horizontal="left" vertical="center" wrapText="1"/>
    </xf>
    <xf numFmtId="173" fontId="28" fillId="0" borderId="8" xfId="5" applyNumberFormat="1" applyFont="1" applyFill="1" applyBorder="1" applyAlignment="1">
      <alignment horizontal="center" vertical="center" wrapText="1"/>
    </xf>
    <xf numFmtId="172" fontId="29" fillId="0" borderId="0" xfId="5" applyNumberFormat="1" applyFont="1" applyFill="1" applyAlignment="1">
      <alignment vertical="center"/>
    </xf>
    <xf numFmtId="172" fontId="28" fillId="0" borderId="0" xfId="5" applyNumberFormat="1" applyFont="1" applyFill="1" applyAlignment="1">
      <alignment vertical="center"/>
    </xf>
    <xf numFmtId="174" fontId="25" fillId="0" borderId="0" xfId="5" applyNumberFormat="1" applyFont="1" applyFill="1" applyAlignment="1">
      <alignment vertical="center"/>
    </xf>
    <xf numFmtId="174" fontId="27" fillId="0" borderId="0" xfId="5" applyNumberFormat="1" applyFont="1" applyFill="1" applyAlignment="1">
      <alignment vertical="center"/>
    </xf>
    <xf numFmtId="43" fontId="27" fillId="0" borderId="0" xfId="5" applyNumberFormat="1" applyFont="1" applyFill="1" applyAlignment="1">
      <alignment vertical="center"/>
    </xf>
    <xf numFmtId="175" fontId="27" fillId="0" borderId="8" xfId="5" applyNumberFormat="1" applyFont="1" applyFill="1" applyBorder="1" applyAlignment="1">
      <alignment horizontal="left" vertical="center" wrapText="1"/>
    </xf>
    <xf numFmtId="175" fontId="27" fillId="0" borderId="8" xfId="5" applyNumberFormat="1" applyFont="1" applyFill="1" applyBorder="1" applyAlignment="1">
      <alignment horizontal="center" vertical="center" wrapText="1"/>
    </xf>
    <xf numFmtId="165" fontId="27" fillId="0" borderId="0" xfId="5" applyFont="1" applyFill="1" applyAlignment="1">
      <alignment vertical="center"/>
    </xf>
    <xf numFmtId="169" fontId="27" fillId="0" borderId="8" xfId="5" applyNumberFormat="1" applyFont="1" applyFill="1" applyBorder="1" applyAlignment="1">
      <alignment horizontal="left" vertical="center" wrapText="1"/>
    </xf>
    <xf numFmtId="169" fontId="27" fillId="0" borderId="8" xfId="5" applyNumberFormat="1" applyFont="1" applyFill="1" applyBorder="1" applyAlignment="1">
      <alignment horizontal="center" vertical="center" wrapText="1"/>
    </xf>
    <xf numFmtId="169" fontId="27" fillId="0" borderId="0" xfId="5" applyNumberFormat="1" applyFont="1" applyFill="1" applyAlignment="1">
      <alignment vertical="center"/>
    </xf>
    <xf numFmtId="0" fontId="25" fillId="0" borderId="8" xfId="0" applyFont="1" applyBorder="1" applyAlignment="1">
      <alignment horizontal="center" vertical="center" wrapText="1"/>
    </xf>
    <xf numFmtId="49" fontId="27" fillId="0" borderId="8" xfId="0" quotePrefix="1" applyNumberFormat="1" applyFont="1" applyBorder="1" applyAlignment="1">
      <alignment horizontal="center" vertical="center" wrapText="1"/>
    </xf>
    <xf numFmtId="0" fontId="27" fillId="0" borderId="8" xfId="0" applyFont="1" applyBorder="1" applyAlignment="1">
      <alignment vertical="center" wrapText="1"/>
    </xf>
    <xf numFmtId="0" fontId="27" fillId="0" borderId="8" xfId="0" applyFont="1" applyBorder="1" applyAlignment="1">
      <alignment horizontal="center" vertical="center" wrapText="1"/>
    </xf>
    <xf numFmtId="41" fontId="27" fillId="0" borderId="8" xfId="0" applyNumberFormat="1" applyFont="1" applyBorder="1" applyAlignment="1">
      <alignment vertical="center" wrapText="1"/>
    </xf>
    <xf numFmtId="41" fontId="27" fillId="0" borderId="8" xfId="5" applyNumberFormat="1" applyFont="1" applyFill="1" applyBorder="1" applyAlignment="1">
      <alignment vertical="center" wrapText="1"/>
    </xf>
    <xf numFmtId="0" fontId="27" fillId="0" borderId="8" xfId="0" applyFont="1" applyBorder="1" applyAlignment="1">
      <alignment horizontal="left" vertical="center" wrapText="1"/>
    </xf>
    <xf numFmtId="41" fontId="27" fillId="0" borderId="8" xfId="0" applyNumberFormat="1" applyFont="1" applyBorder="1" applyAlignment="1">
      <alignment horizontal="left" vertical="center" wrapText="1"/>
    </xf>
    <xf numFmtId="0" fontId="25" fillId="0" borderId="8" xfId="0" applyFont="1" applyBorder="1" applyAlignment="1">
      <alignment horizontal="left" vertical="center" wrapText="1"/>
    </xf>
    <xf numFmtId="41" fontId="25" fillId="0" borderId="8" xfId="0" applyNumberFormat="1" applyFont="1" applyBorder="1" applyAlignment="1">
      <alignment horizontal="left" vertical="center" wrapText="1"/>
    </xf>
    <xf numFmtId="41" fontId="25" fillId="0" borderId="8" xfId="5" applyNumberFormat="1" applyFont="1" applyFill="1" applyBorder="1" applyAlignment="1">
      <alignment vertical="center" wrapText="1"/>
    </xf>
    <xf numFmtId="49" fontId="25" fillId="0" borderId="8" xfId="0" quotePrefix="1" applyNumberFormat="1" applyFont="1" applyBorder="1" applyAlignment="1">
      <alignment horizontal="center" vertical="center" wrapText="1"/>
    </xf>
    <xf numFmtId="165" fontId="25" fillId="0" borderId="8" xfId="5" applyFont="1" applyFill="1" applyBorder="1" applyAlignment="1">
      <alignment horizontal="left" vertical="center" wrapText="1"/>
    </xf>
    <xf numFmtId="165" fontId="25" fillId="0" borderId="8" xfId="5" applyFont="1" applyFill="1" applyBorder="1" applyAlignment="1">
      <alignment horizontal="center" vertical="center" wrapText="1"/>
    </xf>
    <xf numFmtId="173" fontId="25" fillId="0" borderId="8" xfId="5" applyNumberFormat="1" applyFont="1" applyFill="1" applyBorder="1" applyAlignment="1">
      <alignment horizontal="center" vertical="center" wrapText="1"/>
    </xf>
    <xf numFmtId="176" fontId="25" fillId="0" borderId="8" xfId="5" applyNumberFormat="1" applyFont="1" applyFill="1" applyBorder="1" applyAlignment="1">
      <alignment horizontal="center" vertical="center" wrapText="1"/>
    </xf>
    <xf numFmtId="165" fontId="25" fillId="0" borderId="0" xfId="5" applyFont="1" applyFill="1" applyAlignment="1">
      <alignment vertical="center"/>
    </xf>
    <xf numFmtId="165" fontId="25" fillId="0" borderId="8" xfId="5" applyFont="1" applyFill="1" applyBorder="1" applyAlignment="1">
      <alignment vertical="center" wrapText="1"/>
    </xf>
    <xf numFmtId="49" fontId="27" fillId="0" borderId="8" xfId="0" applyNumberFormat="1" applyFont="1" applyBorder="1" applyAlignment="1">
      <alignment horizontal="center" vertical="center" wrapText="1"/>
    </xf>
    <xf numFmtId="41" fontId="25" fillId="0" borderId="8" xfId="0" applyNumberFormat="1" applyFont="1" applyBorder="1" applyAlignment="1">
      <alignment vertical="center" wrapText="1"/>
    </xf>
    <xf numFmtId="49" fontId="25" fillId="0" borderId="8" xfId="0" applyNumberFormat="1" applyFont="1" applyBorder="1" applyAlignment="1">
      <alignment horizontal="center" vertical="center" wrapText="1"/>
    </xf>
    <xf numFmtId="169" fontId="27" fillId="0" borderId="8" xfId="5" applyNumberFormat="1" applyFont="1" applyFill="1" applyBorder="1" applyAlignment="1">
      <alignment vertical="center" wrapText="1"/>
    </xf>
    <xf numFmtId="169" fontId="25" fillId="0" borderId="8" xfId="5" applyNumberFormat="1" applyFont="1" applyFill="1" applyBorder="1" applyAlignment="1">
      <alignment vertical="center" wrapText="1"/>
    </xf>
    <xf numFmtId="169" fontId="25" fillId="0" borderId="8" xfId="5" applyNumberFormat="1" applyFont="1" applyFill="1" applyBorder="1" applyAlignment="1">
      <alignment horizontal="center" vertical="center" wrapText="1"/>
    </xf>
    <xf numFmtId="170" fontId="25" fillId="0" borderId="8" xfId="6" applyNumberFormat="1" applyFont="1" applyFill="1" applyBorder="1" applyAlignment="1">
      <alignment horizontal="left" vertical="center" wrapText="1"/>
    </xf>
    <xf numFmtId="41" fontId="25" fillId="0" borderId="8" xfId="6" applyNumberFormat="1" applyFont="1" applyFill="1" applyBorder="1" applyAlignment="1">
      <alignment horizontal="left" vertical="center" wrapText="1"/>
    </xf>
    <xf numFmtId="41" fontId="25" fillId="0" borderId="0" xfId="5" applyNumberFormat="1" applyFont="1" applyFill="1" applyBorder="1" applyAlignment="1">
      <alignment horizontal="center" vertical="center" wrapText="1"/>
    </xf>
    <xf numFmtId="170" fontId="27" fillId="0" borderId="0" xfId="5" applyNumberFormat="1" applyFont="1" applyFill="1" applyBorder="1" applyAlignment="1">
      <alignment vertical="center"/>
    </xf>
    <xf numFmtId="49" fontId="28" fillId="0" borderId="8" xfId="5" quotePrefix="1" applyNumberFormat="1" applyFont="1" applyFill="1" applyBorder="1" applyAlignment="1">
      <alignment horizontal="center" vertical="center" wrapText="1"/>
    </xf>
    <xf numFmtId="170" fontId="28" fillId="0" borderId="8" xfId="5" applyNumberFormat="1" applyFont="1" applyFill="1" applyBorder="1" applyAlignment="1">
      <alignment horizontal="left" vertical="center" wrapText="1"/>
    </xf>
    <xf numFmtId="170" fontId="28" fillId="0" borderId="8" xfId="5" applyNumberFormat="1" applyFont="1" applyFill="1" applyBorder="1" applyAlignment="1">
      <alignment horizontal="center" vertical="center" wrapText="1"/>
    </xf>
    <xf numFmtId="41" fontId="28" fillId="0" borderId="8" xfId="5" applyNumberFormat="1" applyFont="1" applyFill="1" applyBorder="1" applyAlignment="1">
      <alignment vertical="center" wrapText="1"/>
    </xf>
    <xf numFmtId="170" fontId="28" fillId="0" borderId="0" xfId="5" applyNumberFormat="1" applyFont="1" applyFill="1" applyAlignment="1">
      <alignment vertical="center"/>
    </xf>
    <xf numFmtId="41" fontId="25" fillId="0" borderId="8" xfId="5" applyNumberFormat="1" applyFont="1" applyFill="1" applyBorder="1" applyAlignment="1" applyProtection="1">
      <alignment vertical="center" wrapText="1"/>
    </xf>
    <xf numFmtId="169" fontId="25" fillId="0" borderId="8" xfId="5" applyNumberFormat="1" applyFont="1" applyFill="1" applyBorder="1" applyAlignment="1">
      <alignment horizontal="left" vertical="center" wrapText="1"/>
    </xf>
    <xf numFmtId="176" fontId="25" fillId="0" borderId="8" xfId="5" applyNumberFormat="1" applyFont="1" applyFill="1" applyBorder="1" applyAlignment="1">
      <alignment horizontal="left" vertical="center" wrapText="1"/>
    </xf>
    <xf numFmtId="41" fontId="27" fillId="0" borderId="8" xfId="5" quotePrefix="1" applyNumberFormat="1" applyFont="1" applyFill="1" applyBorder="1" applyAlignment="1">
      <alignment horizontal="center" vertical="center" wrapText="1"/>
    </xf>
    <xf numFmtId="41" fontId="25" fillId="0" borderId="8" xfId="5" quotePrefix="1" applyNumberFormat="1" applyFont="1" applyFill="1" applyBorder="1" applyAlignment="1">
      <alignment horizontal="center" vertical="center" wrapText="1"/>
    </xf>
    <xf numFmtId="170" fontId="27" fillId="0" borderId="8" xfId="5" applyNumberFormat="1" applyFont="1" applyFill="1" applyBorder="1" applyAlignment="1">
      <alignment vertical="center" wrapText="1"/>
    </xf>
    <xf numFmtId="173" fontId="25" fillId="0" borderId="8" xfId="5" applyNumberFormat="1" applyFont="1" applyFill="1" applyBorder="1" applyAlignment="1">
      <alignment vertical="center" wrapText="1"/>
    </xf>
    <xf numFmtId="176" fontId="25" fillId="0" borderId="8" xfId="5" applyNumberFormat="1" applyFont="1" applyFill="1" applyBorder="1" applyAlignment="1">
      <alignment vertical="center" wrapText="1"/>
    </xf>
    <xf numFmtId="173" fontId="25" fillId="0" borderId="8" xfId="5" quotePrefix="1" applyNumberFormat="1" applyFont="1" applyFill="1" applyBorder="1" applyAlignment="1">
      <alignment horizontal="center" vertical="center" wrapText="1"/>
    </xf>
    <xf numFmtId="176" fontId="25" fillId="0" borderId="8" xfId="5" quotePrefix="1" applyNumberFormat="1" applyFont="1" applyFill="1" applyBorder="1" applyAlignment="1">
      <alignment horizontal="center" vertical="center" wrapText="1"/>
    </xf>
    <xf numFmtId="177" fontId="25" fillId="0" borderId="8" xfId="5" quotePrefix="1" applyNumberFormat="1" applyFont="1" applyFill="1" applyBorder="1" applyAlignment="1">
      <alignment horizontal="center" vertical="center" wrapText="1"/>
    </xf>
    <xf numFmtId="170" fontId="27" fillId="0" borderId="0" xfId="5" applyNumberFormat="1" applyFont="1" applyFill="1" applyAlignment="1"/>
    <xf numFmtId="170" fontId="27" fillId="0" borderId="0" xfId="5" applyNumberFormat="1" applyFont="1" applyFill="1"/>
    <xf numFmtId="170" fontId="25" fillId="0" borderId="0" xfId="5" applyNumberFormat="1" applyFont="1" applyFill="1" applyAlignment="1"/>
    <xf numFmtId="170" fontId="25" fillId="0" borderId="0" xfId="5" applyNumberFormat="1" applyFont="1" applyFill="1"/>
    <xf numFmtId="49" fontId="25" fillId="0" borderId="8" xfId="7" applyNumberFormat="1" applyFont="1" applyBorder="1" applyAlignment="1">
      <alignment vertical="center" wrapText="1"/>
    </xf>
    <xf numFmtId="49" fontId="27" fillId="0" borderId="8" xfId="7" applyNumberFormat="1" applyFont="1" applyBorder="1" applyAlignment="1">
      <alignment vertical="center" wrapText="1"/>
    </xf>
    <xf numFmtId="41" fontId="27" fillId="0" borderId="8" xfId="7" applyNumberFormat="1" applyFont="1" applyBorder="1" applyAlignment="1">
      <alignment vertical="center" wrapText="1"/>
    </xf>
    <xf numFmtId="49" fontId="25" fillId="0" borderId="8" xfId="7" applyNumberFormat="1" applyFont="1" applyBorder="1" applyAlignment="1">
      <alignment horizontal="center" vertical="center" wrapText="1"/>
    </xf>
    <xf numFmtId="41" fontId="28" fillId="0" borderId="8" xfId="5" applyNumberFormat="1" applyFont="1" applyFill="1" applyBorder="1" applyAlignment="1">
      <alignment horizontal="center" vertical="center" wrapText="1"/>
    </xf>
    <xf numFmtId="165" fontId="28" fillId="0" borderId="8" xfId="5" applyFont="1" applyFill="1" applyBorder="1" applyAlignment="1">
      <alignment horizontal="left" vertical="center" wrapText="1"/>
    </xf>
    <xf numFmtId="0" fontId="28" fillId="0" borderId="8" xfId="0" applyFont="1" applyBorder="1" applyAlignment="1">
      <alignment horizontal="center" vertical="center" wrapText="1"/>
    </xf>
    <xf numFmtId="41" fontId="29" fillId="0" borderId="8" xfId="5" applyNumberFormat="1" applyFont="1" applyFill="1" applyBorder="1" applyAlignment="1">
      <alignment horizontal="left" vertical="center" wrapText="1"/>
    </xf>
    <xf numFmtId="173" fontId="28" fillId="0" borderId="8" xfId="5" applyNumberFormat="1" applyFont="1" applyFill="1" applyBorder="1" applyAlignment="1">
      <alignment vertical="center" wrapText="1"/>
    </xf>
    <xf numFmtId="165" fontId="29" fillId="0" borderId="0" xfId="5" applyFont="1" applyFill="1" applyAlignment="1">
      <alignment vertical="center"/>
    </xf>
    <xf numFmtId="165" fontId="28" fillId="0" borderId="0" xfId="5" applyFont="1" applyFill="1" applyAlignment="1">
      <alignment vertical="center"/>
    </xf>
    <xf numFmtId="0" fontId="28" fillId="0" borderId="8" xfId="0" applyFont="1" applyBorder="1" applyAlignment="1">
      <alignment vertical="center" wrapText="1"/>
    </xf>
    <xf numFmtId="178" fontId="25" fillId="0" borderId="8" xfId="5" applyNumberFormat="1" applyFont="1" applyFill="1" applyBorder="1" applyAlignment="1">
      <alignment horizontal="center" vertical="center" wrapText="1"/>
    </xf>
    <xf numFmtId="169" fontId="28" fillId="0" borderId="8" xfId="5" applyNumberFormat="1" applyFont="1" applyFill="1" applyBorder="1" applyAlignment="1">
      <alignment vertical="center" wrapText="1"/>
    </xf>
    <xf numFmtId="169" fontId="28" fillId="0" borderId="8" xfId="5" applyNumberFormat="1" applyFont="1" applyFill="1" applyBorder="1" applyAlignment="1">
      <alignment horizontal="left" vertical="center" wrapText="1"/>
    </xf>
    <xf numFmtId="169" fontId="28" fillId="0" borderId="8" xfId="5" applyNumberFormat="1" applyFont="1" applyFill="1" applyBorder="1" applyAlignment="1">
      <alignment horizontal="center" vertical="center" wrapText="1"/>
    </xf>
    <xf numFmtId="170" fontId="28" fillId="0" borderId="0" xfId="5" applyNumberFormat="1" applyFont="1" applyFill="1" applyAlignment="1"/>
    <xf numFmtId="170" fontId="28" fillId="0" borderId="0" xfId="5" applyNumberFormat="1" applyFont="1" applyFill="1"/>
    <xf numFmtId="9" fontId="25" fillId="0" borderId="8" xfId="0" applyNumberFormat="1" applyFont="1" applyBorder="1" applyAlignment="1">
      <alignment vertical="center" wrapText="1"/>
    </xf>
    <xf numFmtId="49" fontId="28" fillId="0" borderId="8" xfId="0" quotePrefix="1" applyNumberFormat="1" applyFont="1" applyBorder="1" applyAlignment="1">
      <alignment horizontal="center" vertical="center" wrapText="1"/>
    </xf>
    <xf numFmtId="41" fontId="28" fillId="0" borderId="8" xfId="0" applyNumberFormat="1" applyFont="1" applyBorder="1" applyAlignment="1">
      <alignment vertical="center" wrapText="1"/>
    </xf>
    <xf numFmtId="41" fontId="25" fillId="0" borderId="8" xfId="7" applyNumberFormat="1" applyFont="1" applyBorder="1" applyAlignment="1">
      <alignment vertical="center" wrapText="1"/>
    </xf>
    <xf numFmtId="173" fontId="28" fillId="0" borderId="8" xfId="5" applyNumberFormat="1" applyFont="1" applyFill="1" applyBorder="1" applyAlignment="1">
      <alignment horizontal="left" vertical="center" wrapText="1"/>
    </xf>
    <xf numFmtId="0" fontId="25" fillId="0" borderId="8" xfId="0" quotePrefix="1" applyFont="1" applyBorder="1" applyAlignment="1">
      <alignment horizontal="justify" vertical="center"/>
    </xf>
    <xf numFmtId="49" fontId="25" fillId="0" borderId="8" xfId="0" applyNumberFormat="1" applyFont="1" applyBorder="1" applyAlignment="1">
      <alignment horizontal="center" vertical="center"/>
    </xf>
    <xf numFmtId="0" fontId="27" fillId="0" borderId="8" xfId="0" applyFont="1" applyBorder="1" applyAlignment="1">
      <alignment horizontal="justify" vertical="center"/>
    </xf>
    <xf numFmtId="41" fontId="27" fillId="0" borderId="8" xfId="0" applyNumberFormat="1" applyFont="1" applyBorder="1" applyAlignment="1">
      <alignment horizontal="justify" vertical="center"/>
    </xf>
    <xf numFmtId="175" fontId="25" fillId="0" borderId="8" xfId="5" applyNumberFormat="1" applyFont="1" applyFill="1" applyBorder="1" applyAlignment="1">
      <alignment horizontal="left" vertical="center" wrapText="1"/>
    </xf>
    <xf numFmtId="175" fontId="25" fillId="0" borderId="8" xfId="5" applyNumberFormat="1" applyFont="1" applyFill="1" applyBorder="1" applyAlignment="1">
      <alignment horizontal="center" vertical="center" wrapText="1"/>
    </xf>
    <xf numFmtId="43" fontId="25" fillId="0" borderId="0" xfId="5" applyNumberFormat="1" applyFont="1" applyFill="1" applyAlignment="1">
      <alignment vertical="center"/>
    </xf>
    <xf numFmtId="49" fontId="25" fillId="0" borderId="9" xfId="5" quotePrefix="1" applyNumberFormat="1" applyFont="1" applyFill="1" applyBorder="1" applyAlignment="1">
      <alignment horizontal="center" vertical="center" wrapText="1"/>
    </xf>
    <xf numFmtId="169" fontId="25" fillId="0" borderId="9" xfId="5" applyNumberFormat="1" applyFont="1" applyFill="1" applyBorder="1" applyAlignment="1">
      <alignment horizontal="left" vertical="center" wrapText="1"/>
    </xf>
    <xf numFmtId="169" fontId="25" fillId="0" borderId="9" xfId="5" applyNumberFormat="1" applyFont="1" applyFill="1" applyBorder="1" applyAlignment="1">
      <alignment horizontal="center" vertical="center" wrapText="1"/>
    </xf>
    <xf numFmtId="41" fontId="25" fillId="0" borderId="9" xfId="5" applyNumberFormat="1" applyFont="1" applyFill="1" applyBorder="1" applyAlignment="1">
      <alignment horizontal="left" vertical="center" wrapText="1"/>
    </xf>
    <xf numFmtId="41" fontId="25" fillId="0" borderId="9" xfId="5" applyNumberFormat="1" applyFont="1" applyFill="1" applyBorder="1" applyAlignment="1">
      <alignment horizontal="center" vertical="center" wrapText="1"/>
    </xf>
    <xf numFmtId="49" fontId="25" fillId="0" borderId="0" xfId="5" quotePrefix="1" applyNumberFormat="1" applyFont="1" applyFill="1" applyBorder="1" applyAlignment="1">
      <alignment horizontal="center" vertical="center" wrapText="1"/>
    </xf>
    <xf numFmtId="175" fontId="25" fillId="0" borderId="0" xfId="5" applyNumberFormat="1" applyFont="1" applyFill="1" applyBorder="1" applyAlignment="1">
      <alignment horizontal="left" vertical="center"/>
    </xf>
    <xf numFmtId="175" fontId="25" fillId="0" borderId="0" xfId="5" applyNumberFormat="1" applyFont="1" applyFill="1" applyBorder="1" applyAlignment="1">
      <alignment horizontal="center" vertical="center"/>
    </xf>
    <xf numFmtId="169" fontId="25" fillId="0" borderId="0" xfId="5" applyNumberFormat="1" applyFont="1" applyFill="1" applyBorder="1" applyAlignment="1">
      <alignment horizontal="left" vertical="center" wrapText="1"/>
    </xf>
    <xf numFmtId="169" fontId="25" fillId="0" borderId="0" xfId="5" applyNumberFormat="1" applyFont="1" applyFill="1" applyBorder="1" applyAlignment="1">
      <alignment horizontal="center" vertical="center" wrapText="1"/>
    </xf>
    <xf numFmtId="49" fontId="27" fillId="0" borderId="0" xfId="5" quotePrefix="1" applyNumberFormat="1" applyFont="1" applyFill="1" applyBorder="1" applyAlignment="1">
      <alignment horizontal="center" vertical="center" wrapText="1"/>
    </xf>
    <xf numFmtId="169" fontId="27" fillId="0" borderId="0" xfId="5" applyNumberFormat="1" applyFont="1" applyFill="1" applyBorder="1" applyAlignment="1">
      <alignment horizontal="left" vertical="center" wrapText="1"/>
    </xf>
    <xf numFmtId="169" fontId="27" fillId="0" borderId="0" xfId="5" applyNumberFormat="1" applyFont="1" applyFill="1" applyBorder="1" applyAlignment="1">
      <alignment horizontal="center" vertical="center" wrapText="1"/>
    </xf>
    <xf numFmtId="0" fontId="25" fillId="0" borderId="0" xfId="8" applyFont="1" applyAlignment="1">
      <alignment vertical="center"/>
    </xf>
    <xf numFmtId="0" fontId="25" fillId="0" borderId="0" xfId="8" applyFont="1" applyAlignment="1">
      <alignment horizontal="center" vertical="center"/>
    </xf>
    <xf numFmtId="0" fontId="7" fillId="3" borderId="0" xfId="4" applyFont="1" applyFill="1" applyAlignment="1">
      <alignment vertical="center"/>
    </xf>
    <xf numFmtId="169" fontId="27" fillId="0" borderId="10" xfId="5" applyNumberFormat="1" applyFont="1" applyFill="1" applyBorder="1" applyAlignment="1">
      <alignment horizontal="center" vertical="center" wrapText="1"/>
    </xf>
    <xf numFmtId="170" fontId="27" fillId="0" borderId="8" xfId="6" applyNumberFormat="1" applyFont="1" applyFill="1" applyBorder="1" applyAlignment="1">
      <alignment horizontal="center" vertical="center" wrapText="1"/>
    </xf>
    <xf numFmtId="41" fontId="27" fillId="0" borderId="0" xfId="5" applyNumberFormat="1" applyFont="1" applyFill="1" applyBorder="1" applyAlignment="1">
      <alignment horizontal="center" vertical="center" wrapText="1"/>
    </xf>
    <xf numFmtId="170" fontId="27" fillId="0" borderId="8" xfId="6" applyNumberFormat="1" applyFont="1" applyFill="1" applyBorder="1" applyAlignment="1">
      <alignment horizontal="left" vertical="center" wrapText="1"/>
    </xf>
    <xf numFmtId="172" fontId="25" fillId="0" borderId="8" xfId="5" applyNumberFormat="1" applyFont="1" applyFill="1" applyBorder="1" applyAlignment="1">
      <alignment horizontal="left" vertical="center" wrapText="1"/>
    </xf>
    <xf numFmtId="176" fontId="25" fillId="0" borderId="8" xfId="0" applyNumberFormat="1" applyFont="1" applyBorder="1" applyAlignment="1">
      <alignment horizontal="justify" vertical="center"/>
    </xf>
    <xf numFmtId="170" fontId="25" fillId="2" borderId="8" xfId="6" applyNumberFormat="1" applyFont="1" applyFill="1" applyBorder="1" applyAlignment="1">
      <alignment horizontal="left" vertical="center" wrapText="1"/>
    </xf>
    <xf numFmtId="41" fontId="25" fillId="2" borderId="8" xfId="5" applyNumberFormat="1" applyFont="1" applyFill="1" applyBorder="1" applyAlignment="1">
      <alignment vertical="center" wrapText="1"/>
    </xf>
    <xf numFmtId="41" fontId="25" fillId="2" borderId="8" xfId="5" applyNumberFormat="1" applyFont="1" applyFill="1" applyBorder="1" applyAlignment="1">
      <alignment horizontal="left" vertical="center" wrapText="1"/>
    </xf>
    <xf numFmtId="49" fontId="25" fillId="2" borderId="8" xfId="0" quotePrefix="1" applyNumberFormat="1" applyFont="1" applyFill="1" applyBorder="1" applyAlignment="1">
      <alignment horizontal="center" vertical="center" wrapText="1"/>
    </xf>
    <xf numFmtId="41" fontId="25" fillId="2" borderId="8" xfId="5" applyNumberFormat="1" applyFont="1" applyFill="1" applyBorder="1" applyAlignment="1">
      <alignment horizontal="center" vertical="center" wrapText="1"/>
    </xf>
    <xf numFmtId="41" fontId="25" fillId="2" borderId="0" xfId="5" applyNumberFormat="1" applyFont="1" applyFill="1" applyBorder="1" applyAlignment="1">
      <alignment horizontal="center" vertical="center" wrapText="1"/>
    </xf>
    <xf numFmtId="165" fontId="25" fillId="2" borderId="0" xfId="5" applyFont="1" applyFill="1" applyAlignment="1">
      <alignment vertical="center"/>
    </xf>
    <xf numFmtId="170" fontId="45" fillId="2" borderId="0" xfId="5" applyNumberFormat="1" applyFont="1" applyFill="1" applyAlignment="1">
      <alignment vertical="center"/>
    </xf>
    <xf numFmtId="49" fontId="25" fillId="0" borderId="11" xfId="5" quotePrefix="1" applyNumberFormat="1" applyFont="1" applyFill="1" applyBorder="1" applyAlignment="1">
      <alignment horizontal="center" vertical="center" wrapText="1"/>
    </xf>
    <xf numFmtId="170" fontId="25" fillId="0" borderId="11" xfId="5" applyNumberFormat="1" applyFont="1" applyFill="1" applyBorder="1" applyAlignment="1">
      <alignment horizontal="left" vertical="center" wrapText="1"/>
    </xf>
    <xf numFmtId="41" fontId="25" fillId="0" borderId="11" xfId="5" applyNumberFormat="1" applyFont="1" applyFill="1" applyBorder="1" applyAlignment="1">
      <alignment vertical="center" wrapText="1"/>
    </xf>
    <xf numFmtId="41" fontId="25" fillId="0" borderId="11" xfId="5" applyNumberFormat="1" applyFont="1" applyFill="1" applyBorder="1" applyAlignment="1">
      <alignment horizontal="left" vertical="center" wrapText="1"/>
    </xf>
    <xf numFmtId="41" fontId="25" fillId="0" borderId="11" xfId="5" applyNumberFormat="1" applyFont="1" applyFill="1" applyBorder="1" applyAlignment="1">
      <alignment horizontal="center" vertical="center" wrapText="1"/>
    </xf>
    <xf numFmtId="166" fontId="25" fillId="0" borderId="0" xfId="5" applyNumberFormat="1" applyFont="1" applyFill="1" applyAlignment="1">
      <alignment horizontal="left" vertical="center"/>
    </xf>
    <xf numFmtId="176" fontId="28" fillId="0" borderId="8" xfId="5" applyNumberFormat="1" applyFont="1" applyFill="1" applyBorder="1" applyAlignment="1">
      <alignment vertical="center" wrapText="1"/>
    </xf>
    <xf numFmtId="173" fontId="29" fillId="0" borderId="8" xfId="5" applyNumberFormat="1" applyFont="1" applyFill="1" applyBorder="1" applyAlignment="1">
      <alignment horizontal="center" vertical="center" wrapText="1"/>
    </xf>
    <xf numFmtId="170" fontId="33" fillId="0" borderId="7" xfId="20" applyNumberFormat="1" applyFont="1" applyFill="1" applyBorder="1" applyAlignment="1">
      <alignment horizontal="center" vertical="center" wrapText="1"/>
    </xf>
    <xf numFmtId="170" fontId="33" fillId="0" borderId="8" xfId="20" applyNumberFormat="1" applyFont="1" applyFill="1" applyBorder="1" applyAlignment="1">
      <alignment horizontal="center" vertical="center" wrapText="1"/>
    </xf>
    <xf numFmtId="170" fontId="33" fillId="0" borderId="8" xfId="20" applyNumberFormat="1" applyFont="1" applyFill="1" applyBorder="1" applyAlignment="1">
      <alignment horizontal="right" vertical="center" wrapText="1"/>
    </xf>
    <xf numFmtId="170" fontId="34" fillId="0" borderId="8" xfId="20" applyNumberFormat="1" applyFont="1" applyFill="1" applyBorder="1" applyAlignment="1">
      <alignment horizontal="right" vertical="center" wrapText="1"/>
    </xf>
    <xf numFmtId="170" fontId="34" fillId="0" borderId="8" xfId="20" applyNumberFormat="1" applyFont="1" applyFill="1" applyBorder="1" applyAlignment="1">
      <alignment horizontal="center" vertical="center" wrapText="1"/>
    </xf>
    <xf numFmtId="4" fontId="8" fillId="0" borderId="11" xfId="1" applyNumberFormat="1" applyFont="1" applyFill="1" applyBorder="1" applyAlignment="1" applyProtection="1">
      <alignment horizontal="left" vertical="center" wrapText="1"/>
    </xf>
    <xf numFmtId="168" fontId="18" fillId="3" borderId="10" xfId="1" applyNumberFormat="1" applyFont="1" applyFill="1" applyBorder="1" applyAlignment="1">
      <alignment horizontal="center" vertical="center" wrapText="1"/>
    </xf>
    <xf numFmtId="4" fontId="12" fillId="0" borderId="11" xfId="1" applyNumberFormat="1" applyFont="1" applyFill="1" applyBorder="1" applyAlignment="1" applyProtection="1">
      <alignment horizontal="left" vertical="center" wrapText="1"/>
    </xf>
    <xf numFmtId="175" fontId="25" fillId="0" borderId="11" xfId="5" quotePrefix="1" applyNumberFormat="1" applyFont="1" applyFill="1" applyBorder="1" applyAlignment="1">
      <alignment horizontal="left" vertical="center" wrapText="1"/>
    </xf>
    <xf numFmtId="175" fontId="25" fillId="0" borderId="11" xfId="5" applyNumberFormat="1" applyFont="1" applyFill="1" applyBorder="1" applyAlignment="1">
      <alignment horizontal="center" vertical="center" wrapText="1"/>
    </xf>
    <xf numFmtId="172" fontId="27" fillId="0" borderId="8" xfId="5" applyNumberFormat="1" applyFont="1" applyFill="1" applyBorder="1" applyAlignment="1">
      <alignment horizontal="left" vertical="center" wrapText="1"/>
    </xf>
    <xf numFmtId="172" fontId="27" fillId="0" borderId="8" xfId="5" applyNumberFormat="1" applyFont="1" applyFill="1" applyBorder="1" applyAlignment="1">
      <alignment horizontal="center" vertical="center" wrapText="1"/>
    </xf>
    <xf numFmtId="173" fontId="27" fillId="0" borderId="8" xfId="5" applyNumberFormat="1" applyFont="1" applyFill="1" applyBorder="1" applyAlignment="1">
      <alignment horizontal="center" vertical="center" wrapText="1"/>
    </xf>
    <xf numFmtId="172" fontId="25" fillId="0" borderId="8" xfId="5" applyNumberFormat="1" applyFont="1" applyFill="1" applyBorder="1" applyAlignment="1">
      <alignment horizontal="center" vertical="center" wrapText="1"/>
    </xf>
    <xf numFmtId="0" fontId="52" fillId="3" borderId="0" xfId="4" applyFont="1" applyFill="1" applyAlignment="1">
      <alignment vertical="center"/>
    </xf>
    <xf numFmtId="0" fontId="44" fillId="3" borderId="0" xfId="4" applyFont="1" applyFill="1" applyAlignment="1">
      <alignment vertical="center"/>
    </xf>
    <xf numFmtId="170" fontId="62" fillId="3" borderId="0" xfId="12" applyNumberFormat="1" applyFont="1" applyFill="1" applyBorder="1" applyAlignment="1">
      <alignment horizontal="left" vertical="center" wrapText="1"/>
    </xf>
    <xf numFmtId="170" fontId="52" fillId="3" borderId="0" xfId="44" applyNumberFormat="1" applyFont="1" applyFill="1" applyAlignment="1">
      <alignment horizontal="center" vertical="center"/>
    </xf>
    <xf numFmtId="168" fontId="31" fillId="0" borderId="0" xfId="1" applyNumberFormat="1" applyFont="1" applyAlignment="1">
      <alignment vertical="center"/>
    </xf>
    <xf numFmtId="168" fontId="23" fillId="0" borderId="0" xfId="1" applyNumberFormat="1" applyFont="1" applyAlignment="1">
      <alignment vertical="center"/>
    </xf>
    <xf numFmtId="168" fontId="8" fillId="0" borderId="8" xfId="1" applyNumberFormat="1" applyFont="1" applyBorder="1" applyAlignment="1">
      <alignment vertical="center"/>
    </xf>
    <xf numFmtId="175" fontId="34" fillId="0" borderId="0" xfId="20" applyNumberFormat="1" applyFont="1" applyFill="1" applyAlignment="1">
      <alignment horizontal="center" vertical="center" wrapText="1"/>
    </xf>
    <xf numFmtId="175" fontId="33" fillId="0" borderId="0" xfId="20" applyNumberFormat="1" applyFont="1" applyFill="1" applyAlignment="1">
      <alignment horizontal="center" vertical="center" wrapText="1"/>
    </xf>
    <xf numFmtId="167" fontId="7" fillId="0" borderId="0" xfId="1" applyFont="1" applyFill="1" applyAlignment="1">
      <alignment vertical="center"/>
    </xf>
    <xf numFmtId="168" fontId="7" fillId="0" borderId="0" xfId="1" applyNumberFormat="1" applyFont="1" applyFill="1" applyAlignment="1">
      <alignment vertical="center"/>
    </xf>
    <xf numFmtId="167" fontId="7" fillId="0" borderId="0" xfId="1" applyFont="1" applyFill="1" applyAlignment="1">
      <alignment horizontal="right" vertical="center"/>
    </xf>
    <xf numFmtId="168" fontId="8" fillId="0" borderId="7" xfId="1" applyNumberFormat="1" applyFont="1" applyFill="1" applyBorder="1" applyAlignment="1">
      <alignment horizontal="center" vertical="center" wrapText="1"/>
    </xf>
    <xf numFmtId="167" fontId="8" fillId="0" borderId="7" xfId="1" applyFont="1" applyFill="1" applyBorder="1" applyAlignment="1">
      <alignment vertical="center" wrapText="1"/>
    </xf>
    <xf numFmtId="167" fontId="8" fillId="0" borderId="0" xfId="1" applyFont="1" applyFill="1" applyAlignment="1">
      <alignment vertical="center"/>
    </xf>
    <xf numFmtId="168" fontId="8" fillId="0" borderId="8" xfId="1" applyNumberFormat="1" applyFont="1" applyFill="1" applyBorder="1" applyAlignment="1">
      <alignment vertical="center" wrapText="1"/>
    </xf>
    <xf numFmtId="180" fontId="7" fillId="0" borderId="8" xfId="1" applyNumberFormat="1" applyFont="1" applyFill="1" applyBorder="1" applyAlignment="1">
      <alignment vertical="center" wrapText="1"/>
    </xf>
    <xf numFmtId="180" fontId="12" fillId="0" borderId="0" xfId="1" applyNumberFormat="1" applyFont="1" applyFill="1" applyAlignment="1">
      <alignment vertical="center"/>
    </xf>
    <xf numFmtId="168" fontId="12" fillId="0" borderId="8" xfId="1" applyNumberFormat="1" applyFont="1" applyFill="1" applyBorder="1" applyAlignment="1">
      <alignment horizontal="center" vertical="center" wrapText="1"/>
    </xf>
    <xf numFmtId="168" fontId="12" fillId="0" borderId="8" xfId="1" applyNumberFormat="1" applyFont="1" applyFill="1" applyBorder="1" applyAlignment="1">
      <alignment vertical="center" wrapText="1"/>
    </xf>
    <xf numFmtId="0" fontId="8" fillId="0" borderId="8" xfId="4" applyFont="1" applyBorder="1" applyAlignment="1">
      <alignment vertical="center" wrapText="1"/>
    </xf>
    <xf numFmtId="0" fontId="7" fillId="0" borderId="8" xfId="4" applyFont="1" applyBorder="1" applyAlignment="1">
      <alignment vertical="center" wrapText="1"/>
    </xf>
    <xf numFmtId="167" fontId="8" fillId="0" borderId="8" xfId="1" applyFont="1" applyFill="1" applyBorder="1" applyAlignment="1">
      <alignment vertical="center" wrapText="1"/>
    </xf>
    <xf numFmtId="12" fontId="8" fillId="0" borderId="8" xfId="1" applyNumberFormat="1" applyFont="1" applyFill="1" applyBorder="1" applyAlignment="1">
      <alignment vertical="center" wrapText="1"/>
    </xf>
    <xf numFmtId="167" fontId="8" fillId="0" borderId="11" xfId="1" applyFont="1" applyFill="1" applyBorder="1" applyAlignment="1">
      <alignment vertical="center" wrapText="1"/>
    </xf>
    <xf numFmtId="167" fontId="7" fillId="0" borderId="11" xfId="1" applyFont="1" applyFill="1" applyBorder="1" applyAlignment="1">
      <alignment vertical="center" wrapText="1"/>
    </xf>
    <xf numFmtId="168" fontId="7" fillId="0" borderId="11" xfId="1" applyNumberFormat="1" applyFont="1" applyFill="1" applyBorder="1" applyAlignment="1">
      <alignment vertical="center" wrapText="1"/>
    </xf>
    <xf numFmtId="168" fontId="8" fillId="0" borderId="9" xfId="1" applyNumberFormat="1" applyFont="1" applyFill="1" applyBorder="1" applyAlignment="1">
      <alignment horizontal="center" vertical="center" wrapText="1"/>
    </xf>
    <xf numFmtId="0" fontId="8" fillId="0" borderId="9" xfId="4" applyFont="1" applyBorder="1" applyAlignment="1">
      <alignment vertical="center" wrapText="1"/>
    </xf>
    <xf numFmtId="168" fontId="7" fillId="0" borderId="0" xfId="1" applyNumberFormat="1" applyFont="1" applyFill="1" applyAlignment="1">
      <alignment horizontal="center" vertical="center" wrapText="1"/>
    </xf>
    <xf numFmtId="168" fontId="7" fillId="0" borderId="0" xfId="1" applyNumberFormat="1" applyFont="1" applyFill="1" applyAlignment="1">
      <alignment horizontal="left" vertical="center" wrapText="1"/>
    </xf>
    <xf numFmtId="167" fontId="7" fillId="0" borderId="0" xfId="1" applyFont="1" applyFill="1" applyAlignment="1">
      <alignment horizontal="center" vertical="center" wrapText="1"/>
    </xf>
    <xf numFmtId="167" fontId="7" fillId="0" borderId="0" xfId="1" applyFont="1" applyFill="1" applyAlignment="1">
      <alignment vertical="center" wrapText="1"/>
    </xf>
    <xf numFmtId="168" fontId="8" fillId="0" borderId="0" xfId="1" applyNumberFormat="1" applyFont="1" applyFill="1" applyAlignment="1">
      <alignment vertical="center"/>
    </xf>
    <xf numFmtId="167" fontId="12" fillId="0" borderId="8" xfId="1" applyFont="1" applyFill="1" applyBorder="1" applyAlignment="1">
      <alignment horizontal="left" vertical="center" wrapText="1"/>
    </xf>
    <xf numFmtId="167" fontId="12" fillId="0" borderId="0" xfId="1" applyFont="1" applyFill="1" applyAlignment="1">
      <alignment vertical="center"/>
    </xf>
    <xf numFmtId="167" fontId="7" fillId="0" borderId="8" xfId="1" applyFont="1" applyFill="1" applyBorder="1" applyAlignment="1">
      <alignment vertical="center" wrapText="1"/>
    </xf>
    <xf numFmtId="168" fontId="7" fillId="0" borderId="8" xfId="1" applyNumberFormat="1" applyFont="1" applyFill="1" applyBorder="1" applyAlignment="1">
      <alignment vertical="center" wrapText="1"/>
    </xf>
    <xf numFmtId="167" fontId="7" fillId="0" borderId="8" xfId="1" applyFont="1" applyFill="1" applyBorder="1" applyAlignment="1">
      <alignment horizontal="left" vertical="center" wrapText="1"/>
    </xf>
    <xf numFmtId="180" fontId="12" fillId="0" borderId="8" xfId="1" applyNumberFormat="1" applyFont="1" applyFill="1" applyBorder="1" applyAlignment="1">
      <alignment horizontal="center" vertical="center" wrapText="1"/>
    </xf>
    <xf numFmtId="180" fontId="12" fillId="0" borderId="8" xfId="1" applyNumberFormat="1" applyFont="1" applyFill="1" applyBorder="1" applyAlignment="1">
      <alignment vertical="center" wrapText="1"/>
    </xf>
    <xf numFmtId="170" fontId="8" fillId="0" borderId="8" xfId="19" quotePrefix="1" applyNumberFormat="1" applyFont="1" applyFill="1" applyBorder="1" applyAlignment="1">
      <alignment horizontal="center" vertical="center" wrapText="1"/>
    </xf>
    <xf numFmtId="170" fontId="7" fillId="0" borderId="8" xfId="19" quotePrefix="1" applyNumberFormat="1" applyFont="1" applyFill="1" applyBorder="1" applyAlignment="1">
      <alignment horizontal="center" vertical="center" wrapText="1"/>
    </xf>
    <xf numFmtId="170" fontId="8" fillId="0" borderId="8" xfId="19" applyNumberFormat="1" applyFont="1" applyFill="1" applyBorder="1" applyAlignment="1">
      <alignment vertical="center"/>
    </xf>
    <xf numFmtId="170" fontId="8" fillId="0" borderId="8" xfId="19" applyNumberFormat="1" applyFont="1" applyFill="1" applyBorder="1" applyAlignment="1">
      <alignment horizontal="center" vertical="center"/>
    </xf>
    <xf numFmtId="170" fontId="7" fillId="0" borderId="8" xfId="19" applyNumberFormat="1" applyFont="1" applyFill="1" applyBorder="1" applyAlignment="1">
      <alignment vertical="center"/>
    </xf>
    <xf numFmtId="170" fontId="7" fillId="0" borderId="8" xfId="40" applyNumberFormat="1" applyFont="1" applyFill="1" applyBorder="1" applyAlignment="1">
      <alignment horizontal="center" vertical="center" wrapText="1"/>
    </xf>
    <xf numFmtId="170" fontId="7" fillId="0" borderId="8" xfId="19" applyNumberFormat="1" applyFont="1" applyFill="1" applyBorder="1" applyAlignment="1">
      <alignment horizontal="center" vertical="center" wrapText="1"/>
    </xf>
    <xf numFmtId="170" fontId="7" fillId="0" borderId="8" xfId="46" applyNumberFormat="1" applyFont="1" applyFill="1" applyBorder="1" applyAlignment="1">
      <alignment horizontal="center" vertical="center" wrapText="1"/>
    </xf>
    <xf numFmtId="170" fontId="7" fillId="0" borderId="8" xfId="46" applyNumberFormat="1" applyFont="1" applyFill="1" applyBorder="1" applyAlignment="1">
      <alignment vertical="center"/>
    </xf>
    <xf numFmtId="170" fontId="8" fillId="0" borderId="8" xfId="19" applyNumberFormat="1" applyFont="1" applyFill="1" applyBorder="1" applyAlignment="1">
      <alignment horizontal="right" vertical="center"/>
    </xf>
    <xf numFmtId="170" fontId="7" fillId="0" borderId="8" xfId="19" applyNumberFormat="1" applyFont="1" applyFill="1" applyBorder="1" applyAlignment="1">
      <alignment horizontal="center" vertical="center"/>
    </xf>
    <xf numFmtId="170" fontId="8" fillId="0" borderId="8" xfId="19" applyNumberFormat="1" applyFont="1" applyFill="1" applyBorder="1" applyAlignment="1">
      <alignment vertical="center" wrapText="1"/>
    </xf>
    <xf numFmtId="170" fontId="8" fillId="0" borderId="8" xfId="19" applyNumberFormat="1" applyFont="1" applyFill="1" applyBorder="1" applyAlignment="1">
      <alignment horizontal="center" vertical="center" wrapText="1"/>
    </xf>
    <xf numFmtId="170" fontId="7" fillId="0" borderId="8" xfId="19" applyNumberFormat="1" applyFont="1" applyFill="1" applyBorder="1" applyAlignment="1">
      <alignment vertical="center" wrapText="1"/>
    </xf>
    <xf numFmtId="175" fontId="7" fillId="0" borderId="8" xfId="19" applyNumberFormat="1" applyFont="1" applyFill="1" applyBorder="1" applyAlignment="1">
      <alignment horizontal="center" vertical="center"/>
    </xf>
    <xf numFmtId="170" fontId="7" fillId="0" borderId="8" xfId="46" applyNumberFormat="1" applyFont="1" applyFill="1" applyBorder="1" applyAlignment="1">
      <alignment horizontal="center" vertical="center"/>
    </xf>
    <xf numFmtId="170" fontId="7" fillId="0" borderId="8" xfId="19" applyNumberFormat="1" applyFont="1" applyFill="1" applyBorder="1" applyAlignment="1">
      <alignment horizontal="right" vertical="center" wrapText="1"/>
    </xf>
    <xf numFmtId="175" fontId="7" fillId="0" borderId="8" xfId="19" applyNumberFormat="1" applyFont="1" applyFill="1" applyBorder="1" applyAlignment="1">
      <alignment horizontal="right" vertical="center" wrapText="1"/>
    </xf>
    <xf numFmtId="170" fontId="8" fillId="0" borderId="7" xfId="19" applyNumberFormat="1" applyFont="1" applyFill="1" applyBorder="1" applyAlignment="1">
      <alignment vertical="center"/>
    </xf>
    <xf numFmtId="170" fontId="7" fillId="0" borderId="8" xfId="12" quotePrefix="1" applyNumberFormat="1" applyFont="1" applyFill="1" applyBorder="1" applyAlignment="1">
      <alignment horizontal="center" vertical="center"/>
    </xf>
    <xf numFmtId="170" fontId="7" fillId="0" borderId="9" xfId="12" quotePrefix="1" applyNumberFormat="1" applyFont="1" applyFill="1" applyBorder="1" applyAlignment="1">
      <alignment horizontal="center" vertical="center"/>
    </xf>
    <xf numFmtId="170" fontId="32" fillId="0" borderId="0" xfId="12" applyNumberFormat="1" applyFont="1" applyFill="1" applyAlignment="1">
      <alignment vertical="center"/>
    </xf>
    <xf numFmtId="170" fontId="32" fillId="0" borderId="0" xfId="12" applyNumberFormat="1" applyFont="1" applyFill="1" applyAlignment="1">
      <alignment horizontal="center" vertical="center"/>
    </xf>
    <xf numFmtId="41" fontId="32" fillId="0" borderId="8" xfId="12" applyNumberFormat="1" applyFont="1" applyFill="1" applyBorder="1" applyAlignment="1">
      <alignment horizontal="center" vertical="center"/>
    </xf>
    <xf numFmtId="49" fontId="32" fillId="0" borderId="7" xfId="12" applyNumberFormat="1" applyFont="1" applyFill="1" applyBorder="1" applyAlignment="1">
      <alignment horizontal="center" vertical="center" wrapText="1"/>
    </xf>
    <xf numFmtId="185" fontId="39" fillId="0" borderId="8" xfId="12" applyNumberFormat="1" applyFont="1" applyFill="1" applyBorder="1" applyAlignment="1">
      <alignment horizontal="left" vertical="center" wrapText="1"/>
    </xf>
    <xf numFmtId="170" fontId="39" fillId="0" borderId="8" xfId="12" applyNumberFormat="1" applyFont="1" applyFill="1" applyBorder="1" applyAlignment="1">
      <alignment horizontal="center" vertical="center"/>
    </xf>
    <xf numFmtId="170" fontId="39" fillId="0" borderId="8" xfId="12" quotePrefix="1" applyNumberFormat="1" applyFont="1" applyFill="1" applyBorder="1" applyAlignment="1">
      <alignment horizontal="center" vertical="center"/>
    </xf>
    <xf numFmtId="170" fontId="39" fillId="0" borderId="8" xfId="12" applyNumberFormat="1" applyFont="1" applyFill="1" applyBorder="1" applyAlignment="1">
      <alignment vertical="center"/>
    </xf>
    <xf numFmtId="41" fontId="39" fillId="0" borderId="8" xfId="12" applyNumberFormat="1" applyFont="1" applyFill="1" applyBorder="1" applyAlignment="1">
      <alignment horizontal="center" vertical="center"/>
    </xf>
    <xf numFmtId="173" fontId="39" fillId="0" borderId="8" xfId="12" applyNumberFormat="1" applyFont="1" applyFill="1" applyBorder="1" applyAlignment="1">
      <alignment horizontal="center" vertical="center"/>
    </xf>
    <xf numFmtId="170" fontId="32" fillId="0" borderId="8" xfId="12" quotePrefix="1" applyNumberFormat="1" applyFont="1" applyFill="1" applyBorder="1" applyAlignment="1">
      <alignment horizontal="center" vertical="center"/>
    </xf>
    <xf numFmtId="170" fontId="32" fillId="0" borderId="8" xfId="12" applyNumberFormat="1" applyFont="1" applyFill="1" applyBorder="1" applyAlignment="1">
      <alignment vertical="center"/>
    </xf>
    <xf numFmtId="170" fontId="32" fillId="0" borderId="8" xfId="12" applyNumberFormat="1" applyFont="1" applyFill="1" applyBorder="1" applyAlignment="1">
      <alignment horizontal="center" vertical="center"/>
    </xf>
    <xf numFmtId="173" fontId="32" fillId="0" borderId="8" xfId="12" applyNumberFormat="1" applyFont="1" applyFill="1" applyBorder="1" applyAlignment="1">
      <alignment horizontal="center" vertical="center"/>
    </xf>
    <xf numFmtId="170" fontId="39" fillId="0" borderId="8" xfId="12" applyNumberFormat="1" applyFont="1" applyFill="1" applyBorder="1" applyAlignment="1">
      <alignment horizontal="left" vertical="center"/>
    </xf>
    <xf numFmtId="175" fontId="39" fillId="0" borderId="8" xfId="12" applyNumberFormat="1" applyFont="1" applyFill="1" applyBorder="1" applyAlignment="1">
      <alignment horizontal="center" vertical="center" wrapText="1"/>
    </xf>
    <xf numFmtId="185" fontId="32" fillId="0" borderId="8" xfId="12" applyNumberFormat="1" applyFont="1" applyFill="1" applyBorder="1" applyAlignment="1">
      <alignment horizontal="center" vertical="center"/>
    </xf>
    <xf numFmtId="175" fontId="32" fillId="0" borderId="8" xfId="12" applyNumberFormat="1" applyFont="1" applyFill="1" applyBorder="1" applyAlignment="1">
      <alignment horizontal="center" vertical="center" wrapText="1"/>
    </xf>
    <xf numFmtId="185" fontId="32" fillId="0" borderId="8" xfId="12" applyNumberFormat="1" applyFont="1" applyFill="1" applyBorder="1" applyAlignment="1">
      <alignment vertical="center" wrapText="1"/>
    </xf>
    <xf numFmtId="41" fontId="32" fillId="0" borderId="8" xfId="12" applyNumberFormat="1" applyFont="1" applyFill="1" applyBorder="1" applyAlignment="1">
      <alignment vertical="center"/>
    </xf>
    <xf numFmtId="173" fontId="32" fillId="0" borderId="8" xfId="12" applyNumberFormat="1" applyFont="1" applyFill="1" applyBorder="1" applyAlignment="1">
      <alignment vertical="center"/>
    </xf>
    <xf numFmtId="170" fontId="39" fillId="0" borderId="0" xfId="12" applyNumberFormat="1" applyFont="1" applyFill="1" applyAlignment="1">
      <alignment horizontal="center" vertical="center"/>
    </xf>
    <xf numFmtId="170" fontId="39" fillId="0" borderId="0" xfId="12" applyNumberFormat="1" applyFont="1" applyFill="1" applyAlignment="1">
      <alignment vertical="center"/>
    </xf>
    <xf numFmtId="170" fontId="39" fillId="0" borderId="8" xfId="12" quotePrefix="1" applyNumberFormat="1" applyFont="1" applyFill="1" applyBorder="1" applyAlignment="1">
      <alignment horizontal="center" vertical="center" wrapText="1"/>
    </xf>
    <xf numFmtId="170" fontId="32" fillId="0" borderId="8" xfId="12" applyNumberFormat="1" applyFont="1" applyFill="1" applyBorder="1" applyAlignment="1">
      <alignment vertical="center" wrapText="1"/>
    </xf>
    <xf numFmtId="170" fontId="32" fillId="0" borderId="8" xfId="12" applyNumberFormat="1" applyFont="1" applyFill="1" applyBorder="1" applyAlignment="1">
      <alignment horizontal="center" vertical="center" wrapText="1"/>
    </xf>
    <xf numFmtId="41" fontId="39" fillId="0" borderId="8" xfId="12" applyNumberFormat="1" applyFont="1" applyFill="1" applyBorder="1" applyAlignment="1">
      <alignment vertical="center"/>
    </xf>
    <xf numFmtId="173" fontId="39" fillId="0" borderId="8" xfId="12" applyNumberFormat="1" applyFont="1" applyFill="1" applyBorder="1" applyAlignment="1">
      <alignment vertical="center"/>
    </xf>
    <xf numFmtId="170" fontId="39" fillId="0" borderId="8" xfId="12" applyNumberFormat="1" applyFont="1" applyFill="1" applyBorder="1" applyAlignment="1">
      <alignment vertical="center" wrapText="1"/>
    </xf>
    <xf numFmtId="170" fontId="39" fillId="0" borderId="8" xfId="12" applyNumberFormat="1" applyFont="1" applyFill="1" applyBorder="1" applyAlignment="1">
      <alignment horizontal="center" vertical="center" wrapText="1"/>
    </xf>
    <xf numFmtId="170" fontId="40" fillId="0" borderId="0" xfId="12" applyNumberFormat="1" applyFont="1" applyFill="1" applyAlignment="1">
      <alignment vertical="center"/>
    </xf>
    <xf numFmtId="170" fontId="57" fillId="0" borderId="0" xfId="12" applyNumberFormat="1" applyFont="1" applyFill="1" applyAlignment="1">
      <alignment vertical="center"/>
    </xf>
    <xf numFmtId="170" fontId="32" fillId="0" borderId="8" xfId="12" applyNumberFormat="1" applyFont="1" applyFill="1" applyBorder="1" applyAlignment="1">
      <alignment horizontal="left" vertical="center" wrapText="1"/>
    </xf>
    <xf numFmtId="175" fontId="32" fillId="0" borderId="8" xfId="12" applyNumberFormat="1" applyFont="1" applyFill="1" applyBorder="1" applyAlignment="1">
      <alignment vertical="center"/>
    </xf>
    <xf numFmtId="170" fontId="40" fillId="0" borderId="8" xfId="12" applyNumberFormat="1" applyFont="1" applyFill="1" applyBorder="1" applyAlignment="1">
      <alignment horizontal="left" vertical="center" wrapText="1"/>
    </xf>
    <xf numFmtId="170" fontId="39" fillId="0" borderId="8" xfId="12" quotePrefix="1" applyNumberFormat="1" applyFont="1" applyFill="1" applyBorder="1" applyAlignment="1">
      <alignment vertical="center" wrapText="1"/>
    </xf>
    <xf numFmtId="43" fontId="32" fillId="0" borderId="8" xfId="12" applyFont="1" applyFill="1" applyBorder="1" applyAlignment="1">
      <alignment vertical="center"/>
    </xf>
    <xf numFmtId="185" fontId="32" fillId="0" borderId="8" xfId="12" applyNumberFormat="1" applyFont="1" applyFill="1" applyBorder="1" applyAlignment="1">
      <alignment horizontal="left" vertical="center" wrapText="1"/>
    </xf>
    <xf numFmtId="41" fontId="32" fillId="0" borderId="8" xfId="12" applyNumberFormat="1" applyFont="1" applyFill="1" applyBorder="1" applyAlignment="1">
      <alignment horizontal="center" vertical="center" wrapText="1"/>
    </xf>
    <xf numFmtId="173" fontId="32" fillId="0" borderId="8" xfId="12" applyNumberFormat="1" applyFont="1" applyFill="1" applyBorder="1" applyAlignment="1">
      <alignment horizontal="center" vertical="center" wrapText="1"/>
    </xf>
    <xf numFmtId="185" fontId="32" fillId="0" borderId="8" xfId="12" applyNumberFormat="1" applyFont="1" applyFill="1" applyBorder="1" applyAlignment="1">
      <alignment horizontal="center" vertical="center" wrapText="1"/>
    </xf>
    <xf numFmtId="170" fontId="42" fillId="0" borderId="0" xfId="12" applyNumberFormat="1" applyFont="1" applyFill="1" applyAlignment="1">
      <alignment vertical="center"/>
    </xf>
    <xf numFmtId="170" fontId="32" fillId="0" borderId="8" xfId="12" quotePrefix="1" applyNumberFormat="1" applyFont="1" applyFill="1" applyBorder="1" applyAlignment="1">
      <alignment horizontal="center" vertical="center" wrapText="1"/>
    </xf>
    <xf numFmtId="170" fontId="32" fillId="0" borderId="8" xfId="11" applyNumberFormat="1" applyFont="1" applyFill="1" applyBorder="1" applyAlignment="1">
      <alignment vertical="center" wrapText="1"/>
    </xf>
    <xf numFmtId="170" fontId="40" fillId="0" borderId="8" xfId="12" applyNumberFormat="1" applyFont="1" applyFill="1" applyBorder="1" applyAlignment="1">
      <alignment horizontal="center" vertical="center"/>
    </xf>
    <xf numFmtId="170" fontId="40" fillId="0" borderId="8" xfId="12" applyNumberFormat="1" applyFont="1" applyFill="1" applyBorder="1" applyAlignment="1">
      <alignment vertical="center"/>
    </xf>
    <xf numFmtId="41" fontId="40" fillId="0" borderId="8" xfId="12" applyNumberFormat="1" applyFont="1" applyFill="1" applyBorder="1" applyAlignment="1">
      <alignment horizontal="center" vertical="center"/>
    </xf>
    <xf numFmtId="173" fontId="40" fillId="0" borderId="8" xfId="12" applyNumberFormat="1" applyFont="1" applyFill="1" applyBorder="1" applyAlignment="1">
      <alignment horizontal="center" vertical="center"/>
    </xf>
    <xf numFmtId="170" fontId="40" fillId="0" borderId="8" xfId="12" quotePrefix="1" applyNumberFormat="1" applyFont="1" applyFill="1" applyBorder="1" applyAlignment="1">
      <alignment vertical="center" wrapText="1"/>
    </xf>
    <xf numFmtId="170" fontId="40" fillId="0" borderId="8" xfId="12" applyNumberFormat="1" applyFont="1" applyFill="1" applyBorder="1" applyAlignment="1">
      <alignment horizontal="center" vertical="center" wrapText="1"/>
    </xf>
    <xf numFmtId="170" fontId="40" fillId="0" borderId="8" xfId="12" applyNumberFormat="1" applyFont="1" applyFill="1" applyBorder="1" applyAlignment="1">
      <alignment vertical="center" wrapText="1"/>
    </xf>
    <xf numFmtId="41" fontId="32" fillId="0" borderId="8" xfId="12" applyNumberFormat="1" applyFont="1" applyFill="1" applyBorder="1" applyAlignment="1">
      <alignment vertical="center" wrapText="1"/>
    </xf>
    <xf numFmtId="173" fontId="32" fillId="0" borderId="8" xfId="12" applyNumberFormat="1" applyFont="1" applyFill="1" applyBorder="1" applyAlignment="1">
      <alignment vertical="center" wrapText="1"/>
    </xf>
    <xf numFmtId="170" fontId="32" fillId="0" borderId="0" xfId="12" applyNumberFormat="1" applyFont="1" applyFill="1" applyAlignment="1">
      <alignment vertical="center" wrapText="1"/>
    </xf>
    <xf numFmtId="170" fontId="32" fillId="0" borderId="8" xfId="32" applyNumberFormat="1" applyFont="1" applyFill="1" applyBorder="1" applyAlignment="1">
      <alignment vertical="center" wrapText="1"/>
    </xf>
    <xf numFmtId="170" fontId="32" fillId="0" borderId="8" xfId="32" applyNumberFormat="1" applyFont="1" applyFill="1" applyBorder="1" applyAlignment="1">
      <alignment horizontal="center" vertical="center" wrapText="1"/>
    </xf>
    <xf numFmtId="49" fontId="32" fillId="0" borderId="8" xfId="32" applyNumberFormat="1" applyFont="1" applyFill="1" applyBorder="1" applyAlignment="1">
      <alignment vertical="center" wrapText="1"/>
    </xf>
    <xf numFmtId="168" fontId="32" fillId="0" borderId="8" xfId="1" applyNumberFormat="1" applyFont="1" applyFill="1" applyBorder="1" applyAlignment="1">
      <alignment vertical="center" wrapText="1"/>
    </xf>
    <xf numFmtId="168" fontId="39" fillId="0" borderId="8" xfId="1" applyNumberFormat="1" applyFont="1" applyFill="1" applyBorder="1" applyAlignment="1">
      <alignment vertical="center" wrapText="1"/>
    </xf>
    <xf numFmtId="170" fontId="39" fillId="0" borderId="9" xfId="12" applyNumberFormat="1" applyFont="1" applyFill="1" applyBorder="1" applyAlignment="1">
      <alignment vertical="center"/>
    </xf>
    <xf numFmtId="3" fontId="7" fillId="0" borderId="8" xfId="1" quotePrefix="1" applyNumberFormat="1" applyFont="1" applyBorder="1" applyAlignment="1">
      <alignment horizontal="center" vertical="center" wrapText="1"/>
    </xf>
    <xf numFmtId="168" fontId="7" fillId="0" borderId="11" xfId="1" applyNumberFormat="1" applyFont="1" applyBorder="1" applyAlignment="1">
      <alignment vertical="center" wrapText="1"/>
    </xf>
    <xf numFmtId="168" fontId="7" fillId="0" borderId="11" xfId="1" quotePrefix="1" applyNumberFormat="1" applyFont="1" applyBorder="1" applyAlignment="1">
      <alignment horizontal="center" vertical="center" wrapText="1"/>
    </xf>
    <xf numFmtId="168" fontId="7" fillId="0" borderId="11" xfId="1" applyNumberFormat="1" applyFont="1" applyBorder="1" applyAlignment="1">
      <alignment vertical="center"/>
    </xf>
    <xf numFmtId="168" fontId="7" fillId="0" borderId="8" xfId="1" applyNumberFormat="1" applyFont="1" applyBorder="1" applyAlignment="1">
      <alignment vertical="center"/>
    </xf>
    <xf numFmtId="170" fontId="39" fillId="0" borderId="8" xfId="12" applyNumberFormat="1" applyFont="1" applyFill="1" applyBorder="1" applyAlignment="1">
      <alignment horizontal="left" vertical="center" wrapText="1"/>
    </xf>
    <xf numFmtId="49" fontId="8" fillId="0" borderId="7" xfId="1" applyNumberFormat="1" applyFont="1" applyFill="1" applyBorder="1" applyAlignment="1">
      <alignment horizontal="center" vertical="center" wrapText="1"/>
    </xf>
    <xf numFmtId="49" fontId="8" fillId="0" borderId="8" xfId="1" applyNumberFormat="1" applyFont="1" applyFill="1" applyBorder="1" applyAlignment="1">
      <alignment horizontal="center" vertical="center" wrapText="1"/>
    </xf>
    <xf numFmtId="168" fontId="7" fillId="0" borderId="8" xfId="1" applyNumberFormat="1" applyFont="1" applyFill="1" applyBorder="1" applyAlignment="1">
      <alignment horizontal="right" vertical="center" wrapText="1"/>
    </xf>
    <xf numFmtId="49" fontId="8" fillId="0" borderId="8" xfId="1" quotePrefix="1" applyNumberFormat="1" applyFont="1" applyFill="1" applyBorder="1" applyAlignment="1">
      <alignment horizontal="center" vertical="center" wrapText="1"/>
    </xf>
    <xf numFmtId="49" fontId="7" fillId="0" borderId="8" xfId="1" quotePrefix="1" applyNumberFormat="1" applyFont="1" applyFill="1" applyBorder="1" applyAlignment="1">
      <alignment horizontal="center" vertical="center" wrapText="1"/>
    </xf>
    <xf numFmtId="49" fontId="12" fillId="0" borderId="8" xfId="1" quotePrefix="1" applyNumberFormat="1" applyFont="1" applyFill="1" applyBorder="1" applyAlignment="1">
      <alignment horizontal="center" vertical="center" wrapText="1"/>
    </xf>
    <xf numFmtId="168" fontId="7" fillId="0" borderId="9" xfId="1" applyNumberFormat="1" applyFont="1" applyFill="1" applyBorder="1" applyAlignment="1">
      <alignment horizontal="left" vertical="center" wrapText="1"/>
    </xf>
    <xf numFmtId="0" fontId="33" fillId="0" borderId="0" xfId="0" applyFont="1" applyAlignment="1">
      <alignment horizontal="left" vertical="center"/>
    </xf>
    <xf numFmtId="0" fontId="34" fillId="0" borderId="0" xfId="0" applyFont="1" applyAlignment="1">
      <alignment vertical="center"/>
    </xf>
    <xf numFmtId="170" fontId="34" fillId="0" borderId="0" xfId="20" applyNumberFormat="1" applyFont="1" applyAlignment="1">
      <alignment vertical="center"/>
    </xf>
    <xf numFmtId="170" fontId="34" fillId="0" borderId="0" xfId="20" applyNumberFormat="1" applyFont="1" applyFill="1" applyAlignment="1">
      <alignment vertical="center"/>
    </xf>
    <xf numFmtId="0" fontId="33" fillId="0" borderId="0" xfId="0" applyFont="1" applyAlignment="1">
      <alignment horizontal="center" vertical="center"/>
    </xf>
    <xf numFmtId="0" fontId="34" fillId="0" borderId="0" xfId="0" applyFont="1" applyAlignment="1">
      <alignment horizontal="center" vertical="center"/>
    </xf>
    <xf numFmtId="0" fontId="33" fillId="0" borderId="0" xfId="0" applyFont="1" applyAlignment="1">
      <alignment vertical="center"/>
    </xf>
    <xf numFmtId="170" fontId="62" fillId="2" borderId="0" xfId="44" applyNumberFormat="1" applyFont="1" applyFill="1" applyAlignment="1">
      <alignment horizontal="center" vertical="center"/>
    </xf>
    <xf numFmtId="0" fontId="7" fillId="2" borderId="0" xfId="4" applyFont="1" applyFill="1" applyAlignment="1">
      <alignment vertical="center"/>
    </xf>
    <xf numFmtId="0" fontId="52" fillId="2" borderId="0" xfId="4" applyFont="1" applyFill="1" applyAlignment="1">
      <alignment vertical="center"/>
    </xf>
    <xf numFmtId="0" fontId="63" fillId="2" borderId="0" xfId="4" applyFont="1" applyFill="1" applyAlignment="1">
      <alignment horizontal="center" vertical="center" wrapText="1"/>
    </xf>
    <xf numFmtId="170" fontId="52" fillId="2" borderId="0" xfId="44" applyNumberFormat="1" applyFont="1" applyFill="1" applyBorder="1" applyAlignment="1">
      <alignment horizontal="center" vertical="center"/>
    </xf>
    <xf numFmtId="170" fontId="62" fillId="2" borderId="7" xfId="12" applyNumberFormat="1" applyFont="1" applyFill="1" applyBorder="1" applyAlignment="1">
      <alignment horizontal="center" vertical="center" wrapText="1"/>
    </xf>
    <xf numFmtId="170" fontId="23" fillId="2" borderId="7" xfId="44" applyNumberFormat="1" applyFont="1" applyFill="1" applyBorder="1" applyAlignment="1">
      <alignment horizontal="center" vertical="center" wrapText="1"/>
    </xf>
    <xf numFmtId="170" fontId="31" fillId="2" borderId="8" xfId="12" quotePrefix="1" applyNumberFormat="1" applyFont="1" applyFill="1" applyBorder="1" applyAlignment="1">
      <alignment horizontal="center" vertical="center" wrapText="1"/>
    </xf>
    <xf numFmtId="170" fontId="31" fillId="2" borderId="8" xfId="12" applyNumberFormat="1" applyFont="1" applyFill="1" applyBorder="1" applyAlignment="1">
      <alignment horizontal="left" vertical="center" wrapText="1"/>
    </xf>
    <xf numFmtId="170" fontId="31" fillId="2" borderId="8" xfId="44" applyNumberFormat="1" applyFont="1" applyFill="1" applyBorder="1" applyAlignment="1">
      <alignment horizontal="center" vertical="center" wrapText="1"/>
    </xf>
    <xf numFmtId="1" fontId="31" fillId="2" borderId="8" xfId="44" quotePrefix="1" applyNumberFormat="1" applyFont="1" applyFill="1" applyBorder="1" applyAlignment="1">
      <alignment horizontal="center" vertical="center" wrapText="1"/>
    </xf>
    <xf numFmtId="0" fontId="31" fillId="2" borderId="8" xfId="45" applyFont="1" applyFill="1" applyBorder="1" applyAlignment="1">
      <alignment horizontal="left" vertical="center" wrapText="1"/>
    </xf>
    <xf numFmtId="0" fontId="31" fillId="2" borderId="8" xfId="45" applyFont="1" applyFill="1" applyBorder="1" applyAlignment="1">
      <alignment vertical="center" wrapText="1"/>
    </xf>
    <xf numFmtId="49" fontId="8" fillId="2" borderId="9" xfId="12" quotePrefix="1" applyNumberFormat="1" applyFont="1" applyFill="1" applyBorder="1" applyAlignment="1">
      <alignment horizontal="center" vertical="center" wrapText="1"/>
    </xf>
    <xf numFmtId="170" fontId="8" fillId="2" borderId="9" xfId="12" applyNumberFormat="1" applyFont="1" applyFill="1" applyBorder="1" applyAlignment="1">
      <alignment horizontal="left" vertical="center" wrapText="1"/>
    </xf>
    <xf numFmtId="170" fontId="52" fillId="2" borderId="0" xfId="44" applyNumberFormat="1" applyFont="1" applyFill="1" applyAlignment="1">
      <alignment horizontal="center" vertical="center"/>
    </xf>
    <xf numFmtId="41" fontId="54" fillId="0" borderId="8" xfId="4" applyNumberFormat="1" applyFont="1" applyBorder="1" applyAlignment="1">
      <alignment vertical="center"/>
    </xf>
    <xf numFmtId="180" fontId="7" fillId="0" borderId="8" xfId="1" applyNumberFormat="1" applyFont="1" applyFill="1" applyBorder="1" applyAlignment="1">
      <alignment horizontal="center" vertical="center" wrapText="1"/>
    </xf>
    <xf numFmtId="168" fontId="8" fillId="0" borderId="8" xfId="1" applyNumberFormat="1" applyFont="1" applyFill="1" applyBorder="1" applyAlignment="1">
      <alignment vertical="center"/>
    </xf>
    <xf numFmtId="0" fontId="7" fillId="0" borderId="0" xfId="4" applyFont="1" applyAlignment="1">
      <alignment vertical="center" wrapText="1"/>
    </xf>
    <xf numFmtId="49" fontId="23" fillId="0" borderId="0" xfId="11" applyNumberFormat="1" applyFont="1" applyFill="1" applyAlignment="1">
      <alignment horizontal="left"/>
    </xf>
    <xf numFmtId="0" fontId="56" fillId="0" borderId="0" xfId="18" applyFont="1" applyAlignment="1">
      <alignment vertical="center"/>
    </xf>
    <xf numFmtId="0" fontId="7" fillId="0" borderId="0" xfId="18" applyFont="1" applyAlignment="1">
      <alignment vertical="center"/>
    </xf>
    <xf numFmtId="170" fontId="8" fillId="0" borderId="18" xfId="19" applyNumberFormat="1" applyFont="1" applyFill="1" applyBorder="1" applyAlignment="1">
      <alignment vertical="center"/>
    </xf>
    <xf numFmtId="170" fontId="8" fillId="0" borderId="18" xfId="19" applyNumberFormat="1" applyFont="1" applyFill="1" applyBorder="1" applyAlignment="1">
      <alignment horizontal="center" vertical="center"/>
    </xf>
    <xf numFmtId="0" fontId="8" fillId="0" borderId="8" xfId="18" applyFont="1" applyBorder="1" applyAlignment="1">
      <alignment horizontal="center" vertical="center" wrapText="1"/>
    </xf>
    <xf numFmtId="0" fontId="8" fillId="0" borderId="8" xfId="18" applyFont="1" applyBorder="1" applyAlignment="1">
      <alignment horizontal="left" vertical="center" wrapText="1"/>
    </xf>
    <xf numFmtId="0" fontId="7" fillId="0" borderId="8" xfId="18" applyFont="1" applyBorder="1" applyAlignment="1">
      <alignment horizontal="left" vertical="center" wrapText="1"/>
    </xf>
    <xf numFmtId="0" fontId="8" fillId="0" borderId="0" xfId="18" applyFont="1" applyAlignment="1">
      <alignment vertical="center"/>
    </xf>
    <xf numFmtId="0" fontId="8" fillId="0" borderId="8" xfId="18" applyFont="1" applyBorder="1" applyAlignment="1">
      <alignment horizontal="center" vertical="center"/>
    </xf>
    <xf numFmtId="170" fontId="7" fillId="0" borderId="11" xfId="19" applyNumberFormat="1" applyFont="1" applyFill="1" applyBorder="1" applyAlignment="1">
      <alignment vertical="center"/>
    </xf>
    <xf numFmtId="0" fontId="7" fillId="0" borderId="8" xfId="18" applyFont="1" applyBorder="1" applyAlignment="1">
      <alignment horizontal="center" vertical="center"/>
    </xf>
    <xf numFmtId="170" fontId="7" fillId="0" borderId="8" xfId="19" applyNumberFormat="1" applyFont="1" applyFill="1" applyBorder="1" applyAlignment="1">
      <alignment horizontal="right" vertical="center"/>
    </xf>
    <xf numFmtId="170" fontId="8" fillId="0" borderId="8" xfId="19" applyNumberFormat="1" applyFont="1" applyFill="1" applyBorder="1" applyAlignment="1">
      <alignment horizontal="right" vertical="center" wrapText="1"/>
    </xf>
    <xf numFmtId="170" fontId="8" fillId="0" borderId="9" xfId="19" quotePrefix="1" applyNumberFormat="1" applyFont="1" applyFill="1" applyBorder="1" applyAlignment="1">
      <alignment horizontal="center" vertical="center" wrapText="1"/>
    </xf>
    <xf numFmtId="0" fontId="7" fillId="0" borderId="0" xfId="18" applyFont="1" applyAlignment="1">
      <alignment horizontal="left" vertical="center"/>
    </xf>
    <xf numFmtId="0" fontId="8" fillId="0" borderId="0" xfId="18" applyFont="1" applyAlignment="1">
      <alignment horizontal="left" vertical="center"/>
    </xf>
    <xf numFmtId="0" fontId="23" fillId="0" borderId="0" xfId="18" applyFont="1" applyAlignment="1">
      <alignment horizontal="center" vertical="center" wrapText="1"/>
    </xf>
    <xf numFmtId="0" fontId="7" fillId="0" borderId="0" xfId="18" applyFont="1" applyAlignment="1">
      <alignment horizontal="right" vertical="center"/>
    </xf>
    <xf numFmtId="0" fontId="7" fillId="0" borderId="10" xfId="18" applyFont="1" applyBorder="1" applyAlignment="1">
      <alignment horizontal="center" vertical="center" wrapText="1"/>
    </xf>
    <xf numFmtId="0" fontId="7" fillId="0" borderId="0" xfId="18" applyFont="1" applyAlignment="1">
      <alignment horizontal="center" vertical="center" wrapText="1"/>
    </xf>
    <xf numFmtId="0" fontId="7" fillId="0" borderId="10" xfId="18" quotePrefix="1" applyFont="1" applyBorder="1" applyAlignment="1">
      <alignment horizontal="center" vertical="center"/>
    </xf>
    <xf numFmtId="0" fontId="8" fillId="0" borderId="7" xfId="18" applyFont="1" applyBorder="1" applyAlignment="1">
      <alignment horizontal="center" vertical="center" wrapText="1"/>
    </xf>
    <xf numFmtId="0" fontId="7" fillId="0" borderId="8" xfId="18" quotePrefix="1" applyFont="1" applyBorder="1" applyAlignment="1">
      <alignment horizontal="center" vertical="center"/>
    </xf>
    <xf numFmtId="170" fontId="8" fillId="0" borderId="0" xfId="18" applyNumberFormat="1" applyFont="1" applyAlignment="1">
      <alignment vertical="center"/>
    </xf>
    <xf numFmtId="170" fontId="7" fillId="0" borderId="0" xfId="18" applyNumberFormat="1" applyFont="1" applyAlignment="1">
      <alignment vertical="center"/>
    </xf>
    <xf numFmtId="0" fontId="8" fillId="0" borderId="0" xfId="25" applyFont="1"/>
    <xf numFmtId="0" fontId="7" fillId="0" borderId="0" xfId="25" applyFont="1"/>
    <xf numFmtId="0" fontId="64" fillId="0" borderId="0" xfId="25" applyFont="1"/>
    <xf numFmtId="41" fontId="7" fillId="0" borderId="0" xfId="4" applyNumberFormat="1" applyFont="1" applyAlignment="1">
      <alignment vertical="center" wrapText="1"/>
    </xf>
    <xf numFmtId="41" fontId="63" fillId="0" borderId="0" xfId="4" applyNumberFormat="1" applyFont="1" applyAlignment="1">
      <alignment horizontal="center" vertical="center" wrapText="1"/>
    </xf>
    <xf numFmtId="41" fontId="8" fillId="0" borderId="0" xfId="4" applyNumberFormat="1" applyFont="1" applyAlignment="1">
      <alignment vertical="center" wrapText="1"/>
    </xf>
    <xf numFmtId="0" fontId="55" fillId="0" borderId="0" xfId="25" applyFont="1"/>
    <xf numFmtId="49" fontId="54" fillId="0" borderId="7" xfId="4" applyNumberFormat="1" applyFont="1" applyBorder="1" applyAlignment="1">
      <alignment horizontal="center" vertical="center"/>
    </xf>
    <xf numFmtId="41" fontId="54" fillId="0" borderId="7" xfId="4" applyNumberFormat="1" applyFont="1" applyBorder="1" applyAlignment="1">
      <alignment horizontal="center" vertical="center" wrapText="1"/>
    </xf>
    <xf numFmtId="41" fontId="54" fillId="0" borderId="7" xfId="4" applyNumberFormat="1" applyFont="1" applyBorder="1" applyAlignment="1">
      <alignment vertical="center"/>
    </xf>
    <xf numFmtId="41" fontId="55" fillId="0" borderId="0" xfId="25" applyNumberFormat="1" applyFont="1" applyAlignment="1">
      <alignment vertical="center"/>
    </xf>
    <xf numFmtId="0" fontId="55" fillId="0" borderId="0" xfId="25" applyFont="1" applyAlignment="1">
      <alignment vertical="center"/>
    </xf>
    <xf numFmtId="49" fontId="54" fillId="0" borderId="8" xfId="4" applyNumberFormat="1" applyFont="1" applyBorder="1" applyAlignment="1">
      <alignment horizontal="center" vertical="center"/>
    </xf>
    <xf numFmtId="41" fontId="54" fillId="0" borderId="8" xfId="4" applyNumberFormat="1" applyFont="1" applyBorder="1" applyAlignment="1">
      <alignment horizontal="justify" vertical="center" wrapText="1"/>
    </xf>
    <xf numFmtId="0" fontId="64" fillId="0" borderId="0" xfId="25" applyFont="1" applyAlignment="1">
      <alignment vertical="center"/>
    </xf>
    <xf numFmtId="41" fontId="54" fillId="0" borderId="8" xfId="4" applyNumberFormat="1" applyFont="1" applyBorder="1" applyAlignment="1">
      <alignment vertical="center" wrapText="1"/>
    </xf>
    <xf numFmtId="49" fontId="55" fillId="0" borderId="8" xfId="4" applyNumberFormat="1" applyFont="1" applyBorder="1" applyAlignment="1">
      <alignment horizontal="center" vertical="center"/>
    </xf>
    <xf numFmtId="0" fontId="55" fillId="0" borderId="8" xfId="25" applyFont="1" applyBorder="1" applyAlignment="1">
      <alignment horizontal="justify" vertical="center" wrapText="1"/>
    </xf>
    <xf numFmtId="41" fontId="55" fillId="0" borderId="8" xfId="4" applyNumberFormat="1" applyFont="1" applyBorder="1" applyAlignment="1">
      <alignment vertical="center"/>
    </xf>
    <xf numFmtId="170" fontId="64" fillId="0" borderId="0" xfId="43" applyNumberFormat="1" applyFont="1" applyFill="1" applyAlignment="1">
      <alignment vertical="center"/>
    </xf>
    <xf numFmtId="4" fontId="55" fillId="0" borderId="0" xfId="25" applyNumberFormat="1" applyFont="1" applyAlignment="1">
      <alignment vertical="center"/>
    </xf>
    <xf numFmtId="49" fontId="54" fillId="0" borderId="11" xfId="4" applyNumberFormat="1" applyFont="1" applyBorder="1" applyAlignment="1">
      <alignment horizontal="center" vertical="center"/>
    </xf>
    <xf numFmtId="0" fontId="54" fillId="0" borderId="8" xfId="25" applyFont="1" applyBorder="1" applyAlignment="1">
      <alignment horizontal="justify" vertical="center" wrapText="1"/>
    </xf>
    <xf numFmtId="0" fontId="65" fillId="0" borderId="0" xfId="25" applyFont="1" applyAlignment="1">
      <alignment vertical="center"/>
    </xf>
    <xf numFmtId="0" fontId="54" fillId="0" borderId="0" xfId="25" applyFont="1" applyAlignment="1">
      <alignment vertical="center"/>
    </xf>
    <xf numFmtId="41" fontId="54" fillId="0" borderId="8" xfId="4" applyNumberFormat="1" applyFont="1" applyBorder="1" applyAlignment="1">
      <alignment horizontal="justify" vertical="center"/>
    </xf>
    <xf numFmtId="41" fontId="55" fillId="0" borderId="8" xfId="4" applyNumberFormat="1" applyFont="1" applyBorder="1" applyAlignment="1">
      <alignment horizontal="justify" vertical="center"/>
    </xf>
    <xf numFmtId="49" fontId="7" fillId="0" borderId="9" xfId="4" applyNumberFormat="1" applyFont="1" applyBorder="1" applyAlignment="1">
      <alignment horizontal="center" vertical="center"/>
    </xf>
    <xf numFmtId="41" fontId="7" fillId="0" borderId="9" xfId="4" applyNumberFormat="1" applyFont="1" applyBorder="1" applyAlignment="1">
      <alignment horizontal="left" vertical="center" wrapText="1"/>
    </xf>
    <xf numFmtId="41" fontId="7" fillId="0" borderId="9" xfId="4" applyNumberFormat="1" applyFont="1" applyBorder="1" applyAlignment="1">
      <alignment vertical="center"/>
    </xf>
    <xf numFmtId="0" fontId="7" fillId="0" borderId="0" xfId="25" applyFont="1" applyAlignment="1">
      <alignment vertical="center"/>
    </xf>
    <xf numFmtId="0" fontId="52" fillId="0" borderId="0" xfId="25" applyFont="1" applyAlignment="1">
      <alignment vertical="center"/>
    </xf>
    <xf numFmtId="0" fontId="32" fillId="0" borderId="0" xfId="25" applyFont="1" applyAlignment="1">
      <alignment vertical="center"/>
    </xf>
    <xf numFmtId="3" fontId="38" fillId="0" borderId="0" xfId="1" applyNumberFormat="1" applyFont="1" applyFill="1" applyAlignment="1">
      <alignment horizontal="right" vertical="center"/>
    </xf>
    <xf numFmtId="3" fontId="32" fillId="0" borderId="0" xfId="25" applyNumberFormat="1" applyFont="1" applyAlignment="1">
      <alignment horizontal="right" vertical="center"/>
    </xf>
    <xf numFmtId="0" fontId="32" fillId="0" borderId="0" xfId="25" applyFont="1" applyAlignment="1">
      <alignment vertical="center" wrapText="1"/>
    </xf>
    <xf numFmtId="168" fontId="32" fillId="0" borderId="0" xfId="26" applyNumberFormat="1" applyFont="1" applyFill="1" applyAlignment="1">
      <alignment horizontal="center" vertical="center"/>
    </xf>
    <xf numFmtId="170" fontId="32" fillId="0" borderId="0" xfId="26" applyNumberFormat="1" applyFont="1" applyFill="1" applyAlignment="1">
      <alignment horizontal="center" vertical="center"/>
    </xf>
    <xf numFmtId="168" fontId="32" fillId="0" borderId="0" xfId="25" applyNumberFormat="1" applyFont="1" applyAlignment="1">
      <alignment horizontal="right" vertical="center"/>
    </xf>
    <xf numFmtId="0" fontId="39" fillId="0" borderId="0" xfId="25" applyFont="1" applyAlignment="1">
      <alignment vertical="center"/>
    </xf>
    <xf numFmtId="0" fontId="39" fillId="0" borderId="0" xfId="25" applyFont="1" applyAlignment="1">
      <alignment horizontal="center" vertical="center" wrapText="1"/>
    </xf>
    <xf numFmtId="0" fontId="39" fillId="0" borderId="8" xfId="25" applyFont="1" applyBorder="1" applyAlignment="1">
      <alignment horizontal="center" vertical="center" wrapText="1"/>
    </xf>
    <xf numFmtId="0" fontId="39" fillId="0" borderId="8" xfId="25" applyFont="1" applyBorder="1" applyAlignment="1">
      <alignment horizontal="left" vertical="center" wrapText="1"/>
    </xf>
    <xf numFmtId="168" fontId="39" fillId="0" borderId="8" xfId="26" applyNumberFormat="1" applyFont="1" applyFill="1" applyBorder="1" applyAlignment="1">
      <alignment vertical="center" wrapText="1"/>
    </xf>
    <xf numFmtId="0" fontId="32" fillId="0" borderId="8" xfId="25" applyFont="1" applyBorder="1" applyAlignment="1">
      <alignment horizontal="center" vertical="center"/>
    </xf>
    <xf numFmtId="168" fontId="39" fillId="0" borderId="8" xfId="1" quotePrefix="1" applyNumberFormat="1" applyFont="1" applyFill="1" applyBorder="1" applyAlignment="1">
      <alignment horizontal="center" vertical="center" wrapText="1"/>
    </xf>
    <xf numFmtId="167" fontId="39" fillId="0" borderId="8" xfId="1" applyFont="1" applyFill="1" applyBorder="1" applyAlignment="1">
      <alignment vertical="center" wrapText="1"/>
    </xf>
    <xf numFmtId="168" fontId="39" fillId="0" borderId="8" xfId="26" applyNumberFormat="1" applyFont="1" applyFill="1" applyBorder="1" applyAlignment="1">
      <alignment horizontal="center" vertical="center" wrapText="1"/>
    </xf>
    <xf numFmtId="168" fontId="39" fillId="0" borderId="0" xfId="25" applyNumberFormat="1" applyFont="1" applyAlignment="1">
      <alignment horizontal="center" vertical="center" wrapText="1"/>
    </xf>
    <xf numFmtId="0" fontId="32" fillId="0" borderId="8" xfId="25" applyFont="1" applyBorder="1" applyAlignment="1">
      <alignment horizontal="center" vertical="center" wrapText="1"/>
    </xf>
    <xf numFmtId="168" fontId="32" fillId="0" borderId="8" xfId="1" quotePrefix="1" applyNumberFormat="1" applyFont="1" applyFill="1" applyBorder="1" applyAlignment="1">
      <alignment horizontal="center" vertical="center" wrapText="1"/>
    </xf>
    <xf numFmtId="167" fontId="32" fillId="0" borderId="8" xfId="1" applyFont="1" applyFill="1" applyBorder="1" applyAlignment="1">
      <alignment vertical="center" wrapText="1"/>
    </xf>
    <xf numFmtId="168" fontId="32" fillId="0" borderId="8" xfId="26" applyNumberFormat="1" applyFont="1" applyFill="1" applyBorder="1" applyAlignment="1">
      <alignment horizontal="center" vertical="center" wrapText="1"/>
    </xf>
    <xf numFmtId="0" fontId="32" fillId="0" borderId="0" xfId="25" applyFont="1" applyAlignment="1">
      <alignment horizontal="center" vertical="center" wrapText="1"/>
    </xf>
    <xf numFmtId="168" fontId="32" fillId="0" borderId="8" xfId="1" applyNumberFormat="1" applyFont="1" applyFill="1" applyBorder="1" applyAlignment="1">
      <alignment horizontal="center" vertical="center" wrapText="1"/>
    </xf>
    <xf numFmtId="168" fontId="39" fillId="0" borderId="8" xfId="1" applyNumberFormat="1" applyFont="1" applyFill="1" applyBorder="1" applyAlignment="1">
      <alignment horizontal="center" vertical="center" wrapText="1"/>
    </xf>
    <xf numFmtId="11" fontId="39" fillId="0" borderId="8" xfId="1" applyNumberFormat="1" applyFont="1" applyFill="1" applyBorder="1" applyAlignment="1">
      <alignment vertical="center" wrapText="1"/>
    </xf>
    <xf numFmtId="168" fontId="39" fillId="0" borderId="18" xfId="1" quotePrefix="1" applyNumberFormat="1" applyFont="1" applyFill="1" applyBorder="1" applyAlignment="1">
      <alignment horizontal="center" vertical="center" wrapText="1"/>
    </xf>
    <xf numFmtId="0" fontId="39" fillId="0" borderId="18" xfId="25" applyFont="1" applyBorder="1" applyAlignment="1">
      <alignment horizontal="left" vertical="center" wrapText="1"/>
    </xf>
    <xf numFmtId="168" fontId="39" fillId="0" borderId="18" xfId="26" applyNumberFormat="1" applyFont="1" applyFill="1" applyBorder="1" applyAlignment="1">
      <alignment horizontal="center" vertical="center" wrapText="1"/>
    </xf>
    <xf numFmtId="0" fontId="32" fillId="0" borderId="18" xfId="25" applyFont="1" applyBorder="1" applyAlignment="1">
      <alignment horizontal="center" vertical="center" wrapText="1"/>
    </xf>
    <xf numFmtId="168" fontId="40" fillId="0" borderId="8" xfId="1" quotePrefix="1" applyNumberFormat="1" applyFont="1" applyFill="1" applyBorder="1" applyAlignment="1">
      <alignment horizontal="center" vertical="center" wrapText="1"/>
    </xf>
    <xf numFmtId="0" fontId="40" fillId="0" borderId="8" xfId="25" applyFont="1" applyBorder="1" applyAlignment="1">
      <alignment horizontal="left" vertical="center" wrapText="1"/>
    </xf>
    <xf numFmtId="168" fontId="40" fillId="0" borderId="8" xfId="26" applyNumberFormat="1" applyFont="1" applyFill="1" applyBorder="1" applyAlignment="1">
      <alignment horizontal="center" vertical="center" wrapText="1"/>
    </xf>
    <xf numFmtId="0" fontId="40" fillId="0" borderId="8" xfId="25" applyFont="1" applyBorder="1" applyAlignment="1">
      <alignment horizontal="center" vertical="center" wrapText="1"/>
    </xf>
    <xf numFmtId="0" fontId="40" fillId="0" borderId="0" xfId="25" applyFont="1" applyAlignment="1">
      <alignment horizontal="center" vertical="center" wrapText="1"/>
    </xf>
    <xf numFmtId="3" fontId="32" fillId="0" borderId="8" xfId="37" quotePrefix="1" applyNumberFormat="1" applyFont="1" applyFill="1" applyBorder="1" applyAlignment="1">
      <alignment horizontal="center" vertical="center" wrapText="1"/>
    </xf>
    <xf numFmtId="0" fontId="32" fillId="0" borderId="8" xfId="25" applyFont="1" applyBorder="1" applyAlignment="1">
      <alignment vertical="center" wrapText="1"/>
    </xf>
    <xf numFmtId="168" fontId="32" fillId="0" borderId="8" xfId="26" applyNumberFormat="1" applyFont="1" applyFill="1" applyBorder="1" applyAlignment="1">
      <alignment vertical="center" wrapText="1"/>
    </xf>
    <xf numFmtId="0" fontId="32" fillId="0" borderId="0" xfId="25" applyFont="1" applyAlignment="1">
      <alignment horizontal="right" vertical="center"/>
    </xf>
    <xf numFmtId="0" fontId="17" fillId="0" borderId="7" xfId="0" applyFont="1" applyBorder="1" applyAlignment="1">
      <alignment horizontal="center" vertical="center" wrapText="1"/>
    </xf>
    <xf numFmtId="0" fontId="18" fillId="0" borderId="7" xfId="0" applyFont="1" applyBorder="1" applyAlignment="1">
      <alignment horizontal="left" vertical="center"/>
    </xf>
    <xf numFmtId="168" fontId="17" fillId="0" borderId="7" xfId="1" applyNumberFormat="1" applyFont="1" applyFill="1" applyBorder="1" applyAlignment="1">
      <alignment horizontal="center" vertical="center" wrapText="1"/>
    </xf>
    <xf numFmtId="168" fontId="18" fillId="0" borderId="8" xfId="1" applyNumberFormat="1" applyFont="1" applyFill="1" applyBorder="1" applyAlignment="1">
      <alignment vertical="center" wrapText="1"/>
    </xf>
    <xf numFmtId="168" fontId="17" fillId="0" borderId="8" xfId="1" applyNumberFormat="1" applyFont="1" applyFill="1" applyBorder="1" applyAlignment="1">
      <alignment vertical="center" wrapText="1"/>
    </xf>
    <xf numFmtId="168" fontId="17" fillId="0" borderId="8" xfId="1" applyNumberFormat="1" applyFont="1" applyFill="1" applyBorder="1" applyAlignment="1">
      <alignment horizontal="right" vertical="center" wrapText="1"/>
    </xf>
    <xf numFmtId="0" fontId="10" fillId="2" borderId="8" xfId="0" quotePrefix="1" applyFont="1" applyFill="1" applyBorder="1" applyAlignment="1">
      <alignment horizontal="center" vertical="center" wrapText="1"/>
    </xf>
    <xf numFmtId="0" fontId="10" fillId="2" borderId="8" xfId="0" applyFont="1" applyFill="1" applyBorder="1" applyAlignment="1">
      <alignment vertical="center" wrapText="1"/>
    </xf>
    <xf numFmtId="168" fontId="10" fillId="2" borderId="8" xfId="0" applyNumberFormat="1" applyFont="1" applyFill="1" applyBorder="1" applyAlignment="1">
      <alignment vertical="center" wrapText="1"/>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168" fontId="24" fillId="0" borderId="8" xfId="0" applyNumberFormat="1" applyFont="1" applyBorder="1" applyAlignment="1">
      <alignment vertical="center" wrapText="1"/>
    </xf>
    <xf numFmtId="168" fontId="24" fillId="0" borderId="8" xfId="1" applyNumberFormat="1" applyFont="1" applyFill="1" applyBorder="1" applyAlignment="1">
      <alignment horizontal="center" vertical="center" wrapText="1"/>
    </xf>
    <xf numFmtId="180" fontId="17" fillId="0" borderId="8" xfId="1" applyNumberFormat="1" applyFont="1" applyFill="1" applyBorder="1" applyAlignment="1">
      <alignment horizontal="center" vertical="center" wrapText="1"/>
    </xf>
    <xf numFmtId="167" fontId="17" fillId="0" borderId="8" xfId="1" applyFont="1" applyFill="1" applyBorder="1" applyAlignment="1">
      <alignment horizontal="center" vertical="center" wrapText="1"/>
    </xf>
    <xf numFmtId="167" fontId="67" fillId="2" borderId="8" xfId="1" applyFont="1" applyFill="1" applyBorder="1" applyAlignment="1">
      <alignment vertical="center" wrapText="1"/>
    </xf>
    <xf numFmtId="0" fontId="18" fillId="0" borderId="9" xfId="0" quotePrefix="1" applyFont="1" applyBorder="1" applyAlignment="1">
      <alignment horizontal="center" vertical="center" wrapText="1"/>
    </xf>
    <xf numFmtId="0" fontId="18" fillId="0" borderId="9" xfId="0" applyFont="1" applyBorder="1" applyAlignment="1">
      <alignment vertical="center" wrapText="1"/>
    </xf>
    <xf numFmtId="168" fontId="18" fillId="0" borderId="9" xfId="0" applyNumberFormat="1" applyFont="1" applyBorder="1" applyAlignment="1">
      <alignment vertical="center" wrapText="1"/>
    </xf>
    <xf numFmtId="0" fontId="18" fillId="0" borderId="7" xfId="0" applyFont="1" applyBorder="1" applyAlignment="1">
      <alignment horizontal="center" vertical="center" wrapText="1"/>
    </xf>
    <xf numFmtId="3" fontId="18" fillId="3" borderId="8" xfId="1" quotePrefix="1" applyNumberFormat="1" applyFont="1" applyFill="1" applyBorder="1" applyAlignment="1" applyProtection="1">
      <alignment horizontal="center" vertical="center" wrapText="1"/>
    </xf>
    <xf numFmtId="3" fontId="18" fillId="3" borderId="8" xfId="1" applyNumberFormat="1" applyFont="1" applyFill="1" applyBorder="1" applyAlignment="1" applyProtection="1">
      <alignment horizontal="left" vertical="center" wrapText="1"/>
    </xf>
    <xf numFmtId="3" fontId="18" fillId="3" borderId="8" xfId="1" applyNumberFormat="1" applyFont="1" applyFill="1" applyBorder="1" applyAlignment="1" applyProtection="1">
      <alignment horizontal="right" vertical="center" wrapText="1"/>
    </xf>
    <xf numFmtId="182" fontId="18" fillId="3" borderId="8" xfId="1" applyNumberFormat="1" applyFont="1" applyFill="1" applyBorder="1" applyAlignment="1" applyProtection="1">
      <alignment horizontal="center" vertical="center" wrapText="1"/>
    </xf>
    <xf numFmtId="3" fontId="18" fillId="3" borderId="0" xfId="1" applyNumberFormat="1" applyFont="1" applyFill="1" applyBorder="1" applyAlignment="1" applyProtection="1"/>
    <xf numFmtId="49" fontId="8" fillId="0" borderId="11" xfId="1" quotePrefix="1" applyNumberFormat="1" applyFont="1" applyFill="1" applyBorder="1" applyAlignment="1" applyProtection="1">
      <alignment horizontal="center" vertical="center" wrapText="1"/>
    </xf>
    <xf numFmtId="170" fontId="7" fillId="0" borderId="8" xfId="49" applyNumberFormat="1" applyFont="1" applyFill="1" applyBorder="1" applyAlignment="1">
      <alignment horizontal="center" vertical="center"/>
    </xf>
    <xf numFmtId="170" fontId="7" fillId="0" borderId="8" xfId="50" applyNumberFormat="1" applyFont="1" applyFill="1" applyBorder="1" applyAlignment="1">
      <alignment horizontal="center" vertical="center"/>
    </xf>
    <xf numFmtId="0" fontId="7" fillId="0" borderId="9" xfId="18" quotePrefix="1" applyFont="1" applyBorder="1" applyAlignment="1">
      <alignment horizontal="center" vertical="center"/>
    </xf>
    <xf numFmtId="0" fontId="7" fillId="0" borderId="9" xfId="18" applyFont="1" applyBorder="1" applyAlignment="1">
      <alignment horizontal="left" vertical="center" wrapText="1"/>
    </xf>
    <xf numFmtId="170" fontId="7" fillId="0" borderId="9" xfId="19" applyNumberFormat="1" applyFont="1" applyFill="1" applyBorder="1" applyAlignment="1">
      <alignment vertical="center"/>
    </xf>
    <xf numFmtId="9" fontId="31" fillId="0" borderId="0" xfId="48" applyFont="1" applyFill="1" applyAlignment="1">
      <alignment vertical="center"/>
    </xf>
    <xf numFmtId="170" fontId="7" fillId="0" borderId="8" xfId="50" quotePrefix="1" applyNumberFormat="1" applyFont="1" applyFill="1" applyBorder="1" applyAlignment="1">
      <alignment horizontal="center" vertical="center" wrapText="1"/>
    </xf>
    <xf numFmtId="170" fontId="7" fillId="0" borderId="8" xfId="49" applyNumberFormat="1" applyFont="1" applyFill="1" applyBorder="1" applyAlignment="1">
      <alignment vertical="center"/>
    </xf>
    <xf numFmtId="170" fontId="7" fillId="0" borderId="8" xfId="52" applyNumberFormat="1" applyFont="1" applyFill="1" applyBorder="1" applyAlignment="1">
      <alignment horizontal="center" vertical="center" wrapText="1"/>
    </xf>
    <xf numFmtId="170" fontId="7" fillId="0" borderId="8" xfId="49" applyNumberFormat="1" applyFont="1" applyFill="1" applyBorder="1" applyAlignment="1">
      <alignment horizontal="center" vertical="center" wrapText="1"/>
    </xf>
    <xf numFmtId="175" fontId="7" fillId="0" borderId="8" xfId="19" applyNumberFormat="1" applyFont="1" applyFill="1" applyBorder="1" applyAlignment="1">
      <alignment vertical="center"/>
    </xf>
    <xf numFmtId="170" fontId="7" fillId="0" borderId="8" xfId="50" applyNumberFormat="1" applyFont="1" applyFill="1" applyBorder="1" applyAlignment="1">
      <alignment vertical="center"/>
    </xf>
    <xf numFmtId="170" fontId="8" fillId="0" borderId="11" xfId="19" applyNumberFormat="1" applyFont="1" applyFill="1" applyBorder="1" applyAlignment="1">
      <alignment vertical="center"/>
    </xf>
    <xf numFmtId="170" fontId="8" fillId="0" borderId="11" xfId="19" applyNumberFormat="1" applyFont="1" applyFill="1" applyBorder="1" applyAlignment="1">
      <alignment horizontal="center" vertical="center" wrapText="1"/>
    </xf>
    <xf numFmtId="168" fontId="50" fillId="0" borderId="0" xfId="1" applyNumberFormat="1" applyFont="1" applyFill="1" applyAlignment="1">
      <alignment horizontal="center" vertical="center" wrapText="1"/>
    </xf>
    <xf numFmtId="167" fontId="7" fillId="0" borderId="0" xfId="1" applyFont="1" applyFill="1" applyBorder="1" applyAlignment="1">
      <alignment vertical="center"/>
    </xf>
    <xf numFmtId="182" fontId="8" fillId="0" borderId="8" xfId="1" applyNumberFormat="1" applyFont="1" applyFill="1" applyBorder="1" applyAlignment="1">
      <alignment horizontal="center" vertical="center" wrapText="1"/>
    </xf>
    <xf numFmtId="182" fontId="7" fillId="0" borderId="8" xfId="1" applyNumberFormat="1" applyFont="1" applyFill="1" applyBorder="1" applyAlignment="1">
      <alignment horizontal="center" vertical="center" wrapText="1"/>
    </xf>
    <xf numFmtId="167" fontId="12" fillId="0" borderId="8" xfId="1" applyFont="1" applyFill="1" applyBorder="1" applyAlignment="1">
      <alignment vertical="center" wrapText="1"/>
    </xf>
    <xf numFmtId="182" fontId="12" fillId="0" borderId="8" xfId="1" applyNumberFormat="1" applyFont="1" applyFill="1" applyBorder="1" applyAlignment="1">
      <alignment horizontal="center" vertical="center" wrapText="1"/>
    </xf>
    <xf numFmtId="167" fontId="12" fillId="0" borderId="8" xfId="1" applyFont="1" applyFill="1" applyBorder="1" applyAlignment="1">
      <alignment horizontal="center" vertical="center" wrapText="1"/>
    </xf>
    <xf numFmtId="167" fontId="8" fillId="0" borderId="8" xfId="10" applyFont="1" applyFill="1" applyBorder="1" applyAlignment="1">
      <alignment vertical="center" wrapText="1"/>
    </xf>
    <xf numFmtId="168" fontId="8" fillId="0" borderId="11" xfId="1" applyNumberFormat="1" applyFont="1" applyFill="1" applyBorder="1" applyAlignment="1">
      <alignment horizontal="center" vertical="center" wrapText="1"/>
    </xf>
    <xf numFmtId="182" fontId="8" fillId="0" borderId="11" xfId="1" applyNumberFormat="1" applyFont="1" applyFill="1" applyBorder="1" applyAlignment="1">
      <alignment horizontal="center" vertical="center" wrapText="1"/>
    </xf>
    <xf numFmtId="168" fontId="8" fillId="0" borderId="0" xfId="1" applyNumberFormat="1" applyFont="1" applyFill="1" applyBorder="1" applyAlignment="1">
      <alignment horizontal="center" vertical="center" wrapText="1"/>
    </xf>
    <xf numFmtId="168" fontId="7" fillId="0" borderId="9" xfId="1" applyNumberFormat="1" applyFont="1" applyFill="1" applyBorder="1" applyAlignment="1">
      <alignment horizontal="center" vertical="center" wrapText="1"/>
    </xf>
    <xf numFmtId="168" fontId="7" fillId="0" borderId="0" xfId="1" applyNumberFormat="1" applyFont="1" applyFill="1" applyAlignment="1">
      <alignment vertical="center" wrapText="1"/>
    </xf>
    <xf numFmtId="180" fontId="7" fillId="0" borderId="0" xfId="1" applyNumberFormat="1" applyFont="1" applyFill="1" applyAlignment="1">
      <alignment vertical="center" wrapText="1"/>
    </xf>
    <xf numFmtId="167" fontId="7" fillId="0" borderId="0" xfId="1" applyFont="1" applyFill="1"/>
    <xf numFmtId="0" fontId="32" fillId="0" borderId="8" xfId="25" quotePrefix="1" applyFont="1" applyBorder="1" applyAlignment="1">
      <alignment horizontal="center" vertical="center" wrapText="1"/>
    </xf>
    <xf numFmtId="168" fontId="32" fillId="0" borderId="8" xfId="26" applyNumberFormat="1" applyFont="1" applyBorder="1" applyAlignment="1">
      <alignment vertical="center" wrapText="1"/>
    </xf>
    <xf numFmtId="0" fontId="40" fillId="0" borderId="0" xfId="25" applyFont="1" applyAlignment="1">
      <alignment vertical="center"/>
    </xf>
    <xf numFmtId="0" fontId="40" fillId="0" borderId="0" xfId="25" applyFont="1" applyAlignment="1">
      <alignment horizontal="left" vertical="center"/>
    </xf>
    <xf numFmtId="0" fontId="40" fillId="0" borderId="8" xfId="25" quotePrefix="1" applyFont="1" applyBorder="1" applyAlignment="1">
      <alignment horizontal="center" vertical="center" wrapText="1"/>
    </xf>
    <xf numFmtId="0" fontId="40" fillId="0" borderId="8" xfId="25" applyFont="1" applyBorder="1" applyAlignment="1">
      <alignment vertical="center"/>
    </xf>
    <xf numFmtId="168" fontId="40" fillId="0" borderId="8" xfId="26" applyNumberFormat="1" applyFont="1" applyBorder="1" applyAlignment="1">
      <alignment vertical="center" wrapText="1"/>
    </xf>
    <xf numFmtId="0" fontId="40" fillId="0" borderId="8" xfId="25" applyFont="1" applyBorder="1" applyAlignment="1">
      <alignment vertical="center" wrapText="1"/>
    </xf>
    <xf numFmtId="167" fontId="32" fillId="0" borderId="0" xfId="1" applyFont="1" applyAlignment="1">
      <alignment vertical="center"/>
    </xf>
    <xf numFmtId="3" fontId="32" fillId="0" borderId="11" xfId="37" quotePrefix="1" applyNumberFormat="1" applyFont="1" applyBorder="1" applyAlignment="1">
      <alignment horizontal="center" vertical="center" wrapText="1"/>
    </xf>
    <xf numFmtId="0" fontId="32" fillId="0" borderId="11" xfId="25" applyFont="1" applyBorder="1" applyAlignment="1">
      <alignment vertical="center" wrapText="1"/>
    </xf>
    <xf numFmtId="0" fontId="32" fillId="0" borderId="11" xfId="25" applyFont="1" applyBorder="1" applyAlignment="1">
      <alignment horizontal="center" vertical="center" wrapText="1"/>
    </xf>
    <xf numFmtId="49" fontId="7" fillId="0" borderId="0" xfId="1" applyNumberFormat="1" applyFont="1" applyFill="1" applyAlignment="1">
      <alignment horizontal="center" vertical="center"/>
    </xf>
    <xf numFmtId="49" fontId="12" fillId="0" borderId="8" xfId="1" applyNumberFormat="1" applyFont="1" applyFill="1" applyBorder="1" applyAlignment="1">
      <alignment horizontal="center" vertical="center" wrapText="1"/>
    </xf>
    <xf numFmtId="49" fontId="12" fillId="0" borderId="11" xfId="1" quotePrefix="1" applyNumberFormat="1" applyFont="1" applyFill="1" applyBorder="1" applyAlignment="1" applyProtection="1">
      <alignment horizontal="center" vertical="center" wrapText="1"/>
    </xf>
    <xf numFmtId="49" fontId="8" fillId="0" borderId="11" xfId="1" quotePrefix="1" applyNumberFormat="1" applyFont="1" applyFill="1" applyBorder="1" applyAlignment="1">
      <alignment horizontal="center" vertical="center" wrapText="1"/>
    </xf>
    <xf numFmtId="49" fontId="7" fillId="0" borderId="11" xfId="1" quotePrefix="1" applyNumberFormat="1" applyFont="1" applyFill="1" applyBorder="1" applyAlignment="1">
      <alignment horizontal="center" vertical="center" wrapText="1"/>
    </xf>
    <xf numFmtId="49" fontId="8" fillId="0" borderId="9" xfId="1" applyNumberFormat="1" applyFont="1" applyFill="1" applyBorder="1" applyAlignment="1">
      <alignment horizontal="center" vertical="center" wrapText="1"/>
    </xf>
    <xf numFmtId="49" fontId="7" fillId="0" borderId="0" xfId="1" applyNumberFormat="1" applyFont="1" applyFill="1" applyAlignment="1">
      <alignment horizontal="center" vertical="center" wrapText="1"/>
    </xf>
    <xf numFmtId="49" fontId="7" fillId="0" borderId="0" xfId="1" applyNumberFormat="1" applyFont="1" applyFill="1" applyAlignment="1">
      <alignment horizontal="left" vertical="center"/>
    </xf>
    <xf numFmtId="49" fontId="7" fillId="0" borderId="0" xfId="1" applyNumberFormat="1" applyFont="1" applyFill="1" applyAlignment="1">
      <alignment vertical="center"/>
    </xf>
    <xf numFmtId="49" fontId="8" fillId="0" borderId="0" xfId="1" applyNumberFormat="1" applyFont="1" applyFill="1" applyAlignment="1">
      <alignment horizontal="left" vertical="center"/>
    </xf>
    <xf numFmtId="49" fontId="50" fillId="0" borderId="0" xfId="1" applyNumberFormat="1" applyFont="1" applyFill="1" applyAlignment="1">
      <alignment horizontal="center" vertical="center" wrapText="1"/>
    </xf>
    <xf numFmtId="49" fontId="7" fillId="0" borderId="9" xfId="1" applyNumberFormat="1" applyFont="1" applyFill="1" applyBorder="1" applyAlignment="1">
      <alignment horizontal="center" vertical="center" wrapText="1"/>
    </xf>
    <xf numFmtId="180" fontId="7" fillId="0" borderId="11" xfId="1" applyNumberFormat="1" applyFont="1" applyBorder="1" applyAlignment="1">
      <alignment vertical="center"/>
    </xf>
    <xf numFmtId="168" fontId="7" fillId="0" borderId="0" xfId="1" applyNumberFormat="1" applyFont="1" applyAlignment="1">
      <alignment vertical="center"/>
    </xf>
    <xf numFmtId="0" fontId="7" fillId="0" borderId="11" xfId="4" applyFont="1" applyBorder="1" applyAlignment="1">
      <alignment horizontal="left" vertical="center" wrapText="1"/>
    </xf>
    <xf numFmtId="168" fontId="8" fillId="5" borderId="8" xfId="1" applyNumberFormat="1" applyFont="1" applyFill="1" applyBorder="1" applyAlignment="1">
      <alignment vertical="center"/>
    </xf>
    <xf numFmtId="168" fontId="7" fillId="0" borderId="0" xfId="1" applyNumberFormat="1" applyFont="1" applyAlignment="1">
      <alignment horizontal="center" vertical="center" wrapText="1"/>
    </xf>
    <xf numFmtId="168" fontId="31" fillId="0" borderId="0" xfId="1" applyNumberFormat="1" applyFont="1" applyAlignment="1">
      <alignment horizontal="center" vertical="center" wrapText="1"/>
    </xf>
    <xf numFmtId="168" fontId="7" fillId="0" borderId="36" xfId="1" applyNumberFormat="1" applyFont="1" applyFill="1" applyBorder="1" applyAlignment="1">
      <alignment horizontal="center" vertical="center" wrapText="1"/>
    </xf>
    <xf numFmtId="49" fontId="32" fillId="0" borderId="0" xfId="25" applyNumberFormat="1" applyFont="1" applyAlignment="1">
      <alignment horizontal="right" vertical="center"/>
    </xf>
    <xf numFmtId="49" fontId="39" fillId="0" borderId="0" xfId="25" applyNumberFormat="1" applyFont="1" applyAlignment="1">
      <alignment horizontal="right" vertical="center"/>
    </xf>
    <xf numFmtId="49" fontId="39" fillId="0" borderId="0" xfId="25" applyNumberFormat="1" applyFont="1" applyAlignment="1">
      <alignment horizontal="right" vertical="center" wrapText="1"/>
    </xf>
    <xf numFmtId="49" fontId="32" fillId="0" borderId="0" xfId="25" applyNumberFormat="1" applyFont="1" applyAlignment="1">
      <alignment horizontal="right" vertical="center" wrapText="1"/>
    </xf>
    <xf numFmtId="49" fontId="40" fillId="0" borderId="0" xfId="25" applyNumberFormat="1" applyFont="1" applyAlignment="1">
      <alignment horizontal="right" vertical="center" wrapText="1"/>
    </xf>
    <xf numFmtId="49" fontId="40" fillId="0" borderId="0" xfId="25" applyNumberFormat="1" applyFont="1" applyAlignment="1">
      <alignment horizontal="right" vertical="center"/>
    </xf>
    <xf numFmtId="49" fontId="32" fillId="0" borderId="0" xfId="1" applyNumberFormat="1" applyFont="1" applyAlignment="1">
      <alignment horizontal="right" vertical="center"/>
    </xf>
    <xf numFmtId="49" fontId="32" fillId="0" borderId="0" xfId="12" applyNumberFormat="1" applyFont="1" applyFill="1" applyAlignment="1">
      <alignment horizontal="center" vertical="center"/>
    </xf>
    <xf numFmtId="170" fontId="32" fillId="0" borderId="0" xfId="12" applyNumberFormat="1" applyFont="1" applyFill="1" applyAlignment="1">
      <alignment horizontal="center" vertical="center" wrapText="1"/>
    </xf>
    <xf numFmtId="49" fontId="32" fillId="0" borderId="8" xfId="12" applyNumberFormat="1" applyFont="1" applyFill="1" applyBorder="1" applyAlignment="1">
      <alignment horizontal="center" vertical="center"/>
    </xf>
    <xf numFmtId="43" fontId="32" fillId="0" borderId="0" xfId="12" applyFont="1" applyFill="1" applyAlignment="1">
      <alignment vertical="center" wrapText="1"/>
    </xf>
    <xf numFmtId="49" fontId="32" fillId="0" borderId="0" xfId="12" applyNumberFormat="1" applyFont="1" applyFill="1" applyBorder="1" applyAlignment="1">
      <alignment horizontal="center" vertical="center"/>
    </xf>
    <xf numFmtId="175" fontId="32" fillId="0" borderId="0" xfId="12" applyNumberFormat="1" applyFont="1" applyFill="1" applyBorder="1" applyAlignment="1">
      <alignment horizontal="center" vertical="center" wrapText="1"/>
    </xf>
    <xf numFmtId="49" fontId="39" fillId="0" borderId="7" xfId="12" applyNumberFormat="1" applyFont="1" applyFill="1" applyBorder="1" applyAlignment="1">
      <alignment horizontal="center" vertical="center"/>
    </xf>
    <xf numFmtId="185" fontId="39" fillId="0" borderId="7" xfId="12" applyNumberFormat="1" applyFont="1" applyFill="1" applyBorder="1" applyAlignment="1">
      <alignment horizontal="left" vertical="center" wrapText="1"/>
    </xf>
    <xf numFmtId="170" fontId="39" fillId="0" borderId="7" xfId="12" applyNumberFormat="1" applyFont="1" applyFill="1" applyBorder="1" applyAlignment="1">
      <alignment horizontal="center" vertical="center"/>
    </xf>
    <xf numFmtId="185" fontId="39" fillId="0" borderId="8" xfId="12" applyNumberFormat="1" applyFont="1" applyFill="1" applyBorder="1" applyAlignment="1">
      <alignment horizontal="center" vertical="center" wrapText="1"/>
    </xf>
    <xf numFmtId="49" fontId="39" fillId="0" borderId="8" xfId="12" applyNumberFormat="1" applyFont="1" applyFill="1" applyBorder="1" applyAlignment="1">
      <alignment horizontal="center" vertical="center"/>
    </xf>
    <xf numFmtId="49" fontId="39" fillId="0" borderId="8" xfId="12" quotePrefix="1" applyNumberFormat="1" applyFont="1" applyFill="1" applyBorder="1" applyAlignment="1">
      <alignment horizontal="center" vertical="center"/>
    </xf>
    <xf numFmtId="49" fontId="32" fillId="0" borderId="8" xfId="12" quotePrefix="1" applyNumberFormat="1" applyFont="1" applyFill="1" applyBorder="1" applyAlignment="1">
      <alignment horizontal="center" vertical="center"/>
    </xf>
    <xf numFmtId="49" fontId="39" fillId="0" borderId="8" xfId="12" applyNumberFormat="1" applyFont="1" applyFill="1" applyBorder="1" applyAlignment="1">
      <alignment horizontal="center" vertical="center" wrapText="1"/>
    </xf>
    <xf numFmtId="49" fontId="39" fillId="0" borderId="8" xfId="12" quotePrefix="1" applyNumberFormat="1" applyFont="1" applyFill="1" applyBorder="1" applyAlignment="1">
      <alignment horizontal="center" vertical="center" wrapText="1"/>
    </xf>
    <xf numFmtId="49" fontId="32" fillId="0" borderId="8" xfId="12" applyNumberFormat="1" applyFont="1" applyFill="1" applyBorder="1" applyAlignment="1">
      <alignment horizontal="center" vertical="center" wrapText="1"/>
    </xf>
    <xf numFmtId="49" fontId="32" fillId="0" borderId="8" xfId="12" quotePrefix="1" applyNumberFormat="1" applyFont="1" applyFill="1" applyBorder="1" applyAlignment="1">
      <alignment horizontal="center" vertical="center" wrapText="1"/>
    </xf>
    <xf numFmtId="185" fontId="39" fillId="0" borderId="8" xfId="12" applyNumberFormat="1" applyFont="1" applyFill="1" applyBorder="1" applyAlignment="1">
      <alignment vertical="center" wrapText="1"/>
    </xf>
    <xf numFmtId="170" fontId="32" fillId="0" borderId="8" xfId="11" applyNumberFormat="1" applyFont="1" applyFill="1" applyBorder="1" applyAlignment="1">
      <alignment horizontal="center" vertical="center" wrapText="1"/>
    </xf>
    <xf numFmtId="49" fontId="40" fillId="0" borderId="8" xfId="12" applyNumberFormat="1" applyFont="1" applyFill="1" applyBorder="1" applyAlignment="1">
      <alignment horizontal="center" vertical="center"/>
    </xf>
    <xf numFmtId="170" fontId="40" fillId="0" borderId="8" xfId="12" quotePrefix="1" applyNumberFormat="1" applyFont="1" applyFill="1" applyBorder="1" applyAlignment="1">
      <alignment horizontal="left" vertical="center" wrapText="1"/>
    </xf>
    <xf numFmtId="170" fontId="40" fillId="0" borderId="8" xfId="12" quotePrefix="1" applyNumberFormat="1" applyFont="1" applyFill="1" applyBorder="1" applyAlignment="1">
      <alignment horizontal="center" vertical="center" wrapText="1"/>
    </xf>
    <xf numFmtId="175" fontId="39" fillId="0" borderId="8" xfId="12" applyNumberFormat="1" applyFont="1" applyFill="1" applyBorder="1" applyAlignment="1">
      <alignment horizontal="left" vertical="center" wrapText="1"/>
    </xf>
    <xf numFmtId="175" fontId="32" fillId="0" borderId="8" xfId="12" applyNumberFormat="1" applyFont="1" applyFill="1" applyBorder="1" applyAlignment="1">
      <alignment horizontal="left" vertical="center" wrapText="1"/>
    </xf>
    <xf numFmtId="49" fontId="32" fillId="0" borderId="8" xfId="32" applyNumberFormat="1" applyFont="1" applyFill="1" applyBorder="1" applyAlignment="1">
      <alignment horizontal="center" vertical="center" wrapText="1"/>
    </xf>
    <xf numFmtId="3" fontId="7" fillId="0" borderId="0" xfId="1" applyNumberFormat="1" applyFont="1" applyAlignment="1">
      <alignment horizontal="center" vertical="center"/>
    </xf>
    <xf numFmtId="168" fontId="7" fillId="0" borderId="0" xfId="1" applyNumberFormat="1" applyFont="1" applyAlignment="1">
      <alignment horizontal="center" vertical="center"/>
    </xf>
    <xf numFmtId="168" fontId="7" fillId="0" borderId="0" xfId="1" applyNumberFormat="1" applyFont="1" applyAlignment="1">
      <alignment horizontal="left" vertical="center"/>
    </xf>
    <xf numFmtId="168" fontId="8" fillId="0" borderId="0" xfId="1" applyNumberFormat="1" applyFont="1" applyAlignment="1">
      <alignment horizontal="center" vertical="center" wrapText="1"/>
    </xf>
    <xf numFmtId="168" fontId="7" fillId="0" borderId="0" xfId="1" applyNumberFormat="1" applyFont="1" applyAlignment="1">
      <alignment horizontal="left" vertical="center" wrapText="1"/>
    </xf>
    <xf numFmtId="168" fontId="7" fillId="0" borderId="13" xfId="1" applyNumberFormat="1" applyFont="1" applyBorder="1" applyAlignment="1">
      <alignment horizontal="right" vertical="center"/>
    </xf>
    <xf numFmtId="168" fontId="7" fillId="0" borderId="0" xfId="1" applyNumberFormat="1" applyFont="1" applyAlignment="1">
      <alignment vertical="center" wrapText="1"/>
    </xf>
    <xf numFmtId="3" fontId="7" fillId="0" borderId="1" xfId="1" applyNumberFormat="1" applyFont="1" applyBorder="1" applyAlignment="1">
      <alignment horizontal="center" vertical="center" wrapText="1"/>
    </xf>
    <xf numFmtId="168" fontId="7" fillId="0" borderId="1" xfId="1" applyNumberFormat="1" applyFont="1" applyBorder="1" applyAlignment="1">
      <alignment horizontal="center" vertical="center" wrapText="1"/>
    </xf>
    <xf numFmtId="168" fontId="7" fillId="0" borderId="1" xfId="1" quotePrefix="1" applyNumberFormat="1" applyFont="1" applyBorder="1" applyAlignment="1">
      <alignment horizontal="center" vertical="center" wrapText="1"/>
    </xf>
    <xf numFmtId="49" fontId="7" fillId="0" borderId="1" xfId="1" quotePrefix="1" applyNumberFormat="1" applyFont="1" applyBorder="1" applyAlignment="1">
      <alignment horizontal="center" vertical="center" wrapText="1"/>
    </xf>
    <xf numFmtId="3" fontId="8" fillId="0" borderId="7" xfId="1" applyNumberFormat="1" applyFont="1" applyBorder="1" applyAlignment="1">
      <alignment horizontal="center" vertical="center" wrapText="1"/>
    </xf>
    <xf numFmtId="168" fontId="8" fillId="0" borderId="7" xfId="1" applyNumberFormat="1" applyFont="1" applyBorder="1" applyAlignment="1">
      <alignment horizontal="center" vertical="center" wrapText="1"/>
    </xf>
    <xf numFmtId="168" fontId="8" fillId="0" borderId="7" xfId="1" applyNumberFormat="1" applyFont="1" applyBorder="1" applyAlignment="1">
      <alignment vertical="center"/>
    </xf>
    <xf numFmtId="168" fontId="8" fillId="0" borderId="0" xfId="1" applyNumberFormat="1" applyFont="1" applyAlignment="1">
      <alignment vertical="center"/>
    </xf>
    <xf numFmtId="3" fontId="8" fillId="0" borderId="8" xfId="1" quotePrefix="1" applyNumberFormat="1" applyFont="1" applyBorder="1" applyAlignment="1">
      <alignment horizontal="center" vertical="center" wrapText="1"/>
    </xf>
    <xf numFmtId="168" fontId="8" fillId="0" borderId="8" xfId="1" applyNumberFormat="1" applyFont="1" applyBorder="1" applyAlignment="1">
      <alignment horizontal="left" vertical="center" wrapText="1"/>
    </xf>
    <xf numFmtId="168" fontId="8" fillId="0" borderId="8" xfId="1" applyNumberFormat="1" applyFont="1" applyBorder="1" applyAlignment="1">
      <alignment horizontal="center" vertical="center" wrapText="1"/>
    </xf>
    <xf numFmtId="168" fontId="8" fillId="0" borderId="8" xfId="1" quotePrefix="1" applyNumberFormat="1" applyFont="1" applyBorder="1" applyAlignment="1">
      <alignment horizontal="center" vertical="center" wrapText="1"/>
    </xf>
    <xf numFmtId="168" fontId="8" fillId="2" borderId="0" xfId="1" applyNumberFormat="1" applyFont="1" applyFill="1" applyAlignment="1">
      <alignment vertical="center"/>
    </xf>
    <xf numFmtId="168" fontId="7" fillId="0" borderId="8" xfId="1" applyNumberFormat="1" applyFont="1" applyBorder="1" applyAlignment="1">
      <alignment horizontal="center" vertical="center" wrapText="1"/>
    </xf>
    <xf numFmtId="168" fontId="7" fillId="0" borderId="8" xfId="1" applyNumberFormat="1" applyFont="1" applyBorder="1" applyAlignment="1">
      <alignment vertical="center" wrapText="1"/>
    </xf>
    <xf numFmtId="168" fontId="8" fillId="0" borderId="8" xfId="1" applyNumberFormat="1" applyFont="1" applyBorder="1" applyAlignment="1">
      <alignment vertical="center" wrapText="1"/>
    </xf>
    <xf numFmtId="3" fontId="8" fillId="0" borderId="8" xfId="1" quotePrefix="1" applyNumberFormat="1" applyFont="1" applyFill="1" applyBorder="1" applyAlignment="1">
      <alignment horizontal="center" vertical="center" wrapText="1"/>
    </xf>
    <xf numFmtId="168" fontId="8" fillId="0" borderId="11" xfId="1" applyNumberFormat="1" applyFont="1" applyFill="1" applyBorder="1" applyAlignment="1">
      <alignment vertical="center" wrapText="1"/>
    </xf>
    <xf numFmtId="168" fontId="8" fillId="0" borderId="11" xfId="1" quotePrefix="1" applyNumberFormat="1" applyFont="1" applyFill="1" applyBorder="1" applyAlignment="1">
      <alignment horizontal="center" vertical="center" wrapText="1"/>
    </xf>
    <xf numFmtId="168" fontId="8" fillId="0" borderId="11" xfId="1" applyNumberFormat="1" applyFont="1" applyFill="1" applyBorder="1" applyAlignment="1">
      <alignment vertical="center"/>
    </xf>
    <xf numFmtId="168" fontId="8" fillId="5" borderId="11" xfId="1" applyNumberFormat="1" applyFont="1" applyFill="1" applyBorder="1" applyAlignment="1">
      <alignment vertical="center"/>
    </xf>
    <xf numFmtId="168" fontId="8" fillId="0" borderId="11" xfId="1" quotePrefix="1" applyNumberFormat="1" applyFont="1" applyBorder="1" applyAlignment="1">
      <alignment horizontal="center" vertical="center" wrapText="1"/>
    </xf>
    <xf numFmtId="168" fontId="8" fillId="0" borderId="11" xfId="1" applyNumberFormat="1" applyFont="1" applyBorder="1" applyAlignment="1">
      <alignment vertical="center" wrapText="1"/>
    </xf>
    <xf numFmtId="168" fontId="8" fillId="0" borderId="11" xfId="1" applyNumberFormat="1" applyFont="1" applyBorder="1" applyAlignment="1">
      <alignment vertical="center"/>
    </xf>
    <xf numFmtId="3" fontId="7" fillId="0" borderId="9" xfId="1" applyNumberFormat="1" applyFont="1" applyBorder="1" applyAlignment="1">
      <alignment horizontal="center" vertical="center"/>
    </xf>
    <xf numFmtId="0" fontId="7" fillId="0" borderId="9" xfId="4" applyFont="1" applyBorder="1" applyAlignment="1">
      <alignment vertical="center" wrapText="1"/>
    </xf>
    <xf numFmtId="168" fontId="7" fillId="0" borderId="9" xfId="1" applyNumberFormat="1" applyFont="1" applyBorder="1" applyAlignment="1">
      <alignment horizontal="center" vertical="center"/>
    </xf>
    <xf numFmtId="168" fontId="7" fillId="0" borderId="9" xfId="1" applyNumberFormat="1" applyFont="1" applyBorder="1" applyAlignment="1">
      <alignment horizontal="center" vertical="center" wrapText="1"/>
    </xf>
    <xf numFmtId="168" fontId="7" fillId="0" borderId="9" xfId="1" applyNumberFormat="1" applyFont="1" applyBorder="1" applyAlignment="1">
      <alignment vertical="center"/>
    </xf>
    <xf numFmtId="168" fontId="31" fillId="0" borderId="0" xfId="1" applyNumberFormat="1" applyFont="1" applyAlignment="1">
      <alignment vertical="center" wrapText="1"/>
    </xf>
    <xf numFmtId="0" fontId="7" fillId="0" borderId="8" xfId="4" applyFont="1" applyBorder="1" applyAlignment="1">
      <alignment horizontal="left" vertical="center"/>
    </xf>
    <xf numFmtId="180" fontId="8" fillId="0" borderId="0" xfId="1" applyNumberFormat="1" applyFont="1" applyFill="1" applyAlignment="1">
      <alignment vertical="center"/>
    </xf>
    <xf numFmtId="0" fontId="39" fillId="0" borderId="8" xfId="4" applyFont="1" applyBorder="1" applyAlignment="1">
      <alignment vertical="center" wrapText="1"/>
    </xf>
    <xf numFmtId="0" fontId="32" fillId="0" borderId="8" xfId="4" applyFont="1" applyBorder="1" applyAlignment="1">
      <alignment vertical="center" wrapText="1"/>
    </xf>
    <xf numFmtId="0" fontId="7" fillId="0" borderId="8" xfId="30" applyFont="1" applyBorder="1" applyAlignment="1">
      <alignment vertical="center" wrapText="1"/>
    </xf>
    <xf numFmtId="170" fontId="33" fillId="0" borderId="9" xfId="20" applyNumberFormat="1" applyFont="1" applyFill="1" applyBorder="1" applyAlignment="1">
      <alignment horizontal="right" vertical="center" wrapText="1"/>
    </xf>
    <xf numFmtId="170" fontId="33" fillId="0" borderId="9" xfId="20" applyNumberFormat="1" applyFont="1" applyFill="1" applyBorder="1" applyAlignment="1">
      <alignment horizontal="center" vertical="center" wrapText="1"/>
    </xf>
    <xf numFmtId="193" fontId="7" fillId="0" borderId="0" xfId="20" applyNumberFormat="1" applyFont="1" applyFill="1" applyAlignment="1">
      <alignment vertical="center"/>
    </xf>
    <xf numFmtId="49" fontId="7" fillId="0" borderId="8" xfId="1" applyNumberFormat="1" applyFont="1" applyFill="1" applyBorder="1" applyAlignment="1">
      <alignment horizontal="justify" vertical="center" wrapText="1"/>
    </xf>
    <xf numFmtId="41" fontId="68" fillId="3" borderId="0" xfId="25" applyNumberFormat="1" applyFont="1" applyFill="1" applyAlignment="1">
      <alignment vertical="center"/>
    </xf>
    <xf numFmtId="0" fontId="64" fillId="3" borderId="0" xfId="25" applyFont="1" applyFill="1" applyAlignment="1">
      <alignment vertical="center"/>
    </xf>
    <xf numFmtId="0" fontId="69" fillId="3" borderId="0" xfId="25" applyFont="1" applyFill="1" applyAlignment="1">
      <alignment vertical="center"/>
    </xf>
    <xf numFmtId="0" fontId="70" fillId="0" borderId="0" xfId="25" applyFont="1" applyAlignment="1">
      <alignment vertical="center"/>
    </xf>
    <xf numFmtId="0" fontId="7" fillId="0" borderId="0" xfId="4" applyFont="1"/>
    <xf numFmtId="182" fontId="8" fillId="0" borderId="7" xfId="1" applyNumberFormat="1" applyFont="1" applyFill="1" applyBorder="1" applyAlignment="1">
      <alignment horizontal="center" vertical="center" wrapText="1"/>
    </xf>
    <xf numFmtId="49" fontId="8" fillId="0" borderId="18" xfId="1" applyNumberFormat="1" applyFont="1" applyFill="1" applyBorder="1" applyAlignment="1">
      <alignment horizontal="center" vertical="center" wrapText="1"/>
    </xf>
    <xf numFmtId="168" fontId="8" fillId="0" borderId="18" xfId="1" applyNumberFormat="1" applyFont="1" applyFill="1" applyBorder="1" applyAlignment="1">
      <alignment horizontal="center" vertical="center" wrapText="1"/>
    </xf>
    <xf numFmtId="182" fontId="8" fillId="0" borderId="18" xfId="1" applyNumberFormat="1" applyFont="1" applyFill="1" applyBorder="1" applyAlignment="1">
      <alignment horizontal="center" vertical="center" wrapText="1"/>
    </xf>
    <xf numFmtId="0" fontId="12" fillId="0" borderId="8" xfId="4" applyFont="1" applyBorder="1" applyAlignment="1">
      <alignment horizontal="left" vertical="center" wrapText="1"/>
    </xf>
    <xf numFmtId="49" fontId="7" fillId="0" borderId="8" xfId="4" quotePrefix="1" applyNumberFormat="1" applyFont="1" applyBorder="1" applyAlignment="1">
      <alignment horizontal="center" vertical="center" wrapText="1"/>
    </xf>
    <xf numFmtId="49" fontId="7" fillId="0" borderId="8" xfId="4" applyNumberFormat="1" applyFont="1" applyBorder="1" applyAlignment="1">
      <alignment horizontal="center" vertical="center" wrapText="1"/>
    </xf>
    <xf numFmtId="49" fontId="12" fillId="0" borderId="8" xfId="4" applyNumberFormat="1" applyFont="1" applyBorder="1" applyAlignment="1">
      <alignment horizontal="center" vertical="center" wrapText="1"/>
    </xf>
    <xf numFmtId="0" fontId="12" fillId="0" borderId="8" xfId="4" applyFont="1" applyBorder="1" applyAlignment="1">
      <alignment vertical="center" wrapText="1"/>
    </xf>
    <xf numFmtId="0" fontId="39" fillId="0" borderId="18" xfId="25" applyFont="1" applyBorder="1" applyAlignment="1">
      <alignment vertical="center" wrapText="1"/>
    </xf>
    <xf numFmtId="0" fontId="42" fillId="0" borderId="0" xfId="25" applyFont="1" applyAlignment="1">
      <alignment horizontal="center" vertical="center"/>
    </xf>
    <xf numFmtId="168" fontId="40" fillId="0" borderId="8" xfId="26" applyNumberFormat="1" applyFont="1" applyFill="1" applyBorder="1" applyAlignment="1">
      <alignment vertical="center" wrapText="1"/>
    </xf>
    <xf numFmtId="49" fontId="32" fillId="0" borderId="0" xfId="25" quotePrefix="1" applyNumberFormat="1" applyFont="1" applyAlignment="1">
      <alignment horizontal="right" vertical="center"/>
    </xf>
    <xf numFmtId="3" fontId="32" fillId="0" borderId="8" xfId="37" quotePrefix="1" applyNumberFormat="1" applyFont="1" applyBorder="1" applyAlignment="1">
      <alignment horizontal="center" vertical="center" wrapText="1"/>
    </xf>
    <xf numFmtId="168" fontId="32" fillId="0" borderId="11" xfId="26" applyNumberFormat="1" applyFont="1" applyFill="1" applyBorder="1" applyAlignment="1">
      <alignment vertical="center" wrapText="1"/>
    </xf>
    <xf numFmtId="168" fontId="39" fillId="0" borderId="0" xfId="25" applyNumberFormat="1" applyFont="1" applyAlignment="1">
      <alignment horizontal="center" vertical="center"/>
    </xf>
    <xf numFmtId="0" fontId="40" fillId="0" borderId="11" xfId="25" applyFont="1" applyBorder="1" applyAlignment="1">
      <alignment vertical="center" wrapText="1"/>
    </xf>
    <xf numFmtId="168" fontId="32" fillId="0" borderId="11" xfId="26" applyNumberFormat="1" applyFont="1" applyBorder="1" applyAlignment="1">
      <alignment vertical="center" wrapText="1"/>
    </xf>
    <xf numFmtId="3" fontId="71" fillId="0" borderId="9" xfId="37" quotePrefix="1" applyNumberFormat="1" applyFont="1" applyFill="1" applyBorder="1" applyAlignment="1">
      <alignment horizontal="center" vertical="center" wrapText="1"/>
    </xf>
    <xf numFmtId="0" fontId="71" fillId="0" borderId="9" xfId="25" applyFont="1" applyBorder="1" applyAlignment="1">
      <alignment vertical="center" wrapText="1"/>
    </xf>
    <xf numFmtId="168" fontId="71" fillId="0" borderId="9" xfId="26" applyNumberFormat="1" applyFont="1" applyFill="1" applyBorder="1" applyAlignment="1">
      <alignment vertical="center" wrapText="1"/>
    </xf>
    <xf numFmtId="169" fontId="71" fillId="0" borderId="9" xfId="37" applyNumberFormat="1" applyFont="1" applyFill="1" applyBorder="1" applyAlignment="1">
      <alignment horizontal="center" vertical="center" wrapText="1"/>
    </xf>
    <xf numFmtId="0" fontId="71" fillId="0" borderId="9" xfId="25" applyFont="1" applyBorder="1" applyAlignment="1">
      <alignment horizontal="center" vertical="center" wrapText="1"/>
    </xf>
    <xf numFmtId="168" fontId="23" fillId="0" borderId="0" xfId="1" applyNumberFormat="1" applyFont="1" applyFill="1" applyAlignment="1">
      <alignment vertical="center"/>
    </xf>
    <xf numFmtId="0" fontId="39" fillId="0" borderId="0" xfId="25" applyFont="1" applyAlignment="1">
      <alignment horizontal="left" vertical="center"/>
    </xf>
    <xf numFmtId="0" fontId="39" fillId="0" borderId="0" xfId="25" applyFont="1" applyAlignment="1">
      <alignment horizontal="center" vertical="center"/>
    </xf>
    <xf numFmtId="0" fontId="32" fillId="0" borderId="13" xfId="25" applyFont="1" applyBorder="1" applyAlignment="1">
      <alignment horizontal="center" vertical="center"/>
    </xf>
    <xf numFmtId="168" fontId="32" fillId="0" borderId="10" xfId="26" applyNumberFormat="1" applyFont="1" applyFill="1" applyBorder="1" applyAlignment="1">
      <alignment horizontal="center" vertical="center" wrapText="1"/>
    </xf>
    <xf numFmtId="0" fontId="32" fillId="0" borderId="0" xfId="25" applyFont="1" applyAlignment="1">
      <alignment horizontal="center" vertical="center"/>
    </xf>
    <xf numFmtId="3" fontId="7" fillId="0" borderId="11" xfId="1" quotePrefix="1" applyNumberFormat="1" applyFont="1" applyFill="1" applyBorder="1" applyAlignment="1">
      <alignment horizontal="center" vertical="center" wrapText="1"/>
    </xf>
    <xf numFmtId="168" fontId="7" fillId="0" borderId="11" xfId="1" quotePrefix="1" applyNumberFormat="1" applyFont="1" applyFill="1" applyBorder="1" applyAlignment="1">
      <alignment horizontal="center" vertical="center" wrapText="1"/>
    </xf>
    <xf numFmtId="168" fontId="7" fillId="0" borderId="11" xfId="1" applyNumberFormat="1" applyFont="1" applyFill="1" applyBorder="1" applyAlignment="1">
      <alignment vertical="center"/>
    </xf>
    <xf numFmtId="168" fontId="31" fillId="0" borderId="0" xfId="1" applyNumberFormat="1" applyFont="1" applyFill="1" applyAlignment="1">
      <alignment vertical="center"/>
    </xf>
    <xf numFmtId="3" fontId="12" fillId="0" borderId="11" xfId="1" quotePrefix="1" applyNumberFormat="1" applyFont="1" applyFill="1" applyBorder="1" applyAlignment="1">
      <alignment horizontal="center" vertical="center" wrapText="1"/>
    </xf>
    <xf numFmtId="168" fontId="12" fillId="0" borderId="11" xfId="1" applyNumberFormat="1" applyFont="1" applyFill="1" applyBorder="1" applyAlignment="1">
      <alignment vertical="center" wrapText="1"/>
    </xf>
    <xf numFmtId="168" fontId="12" fillId="0" borderId="11" xfId="1" quotePrefix="1" applyNumberFormat="1" applyFont="1" applyFill="1" applyBorder="1" applyAlignment="1">
      <alignment horizontal="center" vertical="center" wrapText="1"/>
    </xf>
    <xf numFmtId="168" fontId="12" fillId="0" borderId="11" xfId="1" applyNumberFormat="1" applyFont="1" applyFill="1" applyBorder="1" applyAlignment="1">
      <alignment vertical="center"/>
    </xf>
    <xf numFmtId="168" fontId="12" fillId="0" borderId="0" xfId="1" applyNumberFormat="1" applyFont="1" applyFill="1" applyAlignment="1">
      <alignment vertical="center"/>
    </xf>
    <xf numFmtId="168" fontId="50" fillId="0" borderId="0" xfId="1" applyNumberFormat="1" applyFont="1" applyFill="1" applyAlignment="1">
      <alignment vertical="center"/>
    </xf>
    <xf numFmtId="170" fontId="72" fillId="0" borderId="0" xfId="12" applyNumberFormat="1" applyFont="1" applyFill="1" applyAlignment="1">
      <alignment vertical="center"/>
    </xf>
    <xf numFmtId="3" fontId="41" fillId="0" borderId="0" xfId="1" applyNumberFormat="1" applyFont="1" applyAlignment="1">
      <alignment horizontal="left" vertical="center"/>
    </xf>
    <xf numFmtId="168" fontId="73" fillId="0" borderId="0" xfId="1" applyNumberFormat="1" applyFont="1" applyAlignment="1">
      <alignment vertical="center"/>
    </xf>
    <xf numFmtId="3" fontId="73" fillId="0" borderId="0" xfId="1" applyNumberFormat="1" applyFont="1" applyAlignment="1">
      <alignment horizontal="center" vertical="center"/>
    </xf>
    <xf numFmtId="168" fontId="73" fillId="0" borderId="0" xfId="1" applyNumberFormat="1" applyFont="1" applyAlignment="1">
      <alignment horizontal="left" vertical="center"/>
    </xf>
    <xf numFmtId="180" fontId="46" fillId="0" borderId="0" xfId="1" applyNumberFormat="1" applyFont="1" applyAlignment="1">
      <alignment vertical="center"/>
    </xf>
    <xf numFmtId="168" fontId="73" fillId="0" borderId="0" xfId="1" applyNumberFormat="1" applyFont="1" applyAlignment="1">
      <alignment horizontal="left" vertical="center" wrapText="1"/>
    </xf>
    <xf numFmtId="168" fontId="73" fillId="0" borderId="13" xfId="1" applyNumberFormat="1" applyFont="1" applyBorder="1" applyAlignment="1">
      <alignment horizontal="center" vertical="center"/>
    </xf>
    <xf numFmtId="168" fontId="41" fillId="0" borderId="0" xfId="1" applyNumberFormat="1" applyFont="1" applyAlignment="1">
      <alignment vertical="center"/>
    </xf>
    <xf numFmtId="168" fontId="41" fillId="0" borderId="10" xfId="1" applyNumberFormat="1" applyFont="1" applyBorder="1" applyAlignment="1">
      <alignment horizontal="center" vertical="center" wrapText="1"/>
    </xf>
    <xf numFmtId="168" fontId="41" fillId="0" borderId="0" xfId="1" applyNumberFormat="1" applyFont="1" applyAlignment="1">
      <alignment vertical="center" wrapText="1"/>
    </xf>
    <xf numFmtId="3" fontId="41" fillId="0" borderId="8" xfId="1" quotePrefix="1" applyNumberFormat="1" applyFont="1" applyBorder="1" applyAlignment="1">
      <alignment horizontal="center" vertical="center" wrapText="1"/>
    </xf>
    <xf numFmtId="168" fontId="41" fillId="0" borderId="7" xfId="1" applyNumberFormat="1" applyFont="1" applyBorder="1" applyAlignment="1">
      <alignment horizontal="center" vertical="center" wrapText="1"/>
    </xf>
    <xf numFmtId="168" fontId="41" fillId="0" borderId="8" xfId="1" applyNumberFormat="1" applyFont="1" applyBorder="1" applyAlignment="1">
      <alignment vertical="center" wrapText="1"/>
    </xf>
    <xf numFmtId="3" fontId="73" fillId="0" borderId="8" xfId="1" quotePrefix="1" applyNumberFormat="1" applyFont="1" applyBorder="1" applyAlignment="1">
      <alignment horizontal="center" vertical="center" wrapText="1"/>
    </xf>
    <xf numFmtId="0" fontId="73" fillId="0" borderId="8" xfId="4" applyFont="1" applyBorder="1" applyAlignment="1">
      <alignment horizontal="left" vertical="center" wrapText="1"/>
    </xf>
    <xf numFmtId="168" fontId="73" fillId="0" borderId="8" xfId="1" applyNumberFormat="1" applyFont="1" applyBorder="1" applyAlignment="1">
      <alignment vertical="center" wrapText="1"/>
    </xf>
    <xf numFmtId="168" fontId="73" fillId="0" borderId="8" xfId="1" applyNumberFormat="1" applyFont="1" applyBorder="1" applyAlignment="1">
      <alignment vertical="center"/>
    </xf>
    <xf numFmtId="3" fontId="73" fillId="0" borderId="11" xfId="1" quotePrefix="1" applyNumberFormat="1" applyFont="1" applyBorder="1" applyAlignment="1">
      <alignment horizontal="center" vertical="center" wrapText="1"/>
    </xf>
    <xf numFmtId="0" fontId="73" fillId="0" borderId="11" xfId="4" applyFont="1" applyBorder="1" applyAlignment="1">
      <alignment horizontal="left" vertical="center" wrapText="1"/>
    </xf>
    <xf numFmtId="168" fontId="73" fillId="0" borderId="11" xfId="1" applyNumberFormat="1" applyFont="1" applyBorder="1" applyAlignment="1">
      <alignment vertical="center"/>
    </xf>
    <xf numFmtId="3" fontId="73" fillId="0" borderId="11" xfId="1" quotePrefix="1" applyNumberFormat="1" applyFont="1" applyFill="1" applyBorder="1" applyAlignment="1">
      <alignment horizontal="center" vertical="center" wrapText="1"/>
    </xf>
    <xf numFmtId="168" fontId="73" fillId="0" borderId="11" xfId="1" applyNumberFormat="1" applyFont="1" applyFill="1" applyBorder="1" applyAlignment="1">
      <alignment vertical="center" wrapText="1"/>
    </xf>
    <xf numFmtId="168" fontId="73" fillId="0" borderId="11" xfId="1" applyNumberFormat="1" applyFont="1" applyFill="1" applyBorder="1" applyAlignment="1">
      <alignment vertical="center"/>
    </xf>
    <xf numFmtId="168" fontId="73" fillId="0" borderId="0" xfId="1" applyNumberFormat="1" applyFont="1" applyFill="1" applyAlignment="1">
      <alignment vertical="center"/>
    </xf>
    <xf numFmtId="3" fontId="41" fillId="0" borderId="9" xfId="1" applyNumberFormat="1" applyFont="1" applyBorder="1" applyAlignment="1">
      <alignment horizontal="center" vertical="center"/>
    </xf>
    <xf numFmtId="0" fontId="41" fillId="0" borderId="9" xfId="4" applyFont="1" applyBorder="1" applyAlignment="1">
      <alignment vertical="center" wrapText="1"/>
    </xf>
    <xf numFmtId="168" fontId="73" fillId="0" borderId="9" xfId="1" applyNumberFormat="1" applyFont="1" applyBorder="1" applyAlignment="1">
      <alignment vertical="center" wrapText="1"/>
    </xf>
    <xf numFmtId="168" fontId="73" fillId="0" borderId="9" xfId="1" applyNumberFormat="1" applyFont="1" applyBorder="1" applyAlignment="1">
      <alignment vertical="center"/>
    </xf>
    <xf numFmtId="179" fontId="7" fillId="0" borderId="0" xfId="48" applyNumberFormat="1" applyFont="1" applyFill="1" applyAlignment="1">
      <alignment vertical="center"/>
    </xf>
    <xf numFmtId="170" fontId="39" fillId="0" borderId="0" xfId="13" applyNumberFormat="1" applyFont="1" applyFill="1" applyAlignment="1">
      <alignment horizontal="left" vertical="center"/>
    </xf>
    <xf numFmtId="170" fontId="74" fillId="0" borderId="0" xfId="13" applyNumberFormat="1" applyFont="1" applyFill="1" applyAlignment="1">
      <alignment horizontal="center" vertical="center"/>
    </xf>
    <xf numFmtId="170" fontId="75" fillId="0" borderId="0" xfId="13" applyNumberFormat="1" applyFont="1" applyFill="1" applyAlignment="1">
      <alignment horizontal="center" vertical="center"/>
    </xf>
    <xf numFmtId="187" fontId="38" fillId="0" borderId="0" xfId="1" applyNumberFormat="1" applyFont="1" applyFill="1" applyAlignment="1">
      <alignment vertical="center"/>
    </xf>
    <xf numFmtId="168" fontId="32" fillId="0" borderId="0" xfId="1" applyNumberFormat="1" applyFont="1" applyFill="1" applyAlignment="1">
      <alignment vertical="center"/>
    </xf>
    <xf numFmtId="170" fontId="32" fillId="0" borderId="0" xfId="11" applyNumberFormat="1" applyFont="1" applyFill="1" applyBorder="1" applyAlignment="1">
      <alignment vertical="center"/>
    </xf>
    <xf numFmtId="180" fontId="32" fillId="0" borderId="0" xfId="1" applyNumberFormat="1" applyFont="1" applyFill="1" applyAlignment="1">
      <alignment vertical="center"/>
    </xf>
    <xf numFmtId="168" fontId="32" fillId="0" borderId="0" xfId="11" applyNumberFormat="1" applyFont="1" applyFill="1" applyAlignment="1">
      <alignment vertical="center"/>
    </xf>
    <xf numFmtId="180" fontId="38" fillId="0" borderId="0" xfId="1" applyNumberFormat="1" applyFont="1" applyFill="1" applyAlignment="1">
      <alignment vertical="center"/>
    </xf>
    <xf numFmtId="170" fontId="39" fillId="0" borderId="0" xfId="11" applyNumberFormat="1" applyFont="1" applyFill="1" applyAlignment="1">
      <alignment vertical="center"/>
    </xf>
    <xf numFmtId="49" fontId="39" fillId="0" borderId="8" xfId="1" applyNumberFormat="1" applyFont="1" applyFill="1" applyBorder="1" applyAlignment="1">
      <alignment horizontal="center" vertical="center" wrapText="1"/>
    </xf>
    <xf numFmtId="168" fontId="39" fillId="0" borderId="8" xfId="1" applyNumberFormat="1" applyFont="1" applyFill="1" applyBorder="1" applyAlignment="1">
      <alignment horizontal="left" vertical="center" wrapText="1"/>
    </xf>
    <xf numFmtId="170" fontId="39" fillId="0" borderId="8" xfId="14" applyNumberFormat="1" applyFont="1" applyFill="1" applyBorder="1" applyAlignment="1">
      <alignment vertical="center" wrapText="1"/>
    </xf>
    <xf numFmtId="180" fontId="39" fillId="0" borderId="8" xfId="1" applyNumberFormat="1" applyFont="1" applyFill="1" applyBorder="1" applyAlignment="1">
      <alignment vertical="center" wrapText="1"/>
    </xf>
    <xf numFmtId="180" fontId="39" fillId="0" borderId="8" xfId="1" applyNumberFormat="1" applyFont="1" applyFill="1" applyBorder="1" applyAlignment="1">
      <alignment horizontal="center" vertical="center" wrapText="1"/>
    </xf>
    <xf numFmtId="49" fontId="32" fillId="0" borderId="8" xfId="1" applyNumberFormat="1" applyFont="1" applyFill="1" applyBorder="1" applyAlignment="1">
      <alignment horizontal="center" vertical="center" wrapText="1"/>
    </xf>
    <xf numFmtId="168" fontId="32" fillId="0" borderId="8" xfId="1" applyNumberFormat="1" applyFont="1" applyFill="1" applyBorder="1" applyAlignment="1">
      <alignment horizontal="left" vertical="center" wrapText="1"/>
    </xf>
    <xf numFmtId="170" fontId="32" fillId="0" borderId="8" xfId="14" applyNumberFormat="1" applyFont="1" applyFill="1" applyBorder="1" applyAlignment="1">
      <alignment vertical="center" wrapText="1"/>
    </xf>
    <xf numFmtId="180" fontId="32" fillId="0" borderId="8" xfId="1" applyNumberFormat="1" applyFont="1" applyFill="1" applyBorder="1" applyAlignment="1">
      <alignment horizontal="center" vertical="center" wrapText="1"/>
    </xf>
    <xf numFmtId="49" fontId="39" fillId="0" borderId="8" xfId="1" quotePrefix="1" applyNumberFormat="1" applyFont="1" applyFill="1" applyBorder="1" applyAlignment="1">
      <alignment horizontal="center" vertical="center" wrapText="1"/>
    </xf>
    <xf numFmtId="170" fontId="39" fillId="0" borderId="8" xfId="1" applyNumberFormat="1" applyFont="1" applyFill="1" applyBorder="1" applyAlignment="1">
      <alignment vertical="center" wrapText="1"/>
    </xf>
    <xf numFmtId="49" fontId="32" fillId="0" borderId="8" xfId="1" quotePrefix="1" applyNumberFormat="1" applyFont="1" applyFill="1" applyBorder="1" applyAlignment="1">
      <alignment horizontal="center" vertical="center" wrapText="1"/>
    </xf>
    <xf numFmtId="49" fontId="40" fillId="0" borderId="8" xfId="1" quotePrefix="1" applyNumberFormat="1" applyFont="1" applyFill="1" applyBorder="1" applyAlignment="1">
      <alignment horizontal="center" vertical="center" wrapText="1"/>
    </xf>
    <xf numFmtId="168" fontId="40" fillId="0" borderId="8" xfId="1" applyNumberFormat="1" applyFont="1" applyFill="1" applyBorder="1" applyAlignment="1">
      <alignment vertical="center" wrapText="1"/>
    </xf>
    <xf numFmtId="180" fontId="40" fillId="0" borderId="8" xfId="1" applyNumberFormat="1" applyFont="1" applyFill="1" applyBorder="1" applyAlignment="1">
      <alignment horizontal="center" vertical="center" wrapText="1"/>
    </xf>
    <xf numFmtId="170" fontId="39" fillId="0" borderId="8" xfId="11" applyNumberFormat="1" applyFont="1" applyFill="1" applyBorder="1" applyAlignment="1">
      <alignment vertical="center" wrapText="1"/>
    </xf>
    <xf numFmtId="170" fontId="40" fillId="0" borderId="8" xfId="11" applyNumberFormat="1" applyFont="1" applyFill="1" applyBorder="1" applyAlignment="1">
      <alignment vertical="center" wrapText="1"/>
    </xf>
    <xf numFmtId="170" fontId="40" fillId="0" borderId="8" xfId="1" applyNumberFormat="1" applyFont="1" applyFill="1" applyBorder="1" applyAlignment="1">
      <alignment vertical="center" wrapText="1"/>
    </xf>
    <xf numFmtId="49" fontId="39" fillId="0" borderId="8" xfId="1" applyNumberFormat="1" applyFont="1" applyFill="1" applyBorder="1" applyAlignment="1">
      <alignment vertical="center" wrapText="1"/>
    </xf>
    <xf numFmtId="49" fontId="40" fillId="0" borderId="8" xfId="1" applyNumberFormat="1" applyFont="1" applyFill="1" applyBorder="1" applyAlignment="1">
      <alignment vertical="center" wrapText="1"/>
    </xf>
    <xf numFmtId="170" fontId="39" fillId="0" borderId="8" xfId="11" applyNumberFormat="1" applyFont="1" applyFill="1" applyBorder="1" applyAlignment="1">
      <alignment horizontal="left" vertical="center" wrapText="1"/>
    </xf>
    <xf numFmtId="180" fontId="39" fillId="0" borderId="8" xfId="1" quotePrefix="1" applyNumberFormat="1" applyFont="1" applyFill="1" applyBorder="1" applyAlignment="1">
      <alignment horizontal="center" vertical="center" wrapText="1"/>
    </xf>
    <xf numFmtId="180" fontId="32" fillId="0" borderId="8" xfId="1" quotePrefix="1" applyNumberFormat="1" applyFont="1" applyFill="1" applyBorder="1" applyAlignment="1">
      <alignment horizontal="center" vertical="center" wrapText="1"/>
    </xf>
    <xf numFmtId="168" fontId="39" fillId="0" borderId="8" xfId="11" applyNumberFormat="1" applyFont="1" applyFill="1" applyBorder="1" applyAlignment="1">
      <alignment vertical="center" wrapText="1"/>
    </xf>
    <xf numFmtId="168" fontId="39" fillId="0" borderId="8" xfId="1" applyNumberFormat="1" applyFont="1" applyFill="1" applyBorder="1" applyAlignment="1">
      <alignment vertical="center"/>
    </xf>
    <xf numFmtId="168" fontId="32" fillId="0" borderId="8" xfId="11" applyNumberFormat="1" applyFont="1" applyFill="1" applyBorder="1" applyAlignment="1">
      <alignment vertical="center" wrapText="1"/>
    </xf>
    <xf numFmtId="168" fontId="32" fillId="0" borderId="8" xfId="1" applyNumberFormat="1" applyFont="1" applyFill="1" applyBorder="1" applyAlignment="1">
      <alignment vertical="center"/>
    </xf>
    <xf numFmtId="168" fontId="40" fillId="0" borderId="8" xfId="11" applyNumberFormat="1" applyFont="1" applyFill="1" applyBorder="1" applyAlignment="1">
      <alignment vertical="center" wrapText="1"/>
    </xf>
    <xf numFmtId="168" fontId="40" fillId="0" borderId="8" xfId="1" applyNumberFormat="1" applyFont="1" applyFill="1" applyBorder="1" applyAlignment="1">
      <alignment vertical="center"/>
    </xf>
    <xf numFmtId="180" fontId="47" fillId="0" borderId="8" xfId="1" applyNumberFormat="1" applyFont="1" applyFill="1" applyBorder="1" applyAlignment="1">
      <alignment vertical="center" wrapText="1"/>
    </xf>
    <xf numFmtId="180" fontId="32" fillId="0" borderId="8" xfId="1" applyNumberFormat="1" applyFont="1" applyFill="1" applyBorder="1" applyAlignment="1">
      <alignment vertical="center" wrapText="1"/>
    </xf>
    <xf numFmtId="49" fontId="32" fillId="0" borderId="9" xfId="1" quotePrefix="1" applyNumberFormat="1" applyFont="1" applyFill="1" applyBorder="1" applyAlignment="1">
      <alignment horizontal="center" vertical="center" wrapText="1"/>
    </xf>
    <xf numFmtId="168" fontId="32" fillId="0" borderId="9" xfId="1" applyNumberFormat="1" applyFont="1" applyFill="1" applyBorder="1" applyAlignment="1">
      <alignment horizontal="left" vertical="center" wrapText="1"/>
    </xf>
    <xf numFmtId="170" fontId="32" fillId="0" borderId="9" xfId="11" applyNumberFormat="1" applyFont="1" applyFill="1" applyBorder="1" applyAlignment="1">
      <alignment vertical="center" wrapText="1"/>
    </xf>
    <xf numFmtId="180" fontId="32" fillId="0" borderId="9" xfId="1" applyNumberFormat="1" applyFont="1" applyFill="1" applyBorder="1" applyAlignment="1">
      <alignment vertical="center" wrapText="1"/>
    </xf>
    <xf numFmtId="170" fontId="32" fillId="0" borderId="0" xfId="11" applyNumberFormat="1" applyFont="1" applyFill="1" applyBorder="1" applyAlignment="1">
      <alignment vertical="center" wrapText="1"/>
    </xf>
    <xf numFmtId="168" fontId="32" fillId="0" borderId="0" xfId="11" applyNumberFormat="1" applyFont="1" applyFill="1" applyBorder="1" applyAlignment="1">
      <alignment vertical="center" wrapText="1"/>
    </xf>
    <xf numFmtId="180" fontId="38" fillId="0" borderId="0" xfId="1" applyNumberFormat="1" applyFont="1" applyFill="1" applyBorder="1" applyAlignment="1">
      <alignment vertical="center" wrapText="1"/>
    </xf>
    <xf numFmtId="168" fontId="32" fillId="0" borderId="0" xfId="1" applyNumberFormat="1" applyFont="1" applyFill="1" applyBorder="1" applyAlignment="1">
      <alignment horizontal="center" vertical="center" wrapText="1"/>
    </xf>
    <xf numFmtId="170" fontId="32" fillId="0" borderId="0" xfId="11" applyNumberFormat="1" applyFont="1" applyFill="1" applyAlignment="1">
      <alignment vertical="center"/>
    </xf>
    <xf numFmtId="49" fontId="32" fillId="0" borderId="0" xfId="11" applyNumberFormat="1" applyFont="1" applyFill="1" applyBorder="1" applyAlignment="1">
      <alignment horizontal="left" vertical="center"/>
    </xf>
    <xf numFmtId="0" fontId="32" fillId="0" borderId="0" xfId="4" applyFont="1" applyAlignment="1">
      <alignment vertical="center"/>
    </xf>
    <xf numFmtId="49" fontId="32" fillId="0" borderId="0" xfId="4" applyNumberFormat="1" applyFont="1" applyAlignment="1">
      <alignment horizontal="center" vertical="center" wrapText="1"/>
    </xf>
    <xf numFmtId="49" fontId="39" fillId="0" borderId="0" xfId="4" applyNumberFormat="1" applyFont="1" applyAlignment="1">
      <alignment horizontal="center" vertical="center" wrapText="1"/>
    </xf>
    <xf numFmtId="0" fontId="32" fillId="0" borderId="0" xfId="4" applyFont="1" applyAlignment="1">
      <alignment horizontal="center" vertical="center"/>
    </xf>
    <xf numFmtId="170" fontId="39" fillId="0" borderId="0" xfId="4" applyNumberFormat="1" applyFont="1" applyAlignment="1">
      <alignment horizontal="center" vertical="center"/>
    </xf>
    <xf numFmtId="0" fontId="39" fillId="0" borderId="0" xfId="4" applyFont="1" applyAlignment="1">
      <alignment horizontal="center" vertical="center"/>
    </xf>
    <xf numFmtId="179" fontId="39" fillId="0" borderId="0" xfId="48" applyNumberFormat="1" applyFont="1" applyFill="1" applyAlignment="1">
      <alignment horizontal="center" vertical="center"/>
    </xf>
    <xf numFmtId="0" fontId="40" fillId="0" borderId="0" xfId="4" applyFont="1" applyAlignment="1">
      <alignment horizontal="center" vertical="center"/>
    </xf>
    <xf numFmtId="49" fontId="39" fillId="0" borderId="8" xfId="4" applyNumberFormat="1" applyFont="1" applyBorder="1" applyAlignment="1">
      <alignment horizontal="center" vertical="center" wrapText="1"/>
    </xf>
    <xf numFmtId="170" fontId="39" fillId="0" borderId="0" xfId="4" applyNumberFormat="1" applyFont="1" applyAlignment="1">
      <alignment vertical="center"/>
    </xf>
    <xf numFmtId="0" fontId="39" fillId="0" borderId="0" xfId="4" applyFont="1" applyAlignment="1">
      <alignment vertical="center"/>
    </xf>
    <xf numFmtId="182" fontId="39" fillId="0" borderId="8" xfId="15" applyNumberFormat="1" applyFont="1" applyBorder="1" applyAlignment="1">
      <alignment vertical="center" wrapText="1"/>
    </xf>
    <xf numFmtId="49" fontId="32" fillId="0" borderId="8" xfId="4" applyNumberFormat="1" applyFont="1" applyBorder="1" applyAlignment="1">
      <alignment horizontal="center" vertical="center" wrapText="1"/>
    </xf>
    <xf numFmtId="182" fontId="32" fillId="0" borderId="8" xfId="15" applyNumberFormat="1" applyFont="1" applyBorder="1" applyAlignment="1">
      <alignment vertical="center" wrapText="1"/>
    </xf>
    <xf numFmtId="170" fontId="32" fillId="0" borderId="0" xfId="4" applyNumberFormat="1" applyFont="1" applyAlignment="1">
      <alignment vertical="center"/>
    </xf>
    <xf numFmtId="0" fontId="38" fillId="0" borderId="8" xfId="8" applyFont="1" applyBorder="1" applyAlignment="1">
      <alignment vertical="center" wrapText="1"/>
    </xf>
    <xf numFmtId="0" fontId="42" fillId="0" borderId="0" xfId="4" applyFont="1" applyAlignment="1">
      <alignment vertical="center"/>
    </xf>
    <xf numFmtId="49" fontId="32" fillId="0" borderId="8" xfId="4" quotePrefix="1" applyNumberFormat="1" applyFont="1" applyBorder="1" applyAlignment="1">
      <alignment horizontal="center" vertical="center" wrapText="1"/>
    </xf>
    <xf numFmtId="49" fontId="40" fillId="0" borderId="8" xfId="4" applyNumberFormat="1" applyFont="1" applyBorder="1" applyAlignment="1">
      <alignment horizontal="center" vertical="center" wrapText="1"/>
    </xf>
    <xf numFmtId="0" fontId="40" fillId="0" borderId="8" xfId="4" applyFont="1" applyBorder="1" applyAlignment="1">
      <alignment vertical="center" wrapText="1"/>
    </xf>
    <xf numFmtId="0" fontId="40" fillId="0" borderId="0" xfId="4" applyFont="1" applyAlignment="1">
      <alignment vertical="center"/>
    </xf>
    <xf numFmtId="49" fontId="39" fillId="0" borderId="8" xfId="4" quotePrefix="1" applyNumberFormat="1" applyFont="1" applyBorder="1" applyAlignment="1">
      <alignment horizontal="center" vertical="center" wrapText="1"/>
    </xf>
    <xf numFmtId="49" fontId="32" fillId="0" borderId="0" xfId="4" applyNumberFormat="1" applyFont="1" applyAlignment="1">
      <alignment horizontal="left" vertical="center"/>
    </xf>
    <xf numFmtId="0" fontId="32" fillId="0" borderId="0" xfId="4" applyFont="1" applyAlignment="1">
      <alignment vertical="center" wrapText="1"/>
    </xf>
    <xf numFmtId="0" fontId="32" fillId="0" borderId="0" xfId="4" applyFont="1" applyAlignment="1">
      <alignment horizontal="left" vertical="center"/>
    </xf>
    <xf numFmtId="0" fontId="66" fillId="0" borderId="12" xfId="25" applyFont="1" applyBorder="1"/>
    <xf numFmtId="0" fontId="66" fillId="0" borderId="0" xfId="25" applyFont="1"/>
    <xf numFmtId="0" fontId="31" fillId="0" borderId="0" xfId="18" applyFont="1" applyAlignment="1">
      <alignment vertical="center"/>
    </xf>
    <xf numFmtId="170" fontId="31" fillId="0" borderId="0" xfId="18" applyNumberFormat="1" applyFont="1" applyAlignment="1">
      <alignment vertical="center"/>
    </xf>
    <xf numFmtId="170" fontId="31" fillId="0" borderId="0" xfId="18" applyNumberFormat="1" applyFont="1" applyAlignment="1">
      <alignment horizontal="center" vertical="center"/>
    </xf>
    <xf numFmtId="170" fontId="23" fillId="0" borderId="0" xfId="18" applyNumberFormat="1" applyFont="1" applyAlignment="1">
      <alignment vertical="center"/>
    </xf>
    <xf numFmtId="0" fontId="8" fillId="0" borderId="0" xfId="18" applyFont="1" applyAlignment="1">
      <alignment horizontal="center" vertical="center"/>
    </xf>
    <xf numFmtId="0" fontId="8" fillId="0" borderId="18" xfId="18" applyFont="1" applyBorder="1" applyAlignment="1">
      <alignment horizontal="center" vertical="center" wrapText="1"/>
    </xf>
    <xf numFmtId="175" fontId="7" fillId="0" borderId="0" xfId="18" applyNumberFormat="1" applyFont="1" applyAlignment="1">
      <alignment vertical="center"/>
    </xf>
    <xf numFmtId="0" fontId="7" fillId="0" borderId="8" xfId="18" applyFont="1" applyBorder="1" applyAlignment="1">
      <alignment horizontal="center" vertical="center" wrapText="1"/>
    </xf>
    <xf numFmtId="0" fontId="7" fillId="0" borderId="8" xfId="51" applyFont="1" applyBorder="1" applyAlignment="1">
      <alignment horizontal="center" vertical="center" wrapText="1"/>
    </xf>
    <xf numFmtId="0" fontId="7" fillId="0" borderId="8" xfId="51" applyFont="1" applyBorder="1" applyAlignment="1">
      <alignment horizontal="left" vertical="center" wrapText="1"/>
    </xf>
    <xf numFmtId="0" fontId="43" fillId="0" borderId="8" xfId="18" applyFont="1" applyBorder="1" applyAlignment="1">
      <alignment horizontal="center" vertical="center"/>
    </xf>
    <xf numFmtId="0" fontId="7" fillId="0" borderId="8" xfId="18" applyFont="1" applyBorder="1" applyAlignment="1">
      <alignment vertical="center"/>
    </xf>
    <xf numFmtId="0" fontId="8" fillId="0" borderId="8" xfId="18" applyFont="1" applyBorder="1" applyAlignment="1">
      <alignment horizontal="left" vertical="center"/>
    </xf>
    <xf numFmtId="0" fontId="8" fillId="0" borderId="8" xfId="18" applyFont="1" applyBorder="1" applyAlignment="1">
      <alignment vertical="center"/>
    </xf>
    <xf numFmtId="3" fontId="7" fillId="0" borderId="8" xfId="39" applyNumberFormat="1" applyFont="1" applyBorder="1" applyAlignment="1">
      <alignment horizontal="center" vertical="center" wrapText="1"/>
    </xf>
    <xf numFmtId="0" fontId="7" fillId="0" borderId="8" xfId="30" quotePrefix="1" applyFont="1" applyBorder="1" applyAlignment="1">
      <alignment horizontal="left" vertical="center" wrapText="1"/>
    </xf>
    <xf numFmtId="0" fontId="7" fillId="0" borderId="8" xfId="18" applyFont="1" applyBorder="1" applyAlignment="1">
      <alignment vertical="center" wrapText="1"/>
    </xf>
    <xf numFmtId="0" fontId="8" fillId="0" borderId="8" xfId="18" applyFont="1" applyBorder="1" applyAlignment="1">
      <alignment vertical="center" wrapText="1"/>
    </xf>
    <xf numFmtId="3" fontId="7" fillId="0" borderId="8" xfId="39" applyNumberFormat="1" applyFont="1" applyBorder="1" applyAlignment="1">
      <alignment vertical="center" wrapText="1"/>
    </xf>
    <xf numFmtId="3" fontId="8" fillId="0" borderId="8" xfId="39" applyNumberFormat="1" applyFont="1" applyBorder="1" applyAlignment="1">
      <alignment horizontal="center" vertical="center" wrapText="1"/>
    </xf>
    <xf numFmtId="0" fontId="43" fillId="0" borderId="8" xfId="18" applyFont="1" applyBorder="1" applyAlignment="1">
      <alignment horizontal="center" vertical="center" wrapText="1"/>
    </xf>
    <xf numFmtId="0" fontId="8" fillId="0" borderId="11" xfId="18" applyFont="1" applyBorder="1" applyAlignment="1">
      <alignment horizontal="center" vertical="center" wrapText="1"/>
    </xf>
    <xf numFmtId="0" fontId="8" fillId="0" borderId="11" xfId="18" applyFont="1" applyBorder="1" applyAlignment="1">
      <alignment horizontal="left" vertical="center" wrapText="1"/>
    </xf>
    <xf numFmtId="0" fontId="8" fillId="0" borderId="9" xfId="18" applyFont="1" applyBorder="1" applyAlignment="1">
      <alignment horizontal="center" vertical="center" wrapText="1"/>
    </xf>
    <xf numFmtId="0" fontId="8" fillId="0" borderId="9" xfId="18" applyFont="1" applyBorder="1" applyAlignment="1">
      <alignment horizontal="left" vertical="center" wrapText="1"/>
    </xf>
    <xf numFmtId="0" fontId="7" fillId="0" borderId="0" xfId="18" quotePrefix="1" applyFont="1" applyAlignment="1">
      <alignment vertical="center"/>
    </xf>
    <xf numFmtId="0" fontId="7" fillId="0" borderId="0" xfId="18" applyFont="1" applyAlignment="1">
      <alignment horizontal="center" vertical="center"/>
    </xf>
    <xf numFmtId="0" fontId="7" fillId="0" borderId="11" xfId="18" applyFont="1" applyBorder="1" applyAlignment="1">
      <alignment horizontal="center" vertical="center" wrapText="1"/>
    </xf>
    <xf numFmtId="0" fontId="7" fillId="0" borderId="11" xfId="18" applyFont="1" applyBorder="1" applyAlignment="1">
      <alignment horizontal="left" vertical="center" wrapText="1"/>
    </xf>
    <xf numFmtId="11" fontId="8" fillId="0" borderId="8" xfId="1" applyNumberFormat="1" applyFont="1" applyFill="1" applyBorder="1" applyAlignment="1">
      <alignment vertical="center" wrapText="1"/>
    </xf>
    <xf numFmtId="11" fontId="7" fillId="0" borderId="8" xfId="10" applyNumberFormat="1" applyFont="1" applyFill="1" applyBorder="1" applyAlignment="1">
      <alignment vertical="center" wrapText="1"/>
    </xf>
    <xf numFmtId="49" fontId="12" fillId="0" borderId="11" xfId="1" quotePrefix="1" applyNumberFormat="1" applyFont="1" applyFill="1" applyBorder="1" applyAlignment="1">
      <alignment horizontal="center" vertical="center" wrapText="1"/>
    </xf>
    <xf numFmtId="11" fontId="12" fillId="0" borderId="8" xfId="10" applyNumberFormat="1" applyFont="1" applyFill="1" applyBorder="1" applyAlignment="1">
      <alignment vertical="center" wrapText="1"/>
    </xf>
    <xf numFmtId="168" fontId="12" fillId="0" borderId="11" xfId="1" applyNumberFormat="1" applyFont="1" applyFill="1" applyBorder="1" applyAlignment="1">
      <alignment horizontal="center" vertical="center" wrapText="1"/>
    </xf>
    <xf numFmtId="182" fontId="12" fillId="0" borderId="11" xfId="1" applyNumberFormat="1" applyFont="1" applyFill="1" applyBorder="1" applyAlignment="1">
      <alignment horizontal="center" vertical="center" wrapText="1"/>
    </xf>
    <xf numFmtId="167" fontId="12" fillId="0" borderId="8" xfId="10" applyFont="1" applyFill="1" applyBorder="1" applyAlignment="1">
      <alignment vertical="center" wrapText="1"/>
    </xf>
    <xf numFmtId="3" fontId="32" fillId="0" borderId="11" xfId="37" quotePrefix="1" applyNumberFormat="1" applyFont="1" applyFill="1" applyBorder="1" applyAlignment="1">
      <alignment horizontal="center" vertical="center" wrapText="1"/>
    </xf>
    <xf numFmtId="167" fontId="32" fillId="0" borderId="0" xfId="1" applyFont="1" applyFill="1" applyAlignment="1">
      <alignment vertical="center"/>
    </xf>
    <xf numFmtId="49" fontId="32" fillId="0" borderId="0" xfId="1" applyNumberFormat="1" applyFont="1" applyFill="1" applyAlignment="1">
      <alignment horizontal="right" vertical="center"/>
    </xf>
    <xf numFmtId="49" fontId="32" fillId="0" borderId="5" xfId="1" applyNumberFormat="1" applyFont="1" applyFill="1" applyBorder="1" applyAlignment="1">
      <alignment horizontal="center" vertical="center" wrapText="1"/>
    </xf>
    <xf numFmtId="173" fontId="39" fillId="0" borderId="8" xfId="1" applyNumberFormat="1" applyFont="1" applyFill="1" applyBorder="1" applyAlignment="1">
      <alignment vertical="center"/>
    </xf>
    <xf numFmtId="41" fontId="39" fillId="0" borderId="8" xfId="1" applyNumberFormat="1" applyFont="1" applyFill="1" applyBorder="1" applyAlignment="1">
      <alignment vertical="center"/>
    </xf>
    <xf numFmtId="41" fontId="32" fillId="0" borderId="8" xfId="1" applyNumberFormat="1" applyFont="1" applyFill="1" applyBorder="1" applyAlignment="1">
      <alignment vertical="center"/>
    </xf>
    <xf numFmtId="173" fontId="32" fillId="0" borderId="8" xfId="1" applyNumberFormat="1" applyFont="1" applyFill="1" applyBorder="1" applyAlignment="1">
      <alignment vertical="center"/>
    </xf>
    <xf numFmtId="180" fontId="32" fillId="0" borderId="8" xfId="1" applyNumberFormat="1" applyFont="1" applyFill="1" applyBorder="1" applyAlignment="1">
      <alignment vertical="center"/>
    </xf>
    <xf numFmtId="168" fontId="32" fillId="0" borderId="8" xfId="10" quotePrefix="1" applyNumberFormat="1" applyFont="1" applyFill="1" applyBorder="1" applyAlignment="1" applyProtection="1">
      <alignment horizontal="center" vertical="center" wrapText="1"/>
    </xf>
    <xf numFmtId="167" fontId="32" fillId="0" borderId="8" xfId="10" applyFont="1" applyFill="1" applyBorder="1" applyAlignment="1" applyProtection="1">
      <alignment vertical="center" wrapText="1"/>
    </xf>
    <xf numFmtId="170" fontId="39" fillId="0" borderId="9" xfId="12" applyNumberFormat="1" applyFont="1" applyFill="1" applyBorder="1" applyAlignment="1">
      <alignment vertical="center" wrapText="1"/>
    </xf>
    <xf numFmtId="170" fontId="39" fillId="0" borderId="18" xfId="12" applyNumberFormat="1" applyFont="1" applyFill="1" applyBorder="1" applyAlignment="1">
      <alignment vertical="center" wrapText="1"/>
    </xf>
    <xf numFmtId="168" fontId="39" fillId="0" borderId="8" xfId="10" quotePrefix="1" applyNumberFormat="1" applyFont="1" applyFill="1" applyBorder="1" applyAlignment="1" applyProtection="1">
      <alignment horizontal="center" vertical="center" wrapText="1"/>
    </xf>
    <xf numFmtId="167" fontId="39" fillId="0" borderId="8" xfId="10" applyFont="1" applyFill="1" applyBorder="1" applyAlignment="1" applyProtection="1">
      <alignment vertical="center" wrapText="1"/>
    </xf>
    <xf numFmtId="168" fontId="32" fillId="0" borderId="9" xfId="10" quotePrefix="1" applyNumberFormat="1" applyFont="1" applyFill="1" applyBorder="1" applyAlignment="1" applyProtection="1">
      <alignment horizontal="center" vertical="center" wrapText="1"/>
    </xf>
    <xf numFmtId="167" fontId="32" fillId="0" borderId="9" xfId="10" applyFont="1" applyFill="1" applyBorder="1" applyAlignment="1" applyProtection="1">
      <alignment vertical="center" wrapText="1"/>
    </xf>
    <xf numFmtId="41" fontId="32" fillId="0" borderId="9" xfId="1" applyNumberFormat="1" applyFont="1" applyFill="1" applyBorder="1" applyAlignment="1">
      <alignment vertical="center"/>
    </xf>
    <xf numFmtId="173" fontId="32" fillId="0" borderId="9" xfId="1" applyNumberFormat="1" applyFont="1" applyFill="1" applyBorder="1" applyAlignment="1">
      <alignment vertical="center"/>
    </xf>
    <xf numFmtId="168" fontId="39" fillId="0" borderId="0" xfId="1" applyNumberFormat="1" applyFont="1" applyFill="1" applyAlignment="1">
      <alignment vertical="center"/>
    </xf>
    <xf numFmtId="41" fontId="32" fillId="0" borderId="8" xfId="1" applyNumberFormat="1" applyFont="1" applyFill="1" applyBorder="1" applyAlignment="1">
      <alignment horizontal="center" vertical="center"/>
    </xf>
    <xf numFmtId="49" fontId="57" fillId="0" borderId="0" xfId="12" applyNumberFormat="1" applyFont="1" applyFill="1" applyAlignment="1">
      <alignment horizontal="center" vertical="center"/>
    </xf>
    <xf numFmtId="170" fontId="32" fillId="0" borderId="8" xfId="12" applyNumberFormat="1" applyFont="1" applyFill="1" applyBorder="1" applyAlignment="1">
      <alignment horizontal="justify" vertical="center" wrapText="1"/>
    </xf>
    <xf numFmtId="175" fontId="32" fillId="0" borderId="8" xfId="12" applyNumberFormat="1" applyFont="1" applyFill="1" applyBorder="1" applyAlignment="1">
      <alignment horizontal="center" vertical="center"/>
    </xf>
    <xf numFmtId="49" fontId="32" fillId="0" borderId="8" xfId="12" applyNumberFormat="1" applyFont="1" applyFill="1" applyBorder="1" applyAlignment="1">
      <alignment horizontal="left" vertical="center" wrapText="1"/>
    </xf>
    <xf numFmtId="49" fontId="32" fillId="0" borderId="8" xfId="12" applyNumberFormat="1" applyFont="1" applyFill="1" applyBorder="1" applyAlignment="1">
      <alignment vertical="center" wrapText="1"/>
    </xf>
    <xf numFmtId="170" fontId="32" fillId="0" borderId="8" xfId="12" quotePrefix="1" applyNumberFormat="1" applyFont="1" applyFill="1" applyBorder="1" applyAlignment="1">
      <alignment vertical="center" wrapText="1"/>
    </xf>
    <xf numFmtId="170" fontId="40" fillId="0" borderId="8" xfId="12" quotePrefix="1" applyNumberFormat="1" applyFont="1" applyFill="1" applyBorder="1" applyAlignment="1">
      <alignment horizontal="center" vertical="center"/>
    </xf>
    <xf numFmtId="10" fontId="40" fillId="0" borderId="8" xfId="9" applyNumberFormat="1" applyFont="1" applyFill="1" applyBorder="1" applyAlignment="1">
      <alignment horizontal="right" vertical="center"/>
    </xf>
    <xf numFmtId="170" fontId="40" fillId="0" borderId="8" xfId="9" applyNumberFormat="1" applyFont="1" applyFill="1" applyBorder="1" applyAlignment="1">
      <alignment horizontal="right" vertical="center"/>
    </xf>
    <xf numFmtId="170" fontId="32" fillId="0" borderId="8" xfId="12" applyNumberFormat="1" applyFont="1" applyFill="1" applyBorder="1" applyAlignment="1">
      <alignment horizontal="center" vertical="top" wrapText="1"/>
    </xf>
    <xf numFmtId="43" fontId="39" fillId="0" borderId="8" xfId="12" applyFont="1" applyFill="1" applyBorder="1" applyAlignment="1">
      <alignment vertical="center"/>
    </xf>
    <xf numFmtId="49" fontId="40" fillId="0" borderId="8" xfId="12" quotePrefix="1" applyNumberFormat="1" applyFont="1" applyFill="1" applyBorder="1" applyAlignment="1">
      <alignment horizontal="center" vertical="center"/>
    </xf>
    <xf numFmtId="41" fontId="40" fillId="0" borderId="8" xfId="12" applyNumberFormat="1" applyFont="1" applyFill="1" applyBorder="1" applyAlignment="1">
      <alignment vertical="center"/>
    </xf>
    <xf numFmtId="173" fontId="40" fillId="0" borderId="8" xfId="12" applyNumberFormat="1" applyFont="1" applyFill="1" applyBorder="1" applyAlignment="1">
      <alignment vertical="center"/>
    </xf>
    <xf numFmtId="170" fontId="39" fillId="0" borderId="0" xfId="12" applyNumberFormat="1" applyFont="1" applyFill="1" applyAlignment="1">
      <alignment vertical="center" wrapText="1"/>
    </xf>
    <xf numFmtId="170" fontId="32" fillId="0" borderId="8" xfId="12" quotePrefix="1" applyNumberFormat="1" applyFont="1" applyFill="1" applyBorder="1" applyAlignment="1">
      <alignment horizontal="center" vertical="top" wrapText="1"/>
    </xf>
    <xf numFmtId="186" fontId="32" fillId="0" borderId="8" xfId="12" quotePrefix="1" applyNumberFormat="1" applyFont="1" applyFill="1" applyBorder="1" applyAlignment="1">
      <alignment vertical="center" wrapText="1"/>
    </xf>
    <xf numFmtId="49" fontId="39" fillId="0" borderId="9" xfId="12" applyNumberFormat="1" applyFont="1" applyFill="1" applyBorder="1" applyAlignment="1">
      <alignment horizontal="center" vertical="center"/>
    </xf>
    <xf numFmtId="43" fontId="39" fillId="0" borderId="9" xfId="12" applyFont="1" applyFill="1" applyBorder="1" applyAlignment="1">
      <alignment horizontal="left" vertical="center" wrapText="1"/>
    </xf>
    <xf numFmtId="170" fontId="39" fillId="0" borderId="9" xfId="12" quotePrefix="1" applyNumberFormat="1" applyFont="1" applyFill="1" applyBorder="1" applyAlignment="1">
      <alignment horizontal="center" vertical="center"/>
    </xf>
    <xf numFmtId="43" fontId="39" fillId="0" borderId="9" xfId="12" applyFont="1" applyFill="1" applyBorder="1" applyAlignment="1">
      <alignment horizontal="center" vertical="center" wrapText="1"/>
    </xf>
    <xf numFmtId="168" fontId="32" fillId="0" borderId="0" xfId="1" applyNumberFormat="1" applyFont="1" applyFill="1"/>
    <xf numFmtId="168" fontId="39" fillId="0" borderId="10" xfId="1" applyNumberFormat="1" applyFont="1" applyFill="1" applyBorder="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horizontal="left" vertical="center" wrapText="1"/>
    </xf>
    <xf numFmtId="170" fontId="34" fillId="0" borderId="0" xfId="0" applyNumberFormat="1" applyFont="1" applyAlignment="1">
      <alignment horizontal="center" vertical="center" wrapText="1"/>
    </xf>
    <xf numFmtId="0" fontId="33" fillId="0" borderId="0" xfId="21" applyFont="1" applyAlignment="1">
      <alignment horizontal="left" vertical="center" wrapText="1"/>
    </xf>
    <xf numFmtId="170" fontId="33" fillId="0" borderId="0" xfId="21" applyNumberFormat="1" applyFont="1" applyAlignment="1">
      <alignment horizontal="center" vertical="center" wrapText="1"/>
    </xf>
    <xf numFmtId="190" fontId="35" fillId="0" borderId="0" xfId="0" applyNumberFormat="1" applyFont="1" applyAlignment="1">
      <alignment horizontal="right" vertical="center" wrapText="1"/>
    </xf>
    <xf numFmtId="170" fontId="35" fillId="0" borderId="0" xfId="0" applyNumberFormat="1" applyFont="1" applyAlignment="1">
      <alignment horizontal="right" vertical="center" wrapText="1"/>
    </xf>
    <xf numFmtId="0" fontId="35" fillId="0" borderId="0" xfId="0" applyFont="1" applyAlignment="1">
      <alignment horizontal="right" vertical="center" wrapText="1"/>
    </xf>
    <xf numFmtId="0" fontId="33" fillId="0" borderId="10" xfId="21" applyFont="1" applyBorder="1" applyAlignment="1">
      <alignment vertical="center" wrapText="1"/>
    </xf>
    <xf numFmtId="0" fontId="33" fillId="0" borderId="14" xfId="21" applyFont="1" applyBorder="1" applyAlignment="1">
      <alignment horizontal="center" vertical="center" wrapText="1"/>
    </xf>
    <xf numFmtId="170" fontId="33" fillId="0" borderId="0" xfId="0" applyNumberFormat="1" applyFont="1" applyAlignment="1">
      <alignment horizontal="center" vertical="center" wrapText="1"/>
    </xf>
    <xf numFmtId="0" fontId="35" fillId="0" borderId="10" xfId="21" applyFont="1" applyBorder="1" applyAlignment="1">
      <alignment horizontal="center" vertical="center" wrapText="1"/>
    </xf>
    <xf numFmtId="0" fontId="33" fillId="0" borderId="0" xfId="0" applyFont="1" applyAlignment="1">
      <alignment horizontal="center" vertical="center" wrapText="1"/>
    </xf>
    <xf numFmtId="0" fontId="33" fillId="0" borderId="7" xfId="22" applyFont="1" applyBorder="1" applyAlignment="1">
      <alignment horizontal="center" vertical="center" wrapText="1"/>
    </xf>
    <xf numFmtId="170" fontId="33" fillId="0" borderId="7" xfId="0" applyNumberFormat="1" applyFont="1" applyBorder="1" applyAlignment="1">
      <alignment horizontal="center" vertical="center" wrapText="1"/>
    </xf>
    <xf numFmtId="0" fontId="33" fillId="0" borderId="8" xfId="22" applyFont="1" applyBorder="1" applyAlignment="1">
      <alignment horizontal="center" vertical="center" wrapText="1"/>
    </xf>
    <xf numFmtId="0" fontId="33" fillId="0" borderId="8" xfId="0" applyFont="1" applyBorder="1" applyAlignment="1">
      <alignment horizontal="center" vertical="center" wrapText="1"/>
    </xf>
    <xf numFmtId="175" fontId="34" fillId="0" borderId="0" xfId="0" applyNumberFormat="1" applyFont="1" applyAlignment="1">
      <alignment horizontal="center" vertical="center" wrapText="1"/>
    </xf>
    <xf numFmtId="0" fontId="33" fillId="0" borderId="8" xfId="22" applyFont="1" applyBorder="1" applyAlignment="1">
      <alignment horizontal="left" vertical="center" wrapText="1"/>
    </xf>
    <xf numFmtId="49" fontId="33" fillId="0" borderId="8" xfId="23" applyNumberFormat="1" applyFont="1" applyBorder="1" applyAlignment="1">
      <alignment horizontal="center" vertical="center" wrapText="1"/>
    </xf>
    <xf numFmtId="0" fontId="33" fillId="0" borderId="8" xfId="0" applyFont="1" applyBorder="1" applyAlignment="1">
      <alignment horizontal="left" vertical="center" wrapText="1"/>
    </xf>
    <xf numFmtId="190" fontId="33" fillId="0" borderId="0" xfId="0" applyNumberFormat="1" applyFont="1" applyAlignment="1">
      <alignment horizontal="center" vertical="center" wrapText="1"/>
    </xf>
    <xf numFmtId="49" fontId="34" fillId="0" borderId="8" xfId="23" applyNumberFormat="1" applyFont="1" applyBorder="1" applyAlignment="1">
      <alignment horizontal="center" vertical="center" wrapText="1"/>
    </xf>
    <xf numFmtId="0" fontId="34" fillId="0" borderId="8" xfId="0" applyFont="1" applyBorder="1" applyAlignment="1">
      <alignment horizontal="left" vertical="center" wrapText="1"/>
    </xf>
    <xf numFmtId="170" fontId="34" fillId="0" borderId="8" xfId="0" applyNumberFormat="1" applyFont="1" applyBorder="1" applyAlignment="1">
      <alignment horizontal="right" vertical="center" wrapText="1"/>
    </xf>
    <xf numFmtId="0" fontId="33" fillId="0" borderId="8" xfId="24" applyFont="1" applyBorder="1" applyAlignment="1">
      <alignment horizontal="left" vertical="center" wrapText="1"/>
    </xf>
    <xf numFmtId="170" fontId="33" fillId="0" borderId="8" xfId="0" applyNumberFormat="1" applyFont="1" applyBorder="1" applyAlignment="1">
      <alignment horizontal="right" vertical="center" wrapText="1"/>
    </xf>
    <xf numFmtId="3" fontId="34" fillId="0" borderId="8" xfId="23" applyNumberFormat="1" applyFont="1" applyBorder="1" applyAlignment="1">
      <alignment horizontal="left" vertical="center" wrapText="1"/>
    </xf>
    <xf numFmtId="0" fontId="34" fillId="0" borderId="8" xfId="0" applyFont="1" applyBorder="1" applyAlignment="1">
      <alignment horizontal="left" vertical="center"/>
    </xf>
    <xf numFmtId="3" fontId="25" fillId="0" borderId="8" xfId="23" applyNumberFormat="1" applyFont="1" applyBorder="1" applyAlignment="1">
      <alignment horizontal="left" vertical="center" wrapText="1"/>
    </xf>
    <xf numFmtId="49" fontId="33" fillId="0" borderId="9" xfId="23" applyNumberFormat="1" applyFont="1" applyBorder="1" applyAlignment="1">
      <alignment horizontal="center" vertical="center" wrapText="1"/>
    </xf>
    <xf numFmtId="170" fontId="33" fillId="0" borderId="9" xfId="0" applyNumberFormat="1" applyFont="1" applyBorder="1" applyAlignment="1">
      <alignment horizontal="right" vertical="center" wrapText="1"/>
    </xf>
    <xf numFmtId="0" fontId="33" fillId="0" borderId="9" xfId="0" applyFont="1" applyBorder="1" applyAlignment="1">
      <alignment horizontal="center" vertical="center" wrapText="1"/>
    </xf>
    <xf numFmtId="0" fontId="27" fillId="0" borderId="0" xfId="0" applyFont="1"/>
    <xf numFmtId="0" fontId="33" fillId="0" borderId="9" xfId="0" applyFont="1" applyBorder="1" applyAlignment="1">
      <alignment horizontal="left" vertical="center" wrapText="1"/>
    </xf>
    <xf numFmtId="168" fontId="39" fillId="0" borderId="0" xfId="1" applyNumberFormat="1" applyFont="1" applyFill="1" applyBorder="1" applyAlignment="1" applyProtection="1">
      <alignment horizontal="left" vertical="center"/>
    </xf>
    <xf numFmtId="167" fontId="32" fillId="0" borderId="0" xfId="1" applyFont="1" applyFill="1" applyBorder="1" applyAlignment="1" applyProtection="1">
      <alignment vertical="center"/>
    </xf>
    <xf numFmtId="179" fontId="32" fillId="0" borderId="0" xfId="48" applyNumberFormat="1" applyFont="1" applyFill="1" applyBorder="1" applyAlignment="1" applyProtection="1">
      <alignment vertical="center"/>
    </xf>
    <xf numFmtId="168" fontId="32" fillId="0" borderId="0" xfId="1" applyNumberFormat="1" applyFont="1" applyFill="1" applyBorder="1" applyAlignment="1" applyProtection="1">
      <alignment vertical="center"/>
    </xf>
    <xf numFmtId="180" fontId="32" fillId="0" borderId="0" xfId="1" applyNumberFormat="1" applyFont="1" applyFill="1" applyBorder="1" applyAlignment="1" applyProtection="1">
      <alignment vertical="center"/>
    </xf>
    <xf numFmtId="168" fontId="39" fillId="0" borderId="0" xfId="1" applyNumberFormat="1" applyFont="1" applyFill="1" applyBorder="1" applyAlignment="1" applyProtection="1">
      <alignment horizontal="center" vertical="center"/>
    </xf>
    <xf numFmtId="168" fontId="39" fillId="0" borderId="0" xfId="1" applyNumberFormat="1" applyFont="1" applyFill="1" applyBorder="1" applyAlignment="1" applyProtection="1">
      <alignment vertical="center"/>
    </xf>
    <xf numFmtId="168" fontId="40" fillId="0" borderId="0" xfId="1" applyNumberFormat="1" applyFont="1" applyFill="1" applyBorder="1" applyAlignment="1" applyProtection="1">
      <alignment horizontal="center" vertical="center"/>
    </xf>
    <xf numFmtId="168" fontId="32" fillId="0" borderId="0" xfId="1" applyNumberFormat="1" applyFont="1" applyFill="1" applyBorder="1" applyAlignment="1" applyProtection="1">
      <alignment horizontal="center" vertical="center"/>
    </xf>
    <xf numFmtId="167" fontId="32" fillId="0" borderId="0" xfId="1" applyFont="1" applyFill="1" applyBorder="1" applyAlignment="1" applyProtection="1">
      <alignment horizontal="right" vertical="center"/>
    </xf>
    <xf numFmtId="167" fontId="39" fillId="0" borderId="4" xfId="1" applyFont="1" applyFill="1" applyBorder="1" applyAlignment="1" applyProtection="1">
      <alignment horizontal="center" vertical="center" wrapText="1"/>
    </xf>
    <xf numFmtId="167" fontId="39" fillId="0" borderId="10" xfId="1" applyFont="1" applyFill="1" applyBorder="1" applyAlignment="1">
      <alignment horizontal="center" vertical="center" wrapText="1"/>
    </xf>
    <xf numFmtId="168" fontId="39" fillId="0" borderId="7" xfId="1" applyNumberFormat="1" applyFont="1" applyFill="1" applyBorder="1" applyAlignment="1" applyProtection="1">
      <alignment horizontal="center" vertical="center" wrapText="1"/>
    </xf>
    <xf numFmtId="167" fontId="39" fillId="0" borderId="7" xfId="1" applyFont="1" applyFill="1" applyBorder="1" applyAlignment="1" applyProtection="1">
      <alignment horizontal="left" vertical="center" wrapText="1"/>
    </xf>
    <xf numFmtId="167" fontId="39" fillId="0" borderId="7" xfId="1" applyFont="1" applyFill="1" applyBorder="1" applyAlignment="1" applyProtection="1">
      <alignment horizontal="center" vertical="center" wrapText="1"/>
    </xf>
    <xf numFmtId="180" fontId="39" fillId="0" borderId="7" xfId="1" applyNumberFormat="1" applyFont="1" applyFill="1" applyBorder="1" applyAlignment="1">
      <alignment horizontal="center" vertical="center" wrapText="1"/>
    </xf>
    <xf numFmtId="168" fontId="39" fillId="0" borderId="7" xfId="1" applyNumberFormat="1" applyFont="1" applyFill="1" applyBorder="1" applyAlignment="1">
      <alignment horizontal="center" vertical="center" wrapText="1"/>
    </xf>
    <xf numFmtId="167" fontId="39" fillId="0" borderId="7" xfId="1" applyFont="1" applyFill="1" applyBorder="1" applyAlignment="1">
      <alignment horizontal="center" vertical="center" wrapText="1"/>
    </xf>
    <xf numFmtId="167" fontId="39" fillId="0" borderId="0" xfId="1" applyFont="1" applyFill="1" applyBorder="1" applyAlignment="1" applyProtection="1">
      <alignment vertical="center"/>
    </xf>
    <xf numFmtId="168" fontId="39" fillId="0" borderId="8" xfId="1" applyNumberFormat="1" applyFont="1" applyFill="1" applyBorder="1" applyAlignment="1" applyProtection="1">
      <alignment horizontal="center" vertical="center" wrapText="1"/>
    </xf>
    <xf numFmtId="167" fontId="39" fillId="0" borderId="8" xfId="1" applyFont="1" applyFill="1" applyBorder="1" applyAlignment="1" applyProtection="1">
      <alignment horizontal="left" vertical="center" wrapText="1"/>
    </xf>
    <xf numFmtId="180" fontId="39" fillId="0" borderId="8" xfId="1" applyNumberFormat="1" applyFont="1" applyFill="1" applyBorder="1" applyAlignment="1" applyProtection="1">
      <alignment horizontal="center" vertical="center" wrapText="1"/>
    </xf>
    <xf numFmtId="168" fontId="39" fillId="0" borderId="8" xfId="1" quotePrefix="1" applyNumberFormat="1" applyFont="1" applyFill="1" applyBorder="1" applyAlignment="1" applyProtection="1">
      <alignment horizontal="center" vertical="center" wrapText="1"/>
    </xf>
    <xf numFmtId="168" fontId="39" fillId="0" borderId="8" xfId="1" applyNumberFormat="1" applyFont="1" applyFill="1" applyBorder="1" applyAlignment="1" applyProtection="1">
      <alignment horizontal="left" vertical="center" wrapText="1"/>
    </xf>
    <xf numFmtId="168" fontId="32" fillId="0" borderId="8" xfId="1" quotePrefix="1" applyNumberFormat="1" applyFont="1" applyFill="1" applyBorder="1" applyAlignment="1" applyProtection="1">
      <alignment horizontal="center" vertical="center" wrapText="1"/>
    </xf>
    <xf numFmtId="167" fontId="32" fillId="0" borderId="8" xfId="1" applyFont="1" applyFill="1" applyBorder="1" applyAlignment="1" applyProtection="1">
      <alignment horizontal="left" vertical="center" wrapText="1"/>
    </xf>
    <xf numFmtId="168" fontId="32" fillId="0" borderId="8" xfId="1" applyNumberFormat="1" applyFont="1" applyFill="1" applyBorder="1" applyAlignment="1" applyProtection="1">
      <alignment horizontal="left" vertical="center" wrapText="1"/>
    </xf>
    <xf numFmtId="168" fontId="32" fillId="0" borderId="8" xfId="1" applyNumberFormat="1" applyFont="1" applyFill="1" applyBorder="1" applyAlignment="1" applyProtection="1">
      <alignment horizontal="center" vertical="center" wrapText="1"/>
    </xf>
    <xf numFmtId="180" fontId="32" fillId="0" borderId="8" xfId="1" applyNumberFormat="1" applyFont="1" applyFill="1" applyBorder="1" applyAlignment="1" applyProtection="1">
      <alignment horizontal="center" vertical="center" wrapText="1"/>
    </xf>
    <xf numFmtId="4" fontId="32" fillId="0" borderId="11" xfId="1" applyNumberFormat="1" applyFont="1" applyFill="1" applyBorder="1" applyAlignment="1" applyProtection="1">
      <alignment horizontal="left" vertical="center" wrapText="1"/>
    </xf>
    <xf numFmtId="167" fontId="39" fillId="0" borderId="8" xfId="1" applyFont="1" applyFill="1" applyBorder="1" applyAlignment="1" applyProtection="1">
      <alignment vertical="center" wrapText="1"/>
    </xf>
    <xf numFmtId="168" fontId="39" fillId="0" borderId="8" xfId="1" applyNumberFormat="1" applyFont="1" applyFill="1" applyBorder="1" applyAlignment="1" applyProtection="1">
      <alignment vertical="center" wrapText="1"/>
    </xf>
    <xf numFmtId="168" fontId="40" fillId="0" borderId="8" xfId="1" applyNumberFormat="1" applyFont="1" applyFill="1" applyBorder="1" applyAlignment="1" applyProtection="1">
      <alignment horizontal="center" vertical="center" wrapText="1"/>
    </xf>
    <xf numFmtId="167" fontId="40" fillId="0" borderId="8" xfId="1" applyFont="1" applyFill="1" applyBorder="1" applyAlignment="1" applyProtection="1">
      <alignment horizontal="left" vertical="center" wrapText="1"/>
    </xf>
    <xf numFmtId="168" fontId="40" fillId="0" borderId="8" xfId="1" applyNumberFormat="1" applyFont="1" applyFill="1" applyBorder="1" applyAlignment="1" applyProtection="1">
      <alignment horizontal="left" vertical="center" wrapText="1"/>
    </xf>
    <xf numFmtId="167" fontId="40" fillId="0" borderId="0" xfId="1" applyFont="1" applyFill="1" applyBorder="1" applyAlignment="1" applyProtection="1">
      <alignment vertical="center"/>
    </xf>
    <xf numFmtId="167" fontId="32" fillId="0" borderId="8" xfId="1" applyFont="1" applyFill="1" applyBorder="1" applyAlignment="1" applyProtection="1">
      <alignment vertical="center" wrapText="1"/>
    </xf>
    <xf numFmtId="168" fontId="32" fillId="0" borderId="8" xfId="1" applyNumberFormat="1" applyFont="1" applyFill="1" applyBorder="1" applyAlignment="1" applyProtection="1">
      <alignment vertical="center" wrapText="1"/>
    </xf>
    <xf numFmtId="168" fontId="40" fillId="0" borderId="8" xfId="1" quotePrefix="1" applyNumberFormat="1" applyFont="1" applyFill="1" applyBorder="1" applyAlignment="1" applyProtection="1">
      <alignment horizontal="center" vertical="center" wrapText="1"/>
    </xf>
    <xf numFmtId="167" fontId="40" fillId="0" borderId="8" xfId="1" applyFont="1" applyFill="1" applyBorder="1" applyAlignment="1" applyProtection="1">
      <alignment vertical="center" wrapText="1"/>
    </xf>
    <xf numFmtId="168" fontId="40" fillId="0" borderId="8" xfId="1" applyNumberFormat="1" applyFont="1" applyFill="1" applyBorder="1" applyAlignment="1" applyProtection="1">
      <alignment vertical="center" wrapText="1"/>
    </xf>
    <xf numFmtId="168" fontId="42" fillId="0" borderId="8" xfId="1" quotePrefix="1" applyNumberFormat="1" applyFont="1" applyFill="1" applyBorder="1" applyAlignment="1" applyProtection="1">
      <alignment horizontal="center" vertical="center" wrapText="1"/>
    </xf>
    <xf numFmtId="167" fontId="42" fillId="0" borderId="8" xfId="1" applyFont="1" applyFill="1" applyBorder="1" applyAlignment="1" applyProtection="1">
      <alignment vertical="center" wrapText="1"/>
    </xf>
    <xf numFmtId="168" fontId="42" fillId="0" borderId="8" xfId="1" applyNumberFormat="1" applyFont="1" applyFill="1" applyBorder="1" applyAlignment="1" applyProtection="1">
      <alignment vertical="center" wrapText="1"/>
    </xf>
    <xf numFmtId="167" fontId="42" fillId="0" borderId="0" xfId="1" applyFont="1" applyFill="1" applyBorder="1" applyAlignment="1" applyProtection="1">
      <alignment vertical="center"/>
    </xf>
    <xf numFmtId="168" fontId="39" fillId="0" borderId="8" xfId="1" quotePrefix="1" applyNumberFormat="1" applyFont="1" applyFill="1" applyBorder="1" applyAlignment="1" applyProtection="1">
      <alignment horizontal="center" vertical="center"/>
    </xf>
    <xf numFmtId="168" fontId="32" fillId="0" borderId="8" xfId="1" quotePrefix="1" applyNumberFormat="1" applyFont="1" applyFill="1" applyBorder="1" applyAlignment="1" applyProtection="1">
      <alignment horizontal="center" vertical="center"/>
    </xf>
    <xf numFmtId="0" fontId="32" fillId="0" borderId="8" xfId="2" applyFont="1" applyBorder="1" applyAlignment="1">
      <alignment vertical="center" wrapText="1"/>
    </xf>
    <xf numFmtId="168" fontId="32" fillId="0" borderId="8" xfId="2" applyNumberFormat="1" applyFont="1" applyBorder="1" applyAlignment="1">
      <alignment vertical="center" wrapText="1"/>
    </xf>
    <xf numFmtId="0" fontId="40" fillId="0" borderId="8" xfId="2" applyFont="1" applyBorder="1" applyAlignment="1">
      <alignment vertical="center" wrapText="1"/>
    </xf>
    <xf numFmtId="168" fontId="40" fillId="0" borderId="8" xfId="2" applyNumberFormat="1" applyFont="1" applyBorder="1" applyAlignment="1">
      <alignment vertical="center" wrapText="1"/>
    </xf>
    <xf numFmtId="180" fontId="40" fillId="0" borderId="8" xfId="1" applyNumberFormat="1" applyFont="1" applyFill="1" applyBorder="1" applyAlignment="1" applyProtection="1">
      <alignment horizontal="center" vertical="center" wrapText="1"/>
    </xf>
    <xf numFmtId="169" fontId="32" fillId="0" borderId="8" xfId="3" applyNumberFormat="1" applyFont="1" applyFill="1" applyBorder="1" applyAlignment="1">
      <alignment vertical="center" wrapText="1"/>
    </xf>
    <xf numFmtId="168" fontId="32" fillId="0" borderId="8" xfId="3" applyNumberFormat="1" applyFont="1" applyFill="1" applyBorder="1" applyAlignment="1">
      <alignment vertical="center" wrapText="1"/>
    </xf>
    <xf numFmtId="0" fontId="32" fillId="0" borderId="8" xfId="2" quotePrefix="1" applyFont="1" applyBorder="1" applyAlignment="1">
      <alignment horizontal="center" vertical="center" wrapText="1"/>
    </xf>
    <xf numFmtId="0" fontId="39" fillId="0" borderId="8" xfId="4" applyFont="1" applyBorder="1" applyAlignment="1">
      <alignment horizontal="left" vertical="center" wrapText="1"/>
    </xf>
    <xf numFmtId="168" fontId="39" fillId="0" borderId="8" xfId="4" applyNumberFormat="1" applyFont="1" applyBorder="1" applyAlignment="1">
      <alignment horizontal="left" vertical="center" wrapText="1"/>
    </xf>
    <xf numFmtId="168" fontId="39" fillId="0" borderId="8" xfId="1" applyNumberFormat="1" applyFont="1" applyFill="1" applyBorder="1" applyAlignment="1" applyProtection="1">
      <alignment vertical="center"/>
    </xf>
    <xf numFmtId="0" fontId="32" fillId="0" borderId="8" xfId="4" applyFont="1" applyBorder="1" applyAlignment="1">
      <alignment horizontal="left" vertical="center" wrapText="1"/>
    </xf>
    <xf numFmtId="168" fontId="32" fillId="0" borderId="8" xfId="4" applyNumberFormat="1" applyFont="1" applyBorder="1" applyAlignment="1">
      <alignment horizontal="left" vertical="center" wrapText="1"/>
    </xf>
    <xf numFmtId="167" fontId="32" fillId="0" borderId="8" xfId="1" quotePrefix="1" applyFont="1" applyFill="1" applyBorder="1" applyAlignment="1" applyProtection="1">
      <alignment horizontal="center" vertical="center" wrapText="1"/>
    </xf>
    <xf numFmtId="167" fontId="32" fillId="0" borderId="11" xfId="1" quotePrefix="1" applyFont="1" applyFill="1" applyBorder="1" applyAlignment="1" applyProtection="1">
      <alignment horizontal="center" vertical="center" wrapText="1"/>
    </xf>
    <xf numFmtId="167" fontId="32" fillId="0" borderId="11" xfId="1" applyFont="1" applyFill="1" applyBorder="1" applyAlignment="1" applyProtection="1">
      <alignment vertical="center" wrapText="1"/>
    </xf>
    <xf numFmtId="168" fontId="32" fillId="0" borderId="11" xfId="1" applyNumberFormat="1" applyFont="1" applyFill="1" applyBorder="1" applyAlignment="1" applyProtection="1">
      <alignment vertical="center" wrapText="1"/>
    </xf>
    <xf numFmtId="3" fontId="32" fillId="0" borderId="11" xfId="1" quotePrefix="1" applyNumberFormat="1" applyFont="1" applyFill="1" applyBorder="1" applyAlignment="1" applyProtection="1">
      <alignment horizontal="center" vertical="center" wrapText="1"/>
    </xf>
    <xf numFmtId="3" fontId="32" fillId="0" borderId="11" xfId="1" applyNumberFormat="1" applyFont="1" applyFill="1" applyBorder="1" applyAlignment="1" applyProtection="1">
      <alignment vertical="center" wrapText="1"/>
    </xf>
    <xf numFmtId="4" fontId="32" fillId="0" borderId="8" xfId="1" applyNumberFormat="1" applyFont="1" applyFill="1" applyBorder="1" applyAlignment="1" applyProtection="1">
      <alignment horizontal="right" vertical="center" wrapText="1"/>
    </xf>
    <xf numFmtId="4" fontId="32" fillId="0" borderId="8" xfId="1" applyNumberFormat="1" applyFont="1" applyFill="1" applyBorder="1" applyAlignment="1" applyProtection="1">
      <alignment horizontal="left" vertical="center" wrapText="1"/>
    </xf>
    <xf numFmtId="180" fontId="32" fillId="0" borderId="8" xfId="1" applyNumberFormat="1" applyFont="1" applyFill="1" applyBorder="1" applyAlignment="1" applyProtection="1">
      <alignment horizontal="right" vertical="center" wrapText="1"/>
    </xf>
    <xf numFmtId="168" fontId="32" fillId="0" borderId="8" xfId="1" applyNumberFormat="1" applyFont="1" applyFill="1" applyBorder="1" applyAlignment="1" applyProtection="1">
      <alignment horizontal="right" vertical="center" wrapText="1"/>
    </xf>
    <xf numFmtId="4" fontId="38" fillId="0" borderId="0" xfId="1" applyNumberFormat="1" applyFont="1" applyFill="1" applyBorder="1" applyAlignment="1" applyProtection="1">
      <alignment horizontal="right" vertical="center"/>
    </xf>
    <xf numFmtId="180" fontId="39" fillId="0" borderId="8" xfId="1" applyNumberFormat="1" applyFont="1" applyFill="1" applyBorder="1" applyAlignment="1" applyProtection="1">
      <alignment vertical="center" wrapText="1"/>
    </xf>
    <xf numFmtId="49" fontId="39" fillId="0" borderId="11" xfId="1" quotePrefix="1" applyNumberFormat="1" applyFont="1" applyFill="1" applyBorder="1" applyAlignment="1" applyProtection="1">
      <alignment horizontal="center" vertical="center" wrapText="1"/>
    </xf>
    <xf numFmtId="4" fontId="39" fillId="0" borderId="11" xfId="1" applyNumberFormat="1" applyFont="1" applyFill="1" applyBorder="1" applyAlignment="1" applyProtection="1">
      <alignment horizontal="left" vertical="center" wrapText="1"/>
    </xf>
    <xf numFmtId="168" fontId="39" fillId="0" borderId="11" xfId="1" applyNumberFormat="1" applyFont="1" applyFill="1" applyBorder="1" applyAlignment="1" applyProtection="1">
      <alignment horizontal="left" vertical="center" wrapText="1"/>
    </xf>
    <xf numFmtId="180" fontId="39" fillId="0" borderId="11" xfId="1" applyNumberFormat="1" applyFont="1" applyFill="1" applyBorder="1" applyAlignment="1" applyProtection="1">
      <alignment horizontal="right" vertical="center" wrapText="1"/>
    </xf>
    <xf numFmtId="168" fontId="39" fillId="0" borderId="11" xfId="1" applyNumberFormat="1" applyFont="1" applyFill="1" applyBorder="1" applyAlignment="1" applyProtection="1">
      <alignment horizontal="right" vertical="center" wrapText="1"/>
    </xf>
    <xf numFmtId="4" fontId="47" fillId="0" borderId="0" xfId="1" applyNumberFormat="1" applyFont="1" applyFill="1" applyBorder="1" applyAlignment="1" applyProtection="1">
      <alignment horizontal="right" vertical="center"/>
    </xf>
    <xf numFmtId="4" fontId="40" fillId="0" borderId="11" xfId="1" quotePrefix="1" applyNumberFormat="1" applyFont="1" applyFill="1" applyBorder="1" applyAlignment="1" applyProtection="1">
      <alignment horizontal="center" vertical="center" wrapText="1"/>
    </xf>
    <xf numFmtId="4" fontId="40" fillId="0" borderId="11" xfId="1" applyNumberFormat="1" applyFont="1" applyFill="1" applyBorder="1" applyAlignment="1" applyProtection="1">
      <alignment horizontal="left" vertical="center" wrapText="1"/>
    </xf>
    <xf numFmtId="168" fontId="40" fillId="0" borderId="11" xfId="1" applyNumberFormat="1" applyFont="1" applyFill="1" applyBorder="1" applyAlignment="1" applyProtection="1">
      <alignment horizontal="left" vertical="center" wrapText="1"/>
    </xf>
    <xf numFmtId="180" fontId="32" fillId="0" borderId="11" xfId="1" applyNumberFormat="1" applyFont="1" applyFill="1" applyBorder="1" applyAlignment="1" applyProtection="1">
      <alignment horizontal="right" vertical="center" wrapText="1"/>
    </xf>
    <xf numFmtId="168" fontId="32" fillId="0" borderId="11" xfId="1" applyNumberFormat="1" applyFont="1" applyFill="1" applyBorder="1" applyAlignment="1" applyProtection="1">
      <alignment horizontal="right" vertical="center" wrapText="1"/>
    </xf>
    <xf numFmtId="4" fontId="78" fillId="0" borderId="0" xfId="1" applyNumberFormat="1" applyFont="1" applyFill="1" applyBorder="1" applyAlignment="1" applyProtection="1">
      <alignment horizontal="right" vertical="center"/>
    </xf>
    <xf numFmtId="168" fontId="32" fillId="0" borderId="11" xfId="1" applyNumberFormat="1" applyFont="1" applyFill="1" applyBorder="1" applyAlignment="1" applyProtection="1">
      <alignment horizontal="center" vertical="center" wrapText="1"/>
    </xf>
    <xf numFmtId="168" fontId="79" fillId="0" borderId="9" xfId="1" applyNumberFormat="1" applyFont="1" applyFill="1" applyBorder="1" applyAlignment="1" applyProtection="1">
      <alignment horizontal="center" vertical="center" wrapText="1"/>
    </xf>
    <xf numFmtId="167" fontId="79" fillId="0" borderId="9" xfId="1" applyFont="1" applyFill="1" applyBorder="1" applyAlignment="1" applyProtection="1">
      <alignment vertical="center" wrapText="1"/>
    </xf>
    <xf numFmtId="168" fontId="79" fillId="0" borderId="9" xfId="1" applyNumberFormat="1" applyFont="1" applyFill="1" applyBorder="1" applyAlignment="1" applyProtection="1">
      <alignment vertical="center" wrapText="1"/>
    </xf>
    <xf numFmtId="180" fontId="79" fillId="0" borderId="9" xfId="1" applyNumberFormat="1" applyFont="1" applyFill="1" applyBorder="1" applyAlignment="1" applyProtection="1">
      <alignment horizontal="center" vertical="center" wrapText="1"/>
    </xf>
    <xf numFmtId="167" fontId="79" fillId="0" borderId="0" xfId="1" applyFont="1" applyFill="1" applyBorder="1" applyAlignment="1" applyProtection="1">
      <alignment vertical="center"/>
    </xf>
    <xf numFmtId="168" fontId="32" fillId="0" borderId="0" xfId="1" applyNumberFormat="1" applyFont="1" applyFill="1" applyBorder="1" applyAlignment="1" applyProtection="1">
      <alignment horizontal="center" vertical="center" wrapText="1"/>
    </xf>
    <xf numFmtId="168" fontId="32" fillId="0" borderId="0" xfId="1" applyNumberFormat="1" applyFont="1" applyFill="1" applyBorder="1" applyAlignment="1">
      <alignment horizontal="left" vertical="center"/>
    </xf>
    <xf numFmtId="180" fontId="32" fillId="0" borderId="0" xfId="1" applyNumberFormat="1" applyFont="1" applyFill="1" applyBorder="1" applyAlignment="1">
      <alignment horizontal="left" vertical="center"/>
    </xf>
    <xf numFmtId="189" fontId="32" fillId="0" borderId="0" xfId="1" applyNumberFormat="1" applyFont="1" applyFill="1" applyBorder="1" applyAlignment="1">
      <alignment horizontal="left" vertical="center"/>
    </xf>
    <xf numFmtId="168" fontId="40" fillId="0" borderId="0" xfId="1" applyNumberFormat="1" applyFont="1" applyFill="1" applyBorder="1" applyAlignment="1" applyProtection="1">
      <alignment vertical="center"/>
    </xf>
    <xf numFmtId="0" fontId="80" fillId="0" borderId="0" xfId="0" applyFont="1" applyAlignment="1">
      <alignment vertical="center" wrapText="1"/>
    </xf>
    <xf numFmtId="49" fontId="76" fillId="0" borderId="0" xfId="11" applyNumberFormat="1" applyFont="1" applyFill="1" applyBorder="1" applyAlignment="1">
      <alignment horizontal="center" vertical="center"/>
    </xf>
    <xf numFmtId="0" fontId="8" fillId="0" borderId="10" xfId="18" applyFont="1" applyBorder="1" applyAlignment="1">
      <alignment horizontal="center" vertical="center" wrapText="1"/>
    </xf>
    <xf numFmtId="0" fontId="31" fillId="0" borderId="0" xfId="38" applyFont="1" applyAlignment="1">
      <alignment horizontal="center"/>
    </xf>
    <xf numFmtId="170" fontId="7" fillId="0" borderId="11" xfId="19" applyNumberFormat="1" applyFont="1" applyFill="1" applyBorder="1" applyAlignment="1">
      <alignment horizontal="center" vertical="center" wrapText="1"/>
    </xf>
    <xf numFmtId="0" fontId="34" fillId="0" borderId="8" xfId="0" applyFont="1" applyBorder="1" applyAlignment="1">
      <alignment horizontal="center" vertical="center" wrapText="1"/>
    </xf>
    <xf numFmtId="0" fontId="33" fillId="0" borderId="10" xfId="21" applyFont="1" applyBorder="1" applyAlignment="1">
      <alignment horizontal="center" vertical="center" wrapText="1"/>
    </xf>
    <xf numFmtId="0" fontId="33" fillId="0" borderId="0" xfId="21" applyFont="1" applyAlignment="1">
      <alignment horizontal="center" vertical="center" wrapText="1"/>
    </xf>
    <xf numFmtId="0" fontId="33" fillId="0" borderId="3" xfId="21" applyFont="1" applyBorder="1" applyAlignment="1">
      <alignment horizontal="center" vertical="center" wrapText="1"/>
    </xf>
    <xf numFmtId="170" fontId="42" fillId="0" borderId="0" xfId="4" applyNumberFormat="1" applyFont="1" applyAlignment="1">
      <alignment vertical="center"/>
    </xf>
    <xf numFmtId="3" fontId="17" fillId="3" borderId="0" xfId="1" applyNumberFormat="1" applyFont="1" applyFill="1" applyBorder="1" applyAlignment="1" applyProtection="1">
      <alignment horizontal="center"/>
    </xf>
    <xf numFmtId="3" fontId="17" fillId="3" borderId="0" xfId="1" applyNumberFormat="1" applyFont="1" applyFill="1" applyBorder="1" applyAlignment="1" applyProtection="1"/>
    <xf numFmtId="3" fontId="81" fillId="3" borderId="0" xfId="1" applyNumberFormat="1" applyFont="1" applyFill="1" applyBorder="1" applyAlignment="1" applyProtection="1">
      <alignment horizontal="right"/>
    </xf>
    <xf numFmtId="3" fontId="18" fillId="3" borderId="8" xfId="1" applyNumberFormat="1" applyFont="1" applyFill="1" applyBorder="1" applyAlignment="1" applyProtection="1">
      <alignment horizontal="center" vertical="center" wrapText="1"/>
    </xf>
    <xf numFmtId="3" fontId="17" fillId="3" borderId="0" xfId="1" applyNumberFormat="1" applyFont="1" applyFill="1" applyBorder="1" applyAlignment="1" applyProtection="1">
      <alignment horizontal="right"/>
    </xf>
    <xf numFmtId="3" fontId="17" fillId="3" borderId="0" xfId="1" applyNumberFormat="1" applyFont="1" applyFill="1" applyBorder="1" applyAlignment="1" applyProtection="1">
      <alignment horizontal="left"/>
    </xf>
    <xf numFmtId="3" fontId="18" fillId="3" borderId="0" xfId="1" applyNumberFormat="1" applyFont="1" applyFill="1" applyBorder="1" applyAlignment="1" applyProtection="1">
      <alignment horizontal="right"/>
    </xf>
    <xf numFmtId="4" fontId="18" fillId="3" borderId="0" xfId="1" applyNumberFormat="1" applyFont="1" applyFill="1" applyBorder="1" applyAlignment="1" applyProtection="1">
      <alignment horizontal="right"/>
    </xf>
    <xf numFmtId="3" fontId="18" fillId="3" borderId="8" xfId="1" applyNumberFormat="1" applyFont="1" applyFill="1" applyBorder="1" applyAlignment="1">
      <alignment horizontal="right" vertical="center" wrapText="1"/>
    </xf>
    <xf numFmtId="3" fontId="18" fillId="3" borderId="18" xfId="1" applyNumberFormat="1" applyFont="1" applyFill="1" applyBorder="1" applyAlignment="1">
      <alignment horizontal="right" vertical="center" wrapText="1"/>
    </xf>
    <xf numFmtId="3" fontId="18" fillId="3" borderId="8" xfId="1" applyNumberFormat="1" applyFont="1" applyFill="1" applyBorder="1" applyAlignment="1">
      <alignment horizontal="center" vertical="center" wrapText="1"/>
    </xf>
    <xf numFmtId="3" fontId="17" fillId="3" borderId="8" xfId="1" quotePrefix="1" applyNumberFormat="1" applyFont="1" applyFill="1" applyBorder="1" applyAlignment="1" applyProtection="1">
      <alignment horizontal="center" vertical="center" wrapText="1"/>
    </xf>
    <xf numFmtId="3" fontId="17" fillId="3" borderId="8" xfId="1" applyNumberFormat="1" applyFont="1" applyFill="1" applyBorder="1" applyAlignment="1" applyProtection="1">
      <alignment horizontal="left" vertical="center" wrapText="1"/>
    </xf>
    <xf numFmtId="3" fontId="17" fillId="3" borderId="8" xfId="1" applyNumberFormat="1" applyFont="1" applyFill="1" applyBorder="1" applyAlignment="1" applyProtection="1">
      <alignment horizontal="right" vertical="center" wrapText="1"/>
    </xf>
    <xf numFmtId="182" fontId="17" fillId="3" borderId="8" xfId="1" applyNumberFormat="1" applyFont="1" applyFill="1" applyBorder="1" applyAlignment="1">
      <alignment horizontal="center" vertical="center" wrapText="1"/>
    </xf>
    <xf numFmtId="3" fontId="17" fillId="3" borderId="8" xfId="1" applyNumberFormat="1" applyFont="1" applyFill="1" applyBorder="1" applyAlignment="1">
      <alignment horizontal="right" vertical="center" wrapText="1"/>
    </xf>
    <xf numFmtId="3" fontId="17" fillId="3" borderId="8" xfId="1" applyNumberFormat="1" applyFont="1" applyFill="1" applyBorder="1" applyAlignment="1">
      <alignment vertical="center" wrapText="1"/>
    </xf>
    <xf numFmtId="182" fontId="17" fillId="3" borderId="8" xfId="1" applyNumberFormat="1" applyFont="1" applyFill="1" applyBorder="1" applyAlignment="1" applyProtection="1">
      <alignment horizontal="center" vertical="center" wrapText="1"/>
    </xf>
    <xf numFmtId="3" fontId="18" fillId="3" borderId="8" xfId="25" applyNumberFormat="1" applyFont="1" applyFill="1" applyBorder="1" applyAlignment="1">
      <alignment horizontal="left" vertical="center" wrapText="1"/>
    </xf>
    <xf numFmtId="3" fontId="17" fillId="2" borderId="8" xfId="1" quotePrefix="1" applyNumberFormat="1" applyFont="1" applyFill="1" applyBorder="1" applyAlignment="1" applyProtection="1">
      <alignment horizontal="center" vertical="center" wrapText="1"/>
    </xf>
    <xf numFmtId="3" fontId="17" fillId="2" borderId="8" xfId="25" applyNumberFormat="1" applyFont="1" applyFill="1" applyBorder="1" applyAlignment="1">
      <alignment horizontal="left" vertical="center" wrapText="1"/>
    </xf>
    <xf numFmtId="3" fontId="17" fillId="2" borderId="8" xfId="1" applyNumberFormat="1" applyFont="1" applyFill="1" applyBorder="1" applyAlignment="1" applyProtection="1">
      <alignment horizontal="right" vertical="center" wrapText="1"/>
    </xf>
    <xf numFmtId="182" fontId="17" fillId="2" borderId="8" xfId="1" applyNumberFormat="1" applyFont="1" applyFill="1" applyBorder="1" applyAlignment="1" applyProtection="1">
      <alignment horizontal="center" vertical="center" wrapText="1"/>
    </xf>
    <xf numFmtId="3" fontId="17" fillId="2" borderId="0" xfId="1" applyNumberFormat="1" applyFont="1" applyFill="1" applyBorder="1" applyAlignment="1" applyProtection="1"/>
    <xf numFmtId="3" fontId="17" fillId="3" borderId="8" xfId="25" applyNumberFormat="1" applyFont="1" applyFill="1" applyBorder="1" applyAlignment="1">
      <alignment horizontal="left" vertical="center" wrapText="1"/>
    </xf>
    <xf numFmtId="3" fontId="24" fillId="3" borderId="8" xfId="1" quotePrefix="1" applyNumberFormat="1" applyFont="1" applyFill="1" applyBorder="1" applyAlignment="1" applyProtection="1">
      <alignment horizontal="center" vertical="center" wrapText="1"/>
    </xf>
    <xf numFmtId="3" fontId="24" fillId="3" borderId="8" xfId="25" applyNumberFormat="1" applyFont="1" applyFill="1" applyBorder="1" applyAlignment="1">
      <alignment horizontal="left" vertical="center" wrapText="1"/>
    </xf>
    <xf numFmtId="3" fontId="24" fillId="3" borderId="8" xfId="1" applyNumberFormat="1" applyFont="1" applyFill="1" applyBorder="1" applyAlignment="1" applyProtection="1">
      <alignment horizontal="right" vertical="center" wrapText="1"/>
    </xf>
    <xf numFmtId="182" fontId="24" fillId="3" borderId="8" xfId="25" applyNumberFormat="1" applyFont="1" applyFill="1" applyBorder="1" applyAlignment="1">
      <alignment horizontal="center" vertical="center" wrapText="1"/>
    </xf>
    <xf numFmtId="3" fontId="82" fillId="3" borderId="0" xfId="1" applyNumberFormat="1" applyFont="1" applyFill="1" applyBorder="1" applyAlignment="1" applyProtection="1"/>
    <xf numFmtId="3" fontId="24" fillId="3" borderId="0" xfId="1" applyNumberFormat="1" applyFont="1" applyFill="1" applyBorder="1" applyAlignment="1" applyProtection="1"/>
    <xf numFmtId="182" fontId="17" fillId="3" borderId="8" xfId="25" applyNumberFormat="1" applyFont="1" applyFill="1" applyBorder="1" applyAlignment="1">
      <alignment horizontal="center" vertical="center" wrapText="1"/>
    </xf>
    <xf numFmtId="3" fontId="17" fillId="3" borderId="8" xfId="25" applyNumberFormat="1" applyFont="1" applyFill="1" applyBorder="1" applyAlignment="1">
      <alignment horizontal="right" vertical="center" wrapText="1"/>
    </xf>
    <xf numFmtId="3" fontId="18" fillId="3" borderId="8" xfId="1" applyNumberFormat="1" applyFont="1" applyFill="1" applyBorder="1" applyAlignment="1" applyProtection="1">
      <alignment vertical="center" wrapText="1"/>
    </xf>
    <xf numFmtId="37" fontId="18" fillId="3" borderId="8" xfId="1" applyNumberFormat="1" applyFont="1" applyFill="1" applyBorder="1" applyAlignment="1" applyProtection="1">
      <alignment horizontal="right" vertical="center" wrapText="1"/>
    </xf>
    <xf numFmtId="3" fontId="18" fillId="2" borderId="8" xfId="1" applyNumberFormat="1" applyFont="1" applyFill="1" applyBorder="1" applyAlignment="1" applyProtection="1">
      <alignment horizontal="center" vertical="center" wrapText="1"/>
    </xf>
    <xf numFmtId="3" fontId="18" fillId="2" borderId="8" xfId="1" applyNumberFormat="1" applyFont="1" applyFill="1" applyBorder="1" applyAlignment="1" applyProtection="1">
      <alignment vertical="center" wrapText="1"/>
    </xf>
    <xf numFmtId="3" fontId="18" fillId="2" borderId="8" xfId="1" applyNumberFormat="1" applyFont="1" applyFill="1" applyBorder="1" applyAlignment="1" applyProtection="1">
      <alignment horizontal="right" vertical="center" wrapText="1"/>
    </xf>
    <xf numFmtId="182" fontId="18" fillId="2" borderId="8" xfId="1" applyNumberFormat="1" applyFont="1" applyFill="1" applyBorder="1" applyAlignment="1" applyProtection="1">
      <alignment horizontal="center" vertical="center" wrapText="1"/>
    </xf>
    <xf numFmtId="3" fontId="18" fillId="2" borderId="0" xfId="1" applyNumberFormat="1" applyFont="1" applyFill="1" applyBorder="1" applyAlignment="1" applyProtection="1"/>
    <xf numFmtId="3" fontId="82" fillId="3" borderId="8" xfId="1" applyNumberFormat="1" applyFont="1" applyFill="1" applyBorder="1" applyAlignment="1" applyProtection="1">
      <alignment horizontal="center" vertical="center" wrapText="1"/>
    </xf>
    <xf numFmtId="3" fontId="82" fillId="3" borderId="8" xfId="1" applyNumberFormat="1" applyFont="1" applyFill="1" applyBorder="1" applyAlignment="1" applyProtection="1">
      <alignment vertical="center" wrapText="1"/>
    </xf>
    <xf numFmtId="3" fontId="82" fillId="3" borderId="8" xfId="1" applyNumberFormat="1" applyFont="1" applyFill="1" applyBorder="1" applyAlignment="1" applyProtection="1">
      <alignment horizontal="right" vertical="center" wrapText="1"/>
    </xf>
    <xf numFmtId="182" fontId="82" fillId="3" borderId="8" xfId="1" applyNumberFormat="1" applyFont="1" applyFill="1" applyBorder="1" applyAlignment="1" applyProtection="1">
      <alignment horizontal="center" vertical="center" wrapText="1"/>
    </xf>
    <xf numFmtId="3" fontId="24" fillId="3" borderId="8" xfId="1" applyNumberFormat="1" applyFont="1" applyFill="1" applyBorder="1" applyAlignment="1" applyProtection="1">
      <alignment horizontal="center" vertical="center" wrapText="1"/>
    </xf>
    <xf numFmtId="3" fontId="24" fillId="3" borderId="8" xfId="1" applyNumberFormat="1" applyFont="1" applyFill="1" applyBorder="1" applyAlignment="1" applyProtection="1">
      <alignment horizontal="left" vertical="center" wrapText="1"/>
    </xf>
    <xf numFmtId="3" fontId="83" fillId="4" borderId="8" xfId="1" applyNumberFormat="1" applyFont="1" applyFill="1" applyBorder="1" applyAlignment="1" applyProtection="1">
      <alignment horizontal="center" vertical="center" wrapText="1"/>
    </xf>
    <xf numFmtId="3" fontId="83" fillId="4" borderId="8" xfId="1" applyNumberFormat="1" applyFont="1" applyFill="1" applyBorder="1" applyAlignment="1" applyProtection="1">
      <alignment horizontal="left" vertical="center" wrapText="1"/>
    </xf>
    <xf numFmtId="3" fontId="84" fillId="4" borderId="8" xfId="1" applyNumberFormat="1" applyFont="1" applyFill="1" applyBorder="1" applyAlignment="1" applyProtection="1">
      <alignment horizontal="right" vertical="center" wrapText="1"/>
    </xf>
    <xf numFmtId="182" fontId="84" fillId="4" borderId="8" xfId="1" applyNumberFormat="1" applyFont="1" applyFill="1" applyBorder="1" applyAlignment="1" applyProtection="1">
      <alignment horizontal="center" vertical="center" wrapText="1"/>
    </xf>
    <xf numFmtId="3" fontId="84" fillId="3" borderId="8" xfId="1" applyNumberFormat="1" applyFont="1" applyFill="1" applyBorder="1" applyAlignment="1" applyProtection="1">
      <alignment horizontal="right" vertical="center" wrapText="1"/>
    </xf>
    <xf numFmtId="3" fontId="85" fillId="4" borderId="0" xfId="1" applyNumberFormat="1" applyFont="1" applyFill="1" applyBorder="1" applyAlignment="1" applyProtection="1"/>
    <xf numFmtId="3" fontId="83" fillId="4" borderId="0" xfId="1" applyNumberFormat="1" applyFont="1" applyFill="1" applyBorder="1" applyAlignment="1" applyProtection="1"/>
    <xf numFmtId="182" fontId="17" fillId="3" borderId="8" xfId="1" applyNumberFormat="1" applyFont="1" applyFill="1" applyBorder="1" applyAlignment="1" applyProtection="1">
      <alignment horizontal="right" vertical="center" wrapText="1"/>
    </xf>
    <xf numFmtId="191" fontId="17" fillId="3" borderId="8" xfId="1" applyNumberFormat="1" applyFont="1" applyFill="1" applyBorder="1" applyAlignment="1" applyProtection="1">
      <alignment horizontal="right" vertical="center" wrapText="1"/>
    </xf>
    <xf numFmtId="192" fontId="17" fillId="3" borderId="8" xfId="1" applyNumberFormat="1" applyFont="1" applyFill="1" applyBorder="1" applyAlignment="1" applyProtection="1">
      <alignment horizontal="right" vertical="center" wrapText="1"/>
    </xf>
    <xf numFmtId="3" fontId="17" fillId="3" borderId="8" xfId="1" applyNumberFormat="1" applyFont="1" applyFill="1" applyBorder="1" applyAlignment="1" applyProtection="1">
      <alignment vertical="center" wrapText="1"/>
    </xf>
    <xf numFmtId="3" fontId="82" fillId="3" borderId="8" xfId="1" quotePrefix="1" applyNumberFormat="1" applyFont="1" applyFill="1" applyBorder="1" applyAlignment="1" applyProtection="1">
      <alignment horizontal="center" vertical="center" wrapText="1"/>
    </xf>
    <xf numFmtId="3" fontId="18" fillId="2" borderId="8" xfId="1" quotePrefix="1" applyNumberFormat="1" applyFont="1" applyFill="1" applyBorder="1" applyAlignment="1" applyProtection="1">
      <alignment horizontal="center" vertical="center" wrapText="1"/>
    </xf>
    <xf numFmtId="3" fontId="18" fillId="2" borderId="8" xfId="1" applyNumberFormat="1" applyFont="1" applyFill="1" applyBorder="1" applyAlignment="1" applyProtection="1">
      <alignment horizontal="left" vertical="center" wrapText="1"/>
    </xf>
    <xf numFmtId="37" fontId="18" fillId="2" borderId="8" xfId="1" applyNumberFormat="1" applyFont="1" applyFill="1" applyBorder="1" applyAlignment="1" applyProtection="1">
      <alignment horizontal="right" vertical="center" wrapText="1"/>
    </xf>
    <xf numFmtId="3" fontId="18" fillId="2" borderId="8" xfId="1" quotePrefix="1" applyNumberFormat="1" applyFont="1" applyFill="1" applyBorder="1" applyAlignment="1" applyProtection="1">
      <alignment horizontal="center" vertical="center"/>
    </xf>
    <xf numFmtId="3" fontId="17" fillId="3" borderId="8" xfId="1" quotePrefix="1" applyNumberFormat="1" applyFont="1" applyFill="1" applyBorder="1" applyAlignment="1" applyProtection="1">
      <alignment horizontal="center" vertical="center"/>
    </xf>
    <xf numFmtId="3" fontId="17" fillId="3" borderId="8" xfId="2" applyNumberFormat="1" applyFont="1" applyFill="1" applyBorder="1" applyAlignment="1">
      <alignment vertical="center" wrapText="1"/>
    </xf>
    <xf numFmtId="3" fontId="24" fillId="3" borderId="8" xfId="2" applyNumberFormat="1" applyFont="1" applyFill="1" applyBorder="1" applyAlignment="1">
      <alignment vertical="center" wrapText="1"/>
    </xf>
    <xf numFmtId="3" fontId="17" fillId="3" borderId="8" xfId="3" applyNumberFormat="1" applyFont="1" applyFill="1" applyBorder="1" applyAlignment="1">
      <alignment vertical="center" wrapText="1"/>
    </xf>
    <xf numFmtId="3" fontId="17" fillId="3" borderId="8" xfId="2" quotePrefix="1" applyNumberFormat="1" applyFont="1" applyFill="1" applyBorder="1" applyAlignment="1">
      <alignment horizontal="center" vertical="center" wrapText="1"/>
    </xf>
    <xf numFmtId="168" fontId="86" fillId="3" borderId="8" xfId="1" applyNumberFormat="1" applyFont="1" applyFill="1" applyBorder="1" applyAlignment="1" applyProtection="1">
      <alignment horizontal="right" vertical="center" wrapText="1"/>
    </xf>
    <xf numFmtId="168" fontId="86" fillId="3" borderId="8" xfId="1" applyNumberFormat="1" applyFont="1" applyFill="1" applyBorder="1" applyAlignment="1" applyProtection="1">
      <alignment horizontal="center" vertical="center" wrapText="1"/>
    </xf>
    <xf numFmtId="3" fontId="18" fillId="3" borderId="8" xfId="1" quotePrefix="1" applyNumberFormat="1" applyFont="1" applyFill="1" applyBorder="1" applyAlignment="1" applyProtection="1">
      <alignment horizontal="center" vertical="center"/>
    </xf>
    <xf numFmtId="3" fontId="18" fillId="3" borderId="8" xfId="1" applyNumberFormat="1" applyFont="1" applyFill="1" applyBorder="1" applyAlignment="1">
      <alignment horizontal="left" vertical="center" wrapText="1"/>
    </xf>
    <xf numFmtId="182" fontId="24" fillId="3" borderId="8" xfId="1" applyNumberFormat="1" applyFont="1" applyFill="1" applyBorder="1" applyAlignment="1" applyProtection="1">
      <alignment horizontal="center" vertical="center" wrapText="1"/>
    </xf>
    <xf numFmtId="3" fontId="18" fillId="3" borderId="8" xfId="4" applyNumberFormat="1" applyFont="1" applyFill="1" applyBorder="1" applyAlignment="1">
      <alignment horizontal="left" vertical="center" wrapText="1"/>
    </xf>
    <xf numFmtId="3" fontId="17" fillId="3" borderId="8" xfId="4" applyNumberFormat="1" applyFont="1" applyFill="1" applyBorder="1" applyAlignment="1">
      <alignment horizontal="left" vertical="center" wrapText="1"/>
    </xf>
    <xf numFmtId="3" fontId="86" fillId="3" borderId="0" xfId="1" applyNumberFormat="1" applyFont="1" applyFill="1" applyBorder="1" applyAlignment="1" applyProtection="1">
      <alignment horizontal="right"/>
    </xf>
    <xf numFmtId="37" fontId="17" fillId="3" borderId="8" xfId="1" applyNumberFormat="1" applyFont="1" applyFill="1" applyBorder="1" applyAlignment="1" applyProtection="1">
      <alignment horizontal="right" vertical="center" wrapText="1"/>
    </xf>
    <xf numFmtId="3" fontId="87" fillId="3" borderId="9" xfId="1" applyNumberFormat="1" applyFont="1" applyFill="1" applyBorder="1" applyAlignment="1" applyProtection="1">
      <alignment horizontal="center" vertical="center" wrapText="1"/>
    </xf>
    <xf numFmtId="3" fontId="87" fillId="3" borderId="9" xfId="1" applyNumberFormat="1" applyFont="1" applyFill="1" applyBorder="1" applyAlignment="1" applyProtection="1">
      <alignment vertical="center" wrapText="1"/>
    </xf>
    <xf numFmtId="3" fontId="87" fillId="3" borderId="9" xfId="1" applyNumberFormat="1" applyFont="1" applyFill="1" applyBorder="1" applyAlignment="1" applyProtection="1">
      <alignment horizontal="right" vertical="center" wrapText="1"/>
    </xf>
    <xf numFmtId="182" fontId="87" fillId="3" borderId="9" xfId="1" applyNumberFormat="1" applyFont="1" applyFill="1" applyBorder="1" applyAlignment="1" applyProtection="1">
      <alignment horizontal="center" vertical="center" wrapText="1"/>
    </xf>
    <xf numFmtId="3" fontId="87" fillId="3" borderId="0" xfId="1" applyNumberFormat="1" applyFont="1" applyFill="1" applyBorder="1" applyAlignment="1" applyProtection="1"/>
    <xf numFmtId="3" fontId="17" fillId="3" borderId="0" xfId="1" applyNumberFormat="1" applyFont="1" applyFill="1" applyBorder="1" applyAlignment="1" applyProtection="1">
      <alignment horizontal="center" vertical="center" wrapText="1"/>
    </xf>
    <xf numFmtId="3" fontId="17" fillId="3" borderId="0" xfId="1" applyNumberFormat="1" applyFont="1" applyFill="1" applyBorder="1" applyAlignment="1">
      <alignment horizontal="left" vertical="center"/>
    </xf>
    <xf numFmtId="3" fontId="17" fillId="3" borderId="0" xfId="1" applyNumberFormat="1" applyFont="1" applyFill="1" applyBorder="1" applyAlignment="1">
      <alignment horizontal="right" vertical="center"/>
    </xf>
    <xf numFmtId="3" fontId="17" fillId="3" borderId="0" xfId="1" applyNumberFormat="1" applyFont="1" applyFill="1" applyBorder="1" applyAlignment="1" applyProtection="1">
      <alignment horizontal="right" vertical="center" wrapText="1"/>
    </xf>
    <xf numFmtId="3" fontId="17" fillId="3" borderId="0" xfId="1" applyNumberFormat="1" applyFont="1" applyFill="1" applyBorder="1" applyAlignment="1" applyProtection="1">
      <alignment vertical="center" wrapText="1"/>
    </xf>
    <xf numFmtId="195" fontId="8" fillId="0" borderId="0" xfId="48" applyNumberFormat="1" applyFont="1" applyFill="1" applyAlignment="1">
      <alignment vertical="center"/>
    </xf>
    <xf numFmtId="196" fontId="8" fillId="0" borderId="0" xfId="48" applyNumberFormat="1" applyFont="1" applyFill="1" applyAlignment="1">
      <alignment vertical="center"/>
    </xf>
    <xf numFmtId="49" fontId="32" fillId="0" borderId="1" xfId="12" quotePrefix="1" applyNumberFormat="1" applyFont="1" applyFill="1" applyBorder="1" applyAlignment="1">
      <alignment horizontal="center" vertical="center" wrapText="1"/>
    </xf>
    <xf numFmtId="170" fontId="32" fillId="0" borderId="1" xfId="12" quotePrefix="1" applyNumberFormat="1" applyFont="1" applyFill="1" applyBorder="1" applyAlignment="1">
      <alignment horizontal="center" vertical="center" wrapText="1"/>
    </xf>
    <xf numFmtId="170" fontId="39" fillId="0" borderId="8" xfId="12" quotePrefix="1" applyNumberFormat="1" applyFont="1" applyFill="1" applyBorder="1" applyAlignment="1">
      <alignment horizontal="left" vertical="center" wrapText="1"/>
    </xf>
    <xf numFmtId="170" fontId="32" fillId="0" borderId="8" xfId="12" quotePrefix="1" applyNumberFormat="1" applyFont="1" applyFill="1" applyBorder="1" applyAlignment="1">
      <alignment horizontal="left" vertical="center" wrapText="1"/>
    </xf>
    <xf numFmtId="49" fontId="32" fillId="0" borderId="8" xfId="12" quotePrefix="1" applyNumberFormat="1" applyFont="1" applyFill="1" applyBorder="1" applyAlignment="1">
      <alignment vertical="center" wrapText="1"/>
    </xf>
    <xf numFmtId="194" fontId="88" fillId="0" borderId="0" xfId="0" applyNumberFormat="1" applyFont="1" applyAlignment="1">
      <alignment horizontal="center" vertical="center" wrapText="1"/>
    </xf>
    <xf numFmtId="49" fontId="89" fillId="0" borderId="0" xfId="11" applyNumberFormat="1" applyFont="1" applyFill="1" applyAlignment="1">
      <alignment horizontal="left"/>
    </xf>
    <xf numFmtId="170" fontId="89" fillId="0" borderId="0" xfId="11" applyNumberFormat="1" applyFont="1" applyFill="1" applyAlignment="1"/>
    <xf numFmtId="0" fontId="90" fillId="0" borderId="0" xfId="16" applyFont="1"/>
    <xf numFmtId="168" fontId="91" fillId="0" borderId="0" xfId="1" applyNumberFormat="1" applyFont="1" applyFill="1"/>
    <xf numFmtId="49" fontId="92" fillId="0" borderId="0" xfId="11" applyNumberFormat="1" applyFont="1" applyFill="1" applyBorder="1" applyAlignment="1">
      <alignment horizontal="left"/>
    </xf>
    <xf numFmtId="0" fontId="93" fillId="0" borderId="0" xfId="16" applyFont="1"/>
    <xf numFmtId="168" fontId="90" fillId="0" borderId="0" xfId="16" applyNumberFormat="1" applyFont="1"/>
    <xf numFmtId="49" fontId="94" fillId="0" borderId="0" xfId="11" applyNumberFormat="1" applyFont="1" applyFill="1" applyBorder="1" applyAlignment="1">
      <alignment horizontal="left"/>
    </xf>
    <xf numFmtId="0" fontId="89" fillId="0" borderId="0" xfId="16" applyFont="1"/>
    <xf numFmtId="168" fontId="89" fillId="0" borderId="0" xfId="16" applyNumberFormat="1" applyFont="1"/>
    <xf numFmtId="170" fontId="89" fillId="0" borderId="0" xfId="16" applyNumberFormat="1" applyFont="1"/>
    <xf numFmtId="9" fontId="89" fillId="0" borderId="0" xfId="9" applyFont="1" applyFill="1"/>
    <xf numFmtId="168" fontId="89" fillId="0" borderId="0" xfId="1" applyNumberFormat="1" applyFont="1" applyFill="1" applyAlignment="1">
      <alignment horizontal="center"/>
    </xf>
    <xf numFmtId="168" fontId="89" fillId="0" borderId="0" xfId="1" applyNumberFormat="1" applyFont="1" applyFill="1"/>
    <xf numFmtId="168" fontId="95" fillId="0" borderId="0" xfId="1" applyNumberFormat="1" applyFont="1" applyFill="1"/>
    <xf numFmtId="188" fontId="95" fillId="0" borderId="0" xfId="1" applyNumberFormat="1" applyFont="1" applyFill="1"/>
    <xf numFmtId="168" fontId="94" fillId="0" borderId="14" xfId="1" applyNumberFormat="1" applyFont="1" applyFill="1" applyBorder="1" applyAlignment="1">
      <alignment horizontal="center" vertical="center"/>
    </xf>
    <xf numFmtId="0" fontId="93" fillId="0" borderId="10" xfId="16" applyFont="1" applyBorder="1"/>
    <xf numFmtId="168" fontId="94" fillId="0" borderId="3" xfId="1" applyNumberFormat="1" applyFont="1" applyFill="1" applyBorder="1" applyAlignment="1"/>
    <xf numFmtId="168" fontId="94" fillId="0" borderId="4" xfId="1" applyNumberFormat="1" applyFont="1" applyFill="1" applyBorder="1" applyAlignment="1"/>
    <xf numFmtId="43" fontId="94" fillId="0" borderId="3" xfId="17" applyFont="1" applyFill="1" applyBorder="1" applyAlignment="1"/>
    <xf numFmtId="43" fontId="94" fillId="0" borderId="4" xfId="17" applyFont="1" applyFill="1" applyBorder="1" applyAlignment="1"/>
    <xf numFmtId="168" fontId="94" fillId="0" borderId="5" xfId="1" applyNumberFormat="1" applyFont="1" applyFill="1" applyBorder="1" applyAlignment="1">
      <alignment horizontal="center" vertical="center"/>
    </xf>
    <xf numFmtId="168" fontId="94" fillId="0" borderId="38" xfId="1" applyNumberFormat="1" applyFont="1" applyFill="1" applyBorder="1" applyAlignment="1">
      <alignment horizontal="center" vertical="center"/>
    </xf>
    <xf numFmtId="168" fontId="94" fillId="0" borderId="10" xfId="1" applyNumberFormat="1" applyFont="1" applyFill="1" applyBorder="1" applyAlignment="1">
      <alignment horizontal="center" vertical="center" wrapText="1"/>
    </xf>
    <xf numFmtId="168" fontId="94" fillId="0" borderId="2" xfId="1" applyNumberFormat="1" applyFont="1" applyFill="1" applyBorder="1" applyAlignment="1">
      <alignment horizontal="center" vertical="center" wrapText="1"/>
    </xf>
    <xf numFmtId="168" fontId="94" fillId="0" borderId="1" xfId="1" applyNumberFormat="1" applyFont="1" applyFill="1" applyBorder="1" applyAlignment="1">
      <alignment vertical="center" wrapText="1"/>
    </xf>
    <xf numFmtId="168" fontId="94" fillId="0" borderId="1" xfId="1" applyNumberFormat="1" applyFont="1" applyFill="1" applyBorder="1" applyAlignment="1">
      <alignment horizontal="center" vertical="center" wrapText="1"/>
    </xf>
    <xf numFmtId="49" fontId="94" fillId="0" borderId="7" xfId="1" applyNumberFormat="1" applyFont="1" applyFill="1" applyBorder="1" applyAlignment="1">
      <alignment horizontal="center" vertical="center" wrapText="1"/>
    </xf>
    <xf numFmtId="168" fontId="94" fillId="0" borderId="7" xfId="1" applyNumberFormat="1" applyFont="1" applyFill="1" applyBorder="1" applyAlignment="1">
      <alignment horizontal="left" vertical="center" wrapText="1"/>
    </xf>
    <xf numFmtId="9" fontId="94" fillId="0" borderId="7" xfId="1" applyNumberFormat="1" applyFont="1" applyFill="1" applyBorder="1" applyAlignment="1">
      <alignment horizontal="right" vertical="center" wrapText="1"/>
    </xf>
    <xf numFmtId="168" fontId="94" fillId="0" borderId="7" xfId="1" applyNumberFormat="1" applyFont="1" applyFill="1" applyBorder="1" applyAlignment="1">
      <alignment horizontal="right" vertical="center" wrapText="1"/>
    </xf>
    <xf numFmtId="170" fontId="94" fillId="0" borderId="7" xfId="17" applyNumberFormat="1" applyFont="1" applyFill="1" applyBorder="1" applyAlignment="1">
      <alignment horizontal="right" vertical="center" wrapText="1"/>
    </xf>
    <xf numFmtId="3" fontId="94" fillId="0" borderId="7" xfId="17" applyNumberFormat="1" applyFont="1" applyFill="1" applyBorder="1" applyAlignment="1">
      <alignment horizontal="right" vertical="center" wrapText="1"/>
    </xf>
    <xf numFmtId="3" fontId="94" fillId="0" borderId="7" xfId="1" applyNumberFormat="1" applyFont="1" applyFill="1" applyBorder="1" applyAlignment="1">
      <alignment horizontal="right" vertical="center" wrapText="1"/>
    </xf>
    <xf numFmtId="183" fontId="90" fillId="0" borderId="0" xfId="17" applyNumberFormat="1" applyFont="1" applyFill="1" applyBorder="1"/>
    <xf numFmtId="49" fontId="94" fillId="0" borderId="8" xfId="1" applyNumberFormat="1" applyFont="1" applyFill="1" applyBorder="1" applyAlignment="1">
      <alignment horizontal="center" vertical="center" wrapText="1"/>
    </xf>
    <xf numFmtId="168" fontId="94" fillId="0" borderId="8" xfId="1" applyNumberFormat="1" applyFont="1" applyFill="1" applyBorder="1" applyAlignment="1">
      <alignment horizontal="left" vertical="center" wrapText="1"/>
    </xf>
    <xf numFmtId="9" fontId="94" fillId="0" borderId="8" xfId="1" applyNumberFormat="1" applyFont="1" applyFill="1" applyBorder="1" applyAlignment="1">
      <alignment horizontal="right" vertical="center" wrapText="1"/>
    </xf>
    <xf numFmtId="168" fontId="94" fillId="0" borderId="8" xfId="1" applyNumberFormat="1" applyFont="1" applyFill="1" applyBorder="1" applyAlignment="1">
      <alignment horizontal="right" vertical="center" wrapText="1"/>
    </xf>
    <xf numFmtId="3" fontId="94" fillId="0" borderId="8" xfId="1" applyNumberFormat="1" applyFont="1" applyFill="1" applyBorder="1" applyAlignment="1">
      <alignment horizontal="right" vertical="center" wrapText="1"/>
    </xf>
    <xf numFmtId="182" fontId="94" fillId="0" borderId="8" xfId="1" applyNumberFormat="1" applyFont="1" applyFill="1" applyBorder="1" applyAlignment="1">
      <alignment horizontal="right" vertical="center" wrapText="1"/>
    </xf>
    <xf numFmtId="168" fontId="93" fillId="0" borderId="0" xfId="16" applyNumberFormat="1" applyFont="1"/>
    <xf numFmtId="183" fontId="93" fillId="0" borderId="0" xfId="17" applyNumberFormat="1" applyFont="1" applyFill="1" applyBorder="1"/>
    <xf numFmtId="0" fontId="94" fillId="0" borderId="8" xfId="16" applyFont="1" applyBorder="1" applyAlignment="1">
      <alignment horizontal="right"/>
    </xf>
    <xf numFmtId="3" fontId="94" fillId="0" borderId="8" xfId="16" applyNumberFormat="1" applyFont="1" applyBorder="1" applyAlignment="1">
      <alignment horizontal="right"/>
    </xf>
    <xf numFmtId="3" fontId="95" fillId="0" borderId="8" xfId="1" applyNumberFormat="1" applyFont="1" applyFill="1" applyBorder="1" applyAlignment="1">
      <alignment horizontal="right"/>
    </xf>
    <xf numFmtId="183" fontId="93" fillId="0" borderId="0" xfId="17" applyNumberFormat="1" applyFont="1" applyFill="1"/>
    <xf numFmtId="49" fontId="89" fillId="0" borderId="8" xfId="16" applyNumberFormat="1" applyFont="1" applyBorder="1"/>
    <xf numFmtId="168" fontId="89" fillId="0" borderId="8" xfId="1" applyNumberFormat="1" applyFont="1" applyFill="1" applyBorder="1" applyAlignment="1">
      <alignment horizontal="left" vertical="center" wrapText="1"/>
    </xf>
    <xf numFmtId="0" fontId="89" fillId="0" borderId="8" xfId="16" applyFont="1" applyBorder="1" applyAlignment="1">
      <alignment horizontal="right"/>
    </xf>
    <xf numFmtId="168" fontId="89" fillId="0" borderId="8" xfId="1" applyNumberFormat="1" applyFont="1" applyFill="1" applyBorder="1" applyAlignment="1">
      <alignment horizontal="right" vertical="center" wrapText="1"/>
    </xf>
    <xf numFmtId="170" fontId="89" fillId="0" borderId="8" xfId="16" applyNumberFormat="1" applyFont="1" applyBorder="1" applyAlignment="1">
      <alignment horizontal="right"/>
    </xf>
    <xf numFmtId="3" fontId="89" fillId="0" borderId="8" xfId="16" applyNumberFormat="1" applyFont="1" applyBorder="1" applyAlignment="1">
      <alignment horizontal="right"/>
    </xf>
    <xf numFmtId="3" fontId="95" fillId="0" borderId="8" xfId="1" applyNumberFormat="1" applyFont="1" applyFill="1" applyBorder="1" applyAlignment="1">
      <alignment horizontal="right" vertical="center" wrapText="1"/>
    </xf>
    <xf numFmtId="3" fontId="89" fillId="0" borderId="8" xfId="1" applyNumberFormat="1" applyFont="1" applyFill="1" applyBorder="1" applyAlignment="1">
      <alignment horizontal="right" vertical="center" wrapText="1"/>
    </xf>
    <xf numFmtId="183" fontId="90" fillId="0" borderId="0" xfId="17" applyNumberFormat="1" applyFont="1" applyFill="1"/>
    <xf numFmtId="3" fontId="94" fillId="0" borderId="8" xfId="17" applyNumberFormat="1" applyFont="1" applyFill="1" applyBorder="1" applyAlignment="1">
      <alignment horizontal="right" vertical="center" wrapText="1"/>
    </xf>
    <xf numFmtId="0" fontId="89" fillId="0" borderId="8" xfId="16" applyFont="1" applyBorder="1"/>
    <xf numFmtId="168" fontId="89" fillId="0" borderId="8" xfId="16" applyNumberFormat="1" applyFont="1" applyBorder="1" applyAlignment="1">
      <alignment horizontal="right"/>
    </xf>
    <xf numFmtId="9" fontId="89" fillId="0" borderId="8" xfId="9" applyFont="1" applyFill="1" applyBorder="1" applyAlignment="1">
      <alignment horizontal="right"/>
    </xf>
    <xf numFmtId="49" fontId="94" fillId="0" borderId="8" xfId="1" quotePrefix="1" applyNumberFormat="1" applyFont="1" applyFill="1" applyBorder="1" applyAlignment="1">
      <alignment horizontal="center" vertical="center" wrapText="1"/>
    </xf>
    <xf numFmtId="168" fontId="94" fillId="0" borderId="8" xfId="1" applyNumberFormat="1" applyFont="1" applyFill="1" applyBorder="1" applyAlignment="1">
      <alignment vertical="center" wrapText="1"/>
    </xf>
    <xf numFmtId="170" fontId="94" fillId="0" borderId="8" xfId="1" applyNumberFormat="1" applyFont="1" applyFill="1" applyBorder="1" applyAlignment="1">
      <alignment horizontal="right" vertical="center" wrapText="1"/>
    </xf>
    <xf numFmtId="168" fontId="95" fillId="0" borderId="8" xfId="1" applyNumberFormat="1" applyFont="1" applyFill="1" applyBorder="1" applyAlignment="1">
      <alignment horizontal="right" vertical="center" wrapText="1"/>
    </xf>
    <xf numFmtId="49" fontId="89" fillId="0" borderId="8" xfId="1" quotePrefix="1" applyNumberFormat="1" applyFont="1" applyFill="1" applyBorder="1" applyAlignment="1">
      <alignment horizontal="center" vertical="center" wrapText="1"/>
    </xf>
    <xf numFmtId="168" fontId="89" fillId="0" borderId="8" xfId="1" applyNumberFormat="1" applyFont="1" applyFill="1" applyBorder="1" applyAlignment="1">
      <alignment vertical="center" wrapText="1"/>
    </xf>
    <xf numFmtId="9" fontId="89" fillId="0" borderId="8" xfId="1" applyNumberFormat="1" applyFont="1" applyFill="1" applyBorder="1" applyAlignment="1">
      <alignment horizontal="right" vertical="center" wrapText="1"/>
    </xf>
    <xf numFmtId="170" fontId="89" fillId="0" borderId="8" xfId="1" applyNumberFormat="1" applyFont="1" applyFill="1" applyBorder="1" applyAlignment="1">
      <alignment horizontal="right" vertical="center" wrapText="1"/>
    </xf>
    <xf numFmtId="49" fontId="96" fillId="0" borderId="8" xfId="1" quotePrefix="1" applyNumberFormat="1" applyFont="1" applyFill="1" applyBorder="1" applyAlignment="1">
      <alignment horizontal="center" vertical="center" wrapText="1"/>
    </xf>
    <xf numFmtId="168" fontId="96" fillId="0" borderId="8" xfId="1" applyNumberFormat="1" applyFont="1" applyFill="1" applyBorder="1" applyAlignment="1">
      <alignment vertical="center" wrapText="1"/>
    </xf>
    <xf numFmtId="9" fontId="96" fillId="0" borderId="8" xfId="1" applyNumberFormat="1" applyFont="1" applyFill="1" applyBorder="1" applyAlignment="1">
      <alignment horizontal="right" vertical="center" wrapText="1"/>
    </xf>
    <xf numFmtId="168" fontId="96" fillId="0" borderId="8" xfId="1" applyNumberFormat="1" applyFont="1" applyFill="1" applyBorder="1" applyAlignment="1">
      <alignment horizontal="right" vertical="center" wrapText="1"/>
    </xf>
    <xf numFmtId="170" fontId="96" fillId="0" borderId="8" xfId="1" applyNumberFormat="1" applyFont="1" applyFill="1" applyBorder="1" applyAlignment="1">
      <alignment horizontal="right" vertical="center" wrapText="1"/>
    </xf>
    <xf numFmtId="168" fontId="97" fillId="0" borderId="0" xfId="16" applyNumberFormat="1" applyFont="1"/>
    <xf numFmtId="183" fontId="97" fillId="0" borderId="0" xfId="17" applyNumberFormat="1" applyFont="1" applyFill="1" applyBorder="1"/>
    <xf numFmtId="0" fontId="97" fillId="0" borderId="0" xfId="16" applyFont="1"/>
    <xf numFmtId="170" fontId="89" fillId="0" borderId="8" xfId="11" applyNumberFormat="1" applyFont="1" applyFill="1" applyBorder="1" applyAlignment="1">
      <alignment horizontal="right" vertical="center" wrapText="1"/>
    </xf>
    <xf numFmtId="168" fontId="89" fillId="0" borderId="8" xfId="1" applyNumberFormat="1" applyFont="1" applyFill="1" applyBorder="1" applyAlignment="1">
      <alignment horizontal="right"/>
    </xf>
    <xf numFmtId="168" fontId="95" fillId="0" borderId="8" xfId="1" applyNumberFormat="1" applyFont="1" applyFill="1" applyBorder="1" applyAlignment="1">
      <alignment horizontal="right"/>
    </xf>
    <xf numFmtId="170" fontId="94" fillId="0" borderId="8" xfId="11" applyNumberFormat="1" applyFont="1" applyFill="1" applyBorder="1" applyAlignment="1">
      <alignment horizontal="right" vertical="center" wrapText="1"/>
    </xf>
    <xf numFmtId="170" fontId="94" fillId="0" borderId="8" xfId="17" applyNumberFormat="1" applyFont="1" applyFill="1" applyBorder="1" applyAlignment="1">
      <alignment horizontal="right" vertical="center" wrapText="1"/>
    </xf>
    <xf numFmtId="170" fontId="89" fillId="0" borderId="8" xfId="17" applyNumberFormat="1" applyFont="1" applyFill="1" applyBorder="1" applyAlignment="1">
      <alignment horizontal="right" vertical="center" wrapText="1"/>
    </xf>
    <xf numFmtId="49" fontId="89" fillId="0" borderId="8" xfId="1" applyNumberFormat="1" applyFont="1" applyFill="1" applyBorder="1" applyAlignment="1">
      <alignment horizontal="center" vertical="center" wrapText="1"/>
    </xf>
    <xf numFmtId="170" fontId="94" fillId="0" borderId="8" xfId="11" applyNumberFormat="1" applyFont="1" applyFill="1" applyBorder="1" applyAlignment="1">
      <alignment horizontal="left" vertical="center" wrapText="1"/>
    </xf>
    <xf numFmtId="9" fontId="94" fillId="0" borderId="8" xfId="11" applyNumberFormat="1" applyFont="1" applyFill="1" applyBorder="1" applyAlignment="1">
      <alignment horizontal="right" vertical="center" wrapText="1"/>
    </xf>
    <xf numFmtId="49" fontId="89" fillId="0" borderId="9" xfId="1" quotePrefix="1" applyNumberFormat="1" applyFont="1" applyFill="1" applyBorder="1" applyAlignment="1">
      <alignment horizontal="center" vertical="center" wrapText="1"/>
    </xf>
    <xf numFmtId="168" fontId="89" fillId="0" borderId="9" xfId="1" applyNumberFormat="1" applyFont="1" applyFill="1" applyBorder="1" applyAlignment="1">
      <alignment horizontal="left" vertical="center" wrapText="1"/>
    </xf>
    <xf numFmtId="9" fontId="89" fillId="0" borderId="9" xfId="1" applyNumberFormat="1" applyFont="1" applyFill="1" applyBorder="1" applyAlignment="1">
      <alignment horizontal="right" vertical="center" wrapText="1"/>
    </xf>
    <xf numFmtId="168" fontId="89" fillId="0" borderId="9" xfId="1" applyNumberFormat="1" applyFont="1" applyFill="1" applyBorder="1" applyAlignment="1">
      <alignment horizontal="right" vertical="center" wrapText="1"/>
    </xf>
    <xf numFmtId="170" fontId="94" fillId="0" borderId="9" xfId="1" applyNumberFormat="1" applyFont="1" applyFill="1" applyBorder="1" applyAlignment="1">
      <alignment horizontal="right" vertical="center" wrapText="1"/>
    </xf>
    <xf numFmtId="170" fontId="89" fillId="0" borderId="9" xfId="17" applyNumberFormat="1" applyFont="1" applyFill="1" applyBorder="1" applyAlignment="1">
      <alignment horizontal="right" vertical="center" wrapText="1"/>
    </xf>
    <xf numFmtId="168" fontId="95" fillId="0" borderId="9" xfId="1" applyNumberFormat="1" applyFont="1" applyFill="1" applyBorder="1" applyAlignment="1">
      <alignment horizontal="right" vertical="center" wrapText="1"/>
    </xf>
    <xf numFmtId="168" fontId="94" fillId="0" borderId="9" xfId="1" applyNumberFormat="1" applyFont="1" applyFill="1" applyBorder="1" applyAlignment="1">
      <alignment horizontal="right" vertical="center" wrapText="1"/>
    </xf>
    <xf numFmtId="49" fontId="94" fillId="0" borderId="0" xfId="1" quotePrefix="1" applyNumberFormat="1" applyFont="1" applyFill="1" applyBorder="1" applyAlignment="1">
      <alignment horizontal="center" vertical="center" wrapText="1"/>
    </xf>
    <xf numFmtId="168" fontId="94" fillId="0" borderId="0" xfId="1" applyNumberFormat="1" applyFont="1" applyFill="1" applyBorder="1" applyAlignment="1">
      <alignment vertical="center" wrapText="1"/>
    </xf>
    <xf numFmtId="49" fontId="89" fillId="0" borderId="0" xfId="1" quotePrefix="1" applyNumberFormat="1" applyFont="1" applyFill="1" applyBorder="1" applyAlignment="1">
      <alignment horizontal="center" vertical="center" wrapText="1"/>
    </xf>
    <xf numFmtId="168" fontId="89" fillId="0" borderId="0" xfId="1" applyNumberFormat="1" applyFont="1" applyFill="1" applyBorder="1" applyAlignment="1">
      <alignment vertical="center"/>
    </xf>
    <xf numFmtId="168" fontId="89" fillId="0" borderId="0" xfId="1" applyNumberFormat="1" applyFont="1" applyFill="1" applyBorder="1" applyAlignment="1">
      <alignment vertical="center" wrapText="1"/>
    </xf>
    <xf numFmtId="167" fontId="95" fillId="0" borderId="0" xfId="1" applyFont="1" applyFill="1" applyBorder="1" applyAlignment="1">
      <alignment vertical="center" wrapText="1"/>
    </xf>
    <xf numFmtId="170" fontId="90" fillId="0" borderId="0" xfId="16" applyNumberFormat="1" applyFont="1"/>
    <xf numFmtId="49" fontId="89" fillId="0" borderId="0" xfId="1" applyNumberFormat="1" applyFont="1" applyFill="1" applyBorder="1" applyAlignment="1">
      <alignment horizontal="center" vertical="center" wrapText="1"/>
    </xf>
    <xf numFmtId="168" fontId="89" fillId="0" borderId="0" xfId="1" applyNumberFormat="1" applyFont="1" applyFill="1" applyBorder="1" applyAlignment="1">
      <alignment horizontal="left" vertical="center" wrapText="1"/>
    </xf>
    <xf numFmtId="168" fontId="94" fillId="0" borderId="0" xfId="1" applyNumberFormat="1" applyFont="1" applyFill="1" applyBorder="1" applyAlignment="1">
      <alignment horizontal="left" vertical="center" wrapText="1"/>
    </xf>
    <xf numFmtId="49" fontId="94" fillId="0" borderId="0" xfId="1" applyNumberFormat="1" applyFont="1" applyFill="1" applyBorder="1" applyAlignment="1">
      <alignment horizontal="center" vertical="center" wrapText="1"/>
    </xf>
    <xf numFmtId="170" fontId="94" fillId="0" borderId="0" xfId="11" applyNumberFormat="1" applyFont="1" applyFill="1" applyBorder="1" applyAlignment="1">
      <alignment horizontal="left" vertical="center" wrapText="1"/>
    </xf>
    <xf numFmtId="168" fontId="32" fillId="0" borderId="0" xfId="25" applyNumberFormat="1" applyFont="1" applyAlignment="1">
      <alignment horizontal="center" vertical="center" wrapText="1"/>
    </xf>
    <xf numFmtId="168" fontId="32" fillId="0" borderId="11" xfId="10" quotePrefix="1" applyNumberFormat="1" applyFont="1" applyFill="1" applyBorder="1" applyAlignment="1" applyProtection="1">
      <alignment horizontal="center" vertical="center" wrapText="1"/>
    </xf>
    <xf numFmtId="41" fontId="32" fillId="0" borderId="11" xfId="1" applyNumberFormat="1" applyFont="1" applyFill="1" applyBorder="1" applyAlignment="1">
      <alignment vertical="center"/>
    </xf>
    <xf numFmtId="173" fontId="32" fillId="0" borderId="11" xfId="1" applyNumberFormat="1" applyFont="1" applyFill="1" applyBorder="1" applyAlignment="1">
      <alignment vertical="center"/>
    </xf>
    <xf numFmtId="49" fontId="8" fillId="0" borderId="11" xfId="1" applyNumberFormat="1" applyFont="1" applyFill="1" applyBorder="1" applyAlignment="1">
      <alignment horizontal="justify" vertical="center" wrapText="1"/>
    </xf>
    <xf numFmtId="41" fontId="54" fillId="0" borderId="11" xfId="4" applyNumberFormat="1" applyFont="1" applyBorder="1" applyAlignment="1">
      <alignment vertical="center"/>
    </xf>
    <xf numFmtId="41" fontId="54" fillId="0" borderId="11" xfId="4" applyNumberFormat="1" applyFont="1" applyBorder="1" applyAlignment="1">
      <alignment horizontal="justify" vertical="center"/>
    </xf>
    <xf numFmtId="0" fontId="98" fillId="0" borderId="0" xfId="25" applyFont="1" applyAlignment="1">
      <alignment vertical="center"/>
    </xf>
    <xf numFmtId="170" fontId="33" fillId="0" borderId="10" xfId="71" applyNumberFormat="1" applyFont="1" applyFill="1" applyBorder="1" applyAlignment="1">
      <alignment horizontal="center" vertical="center" wrapText="1"/>
    </xf>
    <xf numFmtId="170" fontId="33" fillId="0" borderId="0" xfId="0" applyNumberFormat="1" applyFont="1" applyAlignment="1">
      <alignment vertical="center"/>
    </xf>
    <xf numFmtId="168" fontId="32" fillId="0" borderId="0" xfId="25" applyNumberFormat="1" applyFont="1" applyAlignment="1">
      <alignment vertical="center"/>
    </xf>
    <xf numFmtId="182" fontId="18" fillId="3" borderId="8" xfId="1" applyNumberFormat="1" applyFont="1" applyFill="1" applyBorder="1" applyAlignment="1">
      <alignment horizontal="center" vertical="center" wrapText="1"/>
    </xf>
    <xf numFmtId="170" fontId="32" fillId="0" borderId="11" xfId="12" applyNumberFormat="1" applyFont="1" applyFill="1" applyBorder="1" applyAlignment="1">
      <alignment vertical="center" wrapText="1"/>
    </xf>
    <xf numFmtId="0" fontId="33" fillId="0" borderId="7" xfId="0" applyFont="1" applyBorder="1" applyAlignment="1">
      <alignment horizontal="center" vertical="center"/>
    </xf>
    <xf numFmtId="0" fontId="33" fillId="0" borderId="7" xfId="0" applyFont="1" applyBorder="1" applyAlignment="1">
      <alignment vertical="center"/>
    </xf>
    <xf numFmtId="170" fontId="33" fillId="0" borderId="7" xfId="71" applyNumberFormat="1" applyFont="1" applyBorder="1" applyAlignment="1">
      <alignment vertical="center"/>
    </xf>
    <xf numFmtId="0" fontId="33" fillId="0" borderId="8" xfId="0" applyFont="1" applyBorder="1" applyAlignment="1">
      <alignment horizontal="center" vertical="center"/>
    </xf>
    <xf numFmtId="170" fontId="33" fillId="0" borderId="8" xfId="55" applyNumberFormat="1" applyFont="1" applyFill="1" applyBorder="1" applyAlignment="1">
      <alignment horizontal="right" vertical="center"/>
    </xf>
    <xf numFmtId="0" fontId="34" fillId="0" borderId="8" xfId="0" quotePrefix="1" applyFont="1" applyBorder="1" applyAlignment="1">
      <alignment horizontal="center" vertical="center"/>
    </xf>
    <xf numFmtId="170" fontId="34" fillId="0" borderId="8" xfId="55" applyNumberFormat="1" applyFont="1" applyFill="1" applyBorder="1" applyAlignment="1">
      <alignment horizontal="right" vertical="center"/>
    </xf>
    <xf numFmtId="170" fontId="34" fillId="0" borderId="8" xfId="71" applyNumberFormat="1" applyFont="1" applyBorder="1" applyAlignment="1">
      <alignment vertical="center"/>
    </xf>
    <xf numFmtId="0" fontId="33" fillId="0" borderId="8" xfId="0" quotePrefix="1" applyFont="1" applyBorder="1" applyAlignment="1">
      <alignment horizontal="center" vertical="center"/>
    </xf>
    <xf numFmtId="0" fontId="33" fillId="0" borderId="8" xfId="0" applyFont="1" applyBorder="1" applyAlignment="1">
      <alignment vertical="center" wrapText="1"/>
    </xf>
    <xf numFmtId="170" fontId="33" fillId="0" borderId="8" xfId="71" applyNumberFormat="1" applyFont="1" applyBorder="1" applyAlignment="1">
      <alignment vertical="center"/>
    </xf>
    <xf numFmtId="0" fontId="35" fillId="0" borderId="8" xfId="0" quotePrefix="1" applyFont="1" applyBorder="1" applyAlignment="1">
      <alignment horizontal="center" vertical="center"/>
    </xf>
    <xf numFmtId="0" fontId="100" fillId="0" borderId="8" xfId="0" applyFont="1" applyBorder="1" applyAlignment="1">
      <alignment vertical="center" wrapText="1"/>
    </xf>
    <xf numFmtId="170" fontId="100" fillId="0" borderId="8" xfId="71" applyNumberFormat="1" applyFont="1" applyBorder="1" applyAlignment="1">
      <alignment vertical="center"/>
    </xf>
    <xf numFmtId="0" fontId="101" fillId="0" borderId="8" xfId="0" applyFont="1" applyBorder="1" applyAlignment="1">
      <alignment horizontal="left" vertical="center" wrapText="1"/>
    </xf>
    <xf numFmtId="0" fontId="102" fillId="0" borderId="8" xfId="0" applyFont="1" applyBorder="1" applyAlignment="1">
      <alignment vertical="center" wrapText="1"/>
    </xf>
    <xf numFmtId="0" fontId="102" fillId="0" borderId="8" xfId="0" applyFont="1" applyBorder="1" applyAlignment="1">
      <alignment horizontal="left" vertical="center" wrapText="1"/>
    </xf>
    <xf numFmtId="170" fontId="33" fillId="0" borderId="8" xfId="72" applyNumberFormat="1" applyFont="1" applyBorder="1" applyAlignment="1">
      <alignment vertical="center"/>
    </xf>
    <xf numFmtId="170" fontId="34" fillId="0" borderId="8" xfId="72" applyNumberFormat="1" applyFont="1" applyBorder="1" applyAlignment="1">
      <alignment vertical="center"/>
    </xf>
    <xf numFmtId="0" fontId="102" fillId="0" borderId="8" xfId="0" applyFont="1" applyBorder="1" applyAlignment="1">
      <alignment horizontal="center" vertical="center"/>
    </xf>
    <xf numFmtId="170" fontId="102" fillId="0" borderId="8" xfId="71" applyNumberFormat="1" applyFont="1" applyFill="1" applyBorder="1" applyAlignment="1">
      <alignment vertical="center"/>
    </xf>
    <xf numFmtId="0" fontId="101" fillId="0" borderId="9" xfId="0" quotePrefix="1" applyFont="1" applyBorder="1" applyAlignment="1">
      <alignment horizontal="center" vertical="center"/>
    </xf>
    <xf numFmtId="0" fontId="101" fillId="0" borderId="9" xfId="0" applyFont="1" applyBorder="1" applyAlignment="1">
      <alignment horizontal="left" vertical="center" wrapText="1"/>
    </xf>
    <xf numFmtId="170" fontId="101" fillId="0" borderId="9" xfId="71" applyNumberFormat="1" applyFont="1" applyFill="1" applyBorder="1" applyAlignment="1">
      <alignment vertical="center"/>
    </xf>
    <xf numFmtId="170" fontId="101" fillId="0" borderId="9" xfId="71" applyNumberFormat="1" applyFont="1" applyBorder="1" applyAlignment="1">
      <alignment vertical="center"/>
    </xf>
    <xf numFmtId="170" fontId="32" fillId="0" borderId="8" xfId="58" applyNumberFormat="1" applyFont="1" applyFill="1" applyBorder="1" applyAlignment="1">
      <alignment vertical="center" wrapText="1"/>
    </xf>
    <xf numFmtId="3" fontId="32" fillId="0" borderId="8" xfId="30" applyNumberFormat="1" applyFont="1" applyBorder="1" applyAlignment="1">
      <alignment horizontal="center" vertical="center" wrapText="1"/>
    </xf>
    <xf numFmtId="170" fontId="32" fillId="0" borderId="0" xfId="30" applyNumberFormat="1" applyFont="1" applyAlignment="1">
      <alignment vertical="center"/>
    </xf>
    <xf numFmtId="49" fontId="39" fillId="0" borderId="0" xfId="30" applyNumberFormat="1" applyFont="1" applyAlignment="1">
      <alignment horizontal="left" vertical="center"/>
    </xf>
    <xf numFmtId="0" fontId="32" fillId="0" borderId="0" xfId="30" applyFont="1" applyAlignment="1">
      <alignment vertical="center" wrapText="1"/>
    </xf>
    <xf numFmtId="0" fontId="32" fillId="0" borderId="0" xfId="30" applyFont="1" applyAlignment="1">
      <alignment horizontal="center" vertical="center"/>
    </xf>
    <xf numFmtId="0" fontId="32" fillId="0" borderId="0" xfId="30" applyFont="1" applyAlignment="1">
      <alignment vertical="center"/>
    </xf>
    <xf numFmtId="0" fontId="32" fillId="0" borderId="0" xfId="30" applyFont="1" applyAlignment="1">
      <alignment horizontal="center" vertical="center" wrapText="1"/>
    </xf>
    <xf numFmtId="0" fontId="57" fillId="0" borderId="0" xfId="30" applyFont="1" applyAlignment="1">
      <alignment vertical="center"/>
    </xf>
    <xf numFmtId="0" fontId="39" fillId="0" borderId="8" xfId="4" applyFont="1" applyBorder="1" applyAlignment="1">
      <alignment horizontal="center" vertical="center" wrapText="1"/>
    </xf>
    <xf numFmtId="0" fontId="32" fillId="0" borderId="8" xfId="4" applyFont="1" applyBorder="1" applyAlignment="1">
      <alignment horizontal="center" vertical="center" wrapText="1"/>
    </xf>
    <xf numFmtId="0" fontId="32" fillId="0" borderId="8" xfId="30" applyFont="1" applyBorder="1" applyAlignment="1">
      <alignment vertical="center" wrapText="1" shrinkToFit="1"/>
    </xf>
    <xf numFmtId="3" fontId="32" fillId="0" borderId="8" xfId="4" applyNumberFormat="1" applyFont="1" applyBorder="1" applyAlignment="1">
      <alignment horizontal="center" vertical="center" wrapText="1"/>
    </xf>
    <xf numFmtId="3" fontId="32" fillId="0" borderId="8" xfId="30" applyNumberFormat="1" applyFont="1" applyBorder="1" applyAlignment="1">
      <alignment horizontal="left" vertical="center" wrapText="1"/>
    </xf>
    <xf numFmtId="49" fontId="77" fillId="0" borderId="8" xfId="28" quotePrefix="1" applyNumberFormat="1" applyFont="1" applyBorder="1" applyAlignment="1">
      <alignment horizontal="center" vertical="center"/>
    </xf>
    <xf numFmtId="0" fontId="32" fillId="0" borderId="8" xfId="28" applyFont="1" applyBorder="1" applyAlignment="1">
      <alignment vertical="center" wrapText="1"/>
    </xf>
    <xf numFmtId="0" fontId="32" fillId="0" borderId="8" xfId="28" applyFont="1" applyBorder="1" applyAlignment="1">
      <alignment horizontal="center" vertical="center" wrapText="1"/>
    </xf>
    <xf numFmtId="0" fontId="32" fillId="0" borderId="8" xfId="30" quotePrefix="1" applyFont="1" applyBorder="1" applyAlignment="1">
      <alignment wrapText="1" shrinkToFit="1"/>
    </xf>
    <xf numFmtId="0" fontId="32" fillId="0" borderId="8" xfId="30" quotePrefix="1" applyFont="1" applyBorder="1" applyAlignment="1">
      <alignment horizontal="center" wrapText="1" shrinkToFit="1"/>
    </xf>
    <xf numFmtId="0" fontId="32" fillId="0" borderId="8" xfId="30" quotePrefix="1" applyFont="1" applyBorder="1" applyAlignment="1">
      <alignment vertical="center" wrapText="1" shrinkToFit="1"/>
    </xf>
    <xf numFmtId="0" fontId="32" fillId="0" borderId="8" xfId="30" quotePrefix="1" applyFont="1" applyBorder="1" applyAlignment="1">
      <alignment horizontal="center" vertical="center" wrapText="1" shrinkToFit="1"/>
    </xf>
    <xf numFmtId="49" fontId="32" fillId="0" borderId="8" xfId="30" applyNumberFormat="1" applyFont="1" applyBorder="1" applyAlignment="1">
      <alignment horizontal="center" vertical="center"/>
    </xf>
    <xf numFmtId="0" fontId="32" fillId="0" borderId="8" xfId="30" applyFont="1" applyBorder="1" applyAlignment="1">
      <alignment vertical="center" wrapText="1"/>
    </xf>
    <xf numFmtId="0" fontId="32" fillId="0" borderId="8" xfId="30" applyFont="1" applyBorder="1" applyAlignment="1">
      <alignment horizontal="center" vertical="center" wrapText="1"/>
    </xf>
    <xf numFmtId="49" fontId="40" fillId="0" borderId="8" xfId="30" applyNumberFormat="1" applyFont="1" applyBorder="1" applyAlignment="1">
      <alignment horizontal="center" vertical="center"/>
    </xf>
    <xf numFmtId="0" fontId="40" fillId="0" borderId="8" xfId="30" applyFont="1" applyBorder="1" applyAlignment="1">
      <alignment vertical="center" wrapText="1"/>
    </xf>
    <xf numFmtId="0" fontId="40" fillId="0" borderId="8" xfId="30" applyFont="1" applyBorder="1" applyAlignment="1">
      <alignment horizontal="center" vertical="center" wrapText="1"/>
    </xf>
    <xf numFmtId="0" fontId="32" fillId="0" borderId="8" xfId="29" quotePrefix="1" applyFont="1" applyBorder="1" applyAlignment="1">
      <alignment vertical="center" wrapText="1"/>
    </xf>
    <xf numFmtId="41" fontId="32" fillId="0" borderId="8" xfId="29" applyNumberFormat="1" applyFont="1" applyBorder="1" applyAlignment="1">
      <alignment horizontal="right" vertical="center"/>
    </xf>
    <xf numFmtId="170" fontId="32" fillId="0" borderId="8" xfId="29" applyNumberFormat="1" applyFont="1" applyBorder="1" applyAlignment="1">
      <alignment horizontal="right" vertical="center"/>
    </xf>
    <xf numFmtId="0" fontId="32" fillId="0" borderId="8" xfId="29" quotePrefix="1" applyFont="1" applyBorder="1" applyAlignment="1">
      <alignment horizontal="center" vertical="center" wrapText="1"/>
    </xf>
    <xf numFmtId="0" fontId="32" fillId="0" borderId="8" xfId="30" applyFont="1" applyBorder="1" applyAlignment="1">
      <alignment horizontal="center" vertical="center" wrapText="1" shrinkToFit="1"/>
    </xf>
    <xf numFmtId="3" fontId="32" fillId="0" borderId="8" xfId="30" applyNumberFormat="1" applyFont="1" applyBorder="1" applyAlignment="1">
      <alignment horizontal="center" vertical="top" wrapText="1"/>
    </xf>
    <xf numFmtId="0" fontId="39" fillId="0" borderId="8" xfId="4" quotePrefix="1" applyFont="1" applyBorder="1" applyAlignment="1">
      <alignment horizontal="center" vertical="center" wrapText="1"/>
    </xf>
    <xf numFmtId="0" fontId="40" fillId="0" borderId="8" xfId="4" applyFont="1" applyBorder="1" applyAlignment="1">
      <alignment horizontal="left" vertical="center" wrapText="1"/>
    </xf>
    <xf numFmtId="0" fontId="40" fillId="0" borderId="8" xfId="4" applyFont="1" applyBorder="1" applyAlignment="1">
      <alignment horizontal="center" vertical="center" wrapText="1"/>
    </xf>
    <xf numFmtId="49" fontId="32" fillId="0" borderId="8" xfId="29" applyNumberFormat="1" applyFont="1" applyBorder="1" applyAlignment="1">
      <alignment horizontal="center" vertical="center"/>
    </xf>
    <xf numFmtId="184" fontId="32" fillId="0" borderId="8" xfId="4" quotePrefix="1" applyNumberFormat="1" applyFont="1" applyBorder="1" applyAlignment="1">
      <alignment horizontal="center" vertical="center"/>
    </xf>
    <xf numFmtId="0" fontId="32" fillId="0" borderId="8" xfId="33" applyFont="1" applyBorder="1" applyAlignment="1">
      <alignment horizontal="left" vertical="center" wrapText="1"/>
    </xf>
    <xf numFmtId="0" fontId="32" fillId="0" borderId="8" xfId="33" applyFont="1" applyBorder="1" applyAlignment="1">
      <alignment horizontal="center" vertical="center" wrapText="1"/>
    </xf>
    <xf numFmtId="0" fontId="32" fillId="0" borderId="8" xfId="29" applyFont="1" applyBorder="1" applyAlignment="1">
      <alignment vertical="center" wrapText="1"/>
    </xf>
    <xf numFmtId="170" fontId="32" fillId="0" borderId="8" xfId="29" applyNumberFormat="1" applyFont="1" applyBorder="1" applyAlignment="1">
      <alignment vertical="center"/>
    </xf>
    <xf numFmtId="0" fontId="32" fillId="0" borderId="8" xfId="29" applyFont="1" applyBorder="1" applyAlignment="1">
      <alignment horizontal="center" vertical="center" wrapText="1"/>
    </xf>
    <xf numFmtId="0" fontId="39" fillId="0" borderId="8" xfId="30" applyFont="1" applyBorder="1" applyAlignment="1">
      <alignment vertical="center" wrapText="1" shrinkToFit="1"/>
    </xf>
    <xf numFmtId="49" fontId="32" fillId="0" borderId="0" xfId="4" applyNumberFormat="1" applyFont="1" applyAlignment="1">
      <alignment horizontal="center" vertical="center"/>
    </xf>
    <xf numFmtId="167" fontId="50" fillId="0" borderId="0" xfId="1" applyFont="1" applyFill="1" applyAlignment="1">
      <alignment horizontal="center" vertical="center" wrapText="1"/>
    </xf>
    <xf numFmtId="181" fontId="7" fillId="0" borderId="0" xfId="1" applyNumberFormat="1" applyFont="1" applyFill="1" applyAlignment="1">
      <alignment horizontal="left" vertical="center" wrapText="1"/>
    </xf>
    <xf numFmtId="167" fontId="7" fillId="0" borderId="0" xfId="1" applyFont="1" applyFill="1" applyBorder="1" applyAlignment="1">
      <alignment horizontal="center" vertical="center"/>
    </xf>
    <xf numFmtId="167" fontId="8" fillId="0" borderId="10" xfId="1" applyFont="1" applyFill="1" applyBorder="1" applyAlignment="1">
      <alignment horizontal="center" vertical="center" wrapText="1"/>
    </xf>
    <xf numFmtId="168" fontId="8" fillId="0" borderId="10" xfId="1" applyNumberFormat="1" applyFont="1" applyFill="1" applyBorder="1" applyAlignment="1">
      <alignment horizontal="center" vertical="center" wrapText="1"/>
    </xf>
    <xf numFmtId="170" fontId="32" fillId="0" borderId="1" xfId="12" applyNumberFormat="1" applyFont="1" applyFill="1" applyBorder="1" applyAlignment="1">
      <alignment horizontal="center" vertical="center" wrapText="1"/>
    </xf>
    <xf numFmtId="0" fontId="32" fillId="0" borderId="18" xfId="4" applyFont="1" applyBorder="1" applyAlignment="1">
      <alignment horizontal="center" vertical="center" wrapText="1"/>
    </xf>
    <xf numFmtId="0" fontId="32" fillId="0" borderId="18" xfId="29" applyFont="1" applyBorder="1" applyAlignment="1">
      <alignment horizontal="center" vertical="center" wrapText="1"/>
    </xf>
    <xf numFmtId="170" fontId="32" fillId="0" borderId="11" xfId="12" applyNumberFormat="1" applyFont="1" applyFill="1" applyBorder="1" applyAlignment="1">
      <alignment horizontal="center" vertical="center" wrapText="1"/>
    </xf>
    <xf numFmtId="170" fontId="32" fillId="0" borderId="18" xfId="12" applyNumberFormat="1" applyFont="1" applyFill="1" applyBorder="1" applyAlignment="1">
      <alignment horizontal="center" vertical="center" wrapText="1"/>
    </xf>
    <xf numFmtId="170" fontId="32" fillId="0" borderId="18" xfId="12" quotePrefix="1" applyNumberFormat="1" applyFont="1" applyFill="1" applyBorder="1" applyAlignment="1">
      <alignment horizontal="center" vertical="center" wrapText="1"/>
    </xf>
    <xf numFmtId="0" fontId="32" fillId="0" borderId="5" xfId="4" applyFont="1" applyBorder="1" applyAlignment="1">
      <alignment horizontal="center" vertical="center" wrapText="1"/>
    </xf>
    <xf numFmtId="0" fontId="32" fillId="0" borderId="11" xfId="30" applyFont="1" applyBorder="1" applyAlignment="1">
      <alignment horizontal="center" vertical="center" wrapText="1"/>
    </xf>
    <xf numFmtId="3" fontId="32" fillId="0" borderId="18" xfId="30" applyNumberFormat="1" applyFont="1" applyBorder="1" applyAlignment="1">
      <alignment horizontal="center" vertical="center" wrapText="1"/>
    </xf>
    <xf numFmtId="49" fontId="32" fillId="0" borderId="18" xfId="12" applyNumberFormat="1" applyFont="1" applyFill="1" applyBorder="1" applyAlignment="1">
      <alignment horizontal="center" vertical="center" wrapText="1"/>
    </xf>
    <xf numFmtId="175" fontId="32" fillId="0" borderId="10" xfId="12" applyNumberFormat="1" applyFont="1" applyFill="1" applyBorder="1" applyAlignment="1">
      <alignment horizontal="center" vertical="center" wrapText="1"/>
    </xf>
    <xf numFmtId="170" fontId="32" fillId="0" borderId="10" xfId="12" applyNumberFormat="1" applyFont="1" applyFill="1" applyBorder="1" applyAlignment="1">
      <alignment horizontal="center" vertical="center" wrapText="1"/>
    </xf>
    <xf numFmtId="170" fontId="41" fillId="0" borderId="0" xfId="12" applyNumberFormat="1" applyFont="1" applyFill="1" applyBorder="1" applyAlignment="1">
      <alignment horizontal="center" vertical="center"/>
    </xf>
    <xf numFmtId="170" fontId="32" fillId="0" borderId="0" xfId="12" applyNumberFormat="1" applyFont="1" applyFill="1" applyBorder="1" applyAlignment="1">
      <alignment horizontal="center" vertical="center"/>
    </xf>
    <xf numFmtId="49" fontId="32" fillId="0" borderId="1" xfId="12" applyNumberFormat="1" applyFont="1" applyFill="1" applyBorder="1" applyAlignment="1">
      <alignment horizontal="center" vertical="center" wrapText="1"/>
    </xf>
    <xf numFmtId="49" fontId="32" fillId="0" borderId="5" xfId="12" applyNumberFormat="1" applyFont="1" applyFill="1" applyBorder="1" applyAlignment="1">
      <alignment horizontal="center" vertical="center" wrapText="1"/>
    </xf>
    <xf numFmtId="168" fontId="40" fillId="0" borderId="8" xfId="37" applyNumberFormat="1" applyFont="1" applyFill="1" applyBorder="1" applyAlignment="1">
      <alignment horizontal="center" vertical="center" wrapText="1"/>
    </xf>
    <xf numFmtId="168" fontId="32" fillId="0" borderId="8" xfId="37" applyNumberFormat="1" applyFont="1" applyFill="1" applyBorder="1" applyAlignment="1">
      <alignment horizontal="center" vertical="center" wrapText="1"/>
    </xf>
    <xf numFmtId="179" fontId="7" fillId="0" borderId="0" xfId="48" applyNumberFormat="1" applyFont="1" applyFill="1" applyBorder="1" applyAlignment="1">
      <alignment horizontal="center" vertical="center"/>
    </xf>
    <xf numFmtId="0" fontId="39" fillId="0" borderId="0" xfId="4" applyFont="1" applyAlignment="1">
      <alignment horizontal="left" vertical="center"/>
    </xf>
    <xf numFmtId="0" fontId="38" fillId="0" borderId="0" xfId="30" applyFont="1"/>
    <xf numFmtId="0" fontId="58" fillId="0" borderId="0" xfId="30" applyFont="1"/>
    <xf numFmtId="0" fontId="46" fillId="0" borderId="0" xfId="30" applyFont="1"/>
    <xf numFmtId="0" fontId="41" fillId="0" borderId="0" xfId="4" applyFont="1" applyAlignment="1">
      <alignment vertical="center"/>
    </xf>
    <xf numFmtId="0" fontId="59" fillId="0" borderId="0" xfId="25" applyFont="1" applyAlignment="1">
      <alignment vertical="center"/>
    </xf>
    <xf numFmtId="41" fontId="32" fillId="0" borderId="0" xfId="4" applyNumberFormat="1" applyFont="1" applyAlignment="1">
      <alignment vertical="center"/>
    </xf>
    <xf numFmtId="173" fontId="32" fillId="0" borderId="0" xfId="4" applyNumberFormat="1" applyFont="1" applyAlignment="1">
      <alignment vertical="center"/>
    </xf>
    <xf numFmtId="49" fontId="32" fillId="0" borderId="5" xfId="4" applyNumberFormat="1" applyFont="1" applyBorder="1" applyAlignment="1">
      <alignment horizontal="center" vertical="center" wrapText="1"/>
    </xf>
    <xf numFmtId="0" fontId="39" fillId="0" borderId="7" xfId="4" applyFont="1" applyBorder="1" applyAlignment="1">
      <alignment horizontal="center" vertical="center"/>
    </xf>
    <xf numFmtId="0" fontId="39" fillId="0" borderId="7" xfId="4" applyFont="1" applyBorder="1" applyAlignment="1">
      <alignment horizontal="left" vertical="center" wrapText="1"/>
    </xf>
    <xf numFmtId="184" fontId="39" fillId="0" borderId="7" xfId="4" applyNumberFormat="1" applyFont="1" applyBorder="1" applyAlignment="1">
      <alignment horizontal="center" vertical="center"/>
    </xf>
    <xf numFmtId="41" fontId="39" fillId="0" borderId="7" xfId="4" applyNumberFormat="1" applyFont="1" applyBorder="1" applyAlignment="1">
      <alignment vertical="center"/>
    </xf>
    <xf numFmtId="184" fontId="39" fillId="0" borderId="8" xfId="4" applyNumberFormat="1" applyFont="1" applyBorder="1" applyAlignment="1">
      <alignment horizontal="center" vertical="center"/>
    </xf>
    <xf numFmtId="0" fontId="39" fillId="0" borderId="8" xfId="4" applyFont="1" applyBorder="1" applyAlignment="1">
      <alignment horizontal="left" vertical="center"/>
    </xf>
    <xf numFmtId="41" fontId="39" fillId="0" borderId="8" xfId="4" applyNumberFormat="1" applyFont="1" applyBorder="1" applyAlignment="1">
      <alignment vertical="center"/>
    </xf>
    <xf numFmtId="184" fontId="39" fillId="0" borderId="8" xfId="4" quotePrefix="1" applyNumberFormat="1" applyFont="1" applyBorder="1" applyAlignment="1">
      <alignment horizontal="center" vertical="center"/>
    </xf>
    <xf numFmtId="0" fontId="39" fillId="0" borderId="8" xfId="4" applyFont="1" applyBorder="1" applyAlignment="1">
      <alignment vertical="center"/>
    </xf>
    <xf numFmtId="0" fontId="32" fillId="0" borderId="8" xfId="4" applyFont="1" applyBorder="1" applyAlignment="1">
      <alignment vertical="center"/>
    </xf>
    <xf numFmtId="41" fontId="32" fillId="0" borderId="8" xfId="4" applyNumberFormat="1" applyFont="1" applyBorder="1" applyAlignment="1">
      <alignment vertical="center"/>
    </xf>
    <xf numFmtId="41" fontId="58" fillId="0" borderId="0" xfId="30" applyNumberFormat="1" applyFont="1"/>
    <xf numFmtId="0" fontId="32" fillId="0" borderId="8" xfId="4" applyFont="1" applyBorder="1" applyAlignment="1">
      <alignment horizontal="left" vertical="center"/>
    </xf>
    <xf numFmtId="184" fontId="32" fillId="0" borderId="8" xfId="4" applyNumberFormat="1" applyFont="1" applyBorder="1" applyAlignment="1">
      <alignment horizontal="center" vertical="center"/>
    </xf>
    <xf numFmtId="173" fontId="32" fillId="0" borderId="8" xfId="4" applyNumberFormat="1" applyFont="1" applyBorder="1" applyAlignment="1">
      <alignment vertical="center"/>
    </xf>
    <xf numFmtId="41" fontId="38" fillId="0" borderId="0" xfId="30" applyNumberFormat="1" applyFont="1"/>
    <xf numFmtId="184" fontId="40" fillId="0" borderId="8" xfId="4" applyNumberFormat="1" applyFont="1" applyBorder="1" applyAlignment="1">
      <alignment horizontal="center" vertical="center"/>
    </xf>
    <xf numFmtId="41" fontId="40" fillId="0" borderId="8" xfId="4" applyNumberFormat="1" applyFont="1" applyBorder="1" applyAlignment="1">
      <alignment vertical="center"/>
    </xf>
    <xf numFmtId="0" fontId="40" fillId="0" borderId="8" xfId="4" applyFont="1" applyBorder="1" applyAlignment="1">
      <alignment horizontal="left" vertical="center"/>
    </xf>
    <xf numFmtId="184" fontId="32" fillId="0" borderId="11" xfId="4" applyNumberFormat="1" applyFont="1" applyBorder="1" applyAlignment="1">
      <alignment horizontal="center" vertical="center"/>
    </xf>
    <xf numFmtId="41" fontId="32" fillId="0" borderId="11" xfId="4" applyNumberFormat="1" applyFont="1" applyBorder="1" applyAlignment="1">
      <alignment vertical="center"/>
    </xf>
    <xf numFmtId="184" fontId="39" fillId="0" borderId="9" xfId="4" quotePrefix="1" applyNumberFormat="1" applyFont="1" applyBorder="1" applyAlignment="1">
      <alignment horizontal="center" vertical="center"/>
    </xf>
    <xf numFmtId="184" fontId="39" fillId="0" borderId="9" xfId="4" applyNumberFormat="1" applyFont="1" applyBorder="1" applyAlignment="1">
      <alignment horizontal="center" vertical="center"/>
    </xf>
    <xf numFmtId="41" fontId="39" fillId="0" borderId="9" xfId="4" applyNumberFormat="1" applyFont="1" applyBorder="1" applyAlignment="1">
      <alignment vertical="center"/>
    </xf>
    <xf numFmtId="184" fontId="39" fillId="0" borderId="18" xfId="4" quotePrefix="1" applyNumberFormat="1" applyFont="1" applyBorder="1" applyAlignment="1">
      <alignment horizontal="center" vertical="center"/>
    </xf>
    <xf numFmtId="184" fontId="39" fillId="0" borderId="18" xfId="4" applyNumberFormat="1" applyFont="1" applyBorder="1" applyAlignment="1">
      <alignment horizontal="center" vertical="center"/>
    </xf>
    <xf numFmtId="41" fontId="39" fillId="0" borderId="18" xfId="4" applyNumberFormat="1" applyFont="1" applyBorder="1" applyAlignment="1">
      <alignment vertical="center"/>
    </xf>
    <xf numFmtId="0" fontId="47" fillId="0" borderId="0" xfId="30" applyFont="1"/>
    <xf numFmtId="0" fontId="48" fillId="0" borderId="0" xfId="30" applyFont="1"/>
    <xf numFmtId="0" fontId="60" fillId="0" borderId="0" xfId="30" applyFont="1"/>
    <xf numFmtId="184" fontId="32" fillId="0" borderId="9" xfId="4" applyNumberFormat="1" applyFont="1" applyBorder="1" applyAlignment="1">
      <alignment horizontal="center" vertical="center"/>
    </xf>
    <xf numFmtId="41" fontId="32" fillId="0" borderId="9" xfId="4" applyNumberFormat="1" applyFont="1" applyBorder="1" applyAlignment="1">
      <alignment vertical="center"/>
    </xf>
    <xf numFmtId="168" fontId="32" fillId="0" borderId="0" xfId="4" applyNumberFormat="1" applyFont="1" applyAlignment="1">
      <alignment vertical="center"/>
    </xf>
    <xf numFmtId="0" fontId="39" fillId="0" borderId="0" xfId="4" quotePrefix="1" applyFont="1" applyAlignment="1">
      <alignment horizontal="center" vertical="center"/>
    </xf>
    <xf numFmtId="0" fontId="39" fillId="0" borderId="0" xfId="4" applyFont="1" applyAlignment="1">
      <alignment vertical="center" wrapText="1"/>
    </xf>
    <xf numFmtId="0" fontId="32" fillId="0" borderId="0" xfId="4" quotePrefix="1" applyFont="1" applyAlignment="1">
      <alignment horizontal="center" vertical="center"/>
    </xf>
    <xf numFmtId="168" fontId="291" fillId="0" borderId="8" xfId="1" quotePrefix="1" applyNumberFormat="1" applyFont="1" applyFill="1" applyBorder="1" applyAlignment="1">
      <alignment horizontal="center" vertical="center" wrapText="1"/>
    </xf>
    <xf numFmtId="167" fontId="291" fillId="0" borderId="8" xfId="1" applyFont="1" applyFill="1" applyBorder="1" applyAlignment="1">
      <alignment vertical="center" wrapText="1"/>
    </xf>
    <xf numFmtId="168" fontId="291" fillId="0" borderId="8" xfId="26" applyNumberFormat="1" applyFont="1" applyFill="1" applyBorder="1" applyAlignment="1">
      <alignment horizontal="center" vertical="center" wrapText="1"/>
    </xf>
    <xf numFmtId="168" fontId="291" fillId="0" borderId="8" xfId="1" applyNumberFormat="1" applyFont="1" applyFill="1" applyBorder="1" applyAlignment="1">
      <alignment horizontal="center" vertical="center" wrapText="1"/>
    </xf>
    <xf numFmtId="0" fontId="291" fillId="0" borderId="8" xfId="25" applyFont="1" applyFill="1" applyBorder="1" applyAlignment="1">
      <alignment horizontal="center" vertical="center" wrapText="1"/>
    </xf>
    <xf numFmtId="0" fontId="291" fillId="0" borderId="0" xfId="25" applyFont="1" applyFill="1" applyAlignment="1">
      <alignment horizontal="center" vertical="center" wrapText="1"/>
    </xf>
    <xf numFmtId="49" fontId="291" fillId="0" borderId="0" xfId="25" applyNumberFormat="1" applyFont="1" applyFill="1" applyAlignment="1">
      <alignment horizontal="right" vertical="center" wrapText="1"/>
    </xf>
    <xf numFmtId="168" fontId="291" fillId="0" borderId="8" xfId="1" applyNumberFormat="1" applyFont="1" applyFill="1" applyBorder="1" applyAlignment="1">
      <alignment vertical="center" wrapText="1"/>
    </xf>
    <xf numFmtId="0" fontId="291" fillId="0" borderId="8" xfId="25" applyFont="1" applyBorder="1" applyAlignment="1">
      <alignment horizontal="center" vertical="center" wrapText="1"/>
    </xf>
    <xf numFmtId="0" fontId="291" fillId="0" borderId="0" xfId="25" applyFont="1" applyAlignment="1">
      <alignment horizontal="center" vertical="center" wrapText="1"/>
    </xf>
    <xf numFmtId="49" fontId="291" fillId="0" borderId="0" xfId="25" applyNumberFormat="1" applyFont="1" applyAlignment="1">
      <alignment horizontal="right" vertical="center" wrapText="1"/>
    </xf>
    <xf numFmtId="168" fontId="291" fillId="0" borderId="0" xfId="25" applyNumberFormat="1" applyFont="1" applyAlignment="1">
      <alignment horizontal="center" vertical="center" wrapText="1"/>
    </xf>
    <xf numFmtId="168" fontId="292" fillId="0" borderId="0" xfId="1" applyNumberFormat="1" applyFont="1" applyFill="1"/>
    <xf numFmtId="168" fontId="293" fillId="0" borderId="0" xfId="16" applyNumberFormat="1" applyFont="1"/>
    <xf numFmtId="170" fontId="291" fillId="0" borderId="0" xfId="16" applyNumberFormat="1" applyFont="1"/>
    <xf numFmtId="168" fontId="291" fillId="0" borderId="0" xfId="16" applyNumberFormat="1" applyFont="1"/>
    <xf numFmtId="168" fontId="291" fillId="0" borderId="0" xfId="1" applyNumberFormat="1" applyFont="1" applyFill="1"/>
    <xf numFmtId="3" fontId="294" fillId="0" borderId="7" xfId="17" applyNumberFormat="1" applyFont="1" applyFill="1" applyBorder="1" applyAlignment="1">
      <alignment horizontal="right" vertical="center" wrapText="1"/>
    </xf>
    <xf numFmtId="3" fontId="294" fillId="0" borderId="8" xfId="1" applyNumberFormat="1" applyFont="1" applyFill="1" applyBorder="1" applyAlignment="1">
      <alignment horizontal="right" vertical="center" wrapText="1"/>
    </xf>
    <xf numFmtId="3" fontId="294" fillId="0" borderId="8" xfId="16" applyNumberFormat="1" applyFont="1" applyBorder="1" applyAlignment="1">
      <alignment horizontal="right"/>
    </xf>
    <xf numFmtId="3" fontId="291" fillId="0" borderId="8" xfId="1" applyNumberFormat="1" applyFont="1" applyFill="1" applyBorder="1" applyAlignment="1">
      <alignment horizontal="right" vertical="center" wrapText="1"/>
    </xf>
    <xf numFmtId="3" fontId="291" fillId="0" borderId="8" xfId="16" applyNumberFormat="1" applyFont="1" applyBorder="1" applyAlignment="1">
      <alignment horizontal="right"/>
    </xf>
    <xf numFmtId="170" fontId="294" fillId="0" borderId="8" xfId="1" applyNumberFormat="1" applyFont="1" applyFill="1" applyBorder="1" applyAlignment="1">
      <alignment horizontal="right" vertical="center" wrapText="1"/>
    </xf>
    <xf numFmtId="168" fontId="291" fillId="0" borderId="8" xfId="1" applyNumberFormat="1" applyFont="1" applyFill="1" applyBorder="1" applyAlignment="1">
      <alignment horizontal="right" vertical="center" wrapText="1"/>
    </xf>
    <xf numFmtId="168" fontId="295" fillId="0" borderId="8" xfId="1" applyNumberFormat="1" applyFont="1" applyFill="1" applyBorder="1" applyAlignment="1">
      <alignment horizontal="right" vertical="center" wrapText="1"/>
    </xf>
    <xf numFmtId="170" fontId="294" fillId="0" borderId="8" xfId="17" applyNumberFormat="1" applyFont="1" applyFill="1" applyBorder="1" applyAlignment="1">
      <alignment horizontal="right" vertical="center" wrapText="1"/>
    </xf>
    <xf numFmtId="168" fontId="294" fillId="0" borderId="8" xfId="1" applyNumberFormat="1" applyFont="1" applyFill="1" applyBorder="1" applyAlignment="1">
      <alignment horizontal="right" vertical="center" wrapText="1"/>
    </xf>
    <xf numFmtId="170" fontId="291" fillId="0" borderId="8" xfId="17" applyNumberFormat="1" applyFont="1" applyFill="1" applyBorder="1" applyAlignment="1">
      <alignment horizontal="right" vertical="center" wrapText="1"/>
    </xf>
    <xf numFmtId="170" fontId="291" fillId="0" borderId="8" xfId="11" applyNumberFormat="1" applyFont="1" applyFill="1" applyBorder="1" applyAlignment="1">
      <alignment horizontal="right" vertical="center" wrapText="1"/>
    </xf>
    <xf numFmtId="170" fontId="291" fillId="0" borderId="8" xfId="1" applyNumberFormat="1" applyFont="1" applyFill="1" applyBorder="1" applyAlignment="1">
      <alignment horizontal="right" vertical="center" wrapText="1"/>
    </xf>
    <xf numFmtId="170" fontId="291" fillId="0" borderId="9" xfId="17" applyNumberFormat="1" applyFont="1" applyFill="1" applyBorder="1" applyAlignment="1">
      <alignment horizontal="right" vertical="center" wrapText="1"/>
    </xf>
    <xf numFmtId="0" fontId="293" fillId="0" borderId="0" xfId="16" applyFont="1"/>
    <xf numFmtId="167" fontId="291" fillId="0" borderId="0" xfId="1" applyFont="1" applyFill="1" applyBorder="1" applyAlignment="1" applyProtection="1">
      <alignment vertical="center"/>
    </xf>
    <xf numFmtId="168" fontId="294" fillId="0" borderId="0" xfId="1" applyNumberFormat="1" applyFont="1" applyFill="1" applyBorder="1" applyAlignment="1" applyProtection="1">
      <alignment vertical="center"/>
    </xf>
    <xf numFmtId="168" fontId="295" fillId="0" borderId="0" xfId="1" applyNumberFormat="1" applyFont="1" applyFill="1" applyBorder="1" applyAlignment="1" applyProtection="1">
      <alignment vertical="center"/>
    </xf>
    <xf numFmtId="167" fontId="291" fillId="0" borderId="0" xfId="1" applyFont="1" applyFill="1" applyBorder="1" applyAlignment="1" applyProtection="1">
      <alignment horizontal="right" vertical="center"/>
    </xf>
    <xf numFmtId="168" fontId="294" fillId="0" borderId="10" xfId="1" applyNumberFormat="1" applyFont="1" applyFill="1" applyBorder="1" applyAlignment="1">
      <alignment horizontal="center" vertical="center" wrapText="1"/>
    </xf>
    <xf numFmtId="167" fontId="294" fillId="0" borderId="10" xfId="1" applyFont="1" applyFill="1" applyBorder="1" applyAlignment="1">
      <alignment horizontal="center" vertical="center" wrapText="1"/>
    </xf>
    <xf numFmtId="167" fontId="294" fillId="0" borderId="7" xfId="1" applyFont="1" applyFill="1" applyBorder="1" applyAlignment="1" applyProtection="1">
      <alignment horizontal="center" vertical="center" wrapText="1"/>
    </xf>
    <xf numFmtId="167" fontId="294" fillId="0" borderId="7" xfId="1" applyFont="1" applyFill="1" applyBorder="1" applyAlignment="1">
      <alignment horizontal="center" vertical="center" wrapText="1"/>
    </xf>
    <xf numFmtId="168" fontId="294" fillId="0" borderId="8" xfId="1" applyNumberFormat="1" applyFont="1" applyFill="1" applyBorder="1" applyAlignment="1" applyProtection="1">
      <alignment horizontal="center" vertical="center" wrapText="1"/>
    </xf>
    <xf numFmtId="168" fontId="294" fillId="0" borderId="8" xfId="1" applyNumberFormat="1" applyFont="1" applyFill="1" applyBorder="1" applyAlignment="1">
      <alignment horizontal="center" vertical="center" wrapText="1"/>
    </xf>
    <xf numFmtId="168" fontId="291" fillId="0" borderId="8" xfId="1" applyNumberFormat="1" applyFont="1" applyFill="1" applyBorder="1" applyAlignment="1" applyProtection="1">
      <alignment horizontal="center" vertical="center" wrapText="1"/>
    </xf>
    <xf numFmtId="168" fontId="295" fillId="0" borderId="8" xfId="1" applyNumberFormat="1" applyFont="1" applyFill="1" applyBorder="1" applyAlignment="1" applyProtection="1">
      <alignment horizontal="center" vertical="center" wrapText="1"/>
    </xf>
    <xf numFmtId="168" fontId="291" fillId="0" borderId="8" xfId="1" applyNumberFormat="1" applyFont="1" applyFill="1" applyBorder="1" applyAlignment="1" applyProtection="1">
      <alignment vertical="center" wrapText="1"/>
    </xf>
    <xf numFmtId="180" fontId="294" fillId="0" borderId="8" xfId="1" applyNumberFormat="1" applyFont="1" applyFill="1" applyBorder="1" applyAlignment="1" applyProtection="1">
      <alignment horizontal="center" vertical="center" wrapText="1"/>
    </xf>
    <xf numFmtId="168" fontId="294" fillId="0" borderId="8" xfId="1" applyNumberFormat="1" applyFont="1" applyFill="1" applyBorder="1" applyAlignment="1" applyProtection="1">
      <alignment vertical="center"/>
    </xf>
    <xf numFmtId="180" fontId="291" fillId="0" borderId="8" xfId="1" applyNumberFormat="1" applyFont="1" applyFill="1" applyBorder="1" applyAlignment="1" applyProtection="1">
      <alignment horizontal="right" vertical="center" wrapText="1"/>
    </xf>
    <xf numFmtId="168" fontId="294" fillId="0" borderId="8" xfId="1" applyNumberFormat="1" applyFont="1" applyFill="1" applyBorder="1" applyAlignment="1" applyProtection="1">
      <alignment vertical="center" wrapText="1"/>
    </xf>
    <xf numFmtId="168" fontId="294" fillId="0" borderId="11" xfId="1" applyNumberFormat="1" applyFont="1" applyFill="1" applyBorder="1" applyAlignment="1" applyProtection="1">
      <alignment horizontal="right" vertical="center" wrapText="1"/>
    </xf>
    <xf numFmtId="168" fontId="291" fillId="0" borderId="11" xfId="1" applyNumberFormat="1" applyFont="1" applyFill="1" applyBorder="1" applyAlignment="1" applyProtection="1">
      <alignment horizontal="right" vertical="center" wrapText="1"/>
    </xf>
    <xf numFmtId="168" fontId="291" fillId="0" borderId="11" xfId="1" applyNumberFormat="1" applyFont="1" applyFill="1" applyBorder="1" applyAlignment="1" applyProtection="1">
      <alignment horizontal="center" vertical="center" wrapText="1"/>
    </xf>
    <xf numFmtId="168" fontId="296" fillId="0" borderId="9" xfId="1" applyNumberFormat="1" applyFont="1" applyFill="1" applyBorder="1" applyAlignment="1" applyProtection="1">
      <alignment horizontal="center" vertical="center" wrapText="1"/>
    </xf>
    <xf numFmtId="168" fontId="291" fillId="0" borderId="0" xfId="1" applyNumberFormat="1" applyFont="1" applyFill="1" applyBorder="1" applyAlignment="1">
      <alignment horizontal="left" vertical="center"/>
    </xf>
    <xf numFmtId="168" fontId="297" fillId="0" borderId="0" xfId="1" applyNumberFormat="1" applyFont="1" applyAlignment="1">
      <alignment vertical="center"/>
    </xf>
    <xf numFmtId="168" fontId="298" fillId="0" borderId="10" xfId="1" applyNumberFormat="1" applyFont="1" applyBorder="1" applyAlignment="1">
      <alignment horizontal="center" vertical="center" wrapText="1"/>
    </xf>
    <xf numFmtId="168" fontId="298" fillId="0" borderId="8" xfId="1" applyNumberFormat="1" applyFont="1" applyBorder="1" applyAlignment="1">
      <alignment vertical="center" wrapText="1"/>
    </xf>
    <xf numFmtId="168" fontId="297" fillId="0" borderId="8" xfId="1" applyNumberFormat="1" applyFont="1" applyBorder="1" applyAlignment="1">
      <alignment vertical="center"/>
    </xf>
    <xf numFmtId="168" fontId="297" fillId="0" borderId="11" xfId="1" applyNumberFormat="1" applyFont="1" applyBorder="1" applyAlignment="1">
      <alignment vertical="center"/>
    </xf>
    <xf numFmtId="168" fontId="297" fillId="0" borderId="11" xfId="1" applyNumberFormat="1" applyFont="1" applyFill="1" applyBorder="1" applyAlignment="1">
      <alignment vertical="center"/>
    </xf>
    <xf numFmtId="168" fontId="297" fillId="0" borderId="9" xfId="1" applyNumberFormat="1" applyFont="1" applyBorder="1" applyAlignment="1">
      <alignment vertical="center"/>
    </xf>
    <xf numFmtId="3" fontId="291" fillId="0" borderId="0" xfId="25" applyNumberFormat="1" applyFont="1" applyAlignment="1">
      <alignment horizontal="right" vertical="center"/>
    </xf>
    <xf numFmtId="170" fontId="291" fillId="0" borderId="0" xfId="26" applyNumberFormat="1" applyFont="1" applyFill="1" applyAlignment="1">
      <alignment horizontal="center" vertical="center"/>
    </xf>
    <xf numFmtId="168" fontId="291" fillId="0" borderId="0" xfId="25" applyNumberFormat="1" applyFont="1" applyAlignment="1">
      <alignment horizontal="right" vertical="center"/>
    </xf>
    <xf numFmtId="0" fontId="294" fillId="0" borderId="0" xfId="25" applyFont="1" applyAlignment="1">
      <alignment horizontal="center" vertical="center"/>
    </xf>
    <xf numFmtId="168" fontId="291" fillId="0" borderId="10" xfId="26" applyNumberFormat="1" applyFont="1" applyFill="1" applyBorder="1" applyAlignment="1">
      <alignment horizontal="center" vertical="center" wrapText="1"/>
    </xf>
    <xf numFmtId="168" fontId="294" fillId="0" borderId="8" xfId="26" applyNumberFormat="1" applyFont="1" applyFill="1" applyBorder="1" applyAlignment="1">
      <alignment vertical="center" wrapText="1"/>
    </xf>
    <xf numFmtId="168" fontId="294" fillId="0" borderId="8" xfId="26" applyNumberFormat="1" applyFont="1" applyFill="1" applyBorder="1" applyAlignment="1">
      <alignment horizontal="center" vertical="center" wrapText="1"/>
    </xf>
    <xf numFmtId="168" fontId="294" fillId="0" borderId="18" xfId="26" applyNumberFormat="1" applyFont="1" applyFill="1" applyBorder="1" applyAlignment="1">
      <alignment horizontal="center" vertical="center" wrapText="1"/>
    </xf>
    <xf numFmtId="168" fontId="295" fillId="0" borderId="8" xfId="26" applyNumberFormat="1" applyFont="1" applyFill="1" applyBorder="1" applyAlignment="1">
      <alignment horizontal="center" vertical="center" wrapText="1"/>
    </xf>
    <xf numFmtId="168" fontId="291" fillId="0" borderId="8" xfId="26" applyNumberFormat="1" applyFont="1" applyBorder="1" applyAlignment="1">
      <alignment vertical="center" wrapText="1"/>
    </xf>
    <xf numFmtId="168" fontId="295" fillId="0" borderId="8" xfId="26" applyNumberFormat="1" applyFont="1" applyBorder="1" applyAlignment="1">
      <alignment vertical="center" wrapText="1"/>
    </xf>
    <xf numFmtId="168" fontId="291" fillId="0" borderId="8" xfId="26" applyNumberFormat="1" applyFont="1" applyFill="1" applyBorder="1" applyAlignment="1">
      <alignment vertical="center" wrapText="1"/>
    </xf>
    <xf numFmtId="168" fontId="291" fillId="0" borderId="11" xfId="26" applyNumberFormat="1" applyFont="1" applyFill="1" applyBorder="1" applyAlignment="1">
      <alignment vertical="center" wrapText="1"/>
    </xf>
    <xf numFmtId="168" fontId="291" fillId="0" borderId="11" xfId="26" applyNumberFormat="1" applyFont="1" applyBorder="1" applyAlignment="1">
      <alignment vertical="center" wrapText="1"/>
    </xf>
    <xf numFmtId="168" fontId="299" fillId="0" borderId="9" xfId="26" applyNumberFormat="1" applyFont="1" applyFill="1" applyBorder="1" applyAlignment="1">
      <alignment vertical="center" wrapText="1"/>
    </xf>
    <xf numFmtId="0" fontId="291" fillId="0" borderId="0" xfId="25" applyFont="1" applyAlignment="1">
      <alignment horizontal="right" vertical="center"/>
    </xf>
    <xf numFmtId="0" fontId="8" fillId="0" borderId="0" xfId="0" applyFont="1" applyAlignment="1">
      <alignment horizontal="center"/>
    </xf>
    <xf numFmtId="0" fontId="18" fillId="0" borderId="1"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 xfId="0" applyFont="1" applyBorder="1" applyAlignment="1">
      <alignment horizontal="center" vertical="center"/>
    </xf>
    <xf numFmtId="0" fontId="18" fillId="0" borderId="34" xfId="0" applyFont="1" applyBorder="1" applyAlignment="1">
      <alignment horizontal="center" vertical="center"/>
    </xf>
    <xf numFmtId="0" fontId="18" fillId="3" borderId="2" xfId="0" applyFont="1" applyFill="1" applyBorder="1" applyAlignment="1">
      <alignment horizontal="center"/>
    </xf>
    <xf numFmtId="0" fontId="18" fillId="3" borderId="3" xfId="0" applyFont="1" applyFill="1" applyBorder="1" applyAlignment="1">
      <alignment horizontal="center"/>
    </xf>
    <xf numFmtId="0" fontId="18" fillId="3" borderId="4" xfId="0" applyFont="1" applyFill="1" applyBorder="1" applyAlignment="1">
      <alignment horizontal="center"/>
    </xf>
    <xf numFmtId="0" fontId="32" fillId="0" borderId="0" xfId="4" applyFont="1" applyAlignment="1">
      <alignment horizontal="left" vertical="center" wrapText="1"/>
    </xf>
    <xf numFmtId="168" fontId="32" fillId="0" borderId="10" xfId="1" applyNumberFormat="1" applyFont="1" applyFill="1" applyBorder="1" applyAlignment="1">
      <alignment horizontal="center" vertical="center" wrapText="1"/>
    </xf>
    <xf numFmtId="49" fontId="41" fillId="0" borderId="0" xfId="11" applyNumberFormat="1" applyFont="1" applyFill="1" applyBorder="1" applyAlignment="1">
      <alignment horizontal="center" vertical="center"/>
    </xf>
    <xf numFmtId="49" fontId="73" fillId="0" borderId="0" xfId="11" applyNumberFormat="1" applyFont="1" applyFill="1" applyBorder="1" applyAlignment="1">
      <alignment horizontal="center" vertical="center"/>
    </xf>
    <xf numFmtId="170" fontId="39" fillId="0" borderId="10" xfId="11" applyNumberFormat="1" applyFont="1" applyFill="1" applyBorder="1" applyAlignment="1">
      <alignment horizontal="center" vertical="center" wrapText="1"/>
    </xf>
    <xf numFmtId="170" fontId="39" fillId="0" borderId="10" xfId="11" applyNumberFormat="1" applyFont="1" applyFill="1" applyBorder="1" applyAlignment="1">
      <alignment horizontal="center" vertical="center"/>
    </xf>
    <xf numFmtId="0" fontId="32" fillId="0" borderId="10" xfId="4" applyFont="1" applyBorder="1" applyAlignment="1">
      <alignment horizontal="center" vertical="center" wrapText="1"/>
    </xf>
    <xf numFmtId="168" fontId="39" fillId="0" borderId="10" xfId="11" applyNumberFormat="1" applyFont="1" applyFill="1" applyBorder="1" applyAlignment="1">
      <alignment horizontal="center" vertical="center" wrapText="1"/>
    </xf>
    <xf numFmtId="180" fontId="38" fillId="0" borderId="10" xfId="1" applyNumberFormat="1" applyFont="1" applyFill="1" applyBorder="1" applyAlignment="1">
      <alignment horizontal="center" vertical="center" wrapText="1"/>
    </xf>
    <xf numFmtId="49" fontId="76" fillId="0" borderId="0" xfId="11" applyNumberFormat="1" applyFont="1" applyFill="1" applyBorder="1" applyAlignment="1">
      <alignment horizontal="center" vertical="center"/>
    </xf>
    <xf numFmtId="49" fontId="39" fillId="0" borderId="1" xfId="4" applyNumberFormat="1" applyFont="1" applyBorder="1" applyAlignment="1">
      <alignment horizontal="center" vertical="center" wrapText="1"/>
    </xf>
    <xf numFmtId="49" fontId="39" fillId="0" borderId="35" xfId="4" applyNumberFormat="1" applyFont="1" applyBorder="1" applyAlignment="1">
      <alignment horizontal="center" vertical="center" wrapText="1"/>
    </xf>
    <xf numFmtId="170" fontId="39" fillId="0" borderId="1" xfId="11" applyNumberFormat="1" applyFont="1" applyFill="1" applyBorder="1" applyAlignment="1">
      <alignment horizontal="center" vertical="center" wrapText="1"/>
    </xf>
    <xf numFmtId="170" fontId="39" fillId="0" borderId="35" xfId="11" applyNumberFormat="1" applyFont="1" applyFill="1" applyBorder="1" applyAlignment="1">
      <alignment horizontal="center" vertical="center" wrapText="1"/>
    </xf>
    <xf numFmtId="189" fontId="24" fillId="0" borderId="0" xfId="1" applyNumberFormat="1" applyFont="1" applyFill="1" applyAlignment="1">
      <alignment horizontal="center"/>
    </xf>
    <xf numFmtId="168" fontId="94" fillId="0" borderId="1" xfId="1" applyNumberFormat="1" applyFont="1" applyFill="1" applyBorder="1" applyAlignment="1">
      <alignment horizontal="center" vertical="center" wrapText="1"/>
    </xf>
    <xf numFmtId="168" fontId="94" fillId="0" borderId="38" xfId="1" applyNumberFormat="1" applyFont="1" applyFill="1" applyBorder="1" applyAlignment="1">
      <alignment horizontal="center" vertical="center" wrapText="1"/>
    </xf>
    <xf numFmtId="168" fontId="94" fillId="0" borderId="2" xfId="1" applyNumberFormat="1" applyFont="1" applyFill="1" applyBorder="1" applyAlignment="1">
      <alignment horizontal="center" vertical="center" wrapText="1"/>
    </xf>
    <xf numFmtId="168" fontId="94" fillId="0" borderId="3" xfId="1" applyNumberFormat="1" applyFont="1" applyFill="1" applyBorder="1" applyAlignment="1">
      <alignment horizontal="center" vertical="center" wrapText="1"/>
    </xf>
    <xf numFmtId="168" fontId="94" fillId="0" borderId="4" xfId="1" applyNumberFormat="1" applyFont="1" applyFill="1" applyBorder="1" applyAlignment="1">
      <alignment horizontal="center" vertical="center" wrapText="1"/>
    </xf>
    <xf numFmtId="168" fontId="94" fillId="0" borderId="10" xfId="1" applyNumberFormat="1" applyFont="1" applyFill="1" applyBorder="1" applyAlignment="1">
      <alignment horizontal="center" vertical="center" wrapText="1"/>
    </xf>
    <xf numFmtId="0" fontId="94" fillId="0" borderId="2" xfId="16" applyFont="1" applyBorder="1" applyAlignment="1">
      <alignment horizontal="center"/>
    </xf>
    <xf numFmtId="0" fontId="94" fillId="0" borderId="3" xfId="16" applyFont="1" applyBorder="1" applyAlignment="1">
      <alignment horizontal="center"/>
    </xf>
    <xf numFmtId="0" fontId="94" fillId="0" borderId="4" xfId="16" applyFont="1" applyBorder="1" applyAlignment="1">
      <alignment horizontal="center"/>
    </xf>
    <xf numFmtId="0" fontId="94" fillId="0" borderId="2" xfId="16" applyFont="1" applyBorder="1" applyAlignment="1">
      <alignment horizontal="center" wrapText="1"/>
    </xf>
    <xf numFmtId="0" fontId="94" fillId="0" borderId="3" xfId="16" applyFont="1" applyBorder="1" applyAlignment="1">
      <alignment horizontal="center" wrapText="1"/>
    </xf>
    <xf numFmtId="0" fontId="94" fillId="0" borderId="4" xfId="16" applyFont="1" applyBorder="1" applyAlignment="1">
      <alignment horizontal="center" wrapText="1"/>
    </xf>
    <xf numFmtId="168" fontId="94" fillId="0" borderId="10" xfId="1" applyNumberFormat="1" applyFont="1" applyFill="1" applyBorder="1" applyAlignment="1">
      <alignment horizontal="center"/>
    </xf>
    <xf numFmtId="49" fontId="94" fillId="0" borderId="1" xfId="1" applyNumberFormat="1" applyFont="1" applyFill="1" applyBorder="1" applyAlignment="1">
      <alignment horizontal="center" vertical="center"/>
    </xf>
    <xf numFmtId="49" fontId="94" fillId="0" borderId="5" xfId="1" applyNumberFormat="1" applyFont="1" applyFill="1" applyBorder="1" applyAlignment="1">
      <alignment horizontal="center" vertical="center"/>
    </xf>
    <xf numFmtId="49" fontId="94" fillId="0" borderId="38" xfId="1" applyNumberFormat="1" applyFont="1" applyFill="1" applyBorder="1" applyAlignment="1">
      <alignment horizontal="center" vertical="center"/>
    </xf>
    <xf numFmtId="168" fontId="94" fillId="0" borderId="1" xfId="1" applyNumberFormat="1" applyFont="1" applyFill="1" applyBorder="1" applyAlignment="1">
      <alignment horizontal="center" vertical="center"/>
    </xf>
    <xf numFmtId="168" fontId="94" fillId="0" borderId="5" xfId="1" applyNumberFormat="1" applyFont="1" applyFill="1" applyBorder="1" applyAlignment="1">
      <alignment horizontal="center" vertical="center"/>
    </xf>
    <xf numFmtId="168" fontId="94" fillId="0" borderId="38" xfId="1" applyNumberFormat="1" applyFont="1" applyFill="1" applyBorder="1" applyAlignment="1">
      <alignment horizontal="center" vertical="center"/>
    </xf>
    <xf numFmtId="168" fontId="94" fillId="0" borderId="2" xfId="1" applyNumberFormat="1" applyFont="1" applyFill="1" applyBorder="1" applyAlignment="1">
      <alignment horizontal="center" vertical="center"/>
    </xf>
    <xf numFmtId="168" fontId="94" fillId="0" borderId="3" xfId="1" applyNumberFormat="1" applyFont="1" applyFill="1" applyBorder="1" applyAlignment="1">
      <alignment horizontal="center" vertical="center"/>
    </xf>
    <xf numFmtId="168" fontId="94" fillId="0" borderId="4" xfId="1" applyNumberFormat="1" applyFont="1" applyFill="1" applyBorder="1" applyAlignment="1">
      <alignment horizontal="center" vertical="center"/>
    </xf>
    <xf numFmtId="168" fontId="94" fillId="0" borderId="5" xfId="1" applyNumberFormat="1" applyFont="1" applyFill="1" applyBorder="1" applyAlignment="1">
      <alignment horizontal="center" vertical="center" wrapText="1"/>
    </xf>
    <xf numFmtId="168" fontId="94" fillId="0" borderId="2" xfId="1" applyNumberFormat="1" applyFont="1" applyFill="1" applyBorder="1" applyAlignment="1">
      <alignment horizontal="center" wrapText="1"/>
    </xf>
    <xf numFmtId="168" fontId="94" fillId="0" borderId="3" xfId="1" applyNumberFormat="1" applyFont="1" applyFill="1" applyBorder="1" applyAlignment="1">
      <alignment horizontal="center" wrapText="1"/>
    </xf>
    <xf numFmtId="168" fontId="94" fillId="0" borderId="4" xfId="1" applyNumberFormat="1" applyFont="1" applyFill="1" applyBorder="1" applyAlignment="1">
      <alignment horizontal="center" wrapText="1"/>
    </xf>
    <xf numFmtId="168" fontId="294" fillId="0" borderId="10" xfId="1" applyNumberFormat="1" applyFont="1" applyFill="1" applyBorder="1" applyAlignment="1">
      <alignment horizontal="center" vertical="center" wrapText="1"/>
    </xf>
    <xf numFmtId="43" fontId="294" fillId="0" borderId="2" xfId="17" applyFont="1" applyFill="1" applyBorder="1" applyAlignment="1">
      <alignment horizontal="center"/>
    </xf>
    <xf numFmtId="43" fontId="294" fillId="0" borderId="3" xfId="17" applyFont="1" applyFill="1" applyBorder="1" applyAlignment="1">
      <alignment horizontal="center"/>
    </xf>
    <xf numFmtId="43" fontId="294" fillId="0" borderId="4" xfId="17" applyFont="1" applyFill="1" applyBorder="1" applyAlignment="1">
      <alignment horizontal="center"/>
    </xf>
    <xf numFmtId="168" fontId="94" fillId="0" borderId="15" xfId="1" applyNumberFormat="1" applyFont="1" applyFill="1" applyBorder="1" applyAlignment="1">
      <alignment horizontal="center" vertical="center" wrapText="1"/>
    </xf>
    <xf numFmtId="168" fontId="94" fillId="0" borderId="17" xfId="1" applyNumberFormat="1" applyFont="1" applyFill="1" applyBorder="1" applyAlignment="1">
      <alignment horizontal="center" vertical="center" wrapText="1"/>
    </xf>
    <xf numFmtId="0" fontId="7" fillId="0" borderId="0" xfId="18" applyFont="1" applyAlignment="1">
      <alignment horizontal="left" vertical="center" wrapText="1" shrinkToFit="1"/>
    </xf>
    <xf numFmtId="0" fontId="50" fillId="0" borderId="0" xfId="38" applyFont="1" applyAlignment="1">
      <alignment horizontal="center"/>
    </xf>
    <xf numFmtId="170" fontId="7" fillId="0" borderId="11" xfId="19" quotePrefix="1" applyNumberFormat="1" applyFont="1" applyFill="1" applyBorder="1" applyAlignment="1">
      <alignment horizontal="center" vertical="center" wrapText="1"/>
    </xf>
    <xf numFmtId="170" fontId="7" fillId="0" borderId="5" xfId="19" quotePrefix="1" applyNumberFormat="1" applyFont="1" applyFill="1" applyBorder="1" applyAlignment="1">
      <alignment horizontal="center" vertical="center" wrapText="1"/>
    </xf>
    <xf numFmtId="170" fontId="7" fillId="0" borderId="18" xfId="19" quotePrefix="1" applyNumberFormat="1" applyFont="1" applyFill="1" applyBorder="1" applyAlignment="1">
      <alignment horizontal="center" vertical="center" wrapText="1"/>
    </xf>
    <xf numFmtId="170" fontId="7" fillId="0" borderId="5" xfId="19" applyNumberFormat="1" applyFont="1" applyFill="1" applyBorder="1" applyAlignment="1">
      <alignment horizontal="center" vertical="center" wrapText="1"/>
    </xf>
    <xf numFmtId="170" fontId="7" fillId="0" borderId="11" xfId="19" applyNumberFormat="1" applyFont="1" applyFill="1" applyBorder="1" applyAlignment="1">
      <alignment horizontal="center" vertical="center" wrapText="1"/>
    </xf>
    <xf numFmtId="170" fontId="7" fillId="0" borderId="18" xfId="19" applyNumberFormat="1" applyFont="1" applyFill="1" applyBorder="1" applyAlignment="1">
      <alignment horizontal="center" vertical="center" wrapText="1"/>
    </xf>
    <xf numFmtId="0" fontId="31" fillId="0" borderId="0" xfId="18" applyFont="1" applyAlignment="1">
      <alignment horizontal="justify" vertical="center" wrapText="1" shrinkToFit="1"/>
    </xf>
    <xf numFmtId="0" fontId="8" fillId="0" borderId="10" xfId="18" applyFont="1" applyBorder="1" applyAlignment="1">
      <alignment horizontal="center" vertical="center" wrapText="1"/>
    </xf>
    <xf numFmtId="0" fontId="8" fillId="0" borderId="1" xfId="18" applyFont="1" applyBorder="1" applyAlignment="1">
      <alignment horizontal="center" vertical="center" wrapText="1"/>
    </xf>
    <xf numFmtId="0" fontId="8" fillId="0" borderId="5" xfId="18" applyFont="1" applyBorder="1" applyAlignment="1">
      <alignment horizontal="center" vertical="center" wrapText="1"/>
    </xf>
    <xf numFmtId="0" fontId="8" fillId="0" borderId="35" xfId="18" applyFont="1" applyBorder="1" applyAlignment="1">
      <alignment horizontal="center" vertical="center" wrapText="1"/>
    </xf>
    <xf numFmtId="0" fontId="23" fillId="0" borderId="0" xfId="38" applyFont="1" applyAlignment="1">
      <alignment horizontal="center"/>
    </xf>
    <xf numFmtId="168" fontId="7" fillId="0" borderId="13" xfId="1" applyNumberFormat="1" applyFont="1" applyFill="1" applyBorder="1" applyAlignment="1">
      <alignment horizontal="right"/>
    </xf>
    <xf numFmtId="0" fontId="7" fillId="0" borderId="0" xfId="18" applyFont="1" applyAlignment="1">
      <alignment horizontal="justify" vertical="center" wrapText="1"/>
    </xf>
    <xf numFmtId="170" fontId="7" fillId="0" borderId="1" xfId="12" applyNumberFormat="1" applyFont="1" applyFill="1" applyBorder="1" applyAlignment="1">
      <alignment horizontal="center" vertical="center" wrapText="1"/>
    </xf>
    <xf numFmtId="170" fontId="7" fillId="0" borderId="5" xfId="12" applyNumberFormat="1" applyFont="1" applyFill="1" applyBorder="1" applyAlignment="1">
      <alignment horizontal="center" vertical="center" wrapText="1"/>
    </xf>
    <xf numFmtId="170" fontId="7" fillId="0" borderId="18" xfId="12" applyNumberFormat="1" applyFont="1" applyFill="1" applyBorder="1" applyAlignment="1">
      <alignment horizontal="center" vertical="center" wrapText="1"/>
    </xf>
    <xf numFmtId="0" fontId="23" fillId="0" borderId="0" xfId="18" applyFont="1" applyAlignment="1">
      <alignment horizontal="center" vertical="center" wrapText="1"/>
    </xf>
    <xf numFmtId="0" fontId="50" fillId="0" borderId="0" xfId="18" applyFont="1" applyAlignment="1">
      <alignment horizontal="center" vertical="center" wrapText="1"/>
    </xf>
    <xf numFmtId="0" fontId="8" fillId="0" borderId="1" xfId="18" applyFont="1" applyBorder="1" applyAlignment="1">
      <alignment horizontal="center" vertical="center"/>
    </xf>
    <xf numFmtId="0" fontId="8" fillId="0" borderId="5" xfId="18" applyFont="1" applyBorder="1" applyAlignment="1">
      <alignment horizontal="center" vertical="center"/>
    </xf>
    <xf numFmtId="0" fontId="8" fillId="0" borderId="35" xfId="18" applyFont="1" applyBorder="1" applyAlignment="1">
      <alignment horizontal="center" vertical="center"/>
    </xf>
    <xf numFmtId="0" fontId="8" fillId="0" borderId="2" xfId="18" applyFont="1" applyBorder="1" applyAlignment="1">
      <alignment horizontal="center" vertical="center"/>
    </xf>
    <xf numFmtId="0" fontId="8" fillId="0" borderId="3" xfId="18" applyFont="1" applyBorder="1" applyAlignment="1">
      <alignment horizontal="center" vertical="center"/>
    </xf>
    <xf numFmtId="0" fontId="8" fillId="0" borderId="4" xfId="18" applyFont="1" applyBorder="1" applyAlignment="1">
      <alignment horizontal="center" vertical="center"/>
    </xf>
    <xf numFmtId="0" fontId="7" fillId="0" borderId="10" xfId="18" applyFont="1" applyBorder="1" applyAlignment="1">
      <alignment horizontal="center" vertical="center" wrapText="1"/>
    </xf>
    <xf numFmtId="0" fontId="7" fillId="0" borderId="19" xfId="18" quotePrefix="1" applyFont="1" applyBorder="1" applyAlignment="1">
      <alignment horizontal="justify" vertical="center"/>
    </xf>
    <xf numFmtId="167" fontId="50" fillId="0" borderId="0" xfId="1" applyFont="1" applyFill="1" applyAlignment="1">
      <alignment horizontal="center" vertical="center" wrapText="1"/>
    </xf>
    <xf numFmtId="167" fontId="23" fillId="0" borderId="0" xfId="1" applyFont="1" applyFill="1" applyAlignment="1">
      <alignment horizontal="center" vertical="center" wrapText="1"/>
    </xf>
    <xf numFmtId="181" fontId="7" fillId="0" borderId="0" xfId="1" applyNumberFormat="1" applyFont="1" applyFill="1" applyAlignment="1">
      <alignment horizontal="left" vertical="center" wrapText="1"/>
    </xf>
    <xf numFmtId="167" fontId="7" fillId="0" borderId="0" xfId="1" applyFont="1" applyFill="1" applyBorder="1" applyAlignment="1">
      <alignment horizontal="center" vertical="center"/>
    </xf>
    <xf numFmtId="167" fontId="8" fillId="0" borderId="10" xfId="1" applyFont="1" applyFill="1" applyBorder="1" applyAlignment="1">
      <alignment horizontal="center" vertical="center" wrapText="1"/>
    </xf>
    <xf numFmtId="168" fontId="7" fillId="0" borderId="0" xfId="1" applyNumberFormat="1" applyFont="1" applyFill="1" applyAlignment="1">
      <alignment horizontal="left" vertical="center" wrapText="1"/>
    </xf>
    <xf numFmtId="167" fontId="8" fillId="0" borderId="1" xfId="1" applyFont="1" applyFill="1" applyBorder="1" applyAlignment="1">
      <alignment horizontal="center" vertical="center" wrapText="1"/>
    </xf>
    <xf numFmtId="167" fontId="8" fillId="0" borderId="5" xfId="1" applyFont="1" applyFill="1" applyBorder="1" applyAlignment="1">
      <alignment horizontal="center" vertical="center" wrapText="1"/>
    </xf>
    <xf numFmtId="167" fontId="8" fillId="0" borderId="6" xfId="1" applyFont="1" applyFill="1" applyBorder="1" applyAlignment="1">
      <alignment horizontal="center" vertical="center" wrapText="1"/>
    </xf>
    <xf numFmtId="167" fontId="8" fillId="0" borderId="14" xfId="1" applyFont="1" applyFill="1" applyBorder="1" applyAlignment="1">
      <alignment horizontal="center" vertical="center" wrapText="1"/>
    </xf>
    <xf numFmtId="167" fontId="8" fillId="0" borderId="15" xfId="1" applyFont="1" applyFill="1" applyBorder="1" applyAlignment="1">
      <alignment horizontal="center" vertical="center" wrapText="1"/>
    </xf>
    <xf numFmtId="167" fontId="8" fillId="0" borderId="16" xfId="1" applyFont="1" applyFill="1" applyBorder="1" applyAlignment="1">
      <alignment horizontal="center" vertical="center" wrapText="1"/>
    </xf>
    <xf numFmtId="167" fontId="8" fillId="0" borderId="17" xfId="1" applyFont="1" applyFill="1" applyBorder="1" applyAlignment="1">
      <alignment horizontal="center" vertical="center" wrapText="1"/>
    </xf>
    <xf numFmtId="168" fontId="8" fillId="0" borderId="10" xfId="1" applyNumberFormat="1" applyFont="1" applyFill="1" applyBorder="1" applyAlignment="1">
      <alignment horizontal="center" vertical="center" wrapText="1"/>
    </xf>
    <xf numFmtId="167" fontId="8" fillId="0" borderId="34" xfId="1" applyFont="1" applyFill="1" applyBorder="1" applyAlignment="1">
      <alignment horizontal="center" vertical="center" wrapText="1"/>
    </xf>
    <xf numFmtId="167" fontId="8" fillId="0" borderId="32" xfId="1" applyFont="1" applyFill="1" applyBorder="1" applyAlignment="1">
      <alignment horizontal="center" vertical="center" wrapText="1"/>
    </xf>
    <xf numFmtId="49" fontId="8" fillId="0" borderId="14" xfId="1" applyNumberFormat="1" applyFont="1" applyFill="1" applyBorder="1" applyAlignment="1">
      <alignment horizontal="center" vertical="center" wrapText="1"/>
    </xf>
    <xf numFmtId="49" fontId="8" fillId="0" borderId="12" xfId="1" applyNumberFormat="1" applyFont="1" applyFill="1" applyBorder="1" applyAlignment="1">
      <alignment horizontal="center" vertical="center" wrapText="1"/>
    </xf>
    <xf numFmtId="49" fontId="8" fillId="0" borderId="16" xfId="1" applyNumberFormat="1" applyFont="1" applyFill="1" applyBorder="1" applyAlignment="1">
      <alignment horizontal="center" vertical="center" wrapText="1"/>
    </xf>
    <xf numFmtId="168" fontId="54" fillId="0" borderId="10" xfId="43" applyNumberFormat="1" applyFont="1" applyFill="1" applyBorder="1" applyAlignment="1">
      <alignment horizontal="center" vertical="center" wrapText="1"/>
    </xf>
    <xf numFmtId="41" fontId="50" fillId="0" borderId="0" xfId="4" applyNumberFormat="1" applyFont="1" applyAlignment="1">
      <alignment horizontal="center" vertical="center" wrapText="1"/>
    </xf>
    <xf numFmtId="41" fontId="52" fillId="0" borderId="0" xfId="4" applyNumberFormat="1" applyFont="1" applyAlignment="1">
      <alignment horizontal="left" vertical="center" wrapText="1"/>
    </xf>
    <xf numFmtId="41" fontId="53" fillId="0" borderId="0" xfId="4" applyNumberFormat="1" applyFont="1" applyAlignment="1">
      <alignment horizontal="center" vertical="center" wrapText="1"/>
    </xf>
    <xf numFmtId="41" fontId="7" fillId="0" borderId="13" xfId="4" applyNumberFormat="1" applyFont="1" applyBorder="1" applyAlignment="1">
      <alignment horizontal="center" vertical="center" wrapText="1"/>
    </xf>
    <xf numFmtId="49" fontId="54" fillId="0" borderId="21" xfId="4" applyNumberFormat="1" applyFont="1" applyBorder="1" applyAlignment="1">
      <alignment horizontal="center" vertical="center" wrapText="1"/>
    </xf>
    <xf numFmtId="49" fontId="54" fillId="0" borderId="22" xfId="4" applyNumberFormat="1" applyFont="1" applyBorder="1" applyAlignment="1">
      <alignment horizontal="center" vertical="center" wrapText="1"/>
    </xf>
    <xf numFmtId="41" fontId="54" fillId="0" borderId="21" xfId="4" applyNumberFormat="1" applyFont="1" applyBorder="1" applyAlignment="1">
      <alignment horizontal="center" vertical="center" wrapText="1"/>
    </xf>
    <xf numFmtId="41" fontId="54" fillId="0" borderId="22" xfId="4" applyNumberFormat="1" applyFont="1" applyBorder="1" applyAlignment="1">
      <alignment horizontal="center" vertical="center" wrapText="1"/>
    </xf>
    <xf numFmtId="41" fontId="54" fillId="0" borderId="10" xfId="4" applyNumberFormat="1" applyFont="1" applyBorder="1" applyAlignment="1">
      <alignment horizontal="center" vertical="center" wrapText="1"/>
    </xf>
    <xf numFmtId="168" fontId="39" fillId="0" borderId="0" xfId="1" applyNumberFormat="1" applyFont="1" applyFill="1" applyBorder="1" applyAlignment="1" applyProtection="1">
      <alignment horizontal="center" vertical="center"/>
    </xf>
    <xf numFmtId="168" fontId="40" fillId="0" borderId="0" xfId="1" applyNumberFormat="1" applyFont="1" applyFill="1" applyBorder="1" applyAlignment="1" applyProtection="1">
      <alignment horizontal="center" vertical="center"/>
    </xf>
    <xf numFmtId="180" fontId="39" fillId="0" borderId="1" xfId="1" applyNumberFormat="1" applyFont="1" applyFill="1" applyBorder="1" applyAlignment="1">
      <alignment horizontal="center" vertical="center" wrapText="1"/>
    </xf>
    <xf numFmtId="180" fontId="39" fillId="0" borderId="35" xfId="1" applyNumberFormat="1" applyFont="1" applyFill="1" applyBorder="1" applyAlignment="1">
      <alignment horizontal="center" vertical="center" wrapText="1"/>
    </xf>
    <xf numFmtId="167" fontId="39" fillId="0" borderId="1" xfId="1" applyFont="1" applyFill="1" applyBorder="1" applyAlignment="1" applyProtection="1">
      <alignment horizontal="center" vertical="center" wrapText="1"/>
    </xf>
    <xf numFmtId="167" fontId="39" fillId="0" borderId="5" xfId="1" applyFont="1" applyFill="1" applyBorder="1" applyAlignment="1" applyProtection="1">
      <alignment horizontal="center" vertical="center" wrapText="1"/>
    </xf>
    <xf numFmtId="167" fontId="39" fillId="0" borderId="35" xfId="1" applyFont="1" applyFill="1" applyBorder="1" applyAlignment="1" applyProtection="1">
      <alignment horizontal="center" vertical="center" wrapText="1"/>
    </xf>
    <xf numFmtId="167" fontId="39" fillId="0" borderId="10" xfId="1" applyFont="1" applyFill="1" applyBorder="1" applyAlignment="1" applyProtection="1">
      <alignment horizontal="center" vertical="center" wrapText="1"/>
    </xf>
    <xf numFmtId="167" fontId="39" fillId="0" borderId="10" xfId="1" applyFont="1" applyFill="1" applyBorder="1" applyAlignment="1">
      <alignment horizontal="center" vertical="center" wrapText="1"/>
    </xf>
    <xf numFmtId="167" fontId="39" fillId="0" borderId="1" xfId="1" applyFont="1" applyFill="1" applyBorder="1" applyAlignment="1">
      <alignment horizontal="center" vertical="center" wrapText="1"/>
    </xf>
    <xf numFmtId="167" fontId="39" fillId="0" borderId="34" xfId="1" applyFont="1" applyFill="1" applyBorder="1" applyAlignment="1">
      <alignment horizontal="center" vertical="center" wrapText="1"/>
    </xf>
    <xf numFmtId="167" fontId="39" fillId="0" borderId="6" xfId="1" applyFont="1" applyFill="1" applyBorder="1" applyAlignment="1">
      <alignment horizontal="center" vertical="center" wrapText="1"/>
    </xf>
    <xf numFmtId="167" fontId="294" fillId="0" borderId="10" xfId="1" applyFont="1" applyFill="1" applyBorder="1" applyAlignment="1">
      <alignment horizontal="center" vertical="center" wrapText="1"/>
    </xf>
    <xf numFmtId="167" fontId="294" fillId="0" borderId="1" xfId="1" applyFont="1" applyFill="1" applyBorder="1" applyAlignment="1">
      <alignment horizontal="center" vertical="center" wrapText="1"/>
    </xf>
    <xf numFmtId="167" fontId="294" fillId="0" borderId="6" xfId="1" applyFont="1" applyFill="1" applyBorder="1" applyAlignment="1">
      <alignment horizontal="center" vertical="center" wrapText="1"/>
    </xf>
    <xf numFmtId="168" fontId="39" fillId="0" borderId="1" xfId="1" applyNumberFormat="1" applyFont="1" applyFill="1" applyBorder="1" applyAlignment="1" applyProtection="1">
      <alignment horizontal="center" vertical="center" wrapText="1"/>
    </xf>
    <xf numFmtId="168" fontId="39" fillId="0" borderId="5" xfId="1" applyNumberFormat="1" applyFont="1" applyFill="1" applyBorder="1" applyAlignment="1" applyProtection="1">
      <alignment horizontal="center" vertical="center" wrapText="1"/>
    </xf>
    <xf numFmtId="168" fontId="39" fillId="0" borderId="6" xfId="1" applyNumberFormat="1" applyFont="1" applyFill="1" applyBorder="1" applyAlignment="1" applyProtection="1">
      <alignment horizontal="center" vertical="center" wrapText="1"/>
    </xf>
    <xf numFmtId="167" fontId="39" fillId="0" borderId="6" xfId="1" applyFont="1" applyFill="1" applyBorder="1" applyAlignment="1" applyProtection="1">
      <alignment horizontal="center" vertical="center" wrapText="1"/>
    </xf>
    <xf numFmtId="167" fontId="39" fillId="0" borderId="34" xfId="1" applyFont="1" applyFill="1" applyBorder="1" applyAlignment="1" applyProtection="1">
      <alignment horizontal="center" vertical="center" wrapText="1"/>
    </xf>
    <xf numFmtId="167" fontId="39" fillId="0" borderId="2" xfId="1" applyFont="1" applyFill="1" applyBorder="1" applyAlignment="1" applyProtection="1">
      <alignment horizontal="center" vertical="center" wrapText="1"/>
    </xf>
    <xf numFmtId="167" fontId="39" fillId="0" borderId="4" xfId="1" applyFont="1" applyFill="1" applyBorder="1" applyAlignment="1" applyProtection="1">
      <alignment horizontal="center" vertical="center" wrapText="1"/>
    </xf>
    <xf numFmtId="167" fontId="39" fillId="0" borderId="10" xfId="1" applyFont="1" applyFill="1" applyBorder="1" applyAlignment="1" applyProtection="1">
      <alignment horizontal="center" vertical="center"/>
    </xf>
    <xf numFmtId="0" fontId="32" fillId="0" borderId="0" xfId="25" applyFont="1" applyAlignment="1">
      <alignment horizontal="left" vertical="center" wrapText="1"/>
    </xf>
    <xf numFmtId="0" fontId="39" fillId="0" borderId="0" xfId="25" applyFont="1" applyAlignment="1">
      <alignment horizontal="left" vertical="center"/>
    </xf>
    <xf numFmtId="0" fontId="39" fillId="0" borderId="0" xfId="25" applyFont="1" applyAlignment="1">
      <alignment horizontal="center" vertical="center"/>
    </xf>
    <xf numFmtId="0" fontId="32" fillId="0" borderId="13" xfId="25" applyFont="1" applyBorder="1" applyAlignment="1">
      <alignment horizontal="center" vertical="center"/>
    </xf>
    <xf numFmtId="0" fontId="39" fillId="0" borderId="10" xfId="25" applyFont="1" applyBorder="1" applyAlignment="1">
      <alignment horizontal="center" vertical="center" wrapText="1"/>
    </xf>
    <xf numFmtId="168" fontId="32" fillId="0" borderId="10" xfId="26" applyNumberFormat="1" applyFont="1" applyFill="1" applyBorder="1" applyAlignment="1">
      <alignment horizontal="center" vertical="center" wrapText="1"/>
    </xf>
    <xf numFmtId="167" fontId="32" fillId="0" borderId="10" xfId="26" applyFont="1" applyFill="1" applyBorder="1" applyAlignment="1">
      <alignment horizontal="center" vertical="center" wrapText="1"/>
    </xf>
    <xf numFmtId="0" fontId="32" fillId="0" borderId="10" xfId="25" applyFont="1" applyBorder="1" applyAlignment="1">
      <alignment horizontal="center" vertical="center"/>
    </xf>
    <xf numFmtId="0" fontId="40" fillId="0" borderId="11" xfId="25" applyFont="1" applyBorder="1" applyAlignment="1">
      <alignment horizontal="center" vertical="center" wrapText="1"/>
    </xf>
    <xf numFmtId="0" fontId="40" fillId="0" borderId="18" xfId="25" applyFont="1" applyBorder="1" applyAlignment="1">
      <alignment horizontal="center" vertical="center" wrapText="1"/>
    </xf>
    <xf numFmtId="0" fontId="7" fillId="0" borderId="11" xfId="25" applyFont="1" applyBorder="1" applyAlignment="1">
      <alignment horizontal="center" vertical="center" wrapText="1"/>
    </xf>
    <xf numFmtId="0" fontId="7" fillId="0" borderId="5" xfId="25" applyFont="1" applyBorder="1" applyAlignment="1">
      <alignment horizontal="center" vertical="center" wrapText="1"/>
    </xf>
    <xf numFmtId="0" fontId="7" fillId="0" borderId="18" xfId="25" applyFont="1" applyBorder="1" applyAlignment="1">
      <alignment horizontal="center" vertical="center" wrapText="1"/>
    </xf>
    <xf numFmtId="0" fontId="12" fillId="0" borderId="0" xfId="25" applyFont="1" applyAlignment="1">
      <alignment horizontal="center" vertical="center"/>
    </xf>
    <xf numFmtId="170" fontId="52" fillId="3" borderId="0" xfId="44" applyNumberFormat="1" applyFont="1" applyFill="1" applyAlignment="1">
      <alignment horizontal="left" vertical="center"/>
    </xf>
    <xf numFmtId="0" fontId="62" fillId="2" borderId="0" xfId="4" applyFont="1" applyFill="1" applyAlignment="1">
      <alignment horizontal="center" vertical="center" wrapText="1"/>
    </xf>
    <xf numFmtId="170" fontId="23" fillId="2" borderId="10" xfId="44" applyNumberFormat="1" applyFont="1" applyFill="1" applyBorder="1" applyAlignment="1">
      <alignment horizontal="center" vertical="center" wrapText="1"/>
    </xf>
    <xf numFmtId="0" fontId="23" fillId="2" borderId="10" xfId="4" applyFont="1" applyFill="1" applyBorder="1" applyAlignment="1">
      <alignment horizontal="center" vertical="center" wrapText="1"/>
    </xf>
    <xf numFmtId="170" fontId="31" fillId="2" borderId="13" xfId="4" applyNumberFormat="1" applyFont="1" applyFill="1" applyBorder="1" applyAlignment="1">
      <alignment horizontal="right" vertical="center"/>
    </xf>
    <xf numFmtId="0" fontId="12" fillId="2" borderId="0" xfId="4" applyFont="1" applyFill="1" applyAlignment="1">
      <alignment horizontal="center" vertical="center" wrapText="1"/>
    </xf>
    <xf numFmtId="3" fontId="17" fillId="3" borderId="10" xfId="1" applyNumberFormat="1" applyFont="1" applyFill="1" applyBorder="1" applyAlignment="1" applyProtection="1">
      <alignment horizontal="center" vertical="center" wrapText="1"/>
    </xf>
    <xf numFmtId="3" fontId="17" fillId="3" borderId="7" xfId="1" applyNumberFormat="1" applyFont="1" applyFill="1" applyBorder="1" applyAlignment="1">
      <alignment horizontal="center" vertical="center" wrapText="1"/>
    </xf>
    <xf numFmtId="3" fontId="17" fillId="3" borderId="8" xfId="1" applyNumberFormat="1" applyFont="1" applyFill="1" applyBorder="1" applyAlignment="1">
      <alignment horizontal="center" vertical="center" wrapText="1"/>
    </xf>
    <xf numFmtId="3" fontId="17" fillId="3" borderId="1" xfId="1" applyNumberFormat="1" applyFont="1" applyFill="1" applyBorder="1" applyAlignment="1">
      <alignment horizontal="center" vertical="center" wrapText="1"/>
    </xf>
    <xf numFmtId="3" fontId="17" fillId="3" borderId="5" xfId="1" applyNumberFormat="1" applyFont="1" applyFill="1" applyBorder="1" applyAlignment="1">
      <alignment horizontal="center" vertical="center" wrapText="1"/>
    </xf>
    <xf numFmtId="3" fontId="17" fillId="3" borderId="18" xfId="1" applyNumberFormat="1" applyFont="1" applyFill="1" applyBorder="1" applyAlignment="1">
      <alignment horizontal="center" vertical="center" wrapText="1"/>
    </xf>
    <xf numFmtId="3" fontId="17" fillId="3" borderId="7" xfId="1" applyNumberFormat="1" applyFont="1" applyFill="1" applyBorder="1" applyAlignment="1" applyProtection="1">
      <alignment horizontal="center" vertical="center" wrapText="1"/>
    </xf>
    <xf numFmtId="3" fontId="17" fillId="3" borderId="8" xfId="1" applyNumberFormat="1" applyFont="1" applyFill="1" applyBorder="1" applyAlignment="1" applyProtection="1">
      <alignment horizontal="center" vertical="center" wrapText="1"/>
    </xf>
    <xf numFmtId="0" fontId="32" fillId="0" borderId="10" xfId="4" applyFont="1" applyBorder="1" applyAlignment="1">
      <alignment horizontal="center" vertical="center"/>
    </xf>
    <xf numFmtId="0" fontId="41" fillId="0" borderId="0" xfId="4" applyFont="1" applyAlignment="1">
      <alignment horizontal="center" vertical="center"/>
    </xf>
    <xf numFmtId="0" fontId="40" fillId="0" borderId="0" xfId="25" applyFont="1" applyAlignment="1">
      <alignment horizontal="center" vertical="center"/>
    </xf>
    <xf numFmtId="168" fontId="32" fillId="0" borderId="13" xfId="1" quotePrefix="1" applyNumberFormat="1" applyFont="1" applyFill="1" applyBorder="1" applyAlignment="1">
      <alignment horizontal="center" vertical="center"/>
    </xf>
    <xf numFmtId="0" fontId="32" fillId="0" borderId="1" xfId="4" applyFont="1" applyBorder="1" applyAlignment="1">
      <alignment horizontal="center" vertical="center" wrapText="1"/>
    </xf>
    <xf numFmtId="0" fontId="32" fillId="0" borderId="5" xfId="4" applyFont="1" applyBorder="1" applyAlignment="1">
      <alignment horizontal="center" vertical="center" wrapText="1"/>
    </xf>
    <xf numFmtId="0" fontId="32" fillId="0" borderId="38" xfId="4" applyFont="1" applyBorder="1" applyAlignment="1">
      <alignment horizontal="center" vertical="center" wrapText="1"/>
    </xf>
    <xf numFmtId="170" fontId="32" fillId="0" borderId="1" xfId="12" applyNumberFormat="1" applyFont="1" applyFill="1" applyBorder="1" applyAlignment="1">
      <alignment horizontal="center" vertical="center" wrapText="1"/>
    </xf>
    <xf numFmtId="170" fontId="32" fillId="0" borderId="5" xfId="12" applyNumberFormat="1" applyFont="1" applyFill="1" applyBorder="1" applyAlignment="1">
      <alignment horizontal="center" vertical="center" wrapText="1"/>
    </xf>
    <xf numFmtId="170" fontId="32" fillId="0" borderId="38" xfId="12" applyNumberFormat="1" applyFont="1" applyFill="1" applyBorder="1" applyAlignment="1">
      <alignment horizontal="center" vertical="center" wrapText="1"/>
    </xf>
    <xf numFmtId="0" fontId="32" fillId="0" borderId="2" xfId="4" applyFont="1" applyBorder="1" applyAlignment="1">
      <alignment horizontal="center" vertical="center"/>
    </xf>
    <xf numFmtId="0" fontId="32" fillId="0" borderId="4" xfId="4" applyFont="1" applyBorder="1" applyAlignment="1">
      <alignment horizontal="center" vertical="center"/>
    </xf>
    <xf numFmtId="168" fontId="32" fillId="0" borderId="1" xfId="1" applyNumberFormat="1" applyFont="1" applyFill="1" applyBorder="1" applyAlignment="1">
      <alignment horizontal="center" vertical="center" wrapText="1"/>
    </xf>
    <xf numFmtId="168" fontId="32" fillId="0" borderId="5" xfId="1" applyNumberFormat="1" applyFont="1" applyFill="1" applyBorder="1" applyAlignment="1">
      <alignment horizontal="center" vertical="center" wrapText="1"/>
    </xf>
    <xf numFmtId="168" fontId="32" fillId="0" borderId="38" xfId="1" applyNumberFormat="1" applyFont="1" applyFill="1" applyBorder="1" applyAlignment="1">
      <alignment horizontal="center" vertical="center" wrapText="1"/>
    </xf>
    <xf numFmtId="0" fontId="32" fillId="0" borderId="11" xfId="4" applyFont="1" applyBorder="1" applyAlignment="1">
      <alignment horizontal="center" vertical="center" wrapText="1"/>
    </xf>
    <xf numFmtId="0" fontId="32" fillId="0" borderId="18" xfId="4" applyFont="1" applyBorder="1" applyAlignment="1">
      <alignment horizontal="center" vertical="center" wrapText="1"/>
    </xf>
    <xf numFmtId="0" fontId="32" fillId="0" borderId="11" xfId="29" applyFont="1" applyBorder="1" applyAlignment="1">
      <alignment horizontal="center" vertical="center" wrapText="1"/>
    </xf>
    <xf numFmtId="0" fontId="32" fillId="0" borderId="5" xfId="29" applyFont="1" applyBorder="1" applyAlignment="1">
      <alignment horizontal="center" vertical="center" wrapText="1"/>
    </xf>
    <xf numFmtId="0" fontId="32" fillId="0" borderId="18" xfId="29" applyFont="1" applyBorder="1" applyAlignment="1">
      <alignment horizontal="center" vertical="center" wrapText="1"/>
    </xf>
    <xf numFmtId="0" fontId="32" fillId="0" borderId="11" xfId="30" applyFont="1" applyBorder="1" applyAlignment="1">
      <alignment horizontal="center" vertical="center" wrapText="1" shrinkToFit="1"/>
    </xf>
    <xf numFmtId="0" fontId="32" fillId="0" borderId="18" xfId="30" applyFont="1" applyBorder="1" applyAlignment="1">
      <alignment horizontal="center" vertical="center" wrapText="1" shrinkToFit="1"/>
    </xf>
    <xf numFmtId="49" fontId="32" fillId="0" borderId="0" xfId="12" applyNumberFormat="1" applyFont="1" applyFill="1" applyAlignment="1">
      <alignment horizontal="left" vertical="center" wrapText="1"/>
    </xf>
    <xf numFmtId="0" fontId="32" fillId="0" borderId="11" xfId="29" quotePrefix="1" applyFont="1" applyBorder="1" applyAlignment="1">
      <alignment horizontal="center" vertical="center" wrapText="1"/>
    </xf>
    <xf numFmtId="0" fontId="32" fillId="0" borderId="18" xfId="29" quotePrefix="1" applyFont="1" applyBorder="1" applyAlignment="1">
      <alignment horizontal="center" vertical="center" wrapText="1"/>
    </xf>
    <xf numFmtId="170" fontId="32" fillId="0" borderId="11" xfId="12" applyNumberFormat="1" applyFont="1" applyFill="1" applyBorder="1" applyAlignment="1">
      <alignment horizontal="center" vertical="center" wrapText="1"/>
    </xf>
    <xf numFmtId="170" fontId="32" fillId="0" borderId="18" xfId="12" applyNumberFormat="1" applyFont="1" applyFill="1" applyBorder="1" applyAlignment="1">
      <alignment horizontal="center" vertical="center" wrapText="1"/>
    </xf>
    <xf numFmtId="170" fontId="32" fillId="0" borderId="11" xfId="12" quotePrefix="1" applyNumberFormat="1" applyFont="1" applyFill="1" applyBorder="1" applyAlignment="1">
      <alignment horizontal="center" vertical="center" wrapText="1"/>
    </xf>
    <xf numFmtId="170" fontId="32" fillId="0" borderId="5" xfId="12" quotePrefix="1" applyNumberFormat="1" applyFont="1" applyFill="1" applyBorder="1" applyAlignment="1">
      <alignment horizontal="center" vertical="center" wrapText="1"/>
    </xf>
    <xf numFmtId="170" fontId="32" fillId="0" borderId="18" xfId="12" quotePrefix="1" applyNumberFormat="1" applyFont="1" applyFill="1" applyBorder="1" applyAlignment="1">
      <alignment horizontal="center" vertical="center" wrapText="1"/>
    </xf>
    <xf numFmtId="170" fontId="32" fillId="0" borderId="11" xfId="12" applyNumberFormat="1" applyFont="1" applyFill="1" applyBorder="1" applyAlignment="1">
      <alignment horizontal="center" vertical="top" wrapText="1"/>
    </xf>
    <xf numFmtId="170" fontId="32" fillId="0" borderId="18" xfId="12" applyNumberFormat="1" applyFont="1" applyFill="1" applyBorder="1" applyAlignment="1">
      <alignment horizontal="center" vertical="top" wrapText="1"/>
    </xf>
    <xf numFmtId="0" fontId="32" fillId="0" borderId="11" xfId="30" applyFont="1" applyBorder="1" applyAlignment="1">
      <alignment horizontal="center" vertical="center" wrapText="1"/>
    </xf>
    <xf numFmtId="0" fontId="32" fillId="0" borderId="18" xfId="30" applyFont="1" applyBorder="1" applyAlignment="1">
      <alignment horizontal="center" vertical="center" wrapText="1"/>
    </xf>
    <xf numFmtId="170" fontId="32" fillId="0" borderId="2" xfId="12" applyNumberFormat="1" applyFont="1" applyFill="1" applyBorder="1" applyAlignment="1">
      <alignment horizontal="center" vertical="center" wrapText="1"/>
    </xf>
    <xf numFmtId="170" fontId="32" fillId="0" borderId="4" xfId="12" applyNumberFormat="1" applyFont="1" applyFill="1" applyBorder="1" applyAlignment="1">
      <alignment horizontal="center" vertical="center" wrapText="1"/>
    </xf>
    <xf numFmtId="3" fontId="32" fillId="0" borderId="11" xfId="30" applyNumberFormat="1" applyFont="1" applyBorder="1" applyAlignment="1">
      <alignment horizontal="center" vertical="center" wrapText="1"/>
    </xf>
    <xf numFmtId="3" fontId="32" fillId="0" borderId="5" xfId="30" applyNumberFormat="1" applyFont="1" applyBorder="1" applyAlignment="1">
      <alignment horizontal="center" vertical="center" wrapText="1"/>
    </xf>
    <xf numFmtId="3" fontId="32" fillId="0" borderId="18" xfId="30" applyNumberFormat="1" applyFont="1" applyBorder="1" applyAlignment="1">
      <alignment horizontal="center" vertical="center" wrapText="1"/>
    </xf>
    <xf numFmtId="49" fontId="32" fillId="0" borderId="11" xfId="12" applyNumberFormat="1" applyFont="1" applyFill="1" applyBorder="1" applyAlignment="1">
      <alignment horizontal="center" vertical="center" wrapText="1"/>
    </xf>
    <xf numFmtId="49" fontId="32" fillId="0" borderId="18" xfId="12" applyNumberFormat="1" applyFont="1" applyFill="1" applyBorder="1" applyAlignment="1">
      <alignment horizontal="center" vertical="center" wrapText="1"/>
    </xf>
    <xf numFmtId="175" fontId="32" fillId="0" borderId="10" xfId="12" applyNumberFormat="1" applyFont="1" applyFill="1" applyBorder="1" applyAlignment="1">
      <alignment horizontal="center" vertical="center" wrapText="1"/>
    </xf>
    <xf numFmtId="170" fontId="32" fillId="0" borderId="2" xfId="12" applyNumberFormat="1" applyFont="1" applyFill="1" applyBorder="1" applyAlignment="1">
      <alignment horizontal="center" vertical="center"/>
    </xf>
    <xf numFmtId="170" fontId="32" fillId="0" borderId="3" xfId="12" applyNumberFormat="1" applyFont="1" applyFill="1" applyBorder="1" applyAlignment="1">
      <alignment horizontal="center" vertical="center"/>
    </xf>
    <xf numFmtId="170" fontId="32" fillId="0" borderId="4" xfId="12" applyNumberFormat="1" applyFont="1" applyFill="1" applyBorder="1" applyAlignment="1">
      <alignment horizontal="center" vertical="center"/>
    </xf>
    <xf numFmtId="170" fontId="32" fillId="0" borderId="10" xfId="12" applyNumberFormat="1" applyFont="1" applyFill="1" applyBorder="1" applyAlignment="1">
      <alignment horizontal="center" vertical="center" wrapText="1"/>
    </xf>
    <xf numFmtId="170" fontId="32" fillId="0" borderId="3" xfId="12" applyNumberFormat="1" applyFont="1" applyFill="1" applyBorder="1" applyAlignment="1">
      <alignment horizontal="center" vertical="center" wrapText="1"/>
    </xf>
    <xf numFmtId="170" fontId="41" fillId="0" borderId="0" xfId="12" applyNumberFormat="1" applyFont="1" applyFill="1" applyBorder="1" applyAlignment="1">
      <alignment horizontal="center" vertical="center"/>
    </xf>
    <xf numFmtId="170" fontId="73" fillId="0" borderId="0" xfId="12" applyNumberFormat="1" applyFont="1" applyFill="1" applyBorder="1" applyAlignment="1">
      <alignment horizontal="center" vertical="center"/>
    </xf>
    <xf numFmtId="170" fontId="32" fillId="0" borderId="0" xfId="12" quotePrefix="1" applyNumberFormat="1" applyFont="1" applyFill="1" applyBorder="1" applyAlignment="1">
      <alignment horizontal="center" vertical="center"/>
    </xf>
    <xf numFmtId="170" fontId="32" fillId="0" borderId="0" xfId="12" applyNumberFormat="1" applyFont="1" applyFill="1" applyBorder="1" applyAlignment="1">
      <alignment horizontal="center" vertical="center"/>
    </xf>
    <xf numFmtId="49" fontId="32" fillId="0" borderId="1" xfId="12" applyNumberFormat="1" applyFont="1" applyFill="1" applyBorder="1" applyAlignment="1">
      <alignment horizontal="center" vertical="center" wrapText="1"/>
    </xf>
    <xf numFmtId="49" fontId="32" fillId="0" borderId="5" xfId="12" applyNumberFormat="1" applyFont="1" applyFill="1" applyBorder="1" applyAlignment="1">
      <alignment horizontal="center" vertical="center" wrapText="1"/>
    </xf>
    <xf numFmtId="49" fontId="32" fillId="0" borderId="38" xfId="12" applyNumberFormat="1" applyFont="1" applyFill="1" applyBorder="1" applyAlignment="1">
      <alignment horizontal="center" vertical="center" wrapText="1"/>
    </xf>
    <xf numFmtId="175" fontId="32" fillId="0" borderId="1" xfId="12" applyNumberFormat="1" applyFont="1" applyFill="1" applyBorder="1" applyAlignment="1">
      <alignment horizontal="center" vertical="center" wrapText="1"/>
    </xf>
    <xf numFmtId="175" fontId="32" fillId="0" borderId="5" xfId="12" applyNumberFormat="1" applyFont="1" applyFill="1" applyBorder="1" applyAlignment="1">
      <alignment horizontal="center" vertical="center" wrapText="1"/>
    </xf>
    <xf numFmtId="175" fontId="32" fillId="0" borderId="38" xfId="12" applyNumberFormat="1" applyFont="1" applyFill="1" applyBorder="1" applyAlignment="1">
      <alignment horizontal="center" vertical="center" wrapText="1"/>
    </xf>
    <xf numFmtId="170" fontId="32" fillId="0" borderId="15" xfId="12" applyNumberFormat="1" applyFont="1" applyFill="1" applyBorder="1" applyAlignment="1">
      <alignment horizontal="center" vertical="center" wrapText="1"/>
    </xf>
    <xf numFmtId="170" fontId="32" fillId="0" borderId="20" xfId="12" applyNumberFormat="1" applyFont="1" applyFill="1" applyBorder="1" applyAlignment="1">
      <alignment horizontal="center" vertical="center" wrapText="1"/>
    </xf>
    <xf numFmtId="170" fontId="32" fillId="0" borderId="17" xfId="12" applyNumberFormat="1" applyFont="1" applyFill="1" applyBorder="1" applyAlignment="1">
      <alignment horizontal="center" vertical="center" wrapText="1"/>
    </xf>
    <xf numFmtId="0" fontId="33" fillId="0" borderId="10" xfId="0" applyFont="1" applyBorder="1" applyAlignment="1">
      <alignment horizontal="center" vertical="center" wrapText="1"/>
    </xf>
    <xf numFmtId="170" fontId="33" fillId="0" borderId="10" xfId="71" applyNumberFormat="1" applyFont="1" applyFill="1" applyBorder="1" applyAlignment="1">
      <alignment horizontal="center" vertical="center" wrapText="1"/>
    </xf>
    <xf numFmtId="0" fontId="33" fillId="0" borderId="0" xfId="0" applyFont="1" applyAlignment="1">
      <alignment horizontal="center" vertical="center"/>
    </xf>
    <xf numFmtId="0" fontId="35" fillId="0" borderId="0" xfId="0" applyFont="1" applyAlignment="1">
      <alignment horizontal="center" vertical="center"/>
    </xf>
    <xf numFmtId="170" fontId="34" fillId="0" borderId="13" xfId="20" applyNumberFormat="1" applyFont="1" applyFill="1" applyBorder="1" applyAlignment="1">
      <alignment horizontal="center" vertical="center"/>
    </xf>
    <xf numFmtId="170" fontId="33" fillId="0" borderId="10" xfId="71" applyNumberFormat="1" applyFont="1" applyBorder="1" applyAlignment="1">
      <alignment horizontal="center" vertical="center"/>
    </xf>
    <xf numFmtId="167" fontId="8" fillId="0" borderId="0" xfId="1" applyFont="1" applyFill="1" applyAlignment="1">
      <alignment horizontal="left" vertical="center"/>
    </xf>
    <xf numFmtId="168" fontId="23" fillId="0" borderId="0" xfId="1" applyNumberFormat="1" applyFont="1" applyFill="1" applyAlignment="1">
      <alignment horizontal="center" vertical="center"/>
    </xf>
    <xf numFmtId="167" fontId="7" fillId="0" borderId="13" xfId="1" applyFont="1" applyFill="1" applyBorder="1" applyAlignment="1">
      <alignment horizontal="center" vertical="center"/>
    </xf>
    <xf numFmtId="49" fontId="8" fillId="0" borderId="23" xfId="1" applyNumberFormat="1" applyFont="1" applyFill="1" applyBorder="1" applyAlignment="1">
      <alignment horizontal="center" vertical="center" wrapText="1"/>
    </xf>
    <xf numFmtId="49" fontId="8" fillId="0" borderId="26" xfId="1" applyNumberFormat="1" applyFont="1" applyFill="1" applyBorder="1" applyAlignment="1">
      <alignment horizontal="center" vertical="center" wrapText="1"/>
    </xf>
    <xf numFmtId="49" fontId="8" fillId="0" borderId="29" xfId="1" applyNumberFormat="1" applyFont="1" applyFill="1" applyBorder="1" applyAlignment="1">
      <alignment horizontal="center" vertical="center" wrapText="1"/>
    </xf>
    <xf numFmtId="167" fontId="8" fillId="0" borderId="24" xfId="1" applyFont="1" applyFill="1" applyBorder="1" applyAlignment="1">
      <alignment horizontal="center" vertical="center" wrapText="1"/>
    </xf>
    <xf numFmtId="167" fontId="8" fillId="0" borderId="27" xfId="1" applyFont="1" applyFill="1" applyBorder="1" applyAlignment="1">
      <alignment horizontal="center" vertical="center" wrapText="1"/>
    </xf>
    <xf numFmtId="167" fontId="8" fillId="0" borderId="30" xfId="1" applyFont="1" applyFill="1" applyBorder="1" applyAlignment="1">
      <alignment horizontal="center" vertical="center" wrapText="1"/>
    </xf>
    <xf numFmtId="167" fontId="8" fillId="0" borderId="25" xfId="1" applyFont="1" applyFill="1" applyBorder="1" applyAlignment="1">
      <alignment horizontal="center" vertical="center" wrapText="1"/>
    </xf>
    <xf numFmtId="167" fontId="8" fillId="0" borderId="28" xfId="1" applyFont="1" applyFill="1" applyBorder="1" applyAlignment="1">
      <alignment horizontal="center" vertical="center" wrapText="1"/>
    </xf>
    <xf numFmtId="167" fontId="8" fillId="0" borderId="31" xfId="1" applyFont="1" applyFill="1" applyBorder="1" applyAlignment="1">
      <alignment horizontal="center" vertical="center" wrapText="1"/>
    </xf>
    <xf numFmtId="167" fontId="8" fillId="0" borderId="10" xfId="1" applyFont="1" applyFill="1" applyBorder="1" applyAlignment="1">
      <alignment horizontal="center" vertical="center"/>
    </xf>
    <xf numFmtId="168" fontId="50" fillId="0" borderId="0" xfId="1" applyNumberFormat="1" applyFont="1" applyFill="1" applyAlignment="1">
      <alignment horizontal="center" vertical="center"/>
    </xf>
    <xf numFmtId="9" fontId="7" fillId="0" borderId="0" xfId="1" applyNumberFormat="1" applyFont="1" applyFill="1" applyAlignment="1">
      <alignment horizontal="left" vertical="center" wrapText="1"/>
    </xf>
    <xf numFmtId="168" fontId="8" fillId="0" borderId="10" xfId="1" applyNumberFormat="1" applyFont="1" applyBorder="1" applyAlignment="1">
      <alignment horizontal="center" vertical="center" wrapText="1"/>
    </xf>
    <xf numFmtId="168" fontId="7" fillId="0" borderId="0" xfId="1" applyNumberFormat="1" applyFont="1" applyAlignment="1">
      <alignment horizontal="center" vertical="center" wrapText="1"/>
    </xf>
    <xf numFmtId="3" fontId="7" fillId="0" borderId="0" xfId="1" applyNumberFormat="1" applyFont="1" applyAlignment="1">
      <alignment horizontal="justify" vertical="center" wrapText="1" shrinkToFit="1"/>
    </xf>
    <xf numFmtId="3" fontId="8" fillId="0" borderId="0" xfId="1" applyNumberFormat="1" applyFont="1" applyAlignment="1">
      <alignment horizontal="left" vertical="center"/>
    </xf>
    <xf numFmtId="168" fontId="8" fillId="0" borderId="0" xfId="1" applyNumberFormat="1" applyFont="1" applyAlignment="1">
      <alignment horizontal="center" vertical="center" wrapText="1"/>
    </xf>
    <xf numFmtId="168" fontId="7" fillId="0" borderId="13" xfId="1" applyNumberFormat="1" applyFont="1" applyBorder="1" applyAlignment="1">
      <alignment horizontal="center" vertical="center"/>
    </xf>
    <xf numFmtId="3" fontId="8" fillId="0" borderId="10" xfId="1" applyNumberFormat="1" applyFont="1" applyBorder="1" applyAlignment="1">
      <alignment horizontal="center" vertical="center" wrapText="1"/>
    </xf>
    <xf numFmtId="168" fontId="8" fillId="0" borderId="1" xfId="1" applyNumberFormat="1" applyFont="1" applyBorder="1" applyAlignment="1">
      <alignment horizontal="center" vertical="center" wrapText="1"/>
    </xf>
    <xf numFmtId="168" fontId="8" fillId="0" borderId="5" xfId="1" applyNumberFormat="1" applyFont="1" applyBorder="1" applyAlignment="1">
      <alignment horizontal="center" vertical="center" wrapText="1"/>
    </xf>
    <xf numFmtId="168" fontId="8" fillId="0" borderId="35" xfId="1" applyNumberFormat="1" applyFont="1" applyBorder="1" applyAlignment="1">
      <alignment horizontal="center" vertical="center" wrapText="1"/>
    </xf>
    <xf numFmtId="168" fontId="8" fillId="0" borderId="2" xfId="1" applyNumberFormat="1" applyFont="1" applyBorder="1" applyAlignment="1">
      <alignment horizontal="center" vertical="center" wrapText="1"/>
    </xf>
    <xf numFmtId="168" fontId="8" fillId="0" borderId="4" xfId="1" applyNumberFormat="1" applyFont="1" applyBorder="1" applyAlignment="1">
      <alignment horizontal="center" vertical="center" wrapText="1"/>
    </xf>
    <xf numFmtId="168" fontId="8" fillId="0" borderId="14" xfId="1" applyNumberFormat="1" applyFont="1" applyBorder="1" applyAlignment="1">
      <alignment horizontal="center" vertical="center" wrapText="1"/>
    </xf>
    <xf numFmtId="168" fontId="8" fillId="0" borderId="33" xfId="1" applyNumberFormat="1" applyFont="1" applyBorder="1" applyAlignment="1">
      <alignment horizontal="center" vertical="center" wrapText="1"/>
    </xf>
    <xf numFmtId="49" fontId="31" fillId="0" borderId="0" xfId="1" applyNumberFormat="1" applyFont="1" applyAlignment="1">
      <alignment horizontal="justify" vertical="center" wrapText="1"/>
    </xf>
    <xf numFmtId="168" fontId="73" fillId="0" borderId="0" xfId="1" applyNumberFormat="1" applyFont="1" applyAlignment="1">
      <alignment horizontal="left" vertical="center" wrapText="1"/>
    </xf>
    <xf numFmtId="168" fontId="41" fillId="0" borderId="0" xfId="1" applyNumberFormat="1" applyFont="1" applyAlignment="1">
      <alignment horizontal="center" vertical="center" wrapText="1"/>
    </xf>
    <xf numFmtId="168" fontId="41" fillId="0" borderId="0" xfId="1" applyNumberFormat="1" applyFont="1" applyAlignment="1">
      <alignment horizontal="center" vertical="center"/>
    </xf>
    <xf numFmtId="168" fontId="73" fillId="0" borderId="13" xfId="1" applyNumberFormat="1" applyFont="1" applyBorder="1" applyAlignment="1">
      <alignment horizontal="center" vertical="center"/>
    </xf>
    <xf numFmtId="3" fontId="41" fillId="0" borderId="10" xfId="1" applyNumberFormat="1" applyFont="1" applyBorder="1" applyAlignment="1">
      <alignment horizontal="center" vertical="center" wrapText="1"/>
    </xf>
    <xf numFmtId="168" fontId="41" fillId="0" borderId="10" xfId="1" applyNumberFormat="1" applyFont="1" applyBorder="1" applyAlignment="1">
      <alignment horizontal="center" vertical="center" wrapText="1"/>
    </xf>
    <xf numFmtId="168" fontId="41" fillId="0" borderId="2" xfId="1" applyNumberFormat="1" applyFont="1" applyBorder="1" applyAlignment="1">
      <alignment horizontal="center" vertical="center"/>
    </xf>
    <xf numFmtId="168" fontId="41" fillId="0" borderId="3" xfId="1" applyNumberFormat="1" applyFont="1" applyBorder="1" applyAlignment="1">
      <alignment horizontal="center" vertical="center"/>
    </xf>
    <xf numFmtId="168" fontId="41" fillId="0" borderId="4" xfId="1" applyNumberFormat="1" applyFont="1" applyBorder="1" applyAlignment="1">
      <alignment horizontal="center" vertical="center"/>
    </xf>
    <xf numFmtId="168" fontId="73" fillId="0" borderId="0" xfId="1" applyNumberFormat="1" applyFont="1" applyAlignment="1">
      <alignment horizontal="center" vertical="center" wrapText="1"/>
    </xf>
    <xf numFmtId="0" fontId="33" fillId="0" borderId="0" xfId="21" applyFont="1" applyAlignment="1">
      <alignment horizontal="center" vertical="center" wrapText="1"/>
    </xf>
    <xf numFmtId="0" fontId="33" fillId="0" borderId="10" xfId="21" applyFont="1" applyBorder="1" applyAlignment="1">
      <alignment horizontal="center" vertical="center" wrapText="1"/>
    </xf>
    <xf numFmtId="175" fontId="33" fillId="0" borderId="10" xfId="20" applyNumberFormat="1" applyFont="1" applyFill="1" applyBorder="1" applyAlignment="1">
      <alignment horizontal="center" vertical="center" wrapText="1"/>
    </xf>
    <xf numFmtId="170" fontId="33" fillId="0" borderId="10" xfId="21" applyNumberFormat="1" applyFont="1" applyBorder="1" applyAlignment="1">
      <alignment horizontal="center" vertical="center" wrapText="1"/>
    </xf>
    <xf numFmtId="0" fontId="33" fillId="0" borderId="2" xfId="21" applyFont="1" applyBorder="1" applyAlignment="1">
      <alignment horizontal="center" vertical="center" wrapText="1"/>
    </xf>
    <xf numFmtId="0" fontId="33" fillId="0" borderId="3" xfId="21" applyFont="1" applyBorder="1" applyAlignment="1">
      <alignment horizontal="center" vertical="center" wrapText="1"/>
    </xf>
    <xf numFmtId="0" fontId="33" fillId="0" borderId="4" xfId="21" applyFont="1" applyBorder="1" applyAlignment="1">
      <alignment horizontal="center" vertical="center" wrapText="1"/>
    </xf>
    <xf numFmtId="0" fontId="33" fillId="0" borderId="1" xfId="21" applyFont="1" applyBorder="1" applyAlignment="1">
      <alignment horizontal="center" vertical="center" wrapText="1"/>
    </xf>
    <xf numFmtId="0" fontId="33" fillId="0" borderId="37" xfId="21" applyFont="1" applyBorder="1" applyAlignment="1">
      <alignment horizontal="center" vertical="center" wrapText="1"/>
    </xf>
    <xf numFmtId="0" fontId="34" fillId="0" borderId="8" xfId="0" applyFont="1" applyBorder="1" applyAlignment="1">
      <alignment horizontal="center" vertical="center" wrapText="1"/>
    </xf>
    <xf numFmtId="0" fontId="49" fillId="0" borderId="0" xfId="0" applyFont="1" applyAlignment="1">
      <alignment horizontal="left" vertical="center" wrapText="1"/>
    </xf>
    <xf numFmtId="0" fontId="33" fillId="0" borderId="5" xfId="21" applyFont="1" applyBorder="1" applyAlignment="1">
      <alignment horizontal="center" vertical="center" wrapText="1"/>
    </xf>
    <xf numFmtId="170" fontId="33" fillId="0" borderId="1" xfId="21" applyNumberFormat="1" applyFont="1" applyBorder="1" applyAlignment="1">
      <alignment horizontal="center" vertical="center" wrapText="1"/>
    </xf>
    <xf numFmtId="170" fontId="33" fillId="0" borderId="37" xfId="21" applyNumberFormat="1" applyFont="1" applyBorder="1" applyAlignment="1">
      <alignment horizontal="center" vertical="center" wrapText="1"/>
    </xf>
    <xf numFmtId="169" fontId="27" fillId="0" borderId="10" xfId="5" applyNumberFormat="1" applyFont="1" applyFill="1" applyBorder="1" applyAlignment="1">
      <alignment horizontal="center" vertical="center" wrapText="1"/>
    </xf>
    <xf numFmtId="0" fontId="25" fillId="0" borderId="0" xfId="0" applyFont="1" applyAlignment="1">
      <alignment horizontal="left" vertical="center" wrapText="1"/>
    </xf>
    <xf numFmtId="0" fontId="30" fillId="0" borderId="0" xfId="0" applyFont="1" applyAlignment="1">
      <alignment horizontal="left" vertical="center" wrapText="1"/>
    </xf>
    <xf numFmtId="169" fontId="27" fillId="0" borderId="2" xfId="5" applyNumberFormat="1" applyFont="1" applyFill="1" applyBorder="1" applyAlignment="1">
      <alignment horizontal="center" vertical="center" wrapText="1"/>
    </xf>
    <xf numFmtId="169" fontId="27" fillId="0" borderId="4" xfId="5" applyNumberFormat="1" applyFont="1" applyFill="1" applyBorder="1" applyAlignment="1">
      <alignment horizontal="center" vertical="center" wrapText="1"/>
    </xf>
    <xf numFmtId="169" fontId="27" fillId="0" borderId="1" xfId="5" applyNumberFormat="1" applyFont="1" applyFill="1" applyBorder="1" applyAlignment="1">
      <alignment horizontal="center" vertical="center" wrapText="1"/>
    </xf>
    <xf numFmtId="169" fontId="27" fillId="0" borderId="6" xfId="5" applyNumberFormat="1" applyFont="1" applyFill="1" applyBorder="1" applyAlignment="1">
      <alignment horizontal="center" vertical="center" wrapText="1"/>
    </xf>
    <xf numFmtId="49" fontId="27" fillId="0" borderId="10" xfId="5" applyNumberFormat="1" applyFont="1" applyFill="1" applyBorder="1" applyAlignment="1">
      <alignment horizontal="center" vertical="center" wrapText="1"/>
    </xf>
    <xf numFmtId="170" fontId="27" fillId="0" borderId="10" xfId="5" applyNumberFormat="1" applyFont="1" applyFill="1" applyBorder="1" applyAlignment="1">
      <alignment horizontal="center" vertical="center" wrapText="1"/>
    </xf>
    <xf numFmtId="170" fontId="26" fillId="0" borderId="0" xfId="5" applyNumberFormat="1" applyFont="1" applyFill="1" applyAlignment="1">
      <alignment horizontal="center" vertical="center"/>
    </xf>
  </cellXfs>
  <cellStyles count="2838">
    <cellStyle name="_x0001_" xfId="160"/>
    <cellStyle name="          _x000d__x000a_shell=progman.exe_x000d__x000a_m" xfId="161"/>
    <cellStyle name="#,##0" xfId="162"/>
    <cellStyle name="#,##0 2" xfId="2018"/>
    <cellStyle name="#,##0 2 2" xfId="2019"/>
    <cellStyle name="#,##0 3" xfId="2020"/>
    <cellStyle name="#,##0 3 2" xfId="2021"/>
    <cellStyle name="#,##0 4" xfId="2022"/>
    <cellStyle name="." xfId="163"/>
    <cellStyle name=". 2" xfId="2023"/>
    <cellStyle name=". 2 2" xfId="2024"/>
    <cellStyle name="._Book1" xfId="164"/>
    <cellStyle name="._VBPL kiểm toán Đầu tư XDCB 2010" xfId="165"/>
    <cellStyle name="._VBPL kiểm toán Đầu tư XDCB 2010 2" xfId="2025"/>
    <cellStyle name="._VBPL kiểm toán Đầu tư XDCB 2010 2 2" xfId="2026"/>
    <cellStyle name=".d©y" xfId="166"/>
    <cellStyle name="??" xfId="167"/>
    <cellStyle name="?? [ - ??1" xfId="168"/>
    <cellStyle name="?? [ - ??2" xfId="169"/>
    <cellStyle name="?? [ - ??3" xfId="170"/>
    <cellStyle name="?? [ - ??4" xfId="171"/>
    <cellStyle name="?? [ - ??5" xfId="172"/>
    <cellStyle name="?? [ - ??6" xfId="173"/>
    <cellStyle name="?? [ - ??7" xfId="174"/>
    <cellStyle name="?? [ - ??8" xfId="175"/>
    <cellStyle name="?? [0.00]_        " xfId="176"/>
    <cellStyle name="?? [0]" xfId="177"/>
    <cellStyle name="?_x001d_??%U©÷u&amp;H©÷9_x0008_? s_x000a__x0007__x0001__x0001_" xfId="178"/>
    <cellStyle name="?_x001d_??%U©÷u&amp;H©÷9_x0008_?_x0009_s_x000a__x0007__x0001__x0001_" xfId="1935"/>
    <cellStyle name="???? [0.00]_      " xfId="179"/>
    <cellStyle name="??????" xfId="180"/>
    <cellStyle name="??????????????????? [0]_FTC_OFFER" xfId="181"/>
    <cellStyle name="???????????????????_FTC_OFFER" xfId="182"/>
    <cellStyle name="????_      " xfId="183"/>
    <cellStyle name="???[0]_?? DI" xfId="184"/>
    <cellStyle name="???_?? DI" xfId="185"/>
    <cellStyle name="??[0]_BRE" xfId="186"/>
    <cellStyle name="??_      " xfId="187"/>
    <cellStyle name="??A? [0]_laroux_1_¢¬???¢â? " xfId="188"/>
    <cellStyle name="??A?_laroux_1_¢¬???¢â? " xfId="189"/>
    <cellStyle name="?¡±¢¥?_?¨ù??¢´¢¥_¢¬???¢â? " xfId="190"/>
    <cellStyle name="?ðÇ%U?&amp;H?_x0008_?s_x000a__x0007__x0001__x0001_" xfId="191"/>
    <cellStyle name="[0]_Chi phÝ kh¸c_V" xfId="192"/>
    <cellStyle name="_1 TONG HOP - CA NA" xfId="193"/>
    <cellStyle name="_130307 So sanh thuc hien 2012 - du toan 2012 moi (pan khac)" xfId="1936"/>
    <cellStyle name="_130313 Mau  bieu bao cao nguon luc cua dia phuong sua" xfId="1937"/>
    <cellStyle name="_130818 Tong hop Danh gia thu 2013" xfId="1938"/>
    <cellStyle name="_130818 Tong hop Danh gia thu 2013_140921 bu giam thu ND 209" xfId="1939"/>
    <cellStyle name="_130818 Tong hop Danh gia thu 2013_140921 bu giam thu ND 209_Phu luc so 5 - sua ngay 04-01" xfId="1940"/>
    <cellStyle name="_Bang Chi tieu (2)" xfId="194"/>
    <cellStyle name="_BAO GIA NGAY 24-10-08 (co dam)" xfId="195"/>
    <cellStyle name="_Bao gia TB Kon Dao 2010" xfId="196"/>
    <cellStyle name="_Biểu KH 5 năm gửi UB sửa biểu VHXH" xfId="197"/>
    <cellStyle name="_Bieu tong hop nhu cau ung_Mien Trung" xfId="198"/>
    <cellStyle name="_Bieu ung von 2011 NSNN - TPCP vung DBSClong (10-6-2010)" xfId="199"/>
    <cellStyle name="_Book1" xfId="200"/>
    <cellStyle name="_Book1_1" xfId="201"/>
    <cellStyle name="_Book1_2" xfId="202"/>
    <cellStyle name="_Book1_BC-QT-WB-dthao" xfId="203"/>
    <cellStyle name="_Book1_Book1" xfId="204"/>
    <cellStyle name="_Book1_DT truong thinh phu" xfId="205"/>
    <cellStyle name="_Book1_Kh ql62 (2010) 11-09" xfId="206"/>
    <cellStyle name="_Book1_khoiluongbdacdoa" xfId="207"/>
    <cellStyle name="_Book1_Kiem Tra Don Gia" xfId="208"/>
    <cellStyle name="_Book1_TH KHAI TOAN THU THIEM cac tuyen TT noi" xfId="209"/>
    <cellStyle name="_C.cong+B.luong-Sanluong" xfId="210"/>
    <cellStyle name="_DG 2012-DT2013 - Theo sac thue -sua" xfId="1941"/>
    <cellStyle name="_DG 2012-DT2013 - Theo sac thue -sua_27-8Tong hop PA uoc 2012-DT 2013 -PA 420.000 ty-490.000 ty chuyen doi" xfId="1942"/>
    <cellStyle name="_DO-D1500-KHONG CO TRONG DT" xfId="211"/>
    <cellStyle name="_DT truong thinh phu" xfId="212"/>
    <cellStyle name="_DTDT BL-DL" xfId="213"/>
    <cellStyle name="_DTDT BL-DL 2" xfId="2027"/>
    <cellStyle name="_DTDT BL-DL 2 2" xfId="2028"/>
    <cellStyle name="_du toan lan 3" xfId="214"/>
    <cellStyle name="_Duyet TK thay đôi" xfId="215"/>
    <cellStyle name="_GOITHAUSO2" xfId="216"/>
    <cellStyle name="_GOITHAUSO3" xfId="217"/>
    <cellStyle name="_GOITHAUSO4" xfId="218"/>
    <cellStyle name="_GTXD GOI 2" xfId="219"/>
    <cellStyle name="_GTXD GOI1" xfId="220"/>
    <cellStyle name="_GTXD GOI3" xfId="221"/>
    <cellStyle name="_HaHoa_TDT_DienCSang" xfId="222"/>
    <cellStyle name="_HaHoa19-5-07" xfId="223"/>
    <cellStyle name="_Huong CHI tieu Nhiem vu CTMTQG 2014(1)" xfId="1943"/>
    <cellStyle name="_Kh ql62 (2010) 11-09" xfId="224"/>
    <cellStyle name="_KH.DTC.gd2016-2020 tinh (T2-2015)" xfId="1944"/>
    <cellStyle name="_khoiluongbdacdoa" xfId="225"/>
    <cellStyle name="_Kiem Tra Don Gia" xfId="226"/>
    <cellStyle name="_KT (2)" xfId="227"/>
    <cellStyle name="_KT (2)_1" xfId="228"/>
    <cellStyle name="_KT (2)_1_Book1" xfId="229"/>
    <cellStyle name="_KT (2)_1_Lora-tungchau" xfId="230"/>
    <cellStyle name="_KT (2)_1_Qt-HT3PQ1(CauKho)" xfId="231"/>
    <cellStyle name="_KT (2)_1_Qt-HT3PQ1(CauKho)_Book1" xfId="232"/>
    <cellStyle name="_KT (2)_1_Qt-HT3PQ1(CauKho)_Don gia quy 3 nam 2003 - Ban Dien Luc" xfId="233"/>
    <cellStyle name="_KT (2)_1_Qt-HT3PQ1(CauKho)_Kiem Tra Don Gia" xfId="234"/>
    <cellStyle name="_KT (2)_1_Qt-HT3PQ1(CauKho)_NC-VL2-2003" xfId="235"/>
    <cellStyle name="_KT (2)_1_Qt-HT3PQ1(CauKho)_NC-VL2-2003_1" xfId="236"/>
    <cellStyle name="_KT (2)_1_Qt-HT3PQ1(CauKho)_XL4Test5" xfId="237"/>
    <cellStyle name="_KT (2)_1_quy luong con lai nam 2004" xfId="238"/>
    <cellStyle name="_KT (2)_1_" xfId="239"/>
    <cellStyle name="_KT (2)_2" xfId="240"/>
    <cellStyle name="_KT (2)_2_Book1" xfId="241"/>
    <cellStyle name="_KT (2)_2_DTDuong dong tien -sua tham tra 2009 - luong 650" xfId="242"/>
    <cellStyle name="_KT (2)_2_quy luong con lai nam 2004" xfId="243"/>
    <cellStyle name="_KT (2)_2_TG-TH" xfId="244"/>
    <cellStyle name="_KT (2)_2_TG-TH_BANG TONG HOP TINH HINH THANH QUYET TOAN (MOI I)" xfId="245"/>
    <cellStyle name="_KT (2)_2_TG-TH_BAO CAO KLCT PT2000" xfId="246"/>
    <cellStyle name="_KT (2)_2_TG-TH_BAO CAO PT2000" xfId="247"/>
    <cellStyle name="_KT (2)_2_TG-TH_BAO CAO PT2000_Book1" xfId="248"/>
    <cellStyle name="_KT (2)_2_TG-TH_Bao cao XDCB 2001 - T11 KH dieu chinh 20-11-THAI" xfId="249"/>
    <cellStyle name="_KT (2)_2_TG-TH_BAO GIA NGAY 24-10-08 (co dam)" xfId="250"/>
    <cellStyle name="_KT (2)_2_TG-TH_Biểu KH 5 năm gửi UB sửa biểu VHXH" xfId="251"/>
    <cellStyle name="_KT (2)_2_TG-TH_Book1" xfId="252"/>
    <cellStyle name="_KT (2)_2_TG-TH_Book1_1" xfId="253"/>
    <cellStyle name="_KT (2)_2_TG-TH_Book1_1_Book1" xfId="254"/>
    <cellStyle name="_KT (2)_2_TG-TH_Book1_1_DanhMucDonGiaVTTB_Dien_TAM" xfId="255"/>
    <cellStyle name="_KT (2)_2_TG-TH_Book1_1_khoiluongbdacdoa" xfId="256"/>
    <cellStyle name="_KT (2)_2_TG-TH_Book1_2" xfId="257"/>
    <cellStyle name="_KT (2)_2_TG-TH_Book1_2_Book1" xfId="258"/>
    <cellStyle name="_KT (2)_2_TG-TH_Book1_3" xfId="259"/>
    <cellStyle name="_KT (2)_2_TG-TH_Book1_3_Book1" xfId="260"/>
    <cellStyle name="_KT (2)_2_TG-TH_Book1_3_DT truong thinh phu" xfId="261"/>
    <cellStyle name="_KT (2)_2_TG-TH_Book1_3_XL4Test5" xfId="262"/>
    <cellStyle name="_KT (2)_2_TG-TH_Book1_4" xfId="263"/>
    <cellStyle name="_KT (2)_2_TG-TH_Book1_Book1" xfId="264"/>
    <cellStyle name="_KT (2)_2_TG-TH_Book1_DanhMucDonGiaVTTB_Dien_TAM" xfId="265"/>
    <cellStyle name="_KT (2)_2_TG-TH_Book1_khoiluongbdacdoa" xfId="266"/>
    <cellStyle name="_KT (2)_2_TG-TH_Book1_Kiem Tra Don Gia" xfId="267"/>
    <cellStyle name="_KT (2)_2_TG-TH_Book1_Tong hop 3 tinh (11_5)-TTH-QN-QT" xfId="268"/>
    <cellStyle name="_KT (2)_2_TG-TH_Book1_" xfId="269"/>
    <cellStyle name="_KT (2)_2_TG-TH_CAU Khanh Nam(Thi Cong)" xfId="270"/>
    <cellStyle name="_KT (2)_2_TG-TH_DAU NOI PL-CL TAI PHU LAMHC" xfId="271"/>
    <cellStyle name="_KT (2)_2_TG-TH_Dcdtoan-bcnckt " xfId="272"/>
    <cellStyle name="_KT (2)_2_TG-TH_DN_MTP" xfId="273"/>
    <cellStyle name="_KT (2)_2_TG-TH_Dongia2-2003" xfId="274"/>
    <cellStyle name="_KT (2)_2_TG-TH_Dongia2-2003_DT truong thinh phu" xfId="275"/>
    <cellStyle name="_KT (2)_2_TG-TH_DT truong thinh phu" xfId="276"/>
    <cellStyle name="_KT (2)_2_TG-TH_DTCDT MR.2N110.HOCMON.TDTOAN.CCUNG" xfId="277"/>
    <cellStyle name="_KT (2)_2_TG-TH_DTDuong dong tien -sua tham tra 2009 - luong 650" xfId="278"/>
    <cellStyle name="_KT (2)_2_TG-TH_DU TRU VAT TU" xfId="279"/>
    <cellStyle name="_KT (2)_2_TG-TH_khoiluongbdacdoa" xfId="280"/>
    <cellStyle name="_KT (2)_2_TG-TH_Kiem Tra Don Gia" xfId="281"/>
    <cellStyle name="_KT (2)_2_TG-TH_Lora-tungchau" xfId="282"/>
    <cellStyle name="_KT (2)_2_TG-TH_moi" xfId="283"/>
    <cellStyle name="_KT (2)_2_TG-TH_PGIA-phieu tham tra Kho bac" xfId="284"/>
    <cellStyle name="_KT (2)_2_TG-TH_PT02-02" xfId="285"/>
    <cellStyle name="_KT (2)_2_TG-TH_PT02-02_Book1" xfId="286"/>
    <cellStyle name="_KT (2)_2_TG-TH_PT02-03" xfId="287"/>
    <cellStyle name="_KT (2)_2_TG-TH_PT02-03_Book1" xfId="288"/>
    <cellStyle name="_KT (2)_2_TG-TH_Qt-HT3PQ1(CauKho)" xfId="289"/>
    <cellStyle name="_KT (2)_2_TG-TH_Qt-HT3PQ1(CauKho)_Book1" xfId="290"/>
    <cellStyle name="_KT (2)_2_TG-TH_Qt-HT3PQ1(CauKho)_Don gia quy 3 nam 2003 - Ban Dien Luc" xfId="291"/>
    <cellStyle name="_KT (2)_2_TG-TH_Qt-HT3PQ1(CauKho)_Kiem Tra Don Gia" xfId="292"/>
    <cellStyle name="_KT (2)_2_TG-TH_Qt-HT3PQ1(CauKho)_NC-VL2-2003" xfId="293"/>
    <cellStyle name="_KT (2)_2_TG-TH_Qt-HT3PQ1(CauKho)_NC-VL2-2003_1" xfId="294"/>
    <cellStyle name="_KT (2)_2_TG-TH_Qt-HT3PQ1(CauKho)_XL4Test5" xfId="295"/>
    <cellStyle name="_KT (2)_2_TG-TH_QT-LCTP-AE" xfId="296"/>
    <cellStyle name="_KT (2)_2_TG-TH_quy luong con lai nam 2004" xfId="297"/>
    <cellStyle name="_KT (2)_2_TG-TH_Sheet2" xfId="298"/>
    <cellStyle name="_KT (2)_2_TG-TH_TEL OUT 2004" xfId="299"/>
    <cellStyle name="_KT (2)_2_TG-TH_Tong hop 3 tinh (11_5)-TTH-QN-QT" xfId="300"/>
    <cellStyle name="_KT (2)_2_TG-TH_XL4Poppy" xfId="301"/>
    <cellStyle name="_KT (2)_2_TG-TH_XL4Test5" xfId="302"/>
    <cellStyle name="_KT (2)_2_TG-TH_ÿÿÿÿÿ" xfId="303"/>
    <cellStyle name="_KT (2)_2_TG-TH_" xfId="304"/>
    <cellStyle name="_KT (2)_3" xfId="305"/>
    <cellStyle name="_KT (2)_3_TG-TH" xfId="306"/>
    <cellStyle name="_KT (2)_3_TG-TH_Book1" xfId="307"/>
    <cellStyle name="_KT (2)_3_TG-TH_Book1_1" xfId="308"/>
    <cellStyle name="_KT (2)_3_TG-TH_Book1_BC-QT-WB-dthao" xfId="309"/>
    <cellStyle name="_KT (2)_3_TG-TH_Book1_Book1" xfId="310"/>
    <cellStyle name="_KT (2)_3_TG-TH_Book1_Kiem Tra Don Gia" xfId="311"/>
    <cellStyle name="_KT (2)_3_TG-TH_Book1_Kiem Tra Don Gia 2" xfId="2029"/>
    <cellStyle name="_KT (2)_3_TG-TH_Book1_Kiem Tra Don Gia 2 2" xfId="2030"/>
    <cellStyle name="_KT (2)_3_TG-TH_khoiluongbdacdoa" xfId="312"/>
    <cellStyle name="_KT (2)_3_TG-TH_Kiem Tra Don Gia" xfId="313"/>
    <cellStyle name="_KT (2)_3_TG-TH_Lora-tungchau" xfId="314"/>
    <cellStyle name="_KT (2)_3_TG-TH_Lora-tungchau_Book1" xfId="315"/>
    <cellStyle name="_KT (2)_3_TG-TH_Lora-tungchau_Kiem Tra Don Gia" xfId="316"/>
    <cellStyle name="_KT (2)_3_TG-TH_Lora-tungchau_Kiem Tra Don Gia 2" xfId="2031"/>
    <cellStyle name="_KT (2)_3_TG-TH_Lora-tungchau_Kiem Tra Don Gia 2 2" xfId="2032"/>
    <cellStyle name="_KT (2)_3_TG-TH_PERSONAL" xfId="317"/>
    <cellStyle name="_KT (2)_3_TG-TH_PERSONAL_Book1" xfId="318"/>
    <cellStyle name="_KT (2)_3_TG-TH_PERSONAL_HTQ.8 GD1" xfId="319"/>
    <cellStyle name="_KT (2)_3_TG-TH_PERSONAL_HTQ.8 GD1_Book1" xfId="320"/>
    <cellStyle name="_KT (2)_3_TG-TH_PERSONAL_HTQ.8 GD1_Don gia quy 3 nam 2003 - Ban Dien Luc" xfId="321"/>
    <cellStyle name="_KT (2)_3_TG-TH_PERSONAL_HTQ.8 GD1_NC-VL2-2003" xfId="322"/>
    <cellStyle name="_KT (2)_3_TG-TH_PERSONAL_HTQ.8 GD1_NC-VL2-2003_1" xfId="323"/>
    <cellStyle name="_KT (2)_3_TG-TH_PERSONAL_HTQ.8 GD1_XL4Test5" xfId="324"/>
    <cellStyle name="_KT (2)_3_TG-TH_PERSONAL_khoiluongbdacdoa" xfId="325"/>
    <cellStyle name="_KT (2)_3_TG-TH_PERSONAL_Tong hop KHCB 2001" xfId="326"/>
    <cellStyle name="_KT (2)_3_TG-TH_PERSONAL_" xfId="327"/>
    <cellStyle name="_KT (2)_3_TG-TH_Qt-HT3PQ1(CauKho)" xfId="328"/>
    <cellStyle name="_KT (2)_3_TG-TH_Qt-HT3PQ1(CauKho)_Book1" xfId="329"/>
    <cellStyle name="_KT (2)_3_TG-TH_Qt-HT3PQ1(CauKho)_Don gia quy 3 nam 2003 - Ban Dien Luc" xfId="330"/>
    <cellStyle name="_KT (2)_3_TG-TH_Qt-HT3PQ1(CauKho)_Kiem Tra Don Gia" xfId="331"/>
    <cellStyle name="_KT (2)_3_TG-TH_Qt-HT3PQ1(CauKho)_NC-VL2-2003" xfId="332"/>
    <cellStyle name="_KT (2)_3_TG-TH_Qt-HT3PQ1(CauKho)_NC-VL2-2003_1" xfId="333"/>
    <cellStyle name="_KT (2)_3_TG-TH_Qt-HT3PQ1(CauKho)_XL4Test5" xfId="334"/>
    <cellStyle name="_KT (2)_3_TG-TH_QT-LCTP-AE" xfId="335"/>
    <cellStyle name="_KT (2)_3_TG-TH_quy luong con lai nam 2004" xfId="336"/>
    <cellStyle name="_KT (2)_3_TG-TH_" xfId="337"/>
    <cellStyle name="_KT (2)_4" xfId="338"/>
    <cellStyle name="_KT (2)_4_BANG TONG HOP TINH HINH THANH QUYET TOAN (MOI I)" xfId="339"/>
    <cellStyle name="_KT (2)_4_BAO CAO KLCT PT2000" xfId="340"/>
    <cellStyle name="_KT (2)_4_BAO CAO PT2000" xfId="341"/>
    <cellStyle name="_KT (2)_4_BAO CAO PT2000_Book1" xfId="342"/>
    <cellStyle name="_KT (2)_4_Bao cao XDCB 2001 - T11 KH dieu chinh 20-11-THAI" xfId="343"/>
    <cellStyle name="_KT (2)_4_BAO GIA NGAY 24-10-08 (co dam)" xfId="344"/>
    <cellStyle name="_KT (2)_4_Biểu KH 5 năm gửi UB sửa biểu VHXH" xfId="345"/>
    <cellStyle name="_KT (2)_4_Book1" xfId="346"/>
    <cellStyle name="_KT (2)_4_Book1_1" xfId="347"/>
    <cellStyle name="_KT (2)_4_Book1_1_Book1" xfId="348"/>
    <cellStyle name="_KT (2)_4_Book1_1_DanhMucDonGiaVTTB_Dien_TAM" xfId="349"/>
    <cellStyle name="_KT (2)_4_Book1_1_khoiluongbdacdoa" xfId="350"/>
    <cellStyle name="_KT (2)_4_Book1_2" xfId="351"/>
    <cellStyle name="_KT (2)_4_Book1_2_Book1" xfId="352"/>
    <cellStyle name="_KT (2)_4_Book1_3" xfId="353"/>
    <cellStyle name="_KT (2)_4_Book1_3_Book1" xfId="354"/>
    <cellStyle name="_KT (2)_4_Book1_3_DT truong thinh phu" xfId="355"/>
    <cellStyle name="_KT (2)_4_Book1_3_XL4Test5" xfId="356"/>
    <cellStyle name="_KT (2)_4_Book1_4" xfId="357"/>
    <cellStyle name="_KT (2)_4_Book1_Book1" xfId="358"/>
    <cellStyle name="_KT (2)_4_Book1_DanhMucDonGiaVTTB_Dien_TAM" xfId="359"/>
    <cellStyle name="_KT (2)_4_Book1_khoiluongbdacdoa" xfId="360"/>
    <cellStyle name="_KT (2)_4_Book1_Kiem Tra Don Gia" xfId="361"/>
    <cellStyle name="_KT (2)_4_Book1_Tong hop 3 tinh (11_5)-TTH-QN-QT" xfId="362"/>
    <cellStyle name="_KT (2)_4_Book1_" xfId="363"/>
    <cellStyle name="_KT (2)_4_CAU Khanh Nam(Thi Cong)" xfId="364"/>
    <cellStyle name="_KT (2)_4_DAU NOI PL-CL TAI PHU LAMHC" xfId="365"/>
    <cellStyle name="_KT (2)_4_Dcdtoan-bcnckt " xfId="366"/>
    <cellStyle name="_KT (2)_4_DN_MTP" xfId="367"/>
    <cellStyle name="_KT (2)_4_Dongia2-2003" xfId="368"/>
    <cellStyle name="_KT (2)_4_Dongia2-2003_DT truong thinh phu" xfId="369"/>
    <cellStyle name="_KT (2)_4_DT truong thinh phu" xfId="370"/>
    <cellStyle name="_KT (2)_4_DTCDT MR.2N110.HOCMON.TDTOAN.CCUNG" xfId="371"/>
    <cellStyle name="_KT (2)_4_DTDuong dong tien -sua tham tra 2009 - luong 650" xfId="372"/>
    <cellStyle name="_KT (2)_4_DU TRU VAT TU" xfId="373"/>
    <cellStyle name="_KT (2)_4_khoiluongbdacdoa" xfId="374"/>
    <cellStyle name="_KT (2)_4_Kiem Tra Don Gia" xfId="375"/>
    <cellStyle name="_KT (2)_4_Lora-tungchau" xfId="376"/>
    <cellStyle name="_KT (2)_4_moi" xfId="377"/>
    <cellStyle name="_KT (2)_4_PGIA-phieu tham tra Kho bac" xfId="378"/>
    <cellStyle name="_KT (2)_4_PT02-02" xfId="379"/>
    <cellStyle name="_KT (2)_4_PT02-02_Book1" xfId="380"/>
    <cellStyle name="_KT (2)_4_PT02-03" xfId="381"/>
    <cellStyle name="_KT (2)_4_PT02-03_Book1" xfId="382"/>
    <cellStyle name="_KT (2)_4_Qt-HT3PQ1(CauKho)" xfId="383"/>
    <cellStyle name="_KT (2)_4_Qt-HT3PQ1(CauKho)_Book1" xfId="384"/>
    <cellStyle name="_KT (2)_4_Qt-HT3PQ1(CauKho)_Don gia quy 3 nam 2003 - Ban Dien Luc" xfId="385"/>
    <cellStyle name="_KT (2)_4_Qt-HT3PQ1(CauKho)_Kiem Tra Don Gia" xfId="386"/>
    <cellStyle name="_KT (2)_4_Qt-HT3PQ1(CauKho)_NC-VL2-2003" xfId="387"/>
    <cellStyle name="_KT (2)_4_Qt-HT3PQ1(CauKho)_NC-VL2-2003_1" xfId="388"/>
    <cellStyle name="_KT (2)_4_Qt-HT3PQ1(CauKho)_XL4Test5" xfId="389"/>
    <cellStyle name="_KT (2)_4_QT-LCTP-AE" xfId="390"/>
    <cellStyle name="_KT (2)_4_quy luong con lai nam 2004" xfId="391"/>
    <cellStyle name="_KT (2)_4_Sheet2" xfId="392"/>
    <cellStyle name="_KT (2)_4_TEL OUT 2004" xfId="393"/>
    <cellStyle name="_KT (2)_4_TG-TH" xfId="394"/>
    <cellStyle name="_KT (2)_4_TG-TH_Book1" xfId="395"/>
    <cellStyle name="_KT (2)_4_TG-TH_DTDuong dong tien -sua tham tra 2009 - luong 650" xfId="396"/>
    <cellStyle name="_KT (2)_4_TG-TH_quy luong con lai nam 2004" xfId="397"/>
    <cellStyle name="_KT (2)_4_Tong hop 3 tinh (11_5)-TTH-QN-QT" xfId="398"/>
    <cellStyle name="_KT (2)_4_XL4Poppy" xfId="399"/>
    <cellStyle name="_KT (2)_4_XL4Test5" xfId="400"/>
    <cellStyle name="_KT (2)_4_ÿÿÿÿÿ" xfId="401"/>
    <cellStyle name="_KT (2)_4_" xfId="402"/>
    <cellStyle name="_KT (2)_5" xfId="403"/>
    <cellStyle name="_KT (2)_5_BANG TONG HOP TINH HINH THANH QUYET TOAN (MOI I)" xfId="404"/>
    <cellStyle name="_KT (2)_5_BAO CAO KLCT PT2000" xfId="405"/>
    <cellStyle name="_KT (2)_5_BAO CAO PT2000" xfId="406"/>
    <cellStyle name="_KT (2)_5_BAO CAO PT2000_Book1" xfId="407"/>
    <cellStyle name="_KT (2)_5_Bao cao XDCB 2001 - T11 KH dieu chinh 20-11-THAI" xfId="408"/>
    <cellStyle name="_KT (2)_5_BAO GIA NGAY 24-10-08 (co dam)" xfId="409"/>
    <cellStyle name="_KT (2)_5_Biểu KH 5 năm gửi UB sửa biểu VHXH" xfId="410"/>
    <cellStyle name="_KT (2)_5_Book1" xfId="411"/>
    <cellStyle name="_KT (2)_5_Book1_1" xfId="412"/>
    <cellStyle name="_KT (2)_5_Book1_1_Book1" xfId="413"/>
    <cellStyle name="_KT (2)_5_Book1_1_DanhMucDonGiaVTTB_Dien_TAM" xfId="414"/>
    <cellStyle name="_KT (2)_5_Book1_1_khoiluongbdacdoa" xfId="415"/>
    <cellStyle name="_KT (2)_5_Book1_2" xfId="416"/>
    <cellStyle name="_KT (2)_5_Book1_2_Book1" xfId="417"/>
    <cellStyle name="_KT (2)_5_Book1_3" xfId="418"/>
    <cellStyle name="_KT (2)_5_Book1_3_Book1" xfId="419"/>
    <cellStyle name="_KT (2)_5_Book1_3_DT truong thinh phu" xfId="420"/>
    <cellStyle name="_KT (2)_5_Book1_3_XL4Test5" xfId="421"/>
    <cellStyle name="_KT (2)_5_Book1_4" xfId="422"/>
    <cellStyle name="_KT (2)_5_Book1_BC-QT-WB-dthao" xfId="423"/>
    <cellStyle name="_KT (2)_5_Book1_Book1" xfId="424"/>
    <cellStyle name="_KT (2)_5_Book1_DanhMucDonGiaVTTB_Dien_TAM" xfId="425"/>
    <cellStyle name="_KT (2)_5_Book1_khoiluongbdacdoa" xfId="426"/>
    <cellStyle name="_KT (2)_5_Book1_Kiem Tra Don Gia" xfId="427"/>
    <cellStyle name="_KT (2)_5_Book1_Tong hop 3 tinh (11_5)-TTH-QN-QT" xfId="428"/>
    <cellStyle name="_KT (2)_5_Book1_" xfId="429"/>
    <cellStyle name="_KT (2)_5_CAU Khanh Nam(Thi Cong)" xfId="430"/>
    <cellStyle name="_KT (2)_5_DAU NOI PL-CL TAI PHU LAMHC" xfId="431"/>
    <cellStyle name="_KT (2)_5_Dcdtoan-bcnckt " xfId="432"/>
    <cellStyle name="_KT (2)_5_DN_MTP" xfId="433"/>
    <cellStyle name="_KT (2)_5_Dongia2-2003" xfId="434"/>
    <cellStyle name="_KT (2)_5_Dongia2-2003_DT truong thinh phu" xfId="435"/>
    <cellStyle name="_KT (2)_5_DT truong thinh phu" xfId="436"/>
    <cellStyle name="_KT (2)_5_DTCDT MR.2N110.HOCMON.TDTOAN.CCUNG" xfId="437"/>
    <cellStyle name="_KT (2)_5_DTDuong dong tien -sua tham tra 2009 - luong 650" xfId="438"/>
    <cellStyle name="_KT (2)_5_DU TRU VAT TU" xfId="439"/>
    <cellStyle name="_KT (2)_5_khoiluongbdacdoa" xfId="440"/>
    <cellStyle name="_KT (2)_5_Kiem Tra Don Gia" xfId="441"/>
    <cellStyle name="_KT (2)_5_Lora-tungchau" xfId="442"/>
    <cellStyle name="_KT (2)_5_moi" xfId="443"/>
    <cellStyle name="_KT (2)_5_PGIA-phieu tham tra Kho bac" xfId="444"/>
    <cellStyle name="_KT (2)_5_PT02-02" xfId="445"/>
    <cellStyle name="_KT (2)_5_PT02-02_Book1" xfId="446"/>
    <cellStyle name="_KT (2)_5_PT02-03" xfId="447"/>
    <cellStyle name="_KT (2)_5_PT02-03_Book1" xfId="448"/>
    <cellStyle name="_KT (2)_5_Qt-HT3PQ1(CauKho)" xfId="449"/>
    <cellStyle name="_KT (2)_5_Qt-HT3PQ1(CauKho)_Book1" xfId="450"/>
    <cellStyle name="_KT (2)_5_Qt-HT3PQ1(CauKho)_Don gia quy 3 nam 2003 - Ban Dien Luc" xfId="451"/>
    <cellStyle name="_KT (2)_5_Qt-HT3PQ1(CauKho)_Kiem Tra Don Gia" xfId="452"/>
    <cellStyle name="_KT (2)_5_Qt-HT3PQ1(CauKho)_NC-VL2-2003" xfId="453"/>
    <cellStyle name="_KT (2)_5_Qt-HT3PQ1(CauKho)_NC-VL2-2003_1" xfId="454"/>
    <cellStyle name="_KT (2)_5_Qt-HT3PQ1(CauKho)_XL4Test5" xfId="455"/>
    <cellStyle name="_KT (2)_5_QT-LCTP-AE" xfId="456"/>
    <cellStyle name="_KT (2)_5_Sheet2" xfId="457"/>
    <cellStyle name="_KT (2)_5_TEL OUT 2004" xfId="458"/>
    <cellStyle name="_KT (2)_5_Tong hop 3 tinh (11_5)-TTH-QN-QT" xfId="459"/>
    <cellStyle name="_KT (2)_5_XL4Poppy" xfId="460"/>
    <cellStyle name="_KT (2)_5_XL4Test5" xfId="461"/>
    <cellStyle name="_KT (2)_5_ÿÿÿÿÿ" xfId="462"/>
    <cellStyle name="_KT (2)_5_" xfId="463"/>
    <cellStyle name="_KT (2)_Book1" xfId="464"/>
    <cellStyle name="_KT (2)_Book1_1" xfId="465"/>
    <cellStyle name="_KT (2)_Book1_BC-QT-WB-dthao" xfId="466"/>
    <cellStyle name="_KT (2)_Book1_Book1" xfId="467"/>
    <cellStyle name="_KT (2)_Book1_Kiem Tra Don Gia" xfId="468"/>
    <cellStyle name="_KT (2)_Book1_Kiem Tra Don Gia 2" xfId="2033"/>
    <cellStyle name="_KT (2)_Book1_Kiem Tra Don Gia 2 2" xfId="2034"/>
    <cellStyle name="_KT (2)_khoiluongbdacdoa" xfId="469"/>
    <cellStyle name="_KT (2)_Kiem Tra Don Gia" xfId="470"/>
    <cellStyle name="_KT (2)_Lora-tungchau" xfId="471"/>
    <cellStyle name="_KT (2)_Lora-tungchau_Book1" xfId="472"/>
    <cellStyle name="_KT (2)_Lora-tungchau_Kiem Tra Don Gia" xfId="473"/>
    <cellStyle name="_KT (2)_Lora-tungchau_Kiem Tra Don Gia 2" xfId="2035"/>
    <cellStyle name="_KT (2)_Lora-tungchau_Kiem Tra Don Gia 2 2" xfId="2036"/>
    <cellStyle name="_KT (2)_PERSONAL" xfId="474"/>
    <cellStyle name="_KT (2)_PERSONAL_Book1" xfId="475"/>
    <cellStyle name="_KT (2)_PERSONAL_HTQ.8 GD1" xfId="476"/>
    <cellStyle name="_KT (2)_PERSONAL_HTQ.8 GD1_Book1" xfId="477"/>
    <cellStyle name="_KT (2)_PERSONAL_HTQ.8 GD1_Don gia quy 3 nam 2003 - Ban Dien Luc" xfId="478"/>
    <cellStyle name="_KT (2)_PERSONAL_HTQ.8 GD1_NC-VL2-2003" xfId="479"/>
    <cellStyle name="_KT (2)_PERSONAL_HTQ.8 GD1_NC-VL2-2003_1" xfId="480"/>
    <cellStyle name="_KT (2)_PERSONAL_HTQ.8 GD1_XL4Test5" xfId="481"/>
    <cellStyle name="_KT (2)_PERSONAL_khoiluongbdacdoa" xfId="482"/>
    <cellStyle name="_KT (2)_PERSONAL_Tong hop KHCB 2001" xfId="483"/>
    <cellStyle name="_KT (2)_PERSONAL_" xfId="484"/>
    <cellStyle name="_KT (2)_Qt-HT3PQ1(CauKho)" xfId="485"/>
    <cellStyle name="_KT (2)_Qt-HT3PQ1(CauKho)_Book1" xfId="486"/>
    <cellStyle name="_KT (2)_Qt-HT3PQ1(CauKho)_Don gia quy 3 nam 2003 - Ban Dien Luc" xfId="487"/>
    <cellStyle name="_KT (2)_Qt-HT3PQ1(CauKho)_Kiem Tra Don Gia" xfId="488"/>
    <cellStyle name="_KT (2)_Qt-HT3PQ1(CauKho)_NC-VL2-2003" xfId="489"/>
    <cellStyle name="_KT (2)_Qt-HT3PQ1(CauKho)_NC-VL2-2003_1" xfId="490"/>
    <cellStyle name="_KT (2)_Qt-HT3PQ1(CauKho)_XL4Test5" xfId="491"/>
    <cellStyle name="_KT (2)_QT-LCTP-AE" xfId="492"/>
    <cellStyle name="_KT (2)_quy luong con lai nam 2004" xfId="493"/>
    <cellStyle name="_KT (2)_TG-TH" xfId="494"/>
    <cellStyle name="_KT (2)_" xfId="495"/>
    <cellStyle name="_KT_TG" xfId="496"/>
    <cellStyle name="_KT_TG_1" xfId="497"/>
    <cellStyle name="_KT_TG_1_BANG TONG HOP TINH HINH THANH QUYET TOAN (MOI I)" xfId="498"/>
    <cellStyle name="_KT_TG_1_BAO CAO KLCT PT2000" xfId="499"/>
    <cellStyle name="_KT_TG_1_BAO CAO PT2000" xfId="500"/>
    <cellStyle name="_KT_TG_1_BAO CAO PT2000_Book1" xfId="501"/>
    <cellStyle name="_KT_TG_1_Bao cao XDCB 2001 - T11 KH dieu chinh 20-11-THAI" xfId="502"/>
    <cellStyle name="_KT_TG_1_BAO GIA NGAY 24-10-08 (co dam)" xfId="503"/>
    <cellStyle name="_KT_TG_1_Biểu KH 5 năm gửi UB sửa biểu VHXH" xfId="504"/>
    <cellStyle name="_KT_TG_1_Book1" xfId="505"/>
    <cellStyle name="_KT_TG_1_Book1_1" xfId="506"/>
    <cellStyle name="_KT_TG_1_Book1_1_Book1" xfId="507"/>
    <cellStyle name="_KT_TG_1_Book1_1_DanhMucDonGiaVTTB_Dien_TAM" xfId="508"/>
    <cellStyle name="_KT_TG_1_Book1_1_khoiluongbdacdoa" xfId="509"/>
    <cellStyle name="_KT_TG_1_Book1_2" xfId="510"/>
    <cellStyle name="_KT_TG_1_Book1_2_Book1" xfId="511"/>
    <cellStyle name="_KT_TG_1_Book1_3" xfId="512"/>
    <cellStyle name="_KT_TG_1_Book1_3_Book1" xfId="513"/>
    <cellStyle name="_KT_TG_1_Book1_3_DT truong thinh phu" xfId="514"/>
    <cellStyle name="_KT_TG_1_Book1_3_XL4Test5" xfId="515"/>
    <cellStyle name="_KT_TG_1_Book1_4" xfId="516"/>
    <cellStyle name="_KT_TG_1_Book1_BC-QT-WB-dthao" xfId="517"/>
    <cellStyle name="_KT_TG_1_Book1_Book1" xfId="518"/>
    <cellStyle name="_KT_TG_1_Book1_DanhMucDonGiaVTTB_Dien_TAM" xfId="519"/>
    <cellStyle name="_KT_TG_1_Book1_khoiluongbdacdoa" xfId="520"/>
    <cellStyle name="_KT_TG_1_Book1_Kiem Tra Don Gia" xfId="521"/>
    <cellStyle name="_KT_TG_1_Book1_Tong hop 3 tinh (11_5)-TTH-QN-QT" xfId="522"/>
    <cellStyle name="_KT_TG_1_Book1_" xfId="523"/>
    <cellStyle name="_KT_TG_1_CAU Khanh Nam(Thi Cong)" xfId="524"/>
    <cellStyle name="_KT_TG_1_DAU NOI PL-CL TAI PHU LAMHC" xfId="525"/>
    <cellStyle name="_KT_TG_1_Dcdtoan-bcnckt " xfId="526"/>
    <cellStyle name="_KT_TG_1_DN_MTP" xfId="527"/>
    <cellStyle name="_KT_TG_1_Dongia2-2003" xfId="528"/>
    <cellStyle name="_KT_TG_1_Dongia2-2003_DT truong thinh phu" xfId="529"/>
    <cellStyle name="_KT_TG_1_DT truong thinh phu" xfId="530"/>
    <cellStyle name="_KT_TG_1_DTCDT MR.2N110.HOCMON.TDTOAN.CCUNG" xfId="531"/>
    <cellStyle name="_KT_TG_1_DTDuong dong tien -sua tham tra 2009 - luong 650" xfId="532"/>
    <cellStyle name="_KT_TG_1_DU TRU VAT TU" xfId="533"/>
    <cellStyle name="_KT_TG_1_khoiluongbdacdoa" xfId="534"/>
    <cellStyle name="_KT_TG_1_Kiem Tra Don Gia" xfId="535"/>
    <cellStyle name="_KT_TG_1_Lora-tungchau" xfId="536"/>
    <cellStyle name="_KT_TG_1_moi" xfId="537"/>
    <cellStyle name="_KT_TG_1_PGIA-phieu tham tra Kho bac" xfId="538"/>
    <cellStyle name="_KT_TG_1_PT02-02" xfId="539"/>
    <cellStyle name="_KT_TG_1_PT02-02_Book1" xfId="540"/>
    <cellStyle name="_KT_TG_1_PT02-03" xfId="541"/>
    <cellStyle name="_KT_TG_1_PT02-03_Book1" xfId="542"/>
    <cellStyle name="_KT_TG_1_Qt-HT3PQ1(CauKho)" xfId="543"/>
    <cellStyle name="_KT_TG_1_Qt-HT3PQ1(CauKho)_Book1" xfId="544"/>
    <cellStyle name="_KT_TG_1_Qt-HT3PQ1(CauKho)_Don gia quy 3 nam 2003 - Ban Dien Luc" xfId="545"/>
    <cellStyle name="_KT_TG_1_Qt-HT3PQ1(CauKho)_Kiem Tra Don Gia" xfId="546"/>
    <cellStyle name="_KT_TG_1_Qt-HT3PQ1(CauKho)_NC-VL2-2003" xfId="547"/>
    <cellStyle name="_KT_TG_1_Qt-HT3PQ1(CauKho)_NC-VL2-2003_1" xfId="548"/>
    <cellStyle name="_KT_TG_1_Qt-HT3PQ1(CauKho)_XL4Test5" xfId="549"/>
    <cellStyle name="_KT_TG_1_QT-LCTP-AE" xfId="550"/>
    <cellStyle name="_KT_TG_1_Sheet2" xfId="551"/>
    <cellStyle name="_KT_TG_1_TEL OUT 2004" xfId="552"/>
    <cellStyle name="_KT_TG_1_Tong hop 3 tinh (11_5)-TTH-QN-QT" xfId="553"/>
    <cellStyle name="_KT_TG_1_XL4Poppy" xfId="554"/>
    <cellStyle name="_KT_TG_1_XL4Test5" xfId="555"/>
    <cellStyle name="_KT_TG_1_ÿÿÿÿÿ" xfId="556"/>
    <cellStyle name="_KT_TG_1_" xfId="557"/>
    <cellStyle name="_KT_TG_2" xfId="558"/>
    <cellStyle name="_KT_TG_2_BANG TONG HOP TINH HINH THANH QUYET TOAN (MOI I)" xfId="559"/>
    <cellStyle name="_KT_TG_2_BAO CAO KLCT PT2000" xfId="560"/>
    <cellStyle name="_KT_TG_2_BAO CAO PT2000" xfId="561"/>
    <cellStyle name="_KT_TG_2_BAO CAO PT2000_Book1" xfId="562"/>
    <cellStyle name="_KT_TG_2_Bao cao XDCB 2001 - T11 KH dieu chinh 20-11-THAI" xfId="563"/>
    <cellStyle name="_KT_TG_2_BAO GIA NGAY 24-10-08 (co dam)" xfId="564"/>
    <cellStyle name="_KT_TG_2_Biểu KH 5 năm gửi UB sửa biểu VHXH" xfId="565"/>
    <cellStyle name="_KT_TG_2_Book1" xfId="566"/>
    <cellStyle name="_KT_TG_2_Book1_1" xfId="567"/>
    <cellStyle name="_KT_TG_2_Book1_1_Book1" xfId="568"/>
    <cellStyle name="_KT_TG_2_Book1_1_DanhMucDonGiaVTTB_Dien_TAM" xfId="569"/>
    <cellStyle name="_KT_TG_2_Book1_1_khoiluongbdacdoa" xfId="570"/>
    <cellStyle name="_KT_TG_2_Book1_2" xfId="571"/>
    <cellStyle name="_KT_TG_2_Book1_2_Book1" xfId="572"/>
    <cellStyle name="_KT_TG_2_Book1_3" xfId="573"/>
    <cellStyle name="_KT_TG_2_Book1_3_Book1" xfId="574"/>
    <cellStyle name="_KT_TG_2_Book1_3_DT truong thinh phu" xfId="575"/>
    <cellStyle name="_KT_TG_2_Book1_3_XL4Test5" xfId="576"/>
    <cellStyle name="_KT_TG_2_Book1_4" xfId="577"/>
    <cellStyle name="_KT_TG_2_Book1_Book1" xfId="578"/>
    <cellStyle name="_KT_TG_2_Book1_DanhMucDonGiaVTTB_Dien_TAM" xfId="579"/>
    <cellStyle name="_KT_TG_2_Book1_khoiluongbdacdoa" xfId="580"/>
    <cellStyle name="_KT_TG_2_Book1_Kiem Tra Don Gia" xfId="581"/>
    <cellStyle name="_KT_TG_2_Book1_Tong hop 3 tinh (11_5)-TTH-QN-QT" xfId="582"/>
    <cellStyle name="_KT_TG_2_Book1_" xfId="583"/>
    <cellStyle name="_KT_TG_2_CAU Khanh Nam(Thi Cong)" xfId="584"/>
    <cellStyle name="_KT_TG_2_DAU NOI PL-CL TAI PHU LAMHC" xfId="585"/>
    <cellStyle name="_KT_TG_2_Dcdtoan-bcnckt " xfId="586"/>
    <cellStyle name="_KT_TG_2_DN_MTP" xfId="587"/>
    <cellStyle name="_KT_TG_2_Dongia2-2003" xfId="588"/>
    <cellStyle name="_KT_TG_2_Dongia2-2003_DT truong thinh phu" xfId="589"/>
    <cellStyle name="_KT_TG_2_DT truong thinh phu" xfId="590"/>
    <cellStyle name="_KT_TG_2_DTCDT MR.2N110.HOCMON.TDTOAN.CCUNG" xfId="591"/>
    <cellStyle name="_KT_TG_2_DTDuong dong tien -sua tham tra 2009 - luong 650" xfId="592"/>
    <cellStyle name="_KT_TG_2_DU TRU VAT TU" xfId="593"/>
    <cellStyle name="_KT_TG_2_khoiluongbdacdoa" xfId="594"/>
    <cellStyle name="_KT_TG_2_Kiem Tra Don Gia" xfId="595"/>
    <cellStyle name="_KT_TG_2_Lora-tungchau" xfId="596"/>
    <cellStyle name="_KT_TG_2_moi" xfId="597"/>
    <cellStyle name="_KT_TG_2_PGIA-phieu tham tra Kho bac" xfId="598"/>
    <cellStyle name="_KT_TG_2_PT02-02" xfId="599"/>
    <cellStyle name="_KT_TG_2_PT02-02_Book1" xfId="600"/>
    <cellStyle name="_KT_TG_2_PT02-03" xfId="601"/>
    <cellStyle name="_KT_TG_2_PT02-03_Book1" xfId="602"/>
    <cellStyle name="_KT_TG_2_Qt-HT3PQ1(CauKho)" xfId="603"/>
    <cellStyle name="_KT_TG_2_Qt-HT3PQ1(CauKho)_Book1" xfId="604"/>
    <cellStyle name="_KT_TG_2_Qt-HT3PQ1(CauKho)_Don gia quy 3 nam 2003 - Ban Dien Luc" xfId="605"/>
    <cellStyle name="_KT_TG_2_Qt-HT3PQ1(CauKho)_Kiem Tra Don Gia" xfId="606"/>
    <cellStyle name="_KT_TG_2_Qt-HT3PQ1(CauKho)_NC-VL2-2003" xfId="607"/>
    <cellStyle name="_KT_TG_2_Qt-HT3PQ1(CauKho)_NC-VL2-2003_1" xfId="608"/>
    <cellStyle name="_KT_TG_2_Qt-HT3PQ1(CauKho)_XL4Test5" xfId="609"/>
    <cellStyle name="_KT_TG_2_QT-LCTP-AE" xfId="610"/>
    <cellStyle name="_KT_TG_2_quy luong con lai nam 2004" xfId="611"/>
    <cellStyle name="_KT_TG_2_Sheet2" xfId="612"/>
    <cellStyle name="_KT_TG_2_TEL OUT 2004" xfId="613"/>
    <cellStyle name="_KT_TG_2_Tong hop 3 tinh (11_5)-TTH-QN-QT" xfId="614"/>
    <cellStyle name="_KT_TG_2_XL4Poppy" xfId="615"/>
    <cellStyle name="_KT_TG_2_XL4Test5" xfId="616"/>
    <cellStyle name="_KT_TG_2_ÿÿÿÿÿ" xfId="617"/>
    <cellStyle name="_KT_TG_2_" xfId="618"/>
    <cellStyle name="_KT_TG_3" xfId="619"/>
    <cellStyle name="_KT_TG_4" xfId="620"/>
    <cellStyle name="_KT_TG_4_Book1" xfId="621"/>
    <cellStyle name="_KT_TG_4_Lora-tungchau" xfId="622"/>
    <cellStyle name="_KT_TG_4_Qt-HT3PQ1(CauKho)" xfId="623"/>
    <cellStyle name="_KT_TG_4_Qt-HT3PQ1(CauKho)_Book1" xfId="624"/>
    <cellStyle name="_KT_TG_4_Qt-HT3PQ1(CauKho)_Don gia quy 3 nam 2003 - Ban Dien Luc" xfId="625"/>
    <cellStyle name="_KT_TG_4_Qt-HT3PQ1(CauKho)_Kiem Tra Don Gia" xfId="626"/>
    <cellStyle name="_KT_TG_4_Qt-HT3PQ1(CauKho)_NC-VL2-2003" xfId="627"/>
    <cellStyle name="_KT_TG_4_Qt-HT3PQ1(CauKho)_NC-VL2-2003_1" xfId="628"/>
    <cellStyle name="_KT_TG_4_Qt-HT3PQ1(CauKho)_XL4Test5" xfId="629"/>
    <cellStyle name="_KT_TG_4_quy luong con lai nam 2004" xfId="630"/>
    <cellStyle name="_KT_TG_4_" xfId="631"/>
    <cellStyle name="_KT_TG_Book1" xfId="632"/>
    <cellStyle name="_KT_TG_DTDuong dong tien -sua tham tra 2009 - luong 650" xfId="633"/>
    <cellStyle name="_KT_TG_quy luong con lai nam 2004" xfId="634"/>
    <cellStyle name="_Lora-tungchau" xfId="635"/>
    <cellStyle name="_Lora-tungchau_Book1" xfId="636"/>
    <cellStyle name="_Lora-tungchau_Kiem Tra Don Gia" xfId="637"/>
    <cellStyle name="_Lora-tungchau_Kiem Tra Don Gia 2" xfId="2037"/>
    <cellStyle name="_Lora-tungchau_Kiem Tra Don Gia 2 2" xfId="2038"/>
    <cellStyle name="_MauThanTKKT-goi7-DonGia2143(vl t7)" xfId="638"/>
    <cellStyle name="_Nhu cau von ung truoc 2011 Tha h Hoa + Nge An gui TW" xfId="639"/>
    <cellStyle name="_PERSONAL" xfId="640"/>
    <cellStyle name="_PERSONAL_Book1" xfId="641"/>
    <cellStyle name="_PERSONAL_HTQ.8 GD1" xfId="642"/>
    <cellStyle name="_PERSONAL_HTQ.8 GD1_Book1" xfId="643"/>
    <cellStyle name="_PERSONAL_HTQ.8 GD1_Don gia quy 3 nam 2003 - Ban Dien Luc" xfId="644"/>
    <cellStyle name="_PERSONAL_HTQ.8 GD1_NC-VL2-2003" xfId="645"/>
    <cellStyle name="_PERSONAL_HTQ.8 GD1_NC-VL2-2003_1" xfId="646"/>
    <cellStyle name="_PERSONAL_HTQ.8 GD1_XL4Test5" xfId="647"/>
    <cellStyle name="_PERSONAL_khoiluongbdacdoa" xfId="648"/>
    <cellStyle name="_PERSONAL_Tong hop KHCB 2001" xfId="649"/>
    <cellStyle name="_PERSONAL_" xfId="650"/>
    <cellStyle name="_Phu luc kem BC gui VP Bo (18.2)" xfId="1945"/>
    <cellStyle name="_Q TOAN  SCTX QL.62 QUI I ( oanh)" xfId="651"/>
    <cellStyle name="_Q TOAN  SCTX QL.62 QUI II ( oanh)" xfId="652"/>
    <cellStyle name="_QT SCTXQL62_QT1 (Cty QL)" xfId="653"/>
    <cellStyle name="_Qt-HT3PQ1(CauKho)" xfId="654"/>
    <cellStyle name="_Qt-HT3PQ1(CauKho)_Book1" xfId="655"/>
    <cellStyle name="_Qt-HT3PQ1(CauKho)_Don gia quy 3 nam 2003 - Ban Dien Luc" xfId="656"/>
    <cellStyle name="_Qt-HT3PQ1(CauKho)_Kiem Tra Don Gia" xfId="657"/>
    <cellStyle name="_Qt-HT3PQ1(CauKho)_NC-VL2-2003" xfId="658"/>
    <cellStyle name="_Qt-HT3PQ1(CauKho)_NC-VL2-2003_1" xfId="659"/>
    <cellStyle name="_Qt-HT3PQ1(CauKho)_XL4Test5" xfId="660"/>
    <cellStyle name="_QT-LCTP-AE" xfId="661"/>
    <cellStyle name="_quy luong con lai nam 2004" xfId="662"/>
    <cellStyle name="_Sheet1" xfId="663"/>
    <cellStyle name="_Sheet2" xfId="664"/>
    <cellStyle name="_TG-TH" xfId="665"/>
    <cellStyle name="_TG-TH_1" xfId="666"/>
    <cellStyle name="_TG-TH_1_BANG TONG HOP TINH HINH THANH QUYET TOAN (MOI I)" xfId="667"/>
    <cellStyle name="_TG-TH_1_BAO CAO KLCT PT2000" xfId="668"/>
    <cellStyle name="_TG-TH_1_BAO CAO PT2000" xfId="669"/>
    <cellStyle name="_TG-TH_1_BAO CAO PT2000_Book1" xfId="670"/>
    <cellStyle name="_TG-TH_1_Bao cao XDCB 2001 - T11 KH dieu chinh 20-11-THAI" xfId="671"/>
    <cellStyle name="_TG-TH_1_BAO GIA NGAY 24-10-08 (co dam)" xfId="672"/>
    <cellStyle name="_TG-TH_1_Biểu KH 5 năm gửi UB sửa biểu VHXH" xfId="673"/>
    <cellStyle name="_TG-TH_1_Book1" xfId="674"/>
    <cellStyle name="_TG-TH_1_Book1_1" xfId="675"/>
    <cellStyle name="_TG-TH_1_Book1_1_Book1" xfId="676"/>
    <cellStyle name="_TG-TH_1_Book1_1_DanhMucDonGiaVTTB_Dien_TAM" xfId="677"/>
    <cellStyle name="_TG-TH_1_Book1_1_khoiluongbdacdoa" xfId="678"/>
    <cellStyle name="_TG-TH_1_Book1_2" xfId="679"/>
    <cellStyle name="_TG-TH_1_Book1_2_Book1" xfId="680"/>
    <cellStyle name="_TG-TH_1_Book1_3" xfId="681"/>
    <cellStyle name="_TG-TH_1_Book1_3_Book1" xfId="682"/>
    <cellStyle name="_TG-TH_1_Book1_3_DT truong thinh phu" xfId="683"/>
    <cellStyle name="_TG-TH_1_Book1_3_XL4Test5" xfId="684"/>
    <cellStyle name="_TG-TH_1_Book1_4" xfId="685"/>
    <cellStyle name="_TG-TH_1_Book1_BC-QT-WB-dthao" xfId="686"/>
    <cellStyle name="_TG-TH_1_Book1_Book1" xfId="687"/>
    <cellStyle name="_TG-TH_1_Book1_DanhMucDonGiaVTTB_Dien_TAM" xfId="688"/>
    <cellStyle name="_TG-TH_1_Book1_khoiluongbdacdoa" xfId="689"/>
    <cellStyle name="_TG-TH_1_Book1_Kiem Tra Don Gia" xfId="690"/>
    <cellStyle name="_TG-TH_1_Book1_Tong hop 3 tinh (11_5)-TTH-QN-QT" xfId="691"/>
    <cellStyle name="_TG-TH_1_Book1_" xfId="692"/>
    <cellStyle name="_TG-TH_1_CAU Khanh Nam(Thi Cong)" xfId="693"/>
    <cellStyle name="_TG-TH_1_DAU NOI PL-CL TAI PHU LAMHC" xfId="694"/>
    <cellStyle name="_TG-TH_1_Dcdtoan-bcnckt " xfId="695"/>
    <cellStyle name="_TG-TH_1_DN_MTP" xfId="696"/>
    <cellStyle name="_TG-TH_1_Dongia2-2003" xfId="697"/>
    <cellStyle name="_TG-TH_1_Dongia2-2003_DT truong thinh phu" xfId="698"/>
    <cellStyle name="_TG-TH_1_DT truong thinh phu" xfId="699"/>
    <cellStyle name="_TG-TH_1_DTCDT MR.2N110.HOCMON.TDTOAN.CCUNG" xfId="700"/>
    <cellStyle name="_TG-TH_1_DTDuong dong tien -sua tham tra 2009 - luong 650" xfId="701"/>
    <cellStyle name="_TG-TH_1_DU TRU VAT TU" xfId="702"/>
    <cellStyle name="_TG-TH_1_khoiluongbdacdoa" xfId="703"/>
    <cellStyle name="_TG-TH_1_Kiem Tra Don Gia" xfId="704"/>
    <cellStyle name="_TG-TH_1_Lora-tungchau" xfId="705"/>
    <cellStyle name="_TG-TH_1_moi" xfId="706"/>
    <cellStyle name="_TG-TH_1_PGIA-phieu tham tra Kho bac" xfId="707"/>
    <cellStyle name="_TG-TH_1_PT02-02" xfId="708"/>
    <cellStyle name="_TG-TH_1_PT02-02_Book1" xfId="709"/>
    <cellStyle name="_TG-TH_1_PT02-03" xfId="710"/>
    <cellStyle name="_TG-TH_1_PT02-03_Book1" xfId="711"/>
    <cellStyle name="_TG-TH_1_Qt-HT3PQ1(CauKho)" xfId="712"/>
    <cellStyle name="_TG-TH_1_Qt-HT3PQ1(CauKho)_Book1" xfId="713"/>
    <cellStyle name="_TG-TH_1_Qt-HT3PQ1(CauKho)_Don gia quy 3 nam 2003 - Ban Dien Luc" xfId="714"/>
    <cellStyle name="_TG-TH_1_Qt-HT3PQ1(CauKho)_Kiem Tra Don Gia" xfId="715"/>
    <cellStyle name="_TG-TH_1_Qt-HT3PQ1(CauKho)_NC-VL2-2003" xfId="716"/>
    <cellStyle name="_TG-TH_1_Qt-HT3PQ1(CauKho)_NC-VL2-2003_1" xfId="717"/>
    <cellStyle name="_TG-TH_1_Qt-HT3PQ1(CauKho)_XL4Test5" xfId="718"/>
    <cellStyle name="_TG-TH_1_QT-LCTP-AE" xfId="719"/>
    <cellStyle name="_TG-TH_1_Sheet2" xfId="720"/>
    <cellStyle name="_TG-TH_1_TEL OUT 2004" xfId="721"/>
    <cellStyle name="_TG-TH_1_Tong hop 3 tinh (11_5)-TTH-QN-QT" xfId="722"/>
    <cellStyle name="_TG-TH_1_XL4Poppy" xfId="723"/>
    <cellStyle name="_TG-TH_1_XL4Test5" xfId="724"/>
    <cellStyle name="_TG-TH_1_ÿÿÿÿÿ" xfId="725"/>
    <cellStyle name="_TG-TH_1_" xfId="726"/>
    <cellStyle name="_TG-TH_2" xfId="727"/>
    <cellStyle name="_TG-TH_2_BANG TONG HOP TINH HINH THANH QUYET TOAN (MOI I)" xfId="728"/>
    <cellStyle name="_TG-TH_2_BAO CAO KLCT PT2000" xfId="729"/>
    <cellStyle name="_TG-TH_2_BAO CAO PT2000" xfId="730"/>
    <cellStyle name="_TG-TH_2_BAO CAO PT2000_Book1" xfId="731"/>
    <cellStyle name="_TG-TH_2_Bao cao XDCB 2001 - T11 KH dieu chinh 20-11-THAI" xfId="732"/>
    <cellStyle name="_TG-TH_2_BAO GIA NGAY 24-10-08 (co dam)" xfId="733"/>
    <cellStyle name="_TG-TH_2_Biểu KH 5 năm gửi UB sửa biểu VHXH" xfId="734"/>
    <cellStyle name="_TG-TH_2_Book1" xfId="735"/>
    <cellStyle name="_TG-TH_2_Book1_1" xfId="736"/>
    <cellStyle name="_TG-TH_2_Book1_1_Book1" xfId="737"/>
    <cellStyle name="_TG-TH_2_Book1_1_DanhMucDonGiaVTTB_Dien_TAM" xfId="738"/>
    <cellStyle name="_TG-TH_2_Book1_1_khoiluongbdacdoa" xfId="739"/>
    <cellStyle name="_TG-TH_2_Book1_2" xfId="740"/>
    <cellStyle name="_TG-TH_2_Book1_2_Book1" xfId="741"/>
    <cellStyle name="_TG-TH_2_Book1_3" xfId="742"/>
    <cellStyle name="_TG-TH_2_Book1_3_Book1" xfId="743"/>
    <cellStyle name="_TG-TH_2_Book1_3_DT truong thinh phu" xfId="744"/>
    <cellStyle name="_TG-TH_2_Book1_3_XL4Test5" xfId="745"/>
    <cellStyle name="_TG-TH_2_Book1_4" xfId="746"/>
    <cellStyle name="_TG-TH_2_Book1_Book1" xfId="747"/>
    <cellStyle name="_TG-TH_2_Book1_DanhMucDonGiaVTTB_Dien_TAM" xfId="748"/>
    <cellStyle name="_TG-TH_2_Book1_khoiluongbdacdoa" xfId="749"/>
    <cellStyle name="_TG-TH_2_Book1_Kiem Tra Don Gia" xfId="750"/>
    <cellStyle name="_TG-TH_2_Book1_Tong hop 3 tinh (11_5)-TTH-QN-QT" xfId="751"/>
    <cellStyle name="_TG-TH_2_Book1_" xfId="752"/>
    <cellStyle name="_TG-TH_2_CAU Khanh Nam(Thi Cong)" xfId="753"/>
    <cellStyle name="_TG-TH_2_DAU NOI PL-CL TAI PHU LAMHC" xfId="754"/>
    <cellStyle name="_TG-TH_2_Dcdtoan-bcnckt " xfId="755"/>
    <cellStyle name="_TG-TH_2_DN_MTP" xfId="756"/>
    <cellStyle name="_TG-TH_2_Dongia2-2003" xfId="757"/>
    <cellStyle name="_TG-TH_2_Dongia2-2003_DT truong thinh phu" xfId="758"/>
    <cellStyle name="_TG-TH_2_DT truong thinh phu" xfId="759"/>
    <cellStyle name="_TG-TH_2_DTCDT MR.2N110.HOCMON.TDTOAN.CCUNG" xfId="760"/>
    <cellStyle name="_TG-TH_2_DTDuong dong tien -sua tham tra 2009 - luong 650" xfId="761"/>
    <cellStyle name="_TG-TH_2_DU TRU VAT TU" xfId="762"/>
    <cellStyle name="_TG-TH_2_khoiluongbdacdoa" xfId="763"/>
    <cellStyle name="_TG-TH_2_Kiem Tra Don Gia" xfId="764"/>
    <cellStyle name="_TG-TH_2_Lora-tungchau" xfId="765"/>
    <cellStyle name="_TG-TH_2_moi" xfId="766"/>
    <cellStyle name="_TG-TH_2_PGIA-phieu tham tra Kho bac" xfId="767"/>
    <cellStyle name="_TG-TH_2_PT02-02" xfId="768"/>
    <cellStyle name="_TG-TH_2_PT02-02_Book1" xfId="769"/>
    <cellStyle name="_TG-TH_2_PT02-03" xfId="770"/>
    <cellStyle name="_TG-TH_2_PT02-03_Book1" xfId="771"/>
    <cellStyle name="_TG-TH_2_Qt-HT3PQ1(CauKho)" xfId="772"/>
    <cellStyle name="_TG-TH_2_Qt-HT3PQ1(CauKho)_Book1" xfId="773"/>
    <cellStyle name="_TG-TH_2_Qt-HT3PQ1(CauKho)_Don gia quy 3 nam 2003 - Ban Dien Luc" xfId="774"/>
    <cellStyle name="_TG-TH_2_Qt-HT3PQ1(CauKho)_Kiem Tra Don Gia" xfId="775"/>
    <cellStyle name="_TG-TH_2_Qt-HT3PQ1(CauKho)_NC-VL2-2003" xfId="776"/>
    <cellStyle name="_TG-TH_2_Qt-HT3PQ1(CauKho)_NC-VL2-2003_1" xfId="777"/>
    <cellStyle name="_TG-TH_2_Qt-HT3PQ1(CauKho)_XL4Test5" xfId="778"/>
    <cellStyle name="_TG-TH_2_QT-LCTP-AE" xfId="779"/>
    <cellStyle name="_TG-TH_2_quy luong con lai nam 2004" xfId="780"/>
    <cellStyle name="_TG-TH_2_Sheet2" xfId="781"/>
    <cellStyle name="_TG-TH_2_TEL OUT 2004" xfId="782"/>
    <cellStyle name="_TG-TH_2_Tong hop 3 tinh (11_5)-TTH-QN-QT" xfId="783"/>
    <cellStyle name="_TG-TH_2_XL4Poppy" xfId="784"/>
    <cellStyle name="_TG-TH_2_XL4Test5" xfId="785"/>
    <cellStyle name="_TG-TH_2_ÿÿÿÿÿ" xfId="786"/>
    <cellStyle name="_TG-TH_2_" xfId="787"/>
    <cellStyle name="_TG-TH_3" xfId="788"/>
    <cellStyle name="_TG-TH_3_Book1" xfId="789"/>
    <cellStyle name="_TG-TH_3_Lora-tungchau" xfId="790"/>
    <cellStyle name="_TG-TH_3_Qt-HT3PQ1(CauKho)" xfId="791"/>
    <cellStyle name="_TG-TH_3_Qt-HT3PQ1(CauKho)_Book1" xfId="792"/>
    <cellStyle name="_TG-TH_3_Qt-HT3PQ1(CauKho)_Don gia quy 3 nam 2003 - Ban Dien Luc" xfId="793"/>
    <cellStyle name="_TG-TH_3_Qt-HT3PQ1(CauKho)_Kiem Tra Don Gia" xfId="794"/>
    <cellStyle name="_TG-TH_3_Qt-HT3PQ1(CauKho)_NC-VL2-2003" xfId="795"/>
    <cellStyle name="_TG-TH_3_Qt-HT3PQ1(CauKho)_NC-VL2-2003_1" xfId="796"/>
    <cellStyle name="_TG-TH_3_Qt-HT3PQ1(CauKho)_XL4Test5" xfId="797"/>
    <cellStyle name="_TG-TH_3_quy luong con lai nam 2004" xfId="798"/>
    <cellStyle name="_TG-TH_3_" xfId="799"/>
    <cellStyle name="_TG-TH_4" xfId="800"/>
    <cellStyle name="_TG-TH_4_Book1" xfId="801"/>
    <cellStyle name="_TG-TH_4_DTDuong dong tien -sua tham tra 2009 - luong 650" xfId="802"/>
    <cellStyle name="_TG-TH_4_quy luong con lai nam 2004" xfId="803"/>
    <cellStyle name="_TH KHAI TOAN THU THIEM cac tuyen TT noi" xfId="804"/>
    <cellStyle name="_TKP" xfId="805"/>
    <cellStyle name="_Tong dutoan PP LAHAI" xfId="806"/>
    <cellStyle name="_Tong hop 3 tinh (11_5)-TTH-QN-QT" xfId="807"/>
    <cellStyle name="_Tong hop may cheu nganh 1" xfId="808"/>
    <cellStyle name="_ung 2011 - 11-6-Thanh hoa-Nghe an" xfId="809"/>
    <cellStyle name="_ung truoc 2011 NSTW Thanh Hoa + Nge An gui Thu 12-5" xfId="810"/>
    <cellStyle name="_ung truoc cua long an (6-5-2010)" xfId="811"/>
    <cellStyle name="_ung von chinh thuc doan kiem tra TAY NAM BO" xfId="812"/>
    <cellStyle name="_Ung von nam 2011 vung TNB - Doan Cong tac (12-5-2010)" xfId="813"/>
    <cellStyle name="_Ung von nam 2011 vung TNB - Doan Cong tac (12-5-2010)_Copy of ghep 3 bieu trinh LD BO 28-6 (TPCP)" xfId="814"/>
    <cellStyle name="_ÿÿÿÿÿ" xfId="815"/>
    <cellStyle name="_ÿÿÿÿÿ_Kh ql62 (2010) 11-09" xfId="816"/>
    <cellStyle name="_" xfId="817"/>
    <cellStyle name="__1" xfId="818"/>
    <cellStyle name="__Bao gia TB Kon Dao 2010" xfId="819"/>
    <cellStyle name="~1" xfId="820"/>
    <cellStyle name="’Ê‰Ý [0.00]_laroux" xfId="821"/>
    <cellStyle name="’Ê‰Ý_laroux" xfId="822"/>
    <cellStyle name="•W?_Format" xfId="823"/>
    <cellStyle name="•W€_¯–ì" xfId="824"/>
    <cellStyle name="•W_¯–ì" xfId="825"/>
    <cellStyle name="W_MARINE" xfId="826"/>
    <cellStyle name="0" xfId="827"/>
    <cellStyle name="0 2" xfId="2039"/>
    <cellStyle name="0 2 2" xfId="2040"/>
    <cellStyle name="0 3" xfId="2041"/>
    <cellStyle name="0 3 2" xfId="2042"/>
    <cellStyle name="0 4" xfId="2043"/>
    <cellStyle name="0.0" xfId="828"/>
    <cellStyle name="0.0 2" xfId="2044"/>
    <cellStyle name="0.0 2 2" xfId="2045"/>
    <cellStyle name="0.0 3" xfId="2046"/>
    <cellStyle name="0.0 3 2" xfId="2047"/>
    <cellStyle name="0.0 4" xfId="2048"/>
    <cellStyle name="0.00" xfId="829"/>
    <cellStyle name="0.00 2" xfId="2049"/>
    <cellStyle name="0.00 2 2" xfId="2050"/>
    <cellStyle name="0.00 3" xfId="2051"/>
    <cellStyle name="0.00 3 2" xfId="2052"/>
    <cellStyle name="0.00 4" xfId="2053"/>
    <cellStyle name="1" xfId="830"/>
    <cellStyle name="1_17 bieu (hung cap nhap)" xfId="831"/>
    <cellStyle name="1_17 bieu (hung cap nhap) 2" xfId="2054"/>
    <cellStyle name="1_17 bieu (hung cap nhap) 3" xfId="2055"/>
    <cellStyle name="1_2-Ha GiangBB2011-V1" xfId="1946"/>
    <cellStyle name="1_50-BB Vung tau 2011" xfId="1947"/>
    <cellStyle name="1_52-Long An2011.BB-V1" xfId="1948"/>
    <cellStyle name="1_7 noi 48 goi C5 9 vi na" xfId="832"/>
    <cellStyle name="1_BANG KE VAT TU" xfId="833"/>
    <cellStyle name="1_Bao cao doan cong tac cua Bo thang 4-2010" xfId="834"/>
    <cellStyle name="1_Bao cao doan cong tac cua Bo thang 4-2010 2" xfId="2056"/>
    <cellStyle name="1_Bao cao giai ngan von dau tu nam 2009 (theo doi)" xfId="835"/>
    <cellStyle name="1_Bao cao giai ngan von dau tu nam 2009 (theo doi) 2" xfId="2057"/>
    <cellStyle name="1_Bao cao giai ngan von dau tu nam 2009 (theo doi)_Bao cao doan cong tac cua Bo thang 4-2010" xfId="836"/>
    <cellStyle name="1_Bao cao giai ngan von dau tu nam 2009 (theo doi)_Bao cao doan cong tac cua Bo thang 4-2010 2" xfId="2058"/>
    <cellStyle name="1_Bao cao giai ngan von dau tu nam 2009 (theo doi)_Ke hoach 2009 (theo doi) -1" xfId="837"/>
    <cellStyle name="1_Bao cao giai ngan von dau tu nam 2009 (theo doi)_Ke hoach 2009 (theo doi) -1 2" xfId="2059"/>
    <cellStyle name="1_Bao cao KP tu chu" xfId="838"/>
    <cellStyle name="1_BAO GIA NGAY 24-10-08 (co dam)" xfId="839"/>
    <cellStyle name="1_Bao gia TB Kon Dao 2010" xfId="840"/>
    <cellStyle name="1_BC 8 thang 2009 ve CT trong diem 5nam" xfId="841"/>
    <cellStyle name="1_BC 8 thang 2009 ve CT trong diem 5nam 2" xfId="2060"/>
    <cellStyle name="1_BC 8 thang 2009 ve CT trong diem 5nam_Bao cao doan cong tac cua Bo thang 4-2010" xfId="842"/>
    <cellStyle name="1_BC 8 thang 2009 ve CT trong diem 5nam_Bao cao doan cong tac cua Bo thang 4-2010 2" xfId="2061"/>
    <cellStyle name="1_BC 8 thang 2009 ve CT trong diem 5nam_bieu 01" xfId="843"/>
    <cellStyle name="1_BC 8 thang 2009 ve CT trong diem 5nam_bieu 01 2" xfId="2062"/>
    <cellStyle name="1_BC 8 thang 2009 ve CT trong diem 5nam_bieu 01_Bao cao doan cong tac cua Bo thang 4-2010" xfId="844"/>
    <cellStyle name="1_BC 8 thang 2009 ve CT trong diem 5nam_bieu 01_Bao cao doan cong tac cua Bo thang 4-2010 2" xfId="2063"/>
    <cellStyle name="1_BC nam 2007 (UB)" xfId="845"/>
    <cellStyle name="1_BC nam 2007 (UB) 2" xfId="2064"/>
    <cellStyle name="1_BC nam 2007 (UB)_Bao cao doan cong tac cua Bo thang 4-2010" xfId="846"/>
    <cellStyle name="1_BC nam 2007 (UB)_Bao cao doan cong tac cua Bo thang 4-2010 2" xfId="2065"/>
    <cellStyle name="1_bieu 1" xfId="1949"/>
    <cellStyle name="1_bieu 2" xfId="1950"/>
    <cellStyle name="1_bieu 4" xfId="1951"/>
    <cellStyle name="1_bieu tong hop" xfId="847"/>
    <cellStyle name="1_Book1" xfId="848"/>
    <cellStyle name="1_Book1_1" xfId="849"/>
    <cellStyle name="1_Book1_1 2" xfId="2066"/>
    <cellStyle name="1_Book1_1_VBPL kiểm toán Đầu tư XDCB 2010" xfId="850"/>
    <cellStyle name="1_Book1_Bao cao doan cong tac cua Bo thang 4-2010" xfId="851"/>
    <cellStyle name="1_Book1_Bao cao doan cong tac cua Bo thang 4-2010 2" xfId="2067"/>
    <cellStyle name="1_Book1_BL vu" xfId="852"/>
    <cellStyle name="1_Book1_Book1" xfId="853"/>
    <cellStyle name="1_Book1_Book1 2" xfId="2068"/>
    <cellStyle name="1_Book1_Gia - Thanh An" xfId="854"/>
    <cellStyle name="1_Book1_VBPL kiểm toán Đầu tư XDCB 2010" xfId="855"/>
    <cellStyle name="1_Book2" xfId="856"/>
    <cellStyle name="1_Book2 2" xfId="2069"/>
    <cellStyle name="1_Book2_Bao cao doan cong tac cua Bo thang 4-2010" xfId="857"/>
    <cellStyle name="1_Book2_Bao cao doan cong tac cua Bo thang 4-2010 2" xfId="2070"/>
    <cellStyle name="1_Cau thuy dien Ban La (Cu Anh)" xfId="858"/>
    <cellStyle name="1_Copy of ghep 3 bieu trinh LD BO 28-6 (TPCP)" xfId="859"/>
    <cellStyle name="1_Danh sach gui BC thuc hien KH2009" xfId="860"/>
    <cellStyle name="1_Danh sach gui BC thuc hien KH2009 2" xfId="2071"/>
    <cellStyle name="1_Danh sach gui BC thuc hien KH2009_Bao cao doan cong tac cua Bo thang 4-2010" xfId="861"/>
    <cellStyle name="1_Danh sach gui BC thuc hien KH2009_Bao cao doan cong tac cua Bo thang 4-2010 2" xfId="2072"/>
    <cellStyle name="1_Danh sach gui BC thuc hien KH2009_Ke hoach 2009 (theo doi) -1" xfId="862"/>
    <cellStyle name="1_Danh sach gui BC thuc hien KH2009_Ke hoach 2009 (theo doi) -1 2" xfId="2073"/>
    <cellStyle name="1_Don gia Du thau ( XL19)" xfId="863"/>
    <cellStyle name="1_Don gia Du thau ( XL19) 2" xfId="2074"/>
    <cellStyle name="1_DT972000" xfId="864"/>
    <cellStyle name="1_dtCau Km3+429,21TL685" xfId="865"/>
    <cellStyle name="1_Dtdchinh2397" xfId="866"/>
    <cellStyle name="1_Du thau" xfId="867"/>
    <cellStyle name="1_Du toan 558 (Km17+508.12 - Km 22)" xfId="868"/>
    <cellStyle name="1_du toan lan 3" xfId="869"/>
    <cellStyle name="1_Gia - Thanh An" xfId="870"/>
    <cellStyle name="1_Gia_VLQL48_duyet " xfId="871"/>
    <cellStyle name="1_GIA-DUTHAUsuaNS" xfId="872"/>
    <cellStyle name="1_KH 2007 (theo doi)" xfId="873"/>
    <cellStyle name="1_KH 2007 (theo doi) 2" xfId="2075"/>
    <cellStyle name="1_KH 2007 (theo doi)_Bao cao doan cong tac cua Bo thang 4-2010" xfId="874"/>
    <cellStyle name="1_KH 2007 (theo doi)_Bao cao doan cong tac cua Bo thang 4-2010 2" xfId="2076"/>
    <cellStyle name="1_Kh ql62 (2010) 11-09" xfId="875"/>
    <cellStyle name="1_khoiluongbdacdoa" xfId="876"/>
    <cellStyle name="1_KL km 0-km3+300 dieu chinh 4-2008" xfId="877"/>
    <cellStyle name="1_KLNM 1303" xfId="878"/>
    <cellStyle name="1_KlQdinhduyet" xfId="879"/>
    <cellStyle name="1_LuuNgay17-03-2009Đơn KN Cục thuế" xfId="880"/>
    <cellStyle name="1_NTHOC" xfId="881"/>
    <cellStyle name="1_NTHOC 2" xfId="2077"/>
    <cellStyle name="1_NTHOC_Tong hop theo doi von TPCP" xfId="882"/>
    <cellStyle name="1_NTHOC_Tong hop theo doi von TPCP 2" xfId="2078"/>
    <cellStyle name="1_NTHOC_Tong hop theo doi von TPCP_Bao cao kiem toan kh 2010" xfId="883"/>
    <cellStyle name="1_NTHOC_Tong hop theo doi von TPCP_Bao cao kiem toan kh 2010 2" xfId="2079"/>
    <cellStyle name="1_NTHOC_Tong hop theo doi von TPCP_Ke hoach 2010 (theo doi)2" xfId="884"/>
    <cellStyle name="1_NTHOC_Tong hop theo doi von TPCP_Ke hoach 2010 (theo doi)2 2" xfId="2080"/>
    <cellStyle name="1_NTHOC_Tong hop theo doi von TPCP_QD UBND tinh" xfId="885"/>
    <cellStyle name="1_NTHOC_Tong hop theo doi von TPCP_QD UBND tinh 2" xfId="2081"/>
    <cellStyle name="1_NTHOC_Tong hop theo doi von TPCP_Worksheet in D: My Documents Luc Van ban xu ly Nam 2011 Bao cao ra soat tam ung TPCP" xfId="886"/>
    <cellStyle name="1_NTHOC_Tong hop theo doi von TPCP_Worksheet in D: My Documents Luc Van ban xu ly Nam 2011 Bao cao ra soat tam ung TPCP 2" xfId="2082"/>
    <cellStyle name="1_QT Thue GTGT 2008" xfId="887"/>
    <cellStyle name="1_Ra soat Giai ngan 2007 (dang lam)" xfId="888"/>
    <cellStyle name="1_Ra soat Giai ngan 2007 (dang lam) 2" xfId="2083"/>
    <cellStyle name="1_Theo doi von TPCP (dang lam)" xfId="889"/>
    <cellStyle name="1_Theo doi von TPCP (dang lam) 2" xfId="2084"/>
    <cellStyle name="1_Thong ke cong" xfId="890"/>
    <cellStyle name="1_thong ke giao dan sinh" xfId="891"/>
    <cellStyle name="1_TonghopKL_BOY-sual2" xfId="892"/>
    <cellStyle name="1_TRUNG PMU 5" xfId="893"/>
    <cellStyle name="1_VBPL kiểm toán Đầu tư XDCB 2010" xfId="894"/>
    <cellStyle name="1_ÿÿÿÿÿ" xfId="895"/>
    <cellStyle name="1_ÿÿÿÿÿ 2" xfId="2085"/>
    <cellStyle name="1_ÿÿÿÿÿ_Bieu tong hop nhu cau ung 2011 da chon loc -Mien nui" xfId="896"/>
    <cellStyle name="1_ÿÿÿÿÿ_Bieu tong hop nhu cau ung 2011 da chon loc -Mien nui 2" xfId="2086"/>
    <cellStyle name="1_ÿÿÿÿÿ_Bieu tong hop nhu cau ung 2011 da chon loc -Mien nui 2 2" xfId="2087"/>
    <cellStyle name="1_ÿÿÿÿÿ_Bieu tong hop nhu cau ung 2011 da chon loc -Mien nui 3" xfId="2088"/>
    <cellStyle name="1_ÿÿÿÿÿ_Kh ql62 (2010) 11-09" xfId="897"/>
    <cellStyle name="1_ÿÿÿÿÿ_mau bieu doan giam sat 2010 (version 2)" xfId="898"/>
    <cellStyle name="1_ÿÿÿÿÿ_mau bieu doan giam sat 2010 (version 2) 2" xfId="2089"/>
    <cellStyle name="1_ÿÿÿÿÿ_mau bieu doan giam sat 2010 (version 2) 2 2" xfId="2090"/>
    <cellStyle name="1_ÿÿÿÿÿ_mau bieu doan giam sat 2010 (version 2) 3" xfId="2091"/>
    <cellStyle name="1_ÿÿÿÿÿ_VBPL kiểm toán Đầu tư XDCB 2010" xfId="899"/>
    <cellStyle name="1_" xfId="900"/>
    <cellStyle name="15" xfId="901"/>
    <cellStyle name="18" xfId="902"/>
    <cellStyle name="¹éºÐÀ²_      " xfId="903"/>
    <cellStyle name="2" xfId="904"/>
    <cellStyle name="2_7 noi 48 goi C5 9 vi na" xfId="905"/>
    <cellStyle name="2_BL vu" xfId="906"/>
    <cellStyle name="2_Book1" xfId="907"/>
    <cellStyle name="2_Book1 2" xfId="2092"/>
    <cellStyle name="2_Book1_1" xfId="908"/>
    <cellStyle name="2_Book1_Bao cao kiem toan kh 2010" xfId="909"/>
    <cellStyle name="2_Book1_Bao cao kiem toan kh 2010 2" xfId="2093"/>
    <cellStyle name="2_Book1_Ke hoach 2010 (theo doi)2" xfId="910"/>
    <cellStyle name="2_Book1_Ke hoach 2010 (theo doi)2 2" xfId="2094"/>
    <cellStyle name="2_Book1_QD UBND tinh" xfId="911"/>
    <cellStyle name="2_Book1_QD UBND tinh 2" xfId="2095"/>
    <cellStyle name="2_Book1_VBPL kiểm toán Đầu tư XDCB 2010" xfId="912"/>
    <cellStyle name="2_Book1_Worksheet in D: My Documents Luc Van ban xu ly Nam 2011 Bao cao ra soat tam ung TPCP" xfId="913"/>
    <cellStyle name="2_Book1_Worksheet in D: My Documents Luc Van ban xu ly Nam 2011 Bao cao ra soat tam ung TPCP 2" xfId="2096"/>
    <cellStyle name="2_Cau thuy dien Ban La (Cu Anh)" xfId="914"/>
    <cellStyle name="2_Dtdchinh2397" xfId="915"/>
    <cellStyle name="2_Du toan 558 (Km17+508.12 - Km 22)" xfId="916"/>
    <cellStyle name="2_Gia_VLQL48_duyet " xfId="917"/>
    <cellStyle name="2_KLNM 1303" xfId="918"/>
    <cellStyle name="2_KlQdinhduyet" xfId="919"/>
    <cellStyle name="2_NTHOC" xfId="920"/>
    <cellStyle name="2_NTHOC 2" xfId="2097"/>
    <cellStyle name="2_NTHOC_Tong hop theo doi von TPCP" xfId="921"/>
    <cellStyle name="2_NTHOC_Tong hop theo doi von TPCP 2" xfId="2098"/>
    <cellStyle name="2_NTHOC_Tong hop theo doi von TPCP_Bao cao kiem toan kh 2010" xfId="922"/>
    <cellStyle name="2_NTHOC_Tong hop theo doi von TPCP_Bao cao kiem toan kh 2010 2" xfId="2099"/>
    <cellStyle name="2_NTHOC_Tong hop theo doi von TPCP_Ke hoach 2010 (theo doi)2" xfId="923"/>
    <cellStyle name="2_NTHOC_Tong hop theo doi von TPCP_Ke hoach 2010 (theo doi)2 2" xfId="2100"/>
    <cellStyle name="2_NTHOC_Tong hop theo doi von TPCP_QD UBND tinh" xfId="924"/>
    <cellStyle name="2_NTHOC_Tong hop theo doi von TPCP_QD UBND tinh 2" xfId="2101"/>
    <cellStyle name="2_NTHOC_Tong hop theo doi von TPCP_Worksheet in D: My Documents Luc Van ban xu ly Nam 2011 Bao cao ra soat tam ung TPCP" xfId="925"/>
    <cellStyle name="2_NTHOC_Tong hop theo doi von TPCP_Worksheet in D: My Documents Luc Van ban xu ly Nam 2011 Bao cao ra soat tam ung TPCP 2" xfId="2102"/>
    <cellStyle name="2_Thong ke cong" xfId="926"/>
    <cellStyle name="2_thong ke giao dan sinh" xfId="927"/>
    <cellStyle name="2_Tong hop theo doi von TPCP" xfId="928"/>
    <cellStyle name="2_Tong hop theo doi von TPCP 2" xfId="2103"/>
    <cellStyle name="2_Tong hop theo doi von TPCP_Bao cao kiem toan kh 2010" xfId="929"/>
    <cellStyle name="2_Tong hop theo doi von TPCP_Bao cao kiem toan kh 2010 2" xfId="2104"/>
    <cellStyle name="2_Tong hop theo doi von TPCP_Ke hoach 2010 (theo doi)2" xfId="930"/>
    <cellStyle name="2_Tong hop theo doi von TPCP_Ke hoach 2010 (theo doi)2 2" xfId="2105"/>
    <cellStyle name="2_Tong hop theo doi von TPCP_QD UBND tinh" xfId="931"/>
    <cellStyle name="2_Tong hop theo doi von TPCP_QD UBND tinh 2" xfId="2106"/>
    <cellStyle name="2_Tong hop theo doi von TPCP_Worksheet in D: My Documents Luc Van ban xu ly Nam 2011 Bao cao ra soat tam ung TPCP" xfId="932"/>
    <cellStyle name="2_Tong hop theo doi von TPCP_Worksheet in D: My Documents Luc Van ban xu ly Nam 2011 Bao cao ra soat tam ung TPCP 2" xfId="2107"/>
    <cellStyle name="2_TRUNG PMU 5" xfId="933"/>
    <cellStyle name="2_VBPL kiểm toán Đầu tư XDCB 2010" xfId="934"/>
    <cellStyle name="2_ÿÿÿÿÿ" xfId="935"/>
    <cellStyle name="2_ÿÿÿÿÿ_Bieu tong hop nhu cau ung 2011 da chon loc -Mien nui" xfId="936"/>
    <cellStyle name="2_ÿÿÿÿÿ_Bieu tong hop nhu cau ung 2011 da chon loc -Mien nui 2" xfId="2108"/>
    <cellStyle name="2_ÿÿÿÿÿ_Bieu tong hop nhu cau ung 2011 da chon loc -Mien nui 2 2" xfId="2109"/>
    <cellStyle name="2_ÿÿÿÿÿ_Bieu tong hop nhu cau ung 2011 da chon loc -Mien nui 3" xfId="2110"/>
    <cellStyle name="2_ÿÿÿÿÿ_mau bieu doan giam sat 2010 (version 2)" xfId="937"/>
    <cellStyle name="2_ÿÿÿÿÿ_mau bieu doan giam sat 2010 (version 2) 2" xfId="2111"/>
    <cellStyle name="2_ÿÿÿÿÿ_mau bieu doan giam sat 2010 (version 2) 2 2" xfId="2112"/>
    <cellStyle name="2_ÿÿÿÿÿ_mau bieu doan giam sat 2010 (version 2) 3" xfId="2113"/>
    <cellStyle name="20" xfId="938"/>
    <cellStyle name="20% - Accent1 2" xfId="939"/>
    <cellStyle name="20% - Accent1 3" xfId="1884"/>
    <cellStyle name="20% - Accent1 4" xfId="73"/>
    <cellStyle name="20% - Accent2 2" xfId="940"/>
    <cellStyle name="20% - Accent2 3" xfId="1885"/>
    <cellStyle name="20% - Accent2 4" xfId="74"/>
    <cellStyle name="20% - Accent3 2" xfId="941"/>
    <cellStyle name="20% - Accent3 3" xfId="1886"/>
    <cellStyle name="20% - Accent3 4" xfId="75"/>
    <cellStyle name="20% - Accent4 2" xfId="942"/>
    <cellStyle name="20% - Accent4 3" xfId="1887"/>
    <cellStyle name="20% - Accent4 4" xfId="76"/>
    <cellStyle name="20% - Accent5 2" xfId="943"/>
    <cellStyle name="20% - Accent5 3" xfId="1888"/>
    <cellStyle name="20% - Accent5 4" xfId="77"/>
    <cellStyle name="20% - Accent6 2" xfId="944"/>
    <cellStyle name="20% - Accent6 3" xfId="1889"/>
    <cellStyle name="20% - Accent6 4" xfId="78"/>
    <cellStyle name="20% - Nhấn1" xfId="945"/>
    <cellStyle name="20% - Nhấn2" xfId="946"/>
    <cellStyle name="20% - Nhấn3" xfId="947"/>
    <cellStyle name="20% - Nhấn4" xfId="948"/>
    <cellStyle name="20% - Nhấn5" xfId="949"/>
    <cellStyle name="20% - Nhấn6" xfId="950"/>
    <cellStyle name="-2001" xfId="951"/>
    <cellStyle name="3" xfId="952"/>
    <cellStyle name="3_7 noi 48 goi C5 9 vi na" xfId="953"/>
    <cellStyle name="3_Book1" xfId="954"/>
    <cellStyle name="3_Book1_1" xfId="955"/>
    <cellStyle name="3_Cau thuy dien Ban La (Cu Anh)" xfId="956"/>
    <cellStyle name="3_Dtdchinh2397" xfId="957"/>
    <cellStyle name="3_Du toan 558 (Km17+508.12 - Km 22)" xfId="958"/>
    <cellStyle name="3_Gia_VLQL48_duyet " xfId="959"/>
    <cellStyle name="3_KLNM 1303" xfId="960"/>
    <cellStyle name="3_KlQdinhduyet" xfId="961"/>
    <cellStyle name="3_Thong ke cong" xfId="962"/>
    <cellStyle name="3_thong ke giao dan sinh" xfId="963"/>
    <cellStyle name="3_VBPL kiểm toán Đầu tư XDCB 2010" xfId="964"/>
    <cellStyle name="3_ÿÿÿÿÿ" xfId="965"/>
    <cellStyle name="4" xfId="966"/>
    <cellStyle name="4_7 noi 48 goi C5 9 vi na" xfId="967"/>
    <cellStyle name="4_Book1" xfId="968"/>
    <cellStyle name="4_Book1_1" xfId="969"/>
    <cellStyle name="4_Cau thuy dien Ban La (Cu Anh)" xfId="970"/>
    <cellStyle name="4_Dtdchinh2397" xfId="971"/>
    <cellStyle name="4_Du toan 558 (Km17+508.12 - Km 22)" xfId="972"/>
    <cellStyle name="4_Gia_VLQL48_duyet " xfId="973"/>
    <cellStyle name="4_KLNM 1303" xfId="974"/>
    <cellStyle name="4_KlQdinhduyet" xfId="975"/>
    <cellStyle name="4_Thong ke cong" xfId="976"/>
    <cellStyle name="4_thong ke giao dan sinh" xfId="977"/>
    <cellStyle name="4_ÿÿÿÿÿ" xfId="978"/>
    <cellStyle name="40% - Accent1 2" xfId="979"/>
    <cellStyle name="40% - Accent1 3" xfId="1890"/>
    <cellStyle name="40% - Accent1 4" xfId="79"/>
    <cellStyle name="40% - Accent2 2" xfId="980"/>
    <cellStyle name="40% - Accent2 3" xfId="1891"/>
    <cellStyle name="40% - Accent2 4" xfId="80"/>
    <cellStyle name="40% - Accent3 2" xfId="981"/>
    <cellStyle name="40% - Accent3 3" xfId="1892"/>
    <cellStyle name="40% - Accent3 4" xfId="81"/>
    <cellStyle name="40% - Accent4 2" xfId="982"/>
    <cellStyle name="40% - Accent4 3" xfId="1893"/>
    <cellStyle name="40% - Accent4 4" xfId="82"/>
    <cellStyle name="40% - Accent5 2" xfId="983"/>
    <cellStyle name="40% - Accent5 3" xfId="1894"/>
    <cellStyle name="40% - Accent5 4" xfId="83"/>
    <cellStyle name="40% - Accent6 2" xfId="984"/>
    <cellStyle name="40% - Accent6 3" xfId="1895"/>
    <cellStyle name="40% - Accent6 4" xfId="84"/>
    <cellStyle name="40% - Nhấn1" xfId="985"/>
    <cellStyle name="40% - Nhấn2" xfId="986"/>
    <cellStyle name="40% - Nhấn3" xfId="987"/>
    <cellStyle name="40% - Nhấn4" xfId="988"/>
    <cellStyle name="40% - Nhấn5" xfId="989"/>
    <cellStyle name="40% - Nhấn6" xfId="990"/>
    <cellStyle name="6" xfId="991"/>
    <cellStyle name="6_Bieu mau ung 2011-Mien Trung-TPCP-11-6" xfId="992"/>
    <cellStyle name="6_Copy of ghep 3 bieu trinh LD BO 28-6 (TPCP)" xfId="993"/>
    <cellStyle name="6_DTDuong dong tien -sua tham tra 2009 - luong 650" xfId="994"/>
    <cellStyle name="6_Nhu cau tam ung NSNN&amp;TPCP&amp;ODA theo tieu chi cua Bo (CV410_BKH-TH)_vung Tay Nguyen (11.6.2010)" xfId="995"/>
    <cellStyle name="60% - Accent1 2" xfId="996"/>
    <cellStyle name="60% - Accent1 3" xfId="1896"/>
    <cellStyle name="60% - Accent1 4" xfId="85"/>
    <cellStyle name="60% - Accent2 2" xfId="997"/>
    <cellStyle name="60% - Accent2 3" xfId="1897"/>
    <cellStyle name="60% - Accent2 4" xfId="86"/>
    <cellStyle name="60% - Accent3 2" xfId="998"/>
    <cellStyle name="60% - Accent3 3" xfId="1898"/>
    <cellStyle name="60% - Accent3 4" xfId="87"/>
    <cellStyle name="60% - Accent4 2" xfId="999"/>
    <cellStyle name="60% - Accent4 3" xfId="1899"/>
    <cellStyle name="60% - Accent4 4" xfId="88"/>
    <cellStyle name="60% - Accent5 2" xfId="1000"/>
    <cellStyle name="60% - Accent5 3" xfId="1900"/>
    <cellStyle name="60% - Accent5 4" xfId="89"/>
    <cellStyle name="60% - Accent6 2" xfId="1001"/>
    <cellStyle name="60% - Accent6 3" xfId="1901"/>
    <cellStyle name="60% - Accent6 4" xfId="90"/>
    <cellStyle name="60% - Nhấn1" xfId="1002"/>
    <cellStyle name="60% - Nhấn2" xfId="1003"/>
    <cellStyle name="60% - Nhấn3" xfId="1004"/>
    <cellStyle name="60% - Nhấn4" xfId="1005"/>
    <cellStyle name="60% - Nhấn5" xfId="1006"/>
    <cellStyle name="60% - Nhấn6" xfId="1007"/>
    <cellStyle name="9" xfId="1008"/>
    <cellStyle name="Accent1 2" xfId="1009"/>
    <cellStyle name="Accent1 3" xfId="1902"/>
    <cellStyle name="Accent1 4" xfId="91"/>
    <cellStyle name="Accent2 2" xfId="1010"/>
    <cellStyle name="Accent2 3" xfId="1903"/>
    <cellStyle name="Accent2 4" xfId="92"/>
    <cellStyle name="Accent3 2" xfId="1011"/>
    <cellStyle name="Accent3 3" xfId="1904"/>
    <cellStyle name="Accent3 4" xfId="93"/>
    <cellStyle name="Accent4 2" xfId="1012"/>
    <cellStyle name="Accent4 3" xfId="1905"/>
    <cellStyle name="Accent4 4" xfId="94"/>
    <cellStyle name="Accent5 2" xfId="1013"/>
    <cellStyle name="Accent5 3" xfId="1906"/>
    <cellStyle name="Accent5 4" xfId="95"/>
    <cellStyle name="Accent6 2" xfId="1014"/>
    <cellStyle name="Accent6 3" xfId="1907"/>
    <cellStyle name="Accent6 4" xfId="96"/>
    <cellStyle name="ÅëÈ­ [0]_      " xfId="1015"/>
    <cellStyle name="AeE­ [0]_INQUIRY ¿?¾÷AßAø " xfId="1016"/>
    <cellStyle name="ÅëÈ­ [0]_L601CPT" xfId="1017"/>
    <cellStyle name="ÅëÈ­_      " xfId="1018"/>
    <cellStyle name="AeE­_INQUIRY ¿?¾÷AßAø " xfId="1019"/>
    <cellStyle name="ÅëÈ­_L601CPT" xfId="1020"/>
    <cellStyle name="args.style" xfId="1021"/>
    <cellStyle name="at" xfId="1022"/>
    <cellStyle name="ÄÞ¸¶ [0]_      " xfId="1023"/>
    <cellStyle name="AÞ¸¶ [0]_INQUIRY ¿?¾÷AßAø " xfId="1024"/>
    <cellStyle name="ÄÞ¸¶ [0]_L601CPT" xfId="1025"/>
    <cellStyle name="ÄÞ¸¶_      " xfId="1026"/>
    <cellStyle name="AÞ¸¶_INQUIRY ¿?¾÷AßAø " xfId="1027"/>
    <cellStyle name="ÄÞ¸¶_L601CPT" xfId="1028"/>
    <cellStyle name="AutoFormat Options" xfId="1029"/>
    <cellStyle name="AutoFormat-Optionen" xfId="97"/>
    <cellStyle name="AutoFormat-Optionen 2" xfId="98"/>
    <cellStyle name="AutoFormat-Optionen 2 2" xfId="4"/>
    <cellStyle name="AutoFormat-Optionen 3" xfId="133"/>
    <cellStyle name="AutoFormat-Optionen_2. Du toan chi tiet nam 2018" xfId="1981"/>
    <cellStyle name="Bad 2" xfId="1030"/>
    <cellStyle name="Bad 3" xfId="1908"/>
    <cellStyle name="Bad 4" xfId="99"/>
    <cellStyle name="Body" xfId="1031"/>
    <cellStyle name="C?AØ_¿?¾÷CoE² " xfId="1032"/>
    <cellStyle name="C~1" xfId="1033"/>
    <cellStyle name="Ç¥ÁØ_      " xfId="1034"/>
    <cellStyle name="C￥AØ_¿μ¾÷CoE² " xfId="1035"/>
    <cellStyle name="Ç¥ÁØ_±¸¹Ì´ëÃ¥" xfId="1036"/>
    <cellStyle name="C￥AØ_Sheet1_¿μ¾÷CoE² " xfId="1037"/>
    <cellStyle name="Ç¥ÁØ_ÿÿÿÿÿÿ_4_ÃÑÇÕ°è " xfId="1038"/>
    <cellStyle name="Calc Currency (0)" xfId="1039"/>
    <cellStyle name="Calc Currency (2)" xfId="1040"/>
    <cellStyle name="Calc Percent (0)" xfId="1041"/>
    <cellStyle name="Calc Percent (1)" xfId="1042"/>
    <cellStyle name="Calc Percent (2)" xfId="1043"/>
    <cellStyle name="Calc Units (0)" xfId="1044"/>
    <cellStyle name="Calc Units (1)" xfId="1045"/>
    <cellStyle name="Calc Units (2)" xfId="1046"/>
    <cellStyle name="Calculation 2" xfId="1047"/>
    <cellStyle name="Calculation 2 2" xfId="2114"/>
    <cellStyle name="Calculation 2 2 2" xfId="2115"/>
    <cellStyle name="Calculation 2 3" xfId="2116"/>
    <cellStyle name="Calculation 3" xfId="1909"/>
    <cellStyle name="Calculation 3 2" xfId="2117"/>
    <cellStyle name="Calculation 4" xfId="100"/>
    <cellStyle name="category" xfId="1048"/>
    <cellStyle name="Cerrency_Sheet2_XANGDAU" xfId="1049"/>
    <cellStyle name="Check Cell 2" xfId="1050"/>
    <cellStyle name="Check Cell 3" xfId="1910"/>
    <cellStyle name="Check Cell 4" xfId="101"/>
    <cellStyle name="Chi phÝ kh¸c_Book1" xfId="1051"/>
    <cellStyle name="chu" xfId="1052"/>
    <cellStyle name="CHUONG" xfId="1053"/>
    <cellStyle name="CHUONG 2" xfId="2127"/>
    <cellStyle name="CHUONG 2 2" xfId="2128"/>
    <cellStyle name="CHUONG 3" xfId="2129"/>
    <cellStyle name="Co?ma_Sheet1" xfId="1054"/>
    <cellStyle name="Comma" xfId="20" builtinId="3"/>
    <cellStyle name="Comma  - Style1" xfId="1055"/>
    <cellStyle name="Comma  - Style2" xfId="1056"/>
    <cellStyle name="Comma  - Style3" xfId="1057"/>
    <cellStyle name="Comma  - Style4" xfId="1058"/>
    <cellStyle name="Comma  - Style5" xfId="1059"/>
    <cellStyle name="Comma  - Style6" xfId="1060"/>
    <cellStyle name="Comma  - Style7" xfId="1061"/>
    <cellStyle name="Comma  - Style8" xfId="1062"/>
    <cellStyle name="Comma [0] 2" xfId="1063"/>
    <cellStyle name="Comma [0] 3" xfId="1064"/>
    <cellStyle name="Comma [0] 4" xfId="1065"/>
    <cellStyle name="Comma [0] 5" xfId="1066"/>
    <cellStyle name="Comma [00]" xfId="1067"/>
    <cellStyle name="Comma 10" xfId="6"/>
    <cellStyle name="Comma 10 10" xfId="1952"/>
    <cellStyle name="Comma 10 2" xfId="1"/>
    <cellStyle name="Comma 10 2 2" xfId="1876"/>
    <cellStyle name="Comma 10 3" xfId="12"/>
    <cellStyle name="Comma 10 3 2" xfId="58"/>
    <cellStyle name="Comma 10 4" xfId="56"/>
    <cellStyle name="Comma 11" xfId="134"/>
    <cellStyle name="Comma 12" xfId="135"/>
    <cellStyle name="Comma 13" xfId="136"/>
    <cellStyle name="Comma 14" xfId="11"/>
    <cellStyle name="Comma 14 2" xfId="57"/>
    <cellStyle name="Comma 15" xfId="137"/>
    <cellStyle name="Comma 16" xfId="150"/>
    <cellStyle name="Comma 16 2" xfId="1988"/>
    <cellStyle name="Comma 17" xfId="138"/>
    <cellStyle name="Comma 18" xfId="139"/>
    <cellStyle name="Comma 19" xfId="140"/>
    <cellStyle name="Comma 2" xfId="5"/>
    <cellStyle name="Comma 2 2" xfId="55"/>
    <cellStyle name="Comma 2 2 2" xfId="1068"/>
    <cellStyle name="Comma 2 28" xfId="1953"/>
    <cellStyle name="Comma 2 3" xfId="103"/>
    <cellStyle name="Comma 2 3 2" xfId="1069"/>
    <cellStyle name="Comma 2 3 3" xfId="1983"/>
    <cellStyle name="Comma 2 3 4" xfId="2828"/>
    <cellStyle name="Comma 2 4" xfId="1862"/>
    <cellStyle name="Comma 2 5" xfId="1870"/>
    <cellStyle name="Comma 2 6" xfId="102"/>
    <cellStyle name="Comma 2_bieu 1" xfId="1954"/>
    <cellStyle name="Comma 20" xfId="153"/>
    <cellStyle name="Comma 20 2" xfId="1991"/>
    <cellStyle name="Comma 20 3" xfId="2118"/>
    <cellStyle name="Comma 20 3 2" xfId="40"/>
    <cellStyle name="Comma 20 3 2 2" xfId="52"/>
    <cellStyle name="Comma 20 3 2 2 2" xfId="70"/>
    <cellStyle name="Comma 21" xfId="14"/>
    <cellStyle name="Comma 21 2" xfId="59"/>
    <cellStyle name="Comma 21 2 2" xfId="1999"/>
    <cellStyle name="Comma 21 2 3" xfId="1860"/>
    <cellStyle name="Comma 21 3" xfId="1863"/>
    <cellStyle name="Comma 21 3 2" xfId="2001"/>
    <cellStyle name="Comma 21 4" xfId="1868"/>
    <cellStyle name="Comma 21 4 2" xfId="2006"/>
    <cellStyle name="Comma 21 5" xfId="1874"/>
    <cellStyle name="Comma 21 5 2" xfId="2119"/>
    <cellStyle name="Comma 21 6" xfId="1879"/>
    <cellStyle name="Comma 21 6 2" xfId="2011"/>
    <cellStyle name="Comma 21 7" xfId="1993"/>
    <cellStyle name="Comma 22" xfId="157"/>
    <cellStyle name="Comma 22 2" xfId="1859"/>
    <cellStyle name="Comma 22 2 2 2" xfId="27"/>
    <cellStyle name="Comma 22 2 2 2 2" xfId="37"/>
    <cellStyle name="Comma 22 2 2 2 2 2" xfId="63"/>
    <cellStyle name="Comma 22 2 2 2 3" xfId="61"/>
    <cellStyle name="Comma 22 3" xfId="17"/>
    <cellStyle name="Comma 22 3 2" xfId="60"/>
    <cellStyle name="Comma 22 4" xfId="1995"/>
    <cellStyle name="Comma 23" xfId="3"/>
    <cellStyle name="Comma 23 2" xfId="10"/>
    <cellStyle name="Comma 23 3" xfId="54"/>
    <cellStyle name="Comma 23 4" xfId="158"/>
    <cellStyle name="Comma 24" xfId="1070"/>
    <cellStyle name="Comma 25" xfId="1878"/>
    <cellStyle name="Comma 25 2" xfId="1980"/>
    <cellStyle name="Comma 25 2 2" xfId="2819"/>
    <cellStyle name="Comma 25 2 3" xfId="19"/>
    <cellStyle name="Comma 25 2 3 2" xfId="50"/>
    <cellStyle name="Comma 25 2 3 2 2" xfId="49"/>
    <cellStyle name="Comma 25 2 3 2 2 2" xfId="69"/>
    <cellStyle name="Comma 26" xfId="1880"/>
    <cellStyle name="Comma 26 2" xfId="2013"/>
    <cellStyle name="Comma 27" xfId="1882"/>
    <cellStyle name="Comma 27 2" xfId="2016"/>
    <cellStyle name="Comma 28" xfId="1911"/>
    <cellStyle name="Comma 29" xfId="1912"/>
    <cellStyle name="Comma 3" xfId="44"/>
    <cellStyle name="Comma 3 2" xfId="67"/>
    <cellStyle name="Comma 3 2 2" xfId="1071"/>
    <cellStyle name="Comma 3 3" xfId="26"/>
    <cellStyle name="Comma 3 4" xfId="141"/>
    <cellStyle name="Comma 3_VBPL kiểm toán Đầu tư XDCB 2010" xfId="1072"/>
    <cellStyle name="Comma 30" xfId="1982"/>
    <cellStyle name="Comma 31" xfId="2120"/>
    <cellStyle name="Comma 32" xfId="43"/>
    <cellStyle name="Comma 32 2" xfId="66"/>
    <cellStyle name="Comma 33" xfId="32"/>
    <cellStyle name="Comma 33 2" xfId="36"/>
    <cellStyle name="Comma 33 2 2" xfId="2826"/>
    <cellStyle name="Comma 33 2 2 2" xfId="2835"/>
    <cellStyle name="Comma 34" xfId="2821"/>
    <cellStyle name="Comma 35" xfId="35"/>
    <cellStyle name="Comma 35 2" xfId="62"/>
    <cellStyle name="Comma 36" xfId="42"/>
    <cellStyle name="Comma 36 2" xfId="65"/>
    <cellStyle name="Comma 36 3" xfId="2830"/>
    <cellStyle name="Comma 4" xfId="46"/>
    <cellStyle name="Comma 4 2" xfId="68"/>
    <cellStyle name="Comma 4 2 2" xfId="1073"/>
    <cellStyle name="Comma 4 20" xfId="1955"/>
    <cellStyle name="Comma 4 3" xfId="2832"/>
    <cellStyle name="Comma 4 4" xfId="142"/>
    <cellStyle name="Comma 4_Bieu mau KH 2011 (gui Vu DP)" xfId="1074"/>
    <cellStyle name="Comma 5" xfId="71"/>
    <cellStyle name="Comma 5 2" xfId="72"/>
    <cellStyle name="Comma 5 2 2" xfId="2121"/>
    <cellStyle name="Comma 5 3" xfId="143"/>
    <cellStyle name="Comma 6" xfId="144"/>
    <cellStyle name="Comma 6 2" xfId="2122"/>
    <cellStyle name="Comma 7" xfId="145"/>
    <cellStyle name="Comma 8" xfId="104"/>
    <cellStyle name="Comma 8 2" xfId="146"/>
    <cellStyle name="Comma 9" xfId="147"/>
    <cellStyle name="comma zerodec" xfId="1075"/>
    <cellStyle name="Comma_DT 2013 Bieu kem NQ (11-12)" xfId="13"/>
    <cellStyle name="Comma0" xfId="105"/>
    <cellStyle name="Comma0 - Modelo1" xfId="1076"/>
    <cellStyle name="Comma0 - Style1" xfId="1077"/>
    <cellStyle name="Comma0 2" xfId="1078"/>
    <cellStyle name="Comma0 3" xfId="1984"/>
    <cellStyle name="Comma0 4" xfId="2123"/>
    <cellStyle name="Comma0 5" xfId="2124"/>
    <cellStyle name="Comma0_Book1" xfId="1079"/>
    <cellStyle name="Comma1 - Modelo2" xfId="1080"/>
    <cellStyle name="Comma1 - Style2" xfId="1081"/>
    <cellStyle name="cong" xfId="1082"/>
    <cellStyle name="Copied" xfId="1083"/>
    <cellStyle name="Cࡵrrency_Sheet1_PRODUCTĠ" xfId="1084"/>
    <cellStyle name="Currency [00]" xfId="1085"/>
    <cellStyle name="Currency 2" xfId="1086"/>
    <cellStyle name="Currency 3" xfId="1087"/>
    <cellStyle name="Currency0" xfId="106"/>
    <cellStyle name="Currency0 2" xfId="1088"/>
    <cellStyle name="Currency0 2 2" xfId="1089"/>
    <cellStyle name="Currency0 2 3" xfId="1090"/>
    <cellStyle name="Currency0 2 4" xfId="1091"/>
    <cellStyle name="Currency0 2_Khoi cong moi 1" xfId="1092"/>
    <cellStyle name="Currency0 3" xfId="1093"/>
    <cellStyle name="Currency0 4" xfId="1094"/>
    <cellStyle name="Currency0 5" xfId="1985"/>
    <cellStyle name="Currency0 6" xfId="2125"/>
    <cellStyle name="Currency0 7" xfId="2126"/>
    <cellStyle name="Currency0_Book1" xfId="1095"/>
    <cellStyle name="Currency1" xfId="1096"/>
    <cellStyle name="D1" xfId="1097"/>
    <cellStyle name="Date" xfId="107"/>
    <cellStyle name="Date 2" xfId="1098"/>
    <cellStyle name="Date 3" xfId="1986"/>
    <cellStyle name="Date Short" xfId="1099"/>
    <cellStyle name="Date_17 bieu (hung cap nhap)" xfId="1100"/>
    <cellStyle name="Đầu ra" xfId="1101"/>
    <cellStyle name="Đầu ra 2" xfId="2133"/>
    <cellStyle name="Đầu ra 2 2" xfId="2134"/>
    <cellStyle name="Đầu ra 3" xfId="2135"/>
    <cellStyle name="Đầu vào" xfId="1102"/>
    <cellStyle name="Đầu vào 2" xfId="2136"/>
    <cellStyle name="Đầu vào 2 2" xfId="2137"/>
    <cellStyle name="Đầu vào 3" xfId="2138"/>
    <cellStyle name="DAUDE" xfId="1103"/>
    <cellStyle name="Đề mục 1" xfId="1104"/>
    <cellStyle name="Đề mục 2" xfId="1105"/>
    <cellStyle name="Đề mục 3" xfId="1106"/>
    <cellStyle name="Đề mục 4" xfId="1107"/>
    <cellStyle name="Decimal" xfId="1108"/>
    <cellStyle name="Decimal 2" xfId="1109"/>
    <cellStyle name="Decimal 3" xfId="1110"/>
    <cellStyle name="Decimal 4" xfId="1111"/>
    <cellStyle name="DELTA" xfId="1112"/>
    <cellStyle name="Dezimal [0]_35ERI8T2gbIEMixb4v26icuOo" xfId="1113"/>
    <cellStyle name="Dezimal_35ERI8T2gbIEMixb4v26icuOo" xfId="1114"/>
    <cellStyle name="Dg" xfId="1115"/>
    <cellStyle name="Dgia" xfId="1116"/>
    <cellStyle name="Dgia 2" xfId="2130"/>
    <cellStyle name="Dia" xfId="1117"/>
    <cellStyle name="Dollar (zero dec)" xfId="1118"/>
    <cellStyle name="Don gia" xfId="1119"/>
    <cellStyle name="DuToanBXD" xfId="1120"/>
    <cellStyle name="DuToanBXD 2" xfId="2131"/>
    <cellStyle name="DuToanBXD 2 2" xfId="2132"/>
    <cellStyle name="Dziesi?tny [0]_Invoices2001Slovakia" xfId="1121"/>
    <cellStyle name="Dziesi?tny_Invoices2001Slovakia" xfId="1122"/>
    <cellStyle name="Dziesietny [0]_Invoices2001Slovakia" xfId="1123"/>
    <cellStyle name="Dziesiętny [0]_Invoices2001Slovakia" xfId="1124"/>
    <cellStyle name="Dziesietny [0]_Invoices2001Slovakia_01_Nha so 1_Dien" xfId="1125"/>
    <cellStyle name="Dziesiętny [0]_Invoices2001Slovakia_01_Nha so 1_Dien" xfId="1126"/>
    <cellStyle name="Dziesietny [0]_Invoices2001Slovakia_10_Nha so 10_Dien1" xfId="1127"/>
    <cellStyle name="Dziesiętny [0]_Invoices2001Slovakia_10_Nha so 10_Dien1" xfId="1128"/>
    <cellStyle name="Dziesietny [0]_Invoices2001Slovakia_Book1" xfId="1129"/>
    <cellStyle name="Dziesiętny [0]_Invoices2001Slovakia_Book1" xfId="1130"/>
    <cellStyle name="Dziesietny [0]_Invoices2001Slovakia_Book1_1" xfId="1131"/>
    <cellStyle name="Dziesiętny [0]_Invoices2001Slovakia_Book1_1" xfId="1132"/>
    <cellStyle name="Dziesietny [0]_Invoices2001Slovakia_Book1_1_Book1" xfId="1133"/>
    <cellStyle name="Dziesiętny [0]_Invoices2001Slovakia_Book1_1_Book1" xfId="1134"/>
    <cellStyle name="Dziesietny [0]_Invoices2001Slovakia_Book1_2" xfId="1135"/>
    <cellStyle name="Dziesiętny [0]_Invoices2001Slovakia_Book1_2" xfId="1136"/>
    <cellStyle name="Dziesietny [0]_Invoices2001Slovakia_Book1_Nhu cau von ung truoc 2011 Tha h Hoa + Nge An gui TW" xfId="1137"/>
    <cellStyle name="Dziesiętny [0]_Invoices2001Slovakia_Book1_Nhu cau von ung truoc 2011 Tha h Hoa + Nge An gui TW" xfId="1138"/>
    <cellStyle name="Dziesietny [0]_Invoices2001Slovakia_Book1_Tong hop Cac tuyen(9-1-06)" xfId="1139"/>
    <cellStyle name="Dziesiętny [0]_Invoices2001Slovakia_Book1_Tong hop Cac tuyen(9-1-06)" xfId="1140"/>
    <cellStyle name="Dziesietny [0]_Invoices2001Slovakia_Book1_ung 2011 - 11-6-Thanh hoa-Nghe an" xfId="1141"/>
    <cellStyle name="Dziesiętny [0]_Invoices2001Slovakia_Book1_ung 2011 - 11-6-Thanh hoa-Nghe an" xfId="1142"/>
    <cellStyle name="Dziesietny [0]_Invoices2001Slovakia_Book1_ung truoc 2011 NSTW Thanh Hoa + Nge An gui Thu 12-5" xfId="1143"/>
    <cellStyle name="Dziesiętny [0]_Invoices2001Slovakia_Book1_ung truoc 2011 NSTW Thanh Hoa + Nge An gui Thu 12-5" xfId="1144"/>
    <cellStyle name="Dziesietny [0]_Invoices2001Slovakia_d-uong+TDT" xfId="1145"/>
    <cellStyle name="Dziesiętny [0]_Invoices2001Slovakia_Nhµ ®Ó xe" xfId="1146"/>
    <cellStyle name="Dziesietny [0]_Invoices2001Slovakia_Nha bao ve(28-7-05)" xfId="1147"/>
    <cellStyle name="Dziesiętny [0]_Invoices2001Slovakia_Nha bao ve(28-7-05)" xfId="1148"/>
    <cellStyle name="Dziesietny [0]_Invoices2001Slovakia_NHA de xe nguyen du" xfId="1149"/>
    <cellStyle name="Dziesiętny [0]_Invoices2001Slovakia_NHA de xe nguyen du" xfId="1150"/>
    <cellStyle name="Dziesietny [0]_Invoices2001Slovakia_Nhalamviec VTC(25-1-05)" xfId="1151"/>
    <cellStyle name="Dziesiętny [0]_Invoices2001Slovakia_Nhalamviec VTC(25-1-05)" xfId="1152"/>
    <cellStyle name="Dziesietny [0]_Invoices2001Slovakia_Nhu cau von ung truoc 2011 Tha h Hoa + Nge An gui TW" xfId="1153"/>
    <cellStyle name="Dziesiętny [0]_Invoices2001Slovakia_TDT KHANH HOA" xfId="1154"/>
    <cellStyle name="Dziesietny [0]_Invoices2001Slovakia_TDT KHANH HOA_Tong hop Cac tuyen(9-1-06)" xfId="1155"/>
    <cellStyle name="Dziesiętny [0]_Invoices2001Slovakia_TDT KHANH HOA_Tong hop Cac tuyen(9-1-06)" xfId="1156"/>
    <cellStyle name="Dziesietny [0]_Invoices2001Slovakia_TDT quangngai" xfId="1157"/>
    <cellStyle name="Dziesiętny [0]_Invoices2001Slovakia_TDT quangngai" xfId="1158"/>
    <cellStyle name="Dziesietny [0]_Invoices2001Slovakia_TMDT(10-5-06)" xfId="1159"/>
    <cellStyle name="Dziesietny_Invoices2001Slovakia" xfId="1160"/>
    <cellStyle name="Dziesiętny_Invoices2001Slovakia" xfId="1161"/>
    <cellStyle name="Dziesietny_Invoices2001Slovakia_01_Nha so 1_Dien" xfId="1162"/>
    <cellStyle name="Dziesiętny_Invoices2001Slovakia_01_Nha so 1_Dien" xfId="1163"/>
    <cellStyle name="Dziesietny_Invoices2001Slovakia_10_Nha so 10_Dien1" xfId="1164"/>
    <cellStyle name="Dziesiętny_Invoices2001Slovakia_10_Nha so 10_Dien1" xfId="1165"/>
    <cellStyle name="Dziesietny_Invoices2001Slovakia_Book1" xfId="1166"/>
    <cellStyle name="Dziesiętny_Invoices2001Slovakia_Book1" xfId="1167"/>
    <cellStyle name="Dziesietny_Invoices2001Slovakia_Book1_1" xfId="1168"/>
    <cellStyle name="Dziesiętny_Invoices2001Slovakia_Book1_1" xfId="1169"/>
    <cellStyle name="Dziesietny_Invoices2001Slovakia_Book1_1_Book1" xfId="1170"/>
    <cellStyle name="Dziesiętny_Invoices2001Slovakia_Book1_1_Book1" xfId="1171"/>
    <cellStyle name="Dziesietny_Invoices2001Slovakia_Book1_2" xfId="1172"/>
    <cellStyle name="Dziesiętny_Invoices2001Slovakia_Book1_2" xfId="1173"/>
    <cellStyle name="Dziesietny_Invoices2001Slovakia_Book1_Nhu cau von ung truoc 2011 Tha h Hoa + Nge An gui TW" xfId="1174"/>
    <cellStyle name="Dziesiętny_Invoices2001Slovakia_Book1_Nhu cau von ung truoc 2011 Tha h Hoa + Nge An gui TW" xfId="1175"/>
    <cellStyle name="Dziesietny_Invoices2001Slovakia_Book1_Tong hop Cac tuyen(9-1-06)" xfId="1176"/>
    <cellStyle name="Dziesiętny_Invoices2001Slovakia_Book1_Tong hop Cac tuyen(9-1-06)" xfId="1177"/>
    <cellStyle name="Dziesietny_Invoices2001Slovakia_Book1_ung 2011 - 11-6-Thanh hoa-Nghe an" xfId="1178"/>
    <cellStyle name="Dziesiętny_Invoices2001Slovakia_Book1_ung 2011 - 11-6-Thanh hoa-Nghe an" xfId="1179"/>
    <cellStyle name="Dziesietny_Invoices2001Slovakia_Book1_ung truoc 2011 NSTW Thanh Hoa + Nge An gui Thu 12-5" xfId="1180"/>
    <cellStyle name="Dziesiętny_Invoices2001Slovakia_Book1_ung truoc 2011 NSTW Thanh Hoa + Nge An gui Thu 12-5" xfId="1181"/>
    <cellStyle name="Dziesietny_Invoices2001Slovakia_d-uong+TDT" xfId="1182"/>
    <cellStyle name="Dziesiętny_Invoices2001Slovakia_Nhµ ®Ó xe" xfId="1183"/>
    <cellStyle name="Dziesietny_Invoices2001Slovakia_Nha bao ve(28-7-05)" xfId="1184"/>
    <cellStyle name="Dziesiętny_Invoices2001Slovakia_Nha bao ve(28-7-05)" xfId="1185"/>
    <cellStyle name="Dziesietny_Invoices2001Slovakia_NHA de xe nguyen du" xfId="1186"/>
    <cellStyle name="Dziesiętny_Invoices2001Slovakia_NHA de xe nguyen du" xfId="1187"/>
    <cellStyle name="Dziesietny_Invoices2001Slovakia_Nhalamviec VTC(25-1-05)" xfId="1188"/>
    <cellStyle name="Dziesiętny_Invoices2001Slovakia_Nhalamviec VTC(25-1-05)" xfId="1189"/>
    <cellStyle name="Dziesietny_Invoices2001Slovakia_Nhu cau von ung truoc 2011 Tha h Hoa + Nge An gui TW" xfId="1190"/>
    <cellStyle name="Dziesiętny_Invoices2001Slovakia_TDT KHANH HOA" xfId="1191"/>
    <cellStyle name="Dziesietny_Invoices2001Slovakia_TDT KHANH HOA_Tong hop Cac tuyen(9-1-06)" xfId="1192"/>
    <cellStyle name="Dziesiętny_Invoices2001Slovakia_TDT KHANH HOA_Tong hop Cac tuyen(9-1-06)" xfId="1193"/>
    <cellStyle name="Dziesietny_Invoices2001Slovakia_TDT quangngai" xfId="1194"/>
    <cellStyle name="Dziesiętny_Invoices2001Slovakia_TDT quangngai" xfId="1195"/>
    <cellStyle name="Dziesietny_Invoices2001Slovakia_TMDT(10-5-06)" xfId="1196"/>
    <cellStyle name="e" xfId="1197"/>
    <cellStyle name="Encabez1" xfId="1198"/>
    <cellStyle name="Encabez2" xfId="1199"/>
    <cellStyle name="Enter Currency (0)" xfId="1200"/>
    <cellStyle name="Enter Currency (2)" xfId="1201"/>
    <cellStyle name="Enter Units (0)" xfId="1202"/>
    <cellStyle name="Enter Units (1)" xfId="1203"/>
    <cellStyle name="Enter Units (2)" xfId="1204"/>
    <cellStyle name="Entered" xfId="1205"/>
    <cellStyle name="En-tete1" xfId="1206"/>
    <cellStyle name="En-tete1 2" xfId="2139"/>
    <cellStyle name="En-tete1 2 2" xfId="2140"/>
    <cellStyle name="En-tete2" xfId="1207"/>
    <cellStyle name="En-tete2 2" xfId="2141"/>
    <cellStyle name="En-tete2 2 2" xfId="2142"/>
    <cellStyle name="Euro" xfId="1208"/>
    <cellStyle name="Explanatory Text 2" xfId="1209"/>
    <cellStyle name="Explanatory Text 3" xfId="1913"/>
    <cellStyle name="Explanatory Text 4" xfId="108"/>
    <cellStyle name="f" xfId="1210"/>
    <cellStyle name="F2" xfId="1211"/>
    <cellStyle name="F3" xfId="1212"/>
    <cellStyle name="F4" xfId="1213"/>
    <cellStyle name="F5" xfId="1214"/>
    <cellStyle name="F6" xfId="1215"/>
    <cellStyle name="F7" xfId="1216"/>
    <cellStyle name="F8" xfId="1217"/>
    <cellStyle name="Fijo" xfId="1218"/>
    <cellStyle name="Financier" xfId="1219"/>
    <cellStyle name="Financiero" xfId="1220"/>
    <cellStyle name="Fixe" xfId="1221"/>
    <cellStyle name="Fixed" xfId="109"/>
    <cellStyle name="Fixed 2" xfId="1222"/>
    <cellStyle name="Fixed 3" xfId="1987"/>
    <cellStyle name="Font Britannic16" xfId="1223"/>
    <cellStyle name="Font Britannic18" xfId="1224"/>
    <cellStyle name="Font CenturyCond 18" xfId="1225"/>
    <cellStyle name="Font Cond20" xfId="1226"/>
    <cellStyle name="Font LucidaSans16" xfId="1227"/>
    <cellStyle name="Font NewCenturyCond18" xfId="1228"/>
    <cellStyle name="Font Ottawa14" xfId="1229"/>
    <cellStyle name="Font Ottawa14 2" xfId="2143"/>
    <cellStyle name="Font Ottawa14 2 2" xfId="2144"/>
    <cellStyle name="Font Ottawa16" xfId="1230"/>
    <cellStyle name="Formulas" xfId="1231"/>
    <cellStyle name="Formulas 2" xfId="2145"/>
    <cellStyle name="Formulas 2 2" xfId="2146"/>
    <cellStyle name="Ghi chú" xfId="1232"/>
    <cellStyle name="Ghi chú 2" xfId="2147"/>
    <cellStyle name="Ghi chú 2 2" xfId="2148"/>
    <cellStyle name="Ghi chú 3" xfId="2149"/>
    <cellStyle name="gia" xfId="1233"/>
    <cellStyle name="Good 2" xfId="1234"/>
    <cellStyle name="Good 3" xfId="1914"/>
    <cellStyle name="Good 4" xfId="110"/>
    <cellStyle name="Grey" xfId="1235"/>
    <cellStyle name="Group" xfId="1236"/>
    <cellStyle name="H" xfId="1237"/>
    <cellStyle name="ha" xfId="1238"/>
    <cellStyle name="hai" xfId="1956"/>
    <cellStyle name="Head 1" xfId="1239"/>
    <cellStyle name="HEADER" xfId="1240"/>
    <cellStyle name="Header1" xfId="1241"/>
    <cellStyle name="Header2" xfId="1242"/>
    <cellStyle name="Header2 2" xfId="2150"/>
    <cellStyle name="Header2 2 2" xfId="2151"/>
    <cellStyle name="Header2 3" xfId="2152"/>
    <cellStyle name="Heading 1 2" xfId="1243"/>
    <cellStyle name="Heading 1 3" xfId="1244"/>
    <cellStyle name="Heading 1 4" xfId="1915"/>
    <cellStyle name="Heading 1 5" xfId="111"/>
    <cellStyle name="Heading 2 2" xfId="1245"/>
    <cellStyle name="Heading 2 3" xfId="1246"/>
    <cellStyle name="Heading 2 4" xfId="1916"/>
    <cellStyle name="Heading 2 5" xfId="112"/>
    <cellStyle name="Heading 3 2" xfId="1247"/>
    <cellStyle name="Heading 3 3" xfId="1917"/>
    <cellStyle name="Heading 3 4" xfId="113"/>
    <cellStyle name="Heading 4 2" xfId="1248"/>
    <cellStyle name="Heading 4 3" xfId="1918"/>
    <cellStyle name="Heading 4 4" xfId="114"/>
    <cellStyle name="Heading1" xfId="1249"/>
    <cellStyle name="Heading2" xfId="1250"/>
    <cellStyle name="HEADINGS" xfId="1251"/>
    <cellStyle name="HEADINGSTOP" xfId="1252"/>
    <cellStyle name="headoption" xfId="1253"/>
    <cellStyle name="headoption 2" xfId="2153"/>
    <cellStyle name="headoption 2 2" xfId="2154"/>
    <cellStyle name="headoption 3" xfId="2155"/>
    <cellStyle name="hoa" xfId="1254"/>
    <cellStyle name="Hoa-Scholl" xfId="1255"/>
    <cellStyle name="Hoa-Scholl 2" xfId="2156"/>
    <cellStyle name="Hoa-Scholl 2 2" xfId="2157"/>
    <cellStyle name="Hoa-Scholl 3" xfId="2158"/>
    <cellStyle name="HUY" xfId="1256"/>
    <cellStyle name="i phÝ kh¸c_B¶ng 2" xfId="1257"/>
    <cellStyle name="I.3" xfId="1258"/>
    <cellStyle name="i·0" xfId="1259"/>
    <cellStyle name="ï-¾È»ê_BiÓu TB" xfId="1260"/>
    <cellStyle name="Input [yellow]" xfId="1261"/>
    <cellStyle name="Input [yellow] 2" xfId="2159"/>
    <cellStyle name="Input [yellow] 2 2" xfId="2160"/>
    <cellStyle name="Input [yellow] 3" xfId="2161"/>
    <cellStyle name="Input 2" xfId="1262"/>
    <cellStyle name="Input 2 2" xfId="2162"/>
    <cellStyle name="Input 2 2 2" xfId="2163"/>
    <cellStyle name="Input 2 3" xfId="2164"/>
    <cellStyle name="Input 3" xfId="1919"/>
    <cellStyle name="Input 3 2" xfId="2165"/>
    <cellStyle name="Input 4" xfId="1920"/>
    <cellStyle name="Input 4 2" xfId="2166"/>
    <cellStyle name="Input 5" xfId="1921"/>
    <cellStyle name="Input 5 2" xfId="2167"/>
    <cellStyle name="Input 6" xfId="115"/>
    <cellStyle name="k" xfId="1263"/>
    <cellStyle name="k 2" xfId="2168"/>
    <cellStyle name="k 2 2" xfId="2169"/>
    <cellStyle name="k 3" xfId="2170"/>
    <cellStyle name="k_TONG HOP KINH PHI" xfId="1264"/>
    <cellStyle name="k_ÿÿÿÿÿ" xfId="1265"/>
    <cellStyle name="k_ÿÿÿÿÿ_1" xfId="1266"/>
    <cellStyle name="k_ÿÿÿÿÿ_2" xfId="1267"/>
    <cellStyle name="kh¸c_Bang Chi tieu" xfId="1268"/>
    <cellStyle name="khanh" xfId="1269"/>
    <cellStyle name="khoa2" xfId="1270"/>
    <cellStyle name="khoa2 2" xfId="2171"/>
    <cellStyle name="khoa2 2 2" xfId="2172"/>
    <cellStyle name="khoa2 3" xfId="2173"/>
    <cellStyle name="khung" xfId="1271"/>
    <cellStyle name="khung 2" xfId="2174"/>
    <cellStyle name="khung 2 2" xfId="2175"/>
    <cellStyle name="khung 3" xfId="2176"/>
    <cellStyle name="Kiểm tra Ô" xfId="1272"/>
    <cellStyle name="KL" xfId="1273"/>
    <cellStyle name="LAS - XD 354" xfId="1274"/>
    <cellStyle name="LAS - XD 354 2" xfId="1996"/>
    <cellStyle name="Ledger 17 x 11 in" xfId="1275"/>
    <cellStyle name="Ledger 17 x 11 in 2" xfId="1957"/>
    <cellStyle name="Ledger 17 x 11 in 3" xfId="1958"/>
    <cellStyle name="Ledger 17 x 11 in_bieu 1" xfId="1959"/>
    <cellStyle name="left" xfId="1276"/>
    <cellStyle name="Line" xfId="1277"/>
    <cellStyle name="Link Currency (0)" xfId="1278"/>
    <cellStyle name="Link Currency (2)" xfId="1279"/>
    <cellStyle name="Link Units (0)" xfId="1280"/>
    <cellStyle name="Link Units (1)" xfId="1281"/>
    <cellStyle name="Link Units (2)" xfId="1282"/>
    <cellStyle name="Linked Cell 2" xfId="1283"/>
    <cellStyle name="Linked Cell 3" xfId="1922"/>
    <cellStyle name="Linked Cell 4" xfId="116"/>
    <cellStyle name="MAU" xfId="1284"/>
    <cellStyle name="Migliaia (0)_CALPREZZ" xfId="1285"/>
    <cellStyle name="Migliaia_ PESO ELETTR." xfId="1286"/>
    <cellStyle name="Millares [0]_10 AVERIAS MASIVAS + ANT" xfId="1287"/>
    <cellStyle name="Millares_Well Timing" xfId="1288"/>
    <cellStyle name="Milliers [0]_      " xfId="1289"/>
    <cellStyle name="Milliers_      " xfId="1290"/>
    <cellStyle name="Model" xfId="1291"/>
    <cellStyle name="moi" xfId="1292"/>
    <cellStyle name="Moneda [0]_Well Timing" xfId="1293"/>
    <cellStyle name="Moneda_Well Timing" xfId="1294"/>
    <cellStyle name="Monetaire" xfId="1295"/>
    <cellStyle name="Monétaire [0]_      " xfId="1296"/>
    <cellStyle name="Monetaire 2" xfId="2177"/>
    <cellStyle name="Monetaire 2 2" xfId="2178"/>
    <cellStyle name="Monetaire 3" xfId="2179"/>
    <cellStyle name="Monetaire 3 2" xfId="2180"/>
    <cellStyle name="Monétaire_      " xfId="1297"/>
    <cellStyle name="n" xfId="1298"/>
    <cellStyle name="n_17 bieu (hung cap nhap)" xfId="1299"/>
    <cellStyle name="n_Bao cao doan cong tac cua Bo thang 4-2010" xfId="1300"/>
    <cellStyle name="n_goi 4 - qt" xfId="1301"/>
    <cellStyle name="n_VBPL kiểm toán Đầu tư XDCB 2010" xfId="1302"/>
    <cellStyle name="Neutral 2" xfId="1303"/>
    <cellStyle name="Neutral 3" xfId="1923"/>
    <cellStyle name="Neutral 4" xfId="117"/>
    <cellStyle name="New" xfId="1304"/>
    <cellStyle name="New 2" xfId="2181"/>
    <cellStyle name="New Times Roman" xfId="1305"/>
    <cellStyle name="nga" xfId="1306"/>
    <cellStyle name="Nhấn1" xfId="1307"/>
    <cellStyle name="Nhấn2" xfId="1308"/>
    <cellStyle name="Nhấn3" xfId="1309"/>
    <cellStyle name="Nhấn4" xfId="1310"/>
    <cellStyle name="Nhấn5" xfId="1311"/>
    <cellStyle name="Nhấn6" xfId="1312"/>
    <cellStyle name="no dec" xfId="1313"/>
    <cellStyle name="ÑONVÒ" xfId="1314"/>
    <cellStyle name="ÑONVÒ 2" xfId="2182"/>
    <cellStyle name="Normal" xfId="0" builtinId="0"/>
    <cellStyle name="Normal - ??1" xfId="1315"/>
    <cellStyle name="Normal - Style1" xfId="1316"/>
    <cellStyle name="Normal - Style1 2" xfId="1317"/>
    <cellStyle name="Normal - Style1 2 2" xfId="1318"/>
    <cellStyle name="Normal - Style1 2 3" xfId="1319"/>
    <cellStyle name="Normal - Style1 2 4" xfId="1320"/>
    <cellStyle name="Normal - Style1 2_Khoi cong moi 1" xfId="1321"/>
    <cellStyle name="Normal - Style1 3" xfId="1322"/>
    <cellStyle name="Normal - Style1 3 2" xfId="2183"/>
    <cellStyle name="Normal - Style1 3 2 2" xfId="2184"/>
    <cellStyle name="Normal - Style1 4" xfId="1323"/>
    <cellStyle name="Normal - Style1 4 2" xfId="2185"/>
    <cellStyle name="Normal - Style1 4 2 2" xfId="2186"/>
    <cellStyle name="Normal - Style1 5" xfId="2187"/>
    <cellStyle name="Normal - Style1 5 2" xfId="2188"/>
    <cellStyle name="Normal - Style1 6" xfId="2189"/>
    <cellStyle name="Normal - Style1 6 2" xfId="2190"/>
    <cellStyle name="Normal - Style1_Bao cao kiem toan kh 2010" xfId="1324"/>
    <cellStyle name="Normal - 유형1" xfId="1325"/>
    <cellStyle name="Normal 10" xfId="2"/>
    <cellStyle name="Normal 10 2" xfId="53"/>
    <cellStyle name="Normal 10 2 2" xfId="2191"/>
    <cellStyle name="Normal 10 3" xfId="159"/>
    <cellStyle name="Normal 11" xfId="1326"/>
    <cellStyle name="Normal 12" xfId="28"/>
    <cellStyle name="Normal 12 2" xfId="1960"/>
    <cellStyle name="Normal 12 2 2" xfId="2017"/>
    <cellStyle name="Normal 12 2 3" xfId="2831"/>
    <cellStyle name="Normal 12 3" xfId="34"/>
    <cellStyle name="Normal 12 3 2" xfId="2827"/>
    <cellStyle name="Normal 12 3 2 2" xfId="2836"/>
    <cellStyle name="Normal 12 3 3" xfId="2834"/>
    <cellStyle name="Normal 13" xfId="1327"/>
    <cellStyle name="Normal 13 2" xfId="1924"/>
    <cellStyle name="Normal 14" xfId="1328"/>
    <cellStyle name="Normal 14 2" xfId="1997"/>
    <cellStyle name="Normal 15" xfId="1861"/>
    <cellStyle name="Normal 15 2" xfId="2000"/>
    <cellStyle name="Normal 16" xfId="1865"/>
    <cellStyle name="Normal 16 2" xfId="2003"/>
    <cellStyle name="Normal 17" xfId="1866"/>
    <cellStyle name="Normal 17 2" xfId="2004"/>
    <cellStyle name="Normal 18" xfId="1867"/>
    <cellStyle name="Normal 18 2" xfId="2005"/>
    <cellStyle name="Normal 19" xfId="1871"/>
    <cellStyle name="Normal 19 2" xfId="2008"/>
    <cellStyle name="Normal 2" xfId="45"/>
    <cellStyle name="Normal 2 2" xfId="119"/>
    <cellStyle name="Normal 2 3" xfId="154"/>
    <cellStyle name="Normal 2 3 2" xfId="30"/>
    <cellStyle name="Normal 2 3 3" xfId="2192"/>
    <cellStyle name="Normal 2 4" xfId="1883"/>
    <cellStyle name="Normal 2 5" xfId="2833"/>
    <cellStyle name="Normal 2 6" xfId="118"/>
    <cellStyle name="Normal 2_160507 Bieu mau NSDP ND sua ND73" xfId="1961"/>
    <cellStyle name="Normal 20" xfId="1872"/>
    <cellStyle name="Normal 20 2" xfId="2009"/>
    <cellStyle name="Normal 21" xfId="1873"/>
    <cellStyle name="Normal 21 2" xfId="2010"/>
    <cellStyle name="Normal 22" xfId="1877"/>
    <cellStyle name="Normal 22 2" xfId="1979"/>
    <cellStyle name="Normal 22 2 2" xfId="18"/>
    <cellStyle name="Normal 22 2 2 2" xfId="51"/>
    <cellStyle name="Normal 23" xfId="1881"/>
    <cellStyle name="Normal 23 2" xfId="2014"/>
    <cellStyle name="Normal 24" xfId="31"/>
    <cellStyle name="Normal 24 2" xfId="2015"/>
    <cellStyle name="Normal 24 3" xfId="2823"/>
    <cellStyle name="Normal 24 4" xfId="33"/>
    <cellStyle name="Normal 25" xfId="1925"/>
    <cellStyle name="Normal 26" xfId="1926"/>
    <cellStyle name="Normal 27" xfId="1962"/>
    <cellStyle name="Normal 28" xfId="1963"/>
    <cellStyle name="Normal 29" xfId="1964"/>
    <cellStyle name="Normal 3" xfId="148"/>
    <cellStyle name="Normal 3 2" xfId="1329"/>
    <cellStyle name="Normal 3 4" xfId="120"/>
    <cellStyle name="Normal 3_17 bieu (hung cap nhap)" xfId="1330"/>
    <cellStyle name="Normal 30" xfId="1965"/>
    <cellStyle name="Normal 31" xfId="1966"/>
    <cellStyle name="Normal 32" xfId="1967"/>
    <cellStyle name="Normal 33" xfId="2193"/>
    <cellStyle name="Normal 33 2" xfId="2194"/>
    <cellStyle name="Normal 33 2 2" xfId="2195"/>
    <cellStyle name="Normal 33 3" xfId="2196"/>
    <cellStyle name="Normal 33 4" xfId="2197"/>
    <cellStyle name="Normal 34" xfId="2198"/>
    <cellStyle name="Normal 35" xfId="2199"/>
    <cellStyle name="Normal 36" xfId="2200"/>
    <cellStyle name="Normal 37" xfId="2818"/>
    <cellStyle name="Normal 38" xfId="2820"/>
    <cellStyle name="Normal 38 2" xfId="29"/>
    <cellStyle name="Normal 38 2 2" xfId="47"/>
    <cellStyle name="Normal 38 2 2 2" xfId="2829"/>
    <cellStyle name="Normal 39" xfId="2822"/>
    <cellStyle name="Normal 4" xfId="24"/>
    <cellStyle name="Normal 4 2" xfId="1331"/>
    <cellStyle name="Normal 4 3" xfId="121"/>
    <cellStyle name="Normal 4_160513 Bieu mau NSDP ND sua ND73" xfId="1968"/>
    <cellStyle name="Normal 40" xfId="2824"/>
    <cellStyle name="Normal 40 2" xfId="2825"/>
    <cellStyle name="Normal 41" xfId="23"/>
    <cellStyle name="Normal 41 2" xfId="41"/>
    <cellStyle name="Normal 41 2 2" xfId="64"/>
    <cellStyle name="Normal 41 3" xfId="2837"/>
    <cellStyle name="Normal 5" xfId="8"/>
    <cellStyle name="Normal 5 2" xfId="1332"/>
    <cellStyle name="Normal 5 3" xfId="25"/>
    <cellStyle name="Normal 5_Book1" xfId="1333"/>
    <cellStyle name="Normal 6" xfId="151"/>
    <cellStyle name="Normal 6 2" xfId="1334"/>
    <cellStyle name="Normal 6 3" xfId="1335"/>
    <cellStyle name="Normal 6 3 2" xfId="1998"/>
    <cellStyle name="Normal 6 4" xfId="1864"/>
    <cellStyle name="Normal 6 4 2" xfId="2002"/>
    <cellStyle name="Normal 6 5" xfId="1869"/>
    <cellStyle name="Normal 6 5 2" xfId="2007"/>
    <cellStyle name="Normal 6 6" xfId="1875"/>
    <cellStyle name="Normal 6 6 2" xfId="2201"/>
    <cellStyle name="Normal 6 7" xfId="1989"/>
    <cellStyle name="Normal 6 8" xfId="2202"/>
    <cellStyle name="Normal 6_Bieu mau KH 2011 (gui Vu DP)" xfId="1336"/>
    <cellStyle name="Normal 7" xfId="152"/>
    <cellStyle name="Normal 7 2" xfId="1990"/>
    <cellStyle name="Normal 7 3" xfId="2203"/>
    <cellStyle name="Normal 8" xfId="155"/>
    <cellStyle name="Normal 8 2" xfId="1992"/>
    <cellStyle name="Normal 8 3" xfId="2204"/>
    <cellStyle name="Normal 9" xfId="156"/>
    <cellStyle name="Normal 9 2" xfId="16"/>
    <cellStyle name="Normal 9 2 2" xfId="2012"/>
    <cellStyle name="Normal 9 2 2 2" xfId="38"/>
    <cellStyle name="Normal 9 3" xfId="122"/>
    <cellStyle name="Normal 9 4" xfId="1994"/>
    <cellStyle name="Normal 9_BieuHD2016-2020Tquang2(OK)" xfId="1969"/>
    <cellStyle name="Normal_BANG TH 09 DAI TNVN - TP HN" xfId="21"/>
    <cellStyle name="Normal_Bieu so 2(DPsua)" xfId="22"/>
    <cellStyle name="Normal_DT thu 2008-phi" xfId="39"/>
    <cellStyle name="Normal_Ket qua thao luan DT NSH 2002" xfId="15"/>
    <cellStyle name="Normal_Sheet1" xfId="7"/>
    <cellStyle name="Normal1" xfId="1337"/>
    <cellStyle name="Normal8" xfId="1338"/>
    <cellStyle name="NORMAL-ADB" xfId="1339"/>
    <cellStyle name="Normale_ PESO ELETTR." xfId="1340"/>
    <cellStyle name="Normalny_Cennik obowiazuje od 06-08-2001 r (1)" xfId="1341"/>
    <cellStyle name="Note 2" xfId="1342"/>
    <cellStyle name="Note 2 2" xfId="2205"/>
    <cellStyle name="Note 2 2 2" xfId="2206"/>
    <cellStyle name="Note 2 3" xfId="2207"/>
    <cellStyle name="Note 3" xfId="1927"/>
    <cellStyle name="Note 3 2" xfId="2208"/>
    <cellStyle name="Note 4" xfId="123"/>
    <cellStyle name="NWM" xfId="1343"/>
    <cellStyle name="Ô Được nối kết" xfId="1344"/>
    <cellStyle name="Ò_x000d_Normal_123569" xfId="1345"/>
    <cellStyle name="Œ…‹æØ‚è [0.00]_††††† " xfId="1346"/>
    <cellStyle name="Œ…‹æØ‚è_††††† " xfId="1347"/>
    <cellStyle name="oft Excel]_x000d__x000a_Comment=open=/f ‚ðw’è‚·‚é‚ÆAƒ†[ƒU[’è‹`ŠÖ”‚ðŠÖ”“\‚è•t‚¯‚Ìˆê——‚É“o˜^‚·‚é‚±‚Æ‚ª‚Å‚«‚Ü‚·B_x000d__x000a_Maximized" xfId="1348"/>
    <cellStyle name="oft Excel]_x000d__x000a_Comment=open=/f ‚ðŽw’è‚·‚é‚ÆAƒ†[ƒU[’è‹`ŠÖ”‚ðŠÖ”“\‚è•t‚¯‚Ìˆê——‚É“o˜^‚·‚é‚±‚Æ‚ª‚Å‚«‚Ü‚·B_x000d__x000a_Maximized" xfId="1349"/>
    <cellStyle name="oft Excel]_x000d__x000a_Comment=The open=/f lines load custom functions into the Paste Function list._x000d__x000a_Maximized=2_x000d__x000a_Basics=1_x000d__x000a_A" xfId="1350"/>
    <cellStyle name="oft Excel]_x000d__x000a_Comment=The open=/f lines load custom functions into the Paste Function list._x000d__x000a_Maximized=3_x000d__x000a_Basics=1_x000d__x000a_A" xfId="1351"/>
    <cellStyle name="omma [0]_Mktg Prog" xfId="1352"/>
    <cellStyle name="ormal_Sheet1_1" xfId="1353"/>
    <cellStyle name="Output 2" xfId="1354"/>
    <cellStyle name="Output 2 2" xfId="2209"/>
    <cellStyle name="Output 2 2 2" xfId="2210"/>
    <cellStyle name="Output 2 3" xfId="2211"/>
    <cellStyle name="Output 3" xfId="1928"/>
    <cellStyle name="Output 3 2" xfId="2212"/>
    <cellStyle name="Output 4" xfId="124"/>
    <cellStyle name="p" xfId="1355"/>
    <cellStyle name="paint" xfId="1356"/>
    <cellStyle name="Pattern" xfId="1357"/>
    <cellStyle name="per.style" xfId="1358"/>
    <cellStyle name="Percent" xfId="48" builtinId="5"/>
    <cellStyle name="Percent [0]" xfId="1359"/>
    <cellStyle name="Percent [00]" xfId="1360"/>
    <cellStyle name="Percent [2]" xfId="1361"/>
    <cellStyle name="Percent 10" xfId="1970"/>
    <cellStyle name="Percent 2" xfId="9"/>
    <cellStyle name="Percent 2 2" xfId="2213"/>
    <cellStyle name="Percent 2 3" xfId="149"/>
    <cellStyle name="Percent 3" xfId="1362"/>
    <cellStyle name="Percent 4" xfId="1929"/>
    <cellStyle name="Percent 5" xfId="1930"/>
    <cellStyle name="Percent 6" xfId="1931"/>
    <cellStyle name="PERCENTAGE" xfId="1363"/>
    <cellStyle name="PHONG" xfId="1364"/>
    <cellStyle name="Pourcentage" xfId="1365"/>
    <cellStyle name="Pourcentage 2" xfId="2214"/>
    <cellStyle name="Pourcentage 2 2" xfId="2215"/>
    <cellStyle name="PrePop Currency (0)" xfId="1366"/>
    <cellStyle name="PrePop Currency (2)" xfId="1367"/>
    <cellStyle name="PrePop Units (0)" xfId="1368"/>
    <cellStyle name="PrePop Units (1)" xfId="1369"/>
    <cellStyle name="PrePop Units (2)" xfId="1370"/>
    <cellStyle name="pricing" xfId="1371"/>
    <cellStyle name="PSChar" xfId="1372"/>
    <cellStyle name="PSHeading" xfId="1373"/>
    <cellStyle name="regstoresfromspecstores" xfId="1374"/>
    <cellStyle name="RevList" xfId="1375"/>
    <cellStyle name="rlink_tiªn l­în_x001b_Hyperlink_TONG HOP KINH PHI" xfId="1376"/>
    <cellStyle name="rmal_ADAdot" xfId="1377"/>
    <cellStyle name="S—_x0008_" xfId="1378"/>
    <cellStyle name="s]_x000d__x000a_spooler=yes_x000d__x000a_load=_x000d__x000a_Beep=yes_x000d__x000a_NullPort=None_x000d__x000a_BorderWidth=3_x000d__x000a_CursorBlinkRate=1200_x000d__x000a_DoubleClickSpeed=452_x000d__x000a_Programs=co" xfId="1379"/>
    <cellStyle name="SAPBEXaggData" xfId="1380"/>
    <cellStyle name="SAPBEXaggData 2" xfId="2216"/>
    <cellStyle name="SAPBEXaggData 2 2" xfId="2217"/>
    <cellStyle name="SAPBEXaggData 3" xfId="2218"/>
    <cellStyle name="SAPBEXaggDataEmph" xfId="1381"/>
    <cellStyle name="SAPBEXaggDataEmph 2" xfId="2219"/>
    <cellStyle name="SAPBEXaggDataEmph 2 2" xfId="2220"/>
    <cellStyle name="SAPBEXaggDataEmph 3" xfId="2221"/>
    <cellStyle name="SAPBEXaggItem" xfId="1382"/>
    <cellStyle name="SAPBEXaggItem 2" xfId="2222"/>
    <cellStyle name="SAPBEXaggItem 2 2" xfId="2223"/>
    <cellStyle name="SAPBEXaggItem 3" xfId="2224"/>
    <cellStyle name="SAPBEXchaText" xfId="1383"/>
    <cellStyle name="SAPBEXexcBad7" xfId="1384"/>
    <cellStyle name="SAPBEXexcBad7 2" xfId="2225"/>
    <cellStyle name="SAPBEXexcBad7 2 2" xfId="2226"/>
    <cellStyle name="SAPBEXexcBad7 3" xfId="2227"/>
    <cellStyle name="SAPBEXexcBad8" xfId="1385"/>
    <cellStyle name="SAPBEXexcBad8 2" xfId="2228"/>
    <cellStyle name="SAPBEXexcBad8 2 2" xfId="2229"/>
    <cellStyle name="SAPBEXexcBad8 3" xfId="2230"/>
    <cellStyle name="SAPBEXexcBad9" xfId="1386"/>
    <cellStyle name="SAPBEXexcBad9 2" xfId="2231"/>
    <cellStyle name="SAPBEXexcBad9 2 2" xfId="2232"/>
    <cellStyle name="SAPBEXexcBad9 3" xfId="2233"/>
    <cellStyle name="SAPBEXexcCritical4" xfId="1387"/>
    <cellStyle name="SAPBEXexcCritical4 2" xfId="2234"/>
    <cellStyle name="SAPBEXexcCritical4 2 2" xfId="2235"/>
    <cellStyle name="SAPBEXexcCritical4 3" xfId="2236"/>
    <cellStyle name="SAPBEXexcCritical5" xfId="1388"/>
    <cellStyle name="SAPBEXexcCritical5 2" xfId="2237"/>
    <cellStyle name="SAPBEXexcCritical5 2 2" xfId="2238"/>
    <cellStyle name="SAPBEXexcCritical5 3" xfId="2239"/>
    <cellStyle name="SAPBEXexcCritical6" xfId="1389"/>
    <cellStyle name="SAPBEXexcCritical6 2" xfId="2240"/>
    <cellStyle name="SAPBEXexcCritical6 2 2" xfId="2241"/>
    <cellStyle name="SAPBEXexcCritical6 3" xfId="2242"/>
    <cellStyle name="SAPBEXexcGood1" xfId="1390"/>
    <cellStyle name="SAPBEXexcGood1 2" xfId="2243"/>
    <cellStyle name="SAPBEXexcGood1 2 2" xfId="2244"/>
    <cellStyle name="SAPBEXexcGood1 3" xfId="2245"/>
    <cellStyle name="SAPBEXexcGood2" xfId="1391"/>
    <cellStyle name="SAPBEXexcGood2 2" xfId="2246"/>
    <cellStyle name="SAPBEXexcGood2 2 2" xfId="2247"/>
    <cellStyle name="SAPBEXexcGood2 3" xfId="2248"/>
    <cellStyle name="SAPBEXexcGood3" xfId="1392"/>
    <cellStyle name="SAPBEXexcGood3 2" xfId="2249"/>
    <cellStyle name="SAPBEXexcGood3 2 2" xfId="2250"/>
    <cellStyle name="SAPBEXexcGood3 3" xfId="2251"/>
    <cellStyle name="SAPBEXfilterDrill" xfId="1393"/>
    <cellStyle name="SAPBEXfilterItem" xfId="1394"/>
    <cellStyle name="SAPBEXfilterText" xfId="1395"/>
    <cellStyle name="SAPBEXformats" xfId="1396"/>
    <cellStyle name="SAPBEXformats 2" xfId="2252"/>
    <cellStyle name="SAPBEXformats 2 2" xfId="2253"/>
    <cellStyle name="SAPBEXformats 3" xfId="2254"/>
    <cellStyle name="SAPBEXheaderItem" xfId="1397"/>
    <cellStyle name="SAPBEXheaderText" xfId="1398"/>
    <cellStyle name="SAPBEXresData" xfId="1399"/>
    <cellStyle name="SAPBEXresData 2" xfId="2255"/>
    <cellStyle name="SAPBEXresData 2 2" xfId="2256"/>
    <cellStyle name="SAPBEXresData 3" xfId="2257"/>
    <cellStyle name="SAPBEXresDataEmph" xfId="1400"/>
    <cellStyle name="SAPBEXresDataEmph 2" xfId="2258"/>
    <cellStyle name="SAPBEXresDataEmph 2 2" xfId="2259"/>
    <cellStyle name="SAPBEXresDataEmph 3" xfId="2260"/>
    <cellStyle name="SAPBEXresItem" xfId="1401"/>
    <cellStyle name="SAPBEXresItem 2" xfId="2261"/>
    <cellStyle name="SAPBEXresItem 2 2" xfId="2262"/>
    <cellStyle name="SAPBEXresItem 3" xfId="2263"/>
    <cellStyle name="SAPBEXstdData" xfId="1402"/>
    <cellStyle name="SAPBEXstdData 2" xfId="2264"/>
    <cellStyle name="SAPBEXstdData 2 2" xfId="2265"/>
    <cellStyle name="SAPBEXstdData 3" xfId="2266"/>
    <cellStyle name="SAPBEXstdDataEmph" xfId="1403"/>
    <cellStyle name="SAPBEXstdDataEmph 2" xfId="2267"/>
    <cellStyle name="SAPBEXstdDataEmph 2 2" xfId="2268"/>
    <cellStyle name="SAPBEXstdDataEmph 3" xfId="2269"/>
    <cellStyle name="SAPBEXstdItem" xfId="1404"/>
    <cellStyle name="SAPBEXstdItem 2" xfId="2270"/>
    <cellStyle name="SAPBEXstdItem 2 2" xfId="2271"/>
    <cellStyle name="SAPBEXstdItem 3" xfId="2272"/>
    <cellStyle name="SAPBEXtitle" xfId="1405"/>
    <cellStyle name="SAPBEXtitle 2" xfId="2273"/>
    <cellStyle name="SAPBEXtitle 2 2" xfId="2274"/>
    <cellStyle name="SAPBEXtitle 3" xfId="2275"/>
    <cellStyle name="SAPBEXundefined" xfId="1406"/>
    <cellStyle name="SAPBEXundefined 2" xfId="2276"/>
    <cellStyle name="SAPBEXundefined 2 2" xfId="2277"/>
    <cellStyle name="SAPBEXundefined 3" xfId="2278"/>
    <cellStyle name="serJet 1200 Series PCL 6" xfId="1407"/>
    <cellStyle name="SHADEDSTORES" xfId="1408"/>
    <cellStyle name="SHADEDSTORES 2" xfId="2279"/>
    <cellStyle name="SHADEDSTORES 2 2" xfId="2280"/>
    <cellStyle name="SHADEDSTORES 3" xfId="2281"/>
    <cellStyle name="so" xfId="1409"/>
    <cellStyle name="SO%" xfId="1410"/>
    <cellStyle name="so_Book1" xfId="1411"/>
    <cellStyle name="songuyen" xfId="1412"/>
    <cellStyle name="specstores" xfId="1413"/>
    <cellStyle name="Standard" xfId="1971"/>
    <cellStyle name="Standard 2" xfId="2282"/>
    <cellStyle name="Standard_AAbgleich" xfId="2283"/>
    <cellStyle name="STT" xfId="1414"/>
    <cellStyle name="STTDG" xfId="1415"/>
    <cellStyle name="style" xfId="1972"/>
    <cellStyle name="Style 1" xfId="1416"/>
    <cellStyle name="Style 10" xfId="1417"/>
    <cellStyle name="Style 100" xfId="1418"/>
    <cellStyle name="Style 101" xfId="1419"/>
    <cellStyle name="Style 102" xfId="1420"/>
    <cellStyle name="Style 103" xfId="1421"/>
    <cellStyle name="Style 104" xfId="1422"/>
    <cellStyle name="Style 105" xfId="1423"/>
    <cellStyle name="Style 106" xfId="1424"/>
    <cellStyle name="Style 107" xfId="1425"/>
    <cellStyle name="Style 108" xfId="1426"/>
    <cellStyle name="Style 109" xfId="1427"/>
    <cellStyle name="Style 11" xfId="1428"/>
    <cellStyle name="Style 110" xfId="1429"/>
    <cellStyle name="Style 111" xfId="1430"/>
    <cellStyle name="Style 112" xfId="1431"/>
    <cellStyle name="Style 113" xfId="1432"/>
    <cellStyle name="Style 114" xfId="1433"/>
    <cellStyle name="Style 115" xfId="1434"/>
    <cellStyle name="Style 116" xfId="1435"/>
    <cellStyle name="Style 117" xfId="1436"/>
    <cellStyle name="Style 118" xfId="1437"/>
    <cellStyle name="Style 119" xfId="1438"/>
    <cellStyle name="Style 12" xfId="1439"/>
    <cellStyle name="Style 120" xfId="1440"/>
    <cellStyle name="Style 121" xfId="1441"/>
    <cellStyle name="Style 122" xfId="1442"/>
    <cellStyle name="Style 123" xfId="1443"/>
    <cellStyle name="Style 124" xfId="1444"/>
    <cellStyle name="Style 125" xfId="1445"/>
    <cellStyle name="Style 126" xfId="1446"/>
    <cellStyle name="Style 127" xfId="1447"/>
    <cellStyle name="Style 128" xfId="1448"/>
    <cellStyle name="Style 129" xfId="1449"/>
    <cellStyle name="Style 13" xfId="1450"/>
    <cellStyle name="Style 130" xfId="1451"/>
    <cellStyle name="Style 131" xfId="1452"/>
    <cellStyle name="Style 132" xfId="1453"/>
    <cellStyle name="Style 133" xfId="1454"/>
    <cellStyle name="Style 134" xfId="1455"/>
    <cellStyle name="Style 135" xfId="1456"/>
    <cellStyle name="Style 135 2" xfId="2284"/>
    <cellStyle name="Style 135 2 2" xfId="2285"/>
    <cellStyle name="Style 136" xfId="1457"/>
    <cellStyle name="Style 137" xfId="1458"/>
    <cellStyle name="Style 138" xfId="1459"/>
    <cellStyle name="Style 139" xfId="1460"/>
    <cellStyle name="Style 14" xfId="1461"/>
    <cellStyle name="Style 140" xfId="1462"/>
    <cellStyle name="Style 140 2" xfId="2286"/>
    <cellStyle name="Style 140 2 2" xfId="2287"/>
    <cellStyle name="Style 141" xfId="1463"/>
    <cellStyle name="Style 142" xfId="1464"/>
    <cellStyle name="Style 143" xfId="1465"/>
    <cellStyle name="Style 144" xfId="1466"/>
    <cellStyle name="Style 145" xfId="1467"/>
    <cellStyle name="Style 146" xfId="1468"/>
    <cellStyle name="Style 147" xfId="1469"/>
    <cellStyle name="Style 148" xfId="1470"/>
    <cellStyle name="Style 149" xfId="1471"/>
    <cellStyle name="Style 15" xfId="1472"/>
    <cellStyle name="Style 150" xfId="1473"/>
    <cellStyle name="Style 151" xfId="1474"/>
    <cellStyle name="Style 152" xfId="1475"/>
    <cellStyle name="Style 153" xfId="1476"/>
    <cellStyle name="Style 154" xfId="1477"/>
    <cellStyle name="Style 155" xfId="1478"/>
    <cellStyle name="Style 156" xfId="1479"/>
    <cellStyle name="Style 157" xfId="1480"/>
    <cellStyle name="Style 158" xfId="1481"/>
    <cellStyle name="Style 159" xfId="1482"/>
    <cellStyle name="Style 16" xfId="1483"/>
    <cellStyle name="Style 160" xfId="1484"/>
    <cellStyle name="Style 161" xfId="1485"/>
    <cellStyle name="Style 162" xfId="1486"/>
    <cellStyle name="Style 163" xfId="1487"/>
    <cellStyle name="Style 17" xfId="1488"/>
    <cellStyle name="Style 18" xfId="1489"/>
    <cellStyle name="Style 19" xfId="1490"/>
    <cellStyle name="Style 2" xfId="1491"/>
    <cellStyle name="Style 20" xfId="1492"/>
    <cellStyle name="Style 21" xfId="1493"/>
    <cellStyle name="Style 22" xfId="1494"/>
    <cellStyle name="Style 23" xfId="1495"/>
    <cellStyle name="Style 24" xfId="1496"/>
    <cellStyle name="Style 25" xfId="1497"/>
    <cellStyle name="Style 26" xfId="1498"/>
    <cellStyle name="Style 27" xfId="1499"/>
    <cellStyle name="Style 28" xfId="1500"/>
    <cellStyle name="Style 29" xfId="1501"/>
    <cellStyle name="Style 3" xfId="1502"/>
    <cellStyle name="Style 30" xfId="1503"/>
    <cellStyle name="Style 31" xfId="1504"/>
    <cellStyle name="Style 32" xfId="1505"/>
    <cellStyle name="Style 33" xfId="1506"/>
    <cellStyle name="Style 34" xfId="1507"/>
    <cellStyle name="Style 35" xfId="1508"/>
    <cellStyle name="Style 36" xfId="1509"/>
    <cellStyle name="Style 37" xfId="1510"/>
    <cellStyle name="Style 38" xfId="1511"/>
    <cellStyle name="Style 39" xfId="1512"/>
    <cellStyle name="Style 4" xfId="1513"/>
    <cellStyle name="Style 40" xfId="1514"/>
    <cellStyle name="Style 41" xfId="1515"/>
    <cellStyle name="Style 42" xfId="1516"/>
    <cellStyle name="Style 43" xfId="1517"/>
    <cellStyle name="Style 44" xfId="1518"/>
    <cellStyle name="Style 45" xfId="1519"/>
    <cellStyle name="Style 46" xfId="1520"/>
    <cellStyle name="Style 47" xfId="1521"/>
    <cellStyle name="Style 48" xfId="1522"/>
    <cellStyle name="Style 49" xfId="1523"/>
    <cellStyle name="Style 5" xfId="1524"/>
    <cellStyle name="Style 50" xfId="1525"/>
    <cellStyle name="Style 51" xfId="1526"/>
    <cellStyle name="Style 52" xfId="1527"/>
    <cellStyle name="Style 53" xfId="1528"/>
    <cellStyle name="Style 54" xfId="1529"/>
    <cellStyle name="Style 55" xfId="1530"/>
    <cellStyle name="Style 56" xfId="1531"/>
    <cellStyle name="Style 57" xfId="1532"/>
    <cellStyle name="Style 58" xfId="1533"/>
    <cellStyle name="Style 59" xfId="1534"/>
    <cellStyle name="Style 6" xfId="1535"/>
    <cellStyle name="Style 60" xfId="1536"/>
    <cellStyle name="Style 61" xfId="1537"/>
    <cellStyle name="Style 62" xfId="1538"/>
    <cellStyle name="Style 63" xfId="1539"/>
    <cellStyle name="Style 64" xfId="1540"/>
    <cellStyle name="Style 65" xfId="1541"/>
    <cellStyle name="Style 66" xfId="1542"/>
    <cellStyle name="Style 67" xfId="1543"/>
    <cellStyle name="Style 68" xfId="1544"/>
    <cellStyle name="Style 69" xfId="1545"/>
    <cellStyle name="Style 7" xfId="1546"/>
    <cellStyle name="Style 70" xfId="1547"/>
    <cellStyle name="Style 71" xfId="1548"/>
    <cellStyle name="Style 72" xfId="1549"/>
    <cellStyle name="Style 73" xfId="1550"/>
    <cellStyle name="Style 74" xfId="1551"/>
    <cellStyle name="Style 75" xfId="1552"/>
    <cellStyle name="Style 76" xfId="1553"/>
    <cellStyle name="Style 77" xfId="1554"/>
    <cellStyle name="Style 78" xfId="1555"/>
    <cellStyle name="Style 79" xfId="1556"/>
    <cellStyle name="Style 8" xfId="1557"/>
    <cellStyle name="Style 80" xfId="1558"/>
    <cellStyle name="Style 81" xfId="1559"/>
    <cellStyle name="Style 82" xfId="1560"/>
    <cellStyle name="Style 83" xfId="1561"/>
    <cellStyle name="Style 84" xfId="1562"/>
    <cellStyle name="Style 85" xfId="1563"/>
    <cellStyle name="Style 86" xfId="1564"/>
    <cellStyle name="Style 87" xfId="1565"/>
    <cellStyle name="Style 88" xfId="1566"/>
    <cellStyle name="Style 89" xfId="1567"/>
    <cellStyle name="Style 9" xfId="1568"/>
    <cellStyle name="Style 90" xfId="1569"/>
    <cellStyle name="Style 91" xfId="1570"/>
    <cellStyle name="Style 92" xfId="1571"/>
    <cellStyle name="Style 93" xfId="1572"/>
    <cellStyle name="Style 94" xfId="1573"/>
    <cellStyle name="Style 95" xfId="1574"/>
    <cellStyle name="Style 96" xfId="1575"/>
    <cellStyle name="Style 97" xfId="1576"/>
    <cellStyle name="Style 98" xfId="1577"/>
    <cellStyle name="Style 99" xfId="1578"/>
    <cellStyle name="Style Date" xfId="1579"/>
    <cellStyle name="Style Date 2" xfId="2288"/>
    <cellStyle name="Style Date 2 2" xfId="2289"/>
    <cellStyle name="style_1" xfId="1580"/>
    <cellStyle name="subhead" xfId="1581"/>
    <cellStyle name="Subtotal" xfId="1582"/>
    <cellStyle name="symbol" xfId="1583"/>
    <cellStyle name="T" xfId="1584"/>
    <cellStyle name="T 2" xfId="2290"/>
    <cellStyle name="T 2 2" xfId="2291"/>
    <cellStyle name="T 3" xfId="2292"/>
    <cellStyle name="T_50-BB Vung tau 2011" xfId="1973"/>
    <cellStyle name="T_50-BB Vung tau 2011 2" xfId="2293"/>
    <cellStyle name="T_50-BB Vung tau 2011_27-8Tong hop PA uoc 2012-DT 2013 -PA 420.000 ty-490.000 ty chuyen doi" xfId="1974"/>
    <cellStyle name="T_50-BB Vung tau 2011_27-8Tong hop PA uoc 2012-DT 2013 -PA 420.000 ty-490.000 ty chuyen doi 2" xfId="2294"/>
    <cellStyle name="T_BANG LUONG MOI KSDH va KSDC (co phu cap khu vuc)" xfId="1585"/>
    <cellStyle name="T_BANG LUONG MOI KSDH va KSDC (co phu cap khu vuc) 2" xfId="2295"/>
    <cellStyle name="T_BANG LUONG MOI KSDH va KSDC (co phu cap khu vuc) 2 2" xfId="2296"/>
    <cellStyle name="T_BANG LUONG MOI KSDH va KSDC (co phu cap khu vuc) 3" xfId="2297"/>
    <cellStyle name="T_bao cao" xfId="1586"/>
    <cellStyle name="T_bao cao 2" xfId="2298"/>
    <cellStyle name="T_bao cao 2 2" xfId="2299"/>
    <cellStyle name="T_bao cao 3" xfId="2300"/>
    <cellStyle name="T_Bao cao so lieu kiem toan nam 2007 sua" xfId="1587"/>
    <cellStyle name="T_Bao cao so lieu kiem toan nam 2007 sua 2" xfId="2301"/>
    <cellStyle name="T_Bao cao so lieu kiem toan nam 2007 sua 2 2" xfId="2302"/>
    <cellStyle name="T_Bao cao so lieu kiem toan nam 2007 sua 3" xfId="2303"/>
    <cellStyle name="T_BBTNG-06" xfId="1588"/>
    <cellStyle name="T_BBTNG-06 2" xfId="2304"/>
    <cellStyle name="T_BBTNG-06 2 2" xfId="2305"/>
    <cellStyle name="T_BBTNG-06 3" xfId="2306"/>
    <cellStyle name="T_BC CTMT-2008 Ttinh" xfId="1589"/>
    <cellStyle name="T_BC CTMT-2008 Ttinh 2" xfId="2307"/>
    <cellStyle name="T_BC CTMT-2008 Ttinh 2 2" xfId="2308"/>
    <cellStyle name="T_BC CTMT-2008 Ttinh 3" xfId="2309"/>
    <cellStyle name="T_BC CTMT-2008 Ttinh_bieu tong hop" xfId="1590"/>
    <cellStyle name="T_BC CTMT-2008 Ttinh_bieu tong hop 2" xfId="2310"/>
    <cellStyle name="T_BC CTMT-2008 Ttinh_bieu tong hop 2 2" xfId="2311"/>
    <cellStyle name="T_BC CTMT-2008 Ttinh_bieu tong hop 3" xfId="2312"/>
    <cellStyle name="T_BC CTMT-2008 Ttinh_Tong hop ra soat von ung 2011 -Chau" xfId="1591"/>
    <cellStyle name="T_BC CTMT-2008 Ttinh_Tong hop ra soat von ung 2011 -Chau 2" xfId="2313"/>
    <cellStyle name="T_BC CTMT-2008 Ttinh_Tong hop ra soat von ung 2011 -Chau 2 2" xfId="2314"/>
    <cellStyle name="T_BC CTMT-2008 Ttinh_Tong hop ra soat von ung 2011 -Chau 3" xfId="2315"/>
    <cellStyle name="T_BC CTMT-2008 Ttinh_Tong hop -Yte-Giao thong-Thuy loi-24-6" xfId="1592"/>
    <cellStyle name="T_BC CTMT-2008 Ttinh_Tong hop -Yte-Giao thong-Thuy loi-24-6 2" xfId="2316"/>
    <cellStyle name="T_BC CTMT-2008 Ttinh_Tong hop -Yte-Giao thong-Thuy loi-24-6 2 2" xfId="2317"/>
    <cellStyle name="T_BC CTMT-2008 Ttinh_Tong hop -Yte-Giao thong-Thuy loi-24-6 3" xfId="2318"/>
    <cellStyle name="T_Bc_tuan_1_CKy_6_KONTUM" xfId="1593"/>
    <cellStyle name="T_Bc_tuan_1_CKy_6_KONTUM 2" xfId="2319"/>
    <cellStyle name="T_Bc_tuan_1_CKy_6_KONTUM 2 2" xfId="2320"/>
    <cellStyle name="T_Bc_tuan_1_CKy_6_KONTUM 3" xfId="2321"/>
    <cellStyle name="T_Bc_tuan_1_CKy_6_KONTUM_Book1" xfId="1594"/>
    <cellStyle name="T_Bc_tuan_1_CKy_6_KONTUM_Book1 2" xfId="2322"/>
    <cellStyle name="T_Bc_tuan_1_CKy_6_KONTUM_Book1 2 2" xfId="2323"/>
    <cellStyle name="T_Bc_tuan_1_CKy_6_KONTUM_Book1 3" xfId="2324"/>
    <cellStyle name="T_bieu 1" xfId="1975"/>
    <cellStyle name="T_bieu 1 2" xfId="2325"/>
    <cellStyle name="T_bieu 2" xfId="1976"/>
    <cellStyle name="T_bieu 2 2" xfId="2326"/>
    <cellStyle name="T_bieu 4" xfId="1977"/>
    <cellStyle name="T_bieu 4 2" xfId="2327"/>
    <cellStyle name="T_Bieu mau danh muc du an thuoc CTMTQG nam 2008" xfId="1595"/>
    <cellStyle name="T_Bieu mau danh muc du an thuoc CTMTQG nam 2008 2" xfId="2328"/>
    <cellStyle name="T_Bieu mau danh muc du an thuoc CTMTQG nam 2008 2 2" xfId="2329"/>
    <cellStyle name="T_Bieu mau danh muc du an thuoc CTMTQG nam 2008 3" xfId="2330"/>
    <cellStyle name="T_Bieu mau danh muc du an thuoc CTMTQG nam 2008_bieu tong hop" xfId="1596"/>
    <cellStyle name="T_Bieu mau danh muc du an thuoc CTMTQG nam 2008_bieu tong hop 2" xfId="2331"/>
    <cellStyle name="T_Bieu mau danh muc du an thuoc CTMTQG nam 2008_bieu tong hop 2 2" xfId="2332"/>
    <cellStyle name="T_Bieu mau danh muc du an thuoc CTMTQG nam 2008_bieu tong hop 3" xfId="2333"/>
    <cellStyle name="T_Bieu mau danh muc du an thuoc CTMTQG nam 2008_Tong hop ra soat von ung 2011 -Chau" xfId="1597"/>
    <cellStyle name="T_Bieu mau danh muc du an thuoc CTMTQG nam 2008_Tong hop ra soat von ung 2011 -Chau 2" xfId="2334"/>
    <cellStyle name="T_Bieu mau danh muc du an thuoc CTMTQG nam 2008_Tong hop ra soat von ung 2011 -Chau 2 2" xfId="2335"/>
    <cellStyle name="T_Bieu mau danh muc du an thuoc CTMTQG nam 2008_Tong hop ra soat von ung 2011 -Chau 3" xfId="2336"/>
    <cellStyle name="T_Bieu mau danh muc du an thuoc CTMTQG nam 2008_Tong hop -Yte-Giao thong-Thuy loi-24-6" xfId="1598"/>
    <cellStyle name="T_Bieu mau danh muc du an thuoc CTMTQG nam 2008_Tong hop -Yte-Giao thong-Thuy loi-24-6 2" xfId="2337"/>
    <cellStyle name="T_Bieu mau danh muc du an thuoc CTMTQG nam 2008_Tong hop -Yte-Giao thong-Thuy loi-24-6 2 2" xfId="2338"/>
    <cellStyle name="T_Bieu mau danh muc du an thuoc CTMTQG nam 2008_Tong hop -Yte-Giao thong-Thuy loi-24-6 3" xfId="2339"/>
    <cellStyle name="T_Bieu tong hop nhu cau ung 2011 da chon loc -Mien nui" xfId="1599"/>
    <cellStyle name="T_Bieu tong hop nhu cau ung 2011 da chon loc -Mien nui 2" xfId="2340"/>
    <cellStyle name="T_Bieu tong hop nhu cau ung 2011 da chon loc -Mien nui 2 2" xfId="2341"/>
    <cellStyle name="T_Bieu tong hop nhu cau ung 2011 da chon loc -Mien nui 3" xfId="2342"/>
    <cellStyle name="T_Book1" xfId="1600"/>
    <cellStyle name="T_Book1 2" xfId="2343"/>
    <cellStyle name="T_Book1 2 2" xfId="2344"/>
    <cellStyle name="T_Book1 3" xfId="2345"/>
    <cellStyle name="T_Book1_1" xfId="1601"/>
    <cellStyle name="T_Book1_1 2" xfId="2346"/>
    <cellStyle name="T_Book1_1 2 2" xfId="2347"/>
    <cellStyle name="T_Book1_1 3" xfId="2348"/>
    <cellStyle name="T_Book1_1_Bieu mau ung 2011-Mien Trung-TPCP-11-6" xfId="1602"/>
    <cellStyle name="T_Book1_1_Bieu mau ung 2011-Mien Trung-TPCP-11-6 2" xfId="2349"/>
    <cellStyle name="T_Book1_1_Bieu mau ung 2011-Mien Trung-TPCP-11-6 2 2" xfId="2350"/>
    <cellStyle name="T_Book1_1_Bieu mau ung 2011-Mien Trung-TPCP-11-6 3" xfId="2351"/>
    <cellStyle name="T_Book1_1_bieu tong hop" xfId="1603"/>
    <cellStyle name="T_Book1_1_bieu tong hop 2" xfId="2352"/>
    <cellStyle name="T_Book1_1_bieu tong hop 2 2" xfId="2353"/>
    <cellStyle name="T_Book1_1_bieu tong hop 3" xfId="2354"/>
    <cellStyle name="T_Book1_1_Bieu tong hop nhu cau ung 2011 da chon loc -Mien nui" xfId="1604"/>
    <cellStyle name="T_Book1_1_Bieu tong hop nhu cau ung 2011 da chon loc -Mien nui 2" xfId="2355"/>
    <cellStyle name="T_Book1_1_Bieu tong hop nhu cau ung 2011 da chon loc -Mien nui 2 2" xfId="2356"/>
    <cellStyle name="T_Book1_1_Bieu tong hop nhu cau ung 2011 da chon loc -Mien nui 3" xfId="2357"/>
    <cellStyle name="T_Book1_1_Book1" xfId="1605"/>
    <cellStyle name="T_Book1_1_Book1 2" xfId="2358"/>
    <cellStyle name="T_Book1_1_Book1 2 2" xfId="2359"/>
    <cellStyle name="T_Book1_1_Book1 3" xfId="2360"/>
    <cellStyle name="T_Book1_1_CPK" xfId="1606"/>
    <cellStyle name="T_Book1_1_CPK 2" xfId="2361"/>
    <cellStyle name="T_Book1_1_CPK 2 2" xfId="2362"/>
    <cellStyle name="T_Book1_1_CPK 3" xfId="2363"/>
    <cellStyle name="T_Book1_1_Khoi luong cac hang muc chi tiet-702" xfId="1607"/>
    <cellStyle name="T_Book1_1_Khoi luong cac hang muc chi tiet-702 2" xfId="2370"/>
    <cellStyle name="T_Book1_1_Khoi luong cac hang muc chi tiet-702 2 2" xfId="2371"/>
    <cellStyle name="T_Book1_1_Khoi luong cac hang muc chi tiet-702 3" xfId="2372"/>
    <cellStyle name="T_Book1_1_khoiluongbdacdoa" xfId="1608"/>
    <cellStyle name="T_Book1_1_khoiluongbdacdoa 2" xfId="2373"/>
    <cellStyle name="T_Book1_1_khoiluongbdacdoa 2 2" xfId="2374"/>
    <cellStyle name="T_Book1_1_khoiluongbdacdoa 3" xfId="2375"/>
    <cellStyle name="T_Book1_1_KL NT dap nen Dot 3" xfId="1609"/>
    <cellStyle name="T_Book1_1_KL NT dap nen Dot 3 2" xfId="2364"/>
    <cellStyle name="T_Book1_1_KL NT dap nen Dot 3 2 2" xfId="2365"/>
    <cellStyle name="T_Book1_1_KL NT dap nen Dot 3 3" xfId="2366"/>
    <cellStyle name="T_Book1_1_KL NT Dot 3" xfId="1610"/>
    <cellStyle name="T_Book1_1_KL NT Dot 3 2" xfId="2367"/>
    <cellStyle name="T_Book1_1_KL NT Dot 3 2 2" xfId="2368"/>
    <cellStyle name="T_Book1_1_KL NT Dot 3 3" xfId="2369"/>
    <cellStyle name="T_Book1_1_mau KL vach son" xfId="1611"/>
    <cellStyle name="T_Book1_1_mau KL vach son 2" xfId="2376"/>
    <cellStyle name="T_Book1_1_mau KL vach son 2 2" xfId="2377"/>
    <cellStyle name="T_Book1_1_mau KL vach son 3" xfId="2378"/>
    <cellStyle name="T_Book1_1_Nhu cau tam ung NSNN&amp;TPCP&amp;ODA theo tieu chi cua Bo (CV410_BKH-TH)_vung Tay Nguyen (11.6.2010)" xfId="1612"/>
    <cellStyle name="T_Book1_1_Nhu cau tam ung NSNN&amp;TPCP&amp;ODA theo tieu chi cua Bo (CV410_BKH-TH)_vung Tay Nguyen (11.6.2010) 2" xfId="2379"/>
    <cellStyle name="T_Book1_1_Nhu cau tam ung NSNN&amp;TPCP&amp;ODA theo tieu chi cua Bo (CV410_BKH-TH)_vung Tay Nguyen (11.6.2010) 2 2" xfId="2380"/>
    <cellStyle name="T_Book1_1_Nhu cau tam ung NSNN&amp;TPCP&amp;ODA theo tieu chi cua Bo (CV410_BKH-TH)_vung Tay Nguyen (11.6.2010) 3" xfId="2381"/>
    <cellStyle name="T_Book1_1_Thiet bi" xfId="1613"/>
    <cellStyle name="T_Book1_1_Thiet bi 2" xfId="2388"/>
    <cellStyle name="T_Book1_1_Thiet bi 2 2" xfId="2389"/>
    <cellStyle name="T_Book1_1_Thiet bi 3" xfId="2390"/>
    <cellStyle name="T_Book1_1_Thong ke cong" xfId="1614"/>
    <cellStyle name="T_Book1_1_Thong ke cong 2" xfId="2391"/>
    <cellStyle name="T_Book1_1_Thong ke cong 2 2" xfId="2392"/>
    <cellStyle name="T_Book1_1_Thong ke cong 3" xfId="2393"/>
    <cellStyle name="T_Book1_1_Tong hop ra soat von ung 2011 -Chau" xfId="1615"/>
    <cellStyle name="T_Book1_1_Tong hop ra soat von ung 2011 -Chau 2" xfId="2382"/>
    <cellStyle name="T_Book1_1_Tong hop ra soat von ung 2011 -Chau 2 2" xfId="2383"/>
    <cellStyle name="T_Book1_1_Tong hop ra soat von ung 2011 -Chau 3" xfId="2384"/>
    <cellStyle name="T_Book1_1_Tong hop -Yte-Giao thong-Thuy loi-24-6" xfId="1616"/>
    <cellStyle name="T_Book1_1_Tong hop -Yte-Giao thong-Thuy loi-24-6 2" xfId="2385"/>
    <cellStyle name="T_Book1_1_Tong hop -Yte-Giao thong-Thuy loi-24-6 2 2" xfId="2386"/>
    <cellStyle name="T_Book1_1_Tong hop -Yte-Giao thong-Thuy loi-24-6 3" xfId="2387"/>
    <cellStyle name="T_Book1_2" xfId="1617"/>
    <cellStyle name="T_Book1_2 2" xfId="2394"/>
    <cellStyle name="T_Book1_2 2 2" xfId="2395"/>
    <cellStyle name="T_Book1_2 3" xfId="2396"/>
    <cellStyle name="T_Book1_2_DTDuong dong tien -sua tham tra 2009 - luong 650" xfId="1618"/>
    <cellStyle name="T_Book1_2_DTDuong dong tien -sua tham tra 2009 - luong 650 2" xfId="2397"/>
    <cellStyle name="T_Book1_2_DTDuong dong tien -sua tham tra 2009 - luong 650 2 2" xfId="2398"/>
    <cellStyle name="T_Book1_2_DTDuong dong tien -sua tham tra 2009 - luong 650 3" xfId="2399"/>
    <cellStyle name="T_Book1_Bao cao kiem toan kh 2010" xfId="1619"/>
    <cellStyle name="T_Book1_Bao cao kiem toan kh 2010 2" xfId="2400"/>
    <cellStyle name="T_Book1_Bao cao kiem toan kh 2010 2 2" xfId="2401"/>
    <cellStyle name="T_Book1_Bao cao kiem toan kh 2010 3" xfId="2402"/>
    <cellStyle name="T_Book1_Bieu mau danh muc du an thuoc CTMTQG nam 2008" xfId="1620"/>
    <cellStyle name="T_Book1_Bieu mau danh muc du an thuoc CTMTQG nam 2008 2" xfId="2403"/>
    <cellStyle name="T_Book1_Bieu mau danh muc du an thuoc CTMTQG nam 2008 2 2" xfId="2404"/>
    <cellStyle name="T_Book1_Bieu mau danh muc du an thuoc CTMTQG nam 2008 3" xfId="2405"/>
    <cellStyle name="T_Book1_Bieu mau danh muc du an thuoc CTMTQG nam 2008_bieu tong hop" xfId="1621"/>
    <cellStyle name="T_Book1_Bieu mau danh muc du an thuoc CTMTQG nam 2008_bieu tong hop 2" xfId="2406"/>
    <cellStyle name="T_Book1_Bieu mau danh muc du an thuoc CTMTQG nam 2008_bieu tong hop 2 2" xfId="2407"/>
    <cellStyle name="T_Book1_Bieu mau danh muc du an thuoc CTMTQG nam 2008_bieu tong hop 3" xfId="2408"/>
    <cellStyle name="T_Book1_Bieu mau danh muc du an thuoc CTMTQG nam 2008_Tong hop ra soat von ung 2011 -Chau" xfId="1622"/>
    <cellStyle name="T_Book1_Bieu mau danh muc du an thuoc CTMTQG nam 2008_Tong hop ra soat von ung 2011 -Chau 2" xfId="2409"/>
    <cellStyle name="T_Book1_Bieu mau danh muc du an thuoc CTMTQG nam 2008_Tong hop ra soat von ung 2011 -Chau 2 2" xfId="2410"/>
    <cellStyle name="T_Book1_Bieu mau danh muc du an thuoc CTMTQG nam 2008_Tong hop ra soat von ung 2011 -Chau 3" xfId="2411"/>
    <cellStyle name="T_Book1_Bieu mau danh muc du an thuoc CTMTQG nam 2008_Tong hop -Yte-Giao thong-Thuy loi-24-6" xfId="1623"/>
    <cellStyle name="T_Book1_Bieu mau danh muc du an thuoc CTMTQG nam 2008_Tong hop -Yte-Giao thong-Thuy loi-24-6 2" xfId="2412"/>
    <cellStyle name="T_Book1_Bieu mau danh muc du an thuoc CTMTQG nam 2008_Tong hop -Yte-Giao thong-Thuy loi-24-6 2 2" xfId="2413"/>
    <cellStyle name="T_Book1_Bieu mau danh muc du an thuoc CTMTQG nam 2008_Tong hop -Yte-Giao thong-Thuy loi-24-6 3" xfId="2414"/>
    <cellStyle name="T_Book1_Bieu tong hop nhu cau ung 2011 da chon loc -Mien nui" xfId="1624"/>
    <cellStyle name="T_Book1_Bieu tong hop nhu cau ung 2011 da chon loc -Mien nui 2" xfId="2415"/>
    <cellStyle name="T_Book1_Bieu tong hop nhu cau ung 2011 da chon loc -Mien nui 2 2" xfId="2416"/>
    <cellStyle name="T_Book1_Bieu tong hop nhu cau ung 2011 da chon loc -Mien nui 3" xfId="2417"/>
    <cellStyle name="T_Book1_Book1" xfId="1625"/>
    <cellStyle name="T_Book1_Book1 2" xfId="2418"/>
    <cellStyle name="T_Book1_Book1 2 2" xfId="2419"/>
    <cellStyle name="T_Book1_Book1 3" xfId="2420"/>
    <cellStyle name="T_Book1_Book1_1" xfId="1626"/>
    <cellStyle name="T_Book1_Book1_1 2" xfId="2421"/>
    <cellStyle name="T_Book1_Book1_1 2 2" xfId="2422"/>
    <cellStyle name="T_Book1_Book1_1 3" xfId="2423"/>
    <cellStyle name="T_Book1_CPK" xfId="1627"/>
    <cellStyle name="T_Book1_CPK 2" xfId="2424"/>
    <cellStyle name="T_Book1_CPK 2 2" xfId="2425"/>
    <cellStyle name="T_Book1_CPK 3" xfId="2426"/>
    <cellStyle name="T_Book1_DT492" xfId="1628"/>
    <cellStyle name="T_Book1_DT492 2" xfId="2427"/>
    <cellStyle name="T_Book1_DT492 2 2" xfId="2428"/>
    <cellStyle name="T_Book1_DT492 3" xfId="2429"/>
    <cellStyle name="T_Book1_DT972000" xfId="1629"/>
    <cellStyle name="T_Book1_DT972000 2" xfId="2430"/>
    <cellStyle name="T_Book1_DT972000 2 2" xfId="2431"/>
    <cellStyle name="T_Book1_DT972000 3" xfId="2432"/>
    <cellStyle name="T_Book1_DTDuong dong tien -sua tham tra 2009 - luong 650" xfId="1630"/>
    <cellStyle name="T_Book1_DTDuong dong tien -sua tham tra 2009 - luong 650 2" xfId="2433"/>
    <cellStyle name="T_Book1_DTDuong dong tien -sua tham tra 2009 - luong 650 2 2" xfId="2434"/>
    <cellStyle name="T_Book1_DTDuong dong tien -sua tham tra 2009 - luong 650 3" xfId="2435"/>
    <cellStyle name="T_Book1_Du an khoi cong moi nam 2010" xfId="1631"/>
    <cellStyle name="T_Book1_Du an khoi cong moi nam 2010 2" xfId="2436"/>
    <cellStyle name="T_Book1_Du an khoi cong moi nam 2010 2 2" xfId="2437"/>
    <cellStyle name="T_Book1_Du an khoi cong moi nam 2010 3" xfId="2438"/>
    <cellStyle name="T_Book1_Du an khoi cong moi nam 2010_bieu tong hop" xfId="1632"/>
    <cellStyle name="T_Book1_Du an khoi cong moi nam 2010_bieu tong hop 2" xfId="2439"/>
    <cellStyle name="T_Book1_Du an khoi cong moi nam 2010_bieu tong hop 2 2" xfId="2440"/>
    <cellStyle name="T_Book1_Du an khoi cong moi nam 2010_bieu tong hop 3" xfId="2441"/>
    <cellStyle name="T_Book1_Du an khoi cong moi nam 2010_Tong hop ra soat von ung 2011 -Chau" xfId="1633"/>
    <cellStyle name="T_Book1_Du an khoi cong moi nam 2010_Tong hop ra soat von ung 2011 -Chau 2" xfId="2442"/>
    <cellStyle name="T_Book1_Du an khoi cong moi nam 2010_Tong hop ra soat von ung 2011 -Chau 2 2" xfId="2443"/>
    <cellStyle name="T_Book1_Du an khoi cong moi nam 2010_Tong hop ra soat von ung 2011 -Chau 3" xfId="2444"/>
    <cellStyle name="T_Book1_Du an khoi cong moi nam 2010_Tong hop -Yte-Giao thong-Thuy loi-24-6" xfId="1634"/>
    <cellStyle name="T_Book1_Du an khoi cong moi nam 2010_Tong hop -Yte-Giao thong-Thuy loi-24-6 2" xfId="2445"/>
    <cellStyle name="T_Book1_Du an khoi cong moi nam 2010_Tong hop -Yte-Giao thong-Thuy loi-24-6 2 2" xfId="2446"/>
    <cellStyle name="T_Book1_Du an khoi cong moi nam 2010_Tong hop -Yte-Giao thong-Thuy loi-24-6 3" xfId="2447"/>
    <cellStyle name="T_Book1_Du toan khao sat (bo sung 2009)" xfId="1635"/>
    <cellStyle name="T_Book1_Du toan khao sat (bo sung 2009) 2" xfId="2448"/>
    <cellStyle name="T_Book1_Du toan khao sat (bo sung 2009) 2 2" xfId="2449"/>
    <cellStyle name="T_Book1_Du toan khao sat (bo sung 2009) 3" xfId="2450"/>
    <cellStyle name="T_Book1_Hang Tom goi9 9-07(Cau 12 sua)" xfId="1636"/>
    <cellStyle name="T_Book1_HECO-NR78-Gui a-Vinh(15-5-07)" xfId="1637"/>
    <cellStyle name="T_Book1_HECO-NR78-Gui a-Vinh(15-5-07) 2" xfId="2451"/>
    <cellStyle name="T_Book1_HECO-NR78-Gui a-Vinh(15-5-07) 2 2" xfId="2452"/>
    <cellStyle name="T_Book1_HECO-NR78-Gui a-Vinh(15-5-07) 3" xfId="2453"/>
    <cellStyle name="T_Book1_Ke hoach 2010 (theo doi)2" xfId="1638"/>
    <cellStyle name="T_Book1_Ke hoach 2010 (theo doi)2 2" xfId="2454"/>
    <cellStyle name="T_Book1_Ke hoach 2010 (theo doi)2 2 2" xfId="2455"/>
    <cellStyle name="T_Book1_Ke hoach 2010 (theo doi)2 3" xfId="2456"/>
    <cellStyle name="T_Book1_Ket qua phan bo von nam 2008" xfId="1639"/>
    <cellStyle name="T_Book1_Ket qua phan bo von nam 2008 2" xfId="2457"/>
    <cellStyle name="T_Book1_Ket qua phan bo von nam 2008 2 2" xfId="2458"/>
    <cellStyle name="T_Book1_Ket qua phan bo von nam 2008 3" xfId="2459"/>
    <cellStyle name="T_Book1_KH XDCB_2008 lan 2 sua ngay 10-11" xfId="1640"/>
    <cellStyle name="T_Book1_KH XDCB_2008 lan 2 sua ngay 10-11 2" xfId="2466"/>
    <cellStyle name="T_Book1_KH XDCB_2008 lan 2 sua ngay 10-11 2 2" xfId="2467"/>
    <cellStyle name="T_Book1_KH XDCB_2008 lan 2 sua ngay 10-11 3" xfId="2468"/>
    <cellStyle name="T_Book1_Khoi luong cac hang muc chi tiet-702" xfId="1641"/>
    <cellStyle name="T_Book1_Khoi luong cac hang muc chi tiet-702 2" xfId="2469"/>
    <cellStyle name="T_Book1_Khoi luong cac hang muc chi tiet-702 2 2" xfId="2470"/>
    <cellStyle name="T_Book1_Khoi luong cac hang muc chi tiet-702 3" xfId="2471"/>
    <cellStyle name="T_Book1_Khoi luong chinh Hang Tom" xfId="1642"/>
    <cellStyle name="T_Book1_khoiluongbdacdoa" xfId="1643"/>
    <cellStyle name="T_Book1_khoiluongbdacdoa 2" xfId="2472"/>
    <cellStyle name="T_Book1_khoiluongbdacdoa 2 2" xfId="2473"/>
    <cellStyle name="T_Book1_khoiluongbdacdoa 3" xfId="2474"/>
    <cellStyle name="T_Book1_KL NT dap nen Dot 3" xfId="1644"/>
    <cellStyle name="T_Book1_KL NT dap nen Dot 3 2" xfId="2460"/>
    <cellStyle name="T_Book1_KL NT dap nen Dot 3 2 2" xfId="2461"/>
    <cellStyle name="T_Book1_KL NT dap nen Dot 3 3" xfId="2462"/>
    <cellStyle name="T_Book1_KL NT Dot 3" xfId="1645"/>
    <cellStyle name="T_Book1_KL NT Dot 3 2" xfId="2463"/>
    <cellStyle name="T_Book1_KL NT Dot 3 2 2" xfId="2464"/>
    <cellStyle name="T_Book1_KL NT Dot 3 3" xfId="2465"/>
    <cellStyle name="T_Book1_mau bieu doan giam sat 2010 (version 2)" xfId="1646"/>
    <cellStyle name="T_Book1_mau bieu doan giam sat 2010 (version 2) 2" xfId="2475"/>
    <cellStyle name="T_Book1_mau bieu doan giam sat 2010 (version 2) 2 2" xfId="2476"/>
    <cellStyle name="T_Book1_mau bieu doan giam sat 2010 (version 2) 3" xfId="2477"/>
    <cellStyle name="T_Book1_mau KL vach son" xfId="1647"/>
    <cellStyle name="T_Book1_mau KL vach son 2" xfId="2478"/>
    <cellStyle name="T_Book1_mau KL vach son 2 2" xfId="2479"/>
    <cellStyle name="T_Book1_mau KL vach son 3" xfId="2480"/>
    <cellStyle name="T_Book1_Nhu cau von ung truoc 2011 Tha h Hoa + Nge An gui TW" xfId="1648"/>
    <cellStyle name="T_Book1_Nhu cau von ung truoc 2011 Tha h Hoa + Nge An gui TW 2" xfId="2481"/>
    <cellStyle name="T_Book1_Nhu cau von ung truoc 2011 Tha h Hoa + Nge An gui TW 2 2" xfId="2482"/>
    <cellStyle name="T_Book1_Nhu cau von ung truoc 2011 Tha h Hoa + Nge An gui TW 3" xfId="2483"/>
    <cellStyle name="T_Book1_QD UBND tinh" xfId="1649"/>
    <cellStyle name="T_Book1_QD UBND tinh 2" xfId="2484"/>
    <cellStyle name="T_Book1_QD UBND tinh 2 2" xfId="2485"/>
    <cellStyle name="T_Book1_QD UBND tinh 3" xfId="2486"/>
    <cellStyle name="T_Book1_San sat hach moi" xfId="1650"/>
    <cellStyle name="T_Book1_San sat hach moi 2" xfId="2487"/>
    <cellStyle name="T_Book1_San sat hach moi 2 2" xfId="2488"/>
    <cellStyle name="T_Book1_San sat hach moi 3" xfId="2489"/>
    <cellStyle name="T_Book1_Thiet bi" xfId="1651"/>
    <cellStyle name="T_Book1_Thiet bi 2" xfId="2493"/>
    <cellStyle name="T_Book1_Thiet bi 2 2" xfId="2494"/>
    <cellStyle name="T_Book1_Thiet bi 3" xfId="2495"/>
    <cellStyle name="T_Book1_Thong ke cong" xfId="1652"/>
    <cellStyle name="T_Book1_Thong ke cong 2" xfId="2496"/>
    <cellStyle name="T_Book1_Thong ke cong 2 2" xfId="2497"/>
    <cellStyle name="T_Book1_Thong ke cong 3" xfId="2498"/>
    <cellStyle name="T_Book1_Tong hop 3 tinh (11_5)-TTH-QN-QT" xfId="1653"/>
    <cellStyle name="T_Book1_Tong hop 3 tinh (11_5)-TTH-QN-QT 2" xfId="2490"/>
    <cellStyle name="T_Book1_Tong hop 3 tinh (11_5)-TTH-QN-QT 2 2" xfId="2491"/>
    <cellStyle name="T_Book1_Tong hop 3 tinh (11_5)-TTH-QN-QT 3" xfId="2492"/>
    <cellStyle name="T_Book1_ung 2011 - 11-6-Thanh hoa-Nghe an" xfId="1654"/>
    <cellStyle name="T_Book1_ung 2011 - 11-6-Thanh hoa-Nghe an 2" xfId="2499"/>
    <cellStyle name="T_Book1_ung 2011 - 11-6-Thanh hoa-Nghe an 2 2" xfId="2500"/>
    <cellStyle name="T_Book1_ung 2011 - 11-6-Thanh hoa-Nghe an 3" xfId="2501"/>
    <cellStyle name="T_Book1_ung truoc 2011 NSTW Thanh Hoa + Nge An gui Thu 12-5" xfId="1655"/>
    <cellStyle name="T_Book1_ung truoc 2011 NSTW Thanh Hoa + Nge An gui Thu 12-5 2" xfId="2502"/>
    <cellStyle name="T_Book1_ung truoc 2011 NSTW Thanh Hoa + Nge An gui Thu 12-5 2 2" xfId="2503"/>
    <cellStyle name="T_Book1_ung truoc 2011 NSTW Thanh Hoa + Nge An gui Thu 12-5 3" xfId="2504"/>
    <cellStyle name="T_Book1_VBPL kiểm toán Đầu tư XDCB 2010" xfId="1656"/>
    <cellStyle name="T_Book1_VBPL kiểm toán Đầu tư XDCB 2010 2" xfId="2505"/>
    <cellStyle name="T_Book1_VBPL kiểm toán Đầu tư XDCB 2010 2 2" xfId="2506"/>
    <cellStyle name="T_Book1_VBPL kiểm toán Đầu tư XDCB 2010 3" xfId="2507"/>
    <cellStyle name="T_Book1_Worksheet in D: My Documents Luc Van ban xu ly Nam 2011 Bao cao ra soat tam ung TPCP" xfId="1657"/>
    <cellStyle name="T_Book1_Worksheet in D: My Documents Luc Van ban xu ly Nam 2011 Bao cao ra soat tam ung TPCP 2" xfId="2508"/>
    <cellStyle name="T_Book1_Worksheet in D: My Documents Luc Van ban xu ly Nam 2011 Bao cao ra soat tam ung TPCP 2 2" xfId="2509"/>
    <cellStyle name="T_Book1_Worksheet in D: My Documents Luc Van ban xu ly Nam 2011 Bao cao ra soat tam ung TPCP 3" xfId="2510"/>
    <cellStyle name="T_CDKT" xfId="1658"/>
    <cellStyle name="T_CDKT 2" xfId="2511"/>
    <cellStyle name="T_CDKT 2 2" xfId="2512"/>
    <cellStyle name="T_CDKT 3" xfId="2513"/>
    <cellStyle name="T_Chuan bi dau tu nam 2008" xfId="1659"/>
    <cellStyle name="T_Chuan bi dau tu nam 2008 2" xfId="2556"/>
    <cellStyle name="T_Chuan bi dau tu nam 2008 2 2" xfId="2557"/>
    <cellStyle name="T_Chuan bi dau tu nam 2008 3" xfId="2558"/>
    <cellStyle name="T_Chuan bi dau tu nam 2008_bieu tong hop" xfId="1660"/>
    <cellStyle name="T_Chuan bi dau tu nam 2008_bieu tong hop 2" xfId="2559"/>
    <cellStyle name="T_Chuan bi dau tu nam 2008_bieu tong hop 2 2" xfId="2560"/>
    <cellStyle name="T_Chuan bi dau tu nam 2008_bieu tong hop 3" xfId="2561"/>
    <cellStyle name="T_Chuan bi dau tu nam 2008_Tong hop ra soat von ung 2011 -Chau" xfId="1661"/>
    <cellStyle name="T_Chuan bi dau tu nam 2008_Tong hop ra soat von ung 2011 -Chau 2" xfId="2562"/>
    <cellStyle name="T_Chuan bi dau tu nam 2008_Tong hop ra soat von ung 2011 -Chau 2 2" xfId="2563"/>
    <cellStyle name="T_Chuan bi dau tu nam 2008_Tong hop ra soat von ung 2011 -Chau 3" xfId="2564"/>
    <cellStyle name="T_Chuan bi dau tu nam 2008_Tong hop -Yte-Giao thong-Thuy loi-24-6" xfId="1662"/>
    <cellStyle name="T_Chuan bi dau tu nam 2008_Tong hop -Yte-Giao thong-Thuy loi-24-6 2" xfId="2565"/>
    <cellStyle name="T_Chuan bi dau tu nam 2008_Tong hop -Yte-Giao thong-Thuy loi-24-6 2 2" xfId="2566"/>
    <cellStyle name="T_Chuan bi dau tu nam 2008_Tong hop -Yte-Giao thong-Thuy loi-24-6 3" xfId="2567"/>
    <cellStyle name="T_Copy of Bao cao  XDCB 7 thang nam 2008_So KH&amp;DT SUA" xfId="1663"/>
    <cellStyle name="T_Copy of Bao cao  XDCB 7 thang nam 2008_So KH&amp;DT SUA 2" xfId="2514"/>
    <cellStyle name="T_Copy of Bao cao  XDCB 7 thang nam 2008_So KH&amp;DT SUA 2 2" xfId="2515"/>
    <cellStyle name="T_Copy of Bao cao  XDCB 7 thang nam 2008_So KH&amp;DT SUA 3" xfId="2516"/>
    <cellStyle name="T_Copy of Bao cao  XDCB 7 thang nam 2008_So KH&amp;DT SUA_bieu tong hop" xfId="1664"/>
    <cellStyle name="T_Copy of Bao cao  XDCB 7 thang nam 2008_So KH&amp;DT SUA_bieu tong hop 2" xfId="2517"/>
    <cellStyle name="T_Copy of Bao cao  XDCB 7 thang nam 2008_So KH&amp;DT SUA_bieu tong hop 2 2" xfId="2518"/>
    <cellStyle name="T_Copy of Bao cao  XDCB 7 thang nam 2008_So KH&amp;DT SUA_bieu tong hop 3" xfId="2519"/>
    <cellStyle name="T_Copy of Bao cao  XDCB 7 thang nam 2008_So KH&amp;DT SUA_Tong hop ra soat von ung 2011 -Chau" xfId="1665"/>
    <cellStyle name="T_Copy of Bao cao  XDCB 7 thang nam 2008_So KH&amp;DT SUA_Tong hop ra soat von ung 2011 -Chau 2" xfId="2520"/>
    <cellStyle name="T_Copy of Bao cao  XDCB 7 thang nam 2008_So KH&amp;DT SUA_Tong hop ra soat von ung 2011 -Chau 2 2" xfId="2521"/>
    <cellStyle name="T_Copy of Bao cao  XDCB 7 thang nam 2008_So KH&amp;DT SUA_Tong hop ra soat von ung 2011 -Chau 3" xfId="2522"/>
    <cellStyle name="T_Copy of Bao cao  XDCB 7 thang nam 2008_So KH&amp;DT SUA_Tong hop -Yte-Giao thong-Thuy loi-24-6" xfId="1666"/>
    <cellStyle name="T_Copy of Bao cao  XDCB 7 thang nam 2008_So KH&amp;DT SUA_Tong hop -Yte-Giao thong-Thuy loi-24-6 2" xfId="2523"/>
    <cellStyle name="T_Copy of Bao cao  XDCB 7 thang nam 2008_So KH&amp;DT SUA_Tong hop -Yte-Giao thong-Thuy loi-24-6 2 2" xfId="2524"/>
    <cellStyle name="T_Copy of Bao cao  XDCB 7 thang nam 2008_So KH&amp;DT SUA_Tong hop -Yte-Giao thong-Thuy loi-24-6 3" xfId="2525"/>
    <cellStyle name="T_Copy of KS Du an dau tu" xfId="1667"/>
    <cellStyle name="T_Copy of KS Du an dau tu 2" xfId="2526"/>
    <cellStyle name="T_Copy of KS Du an dau tu 2 2" xfId="2527"/>
    <cellStyle name="T_Copy of KS Du an dau tu 3" xfId="2528"/>
    <cellStyle name="T_Cost for DD (summary)" xfId="1668"/>
    <cellStyle name="T_Cost for DD (summary) 2" xfId="2529"/>
    <cellStyle name="T_Cost for DD (summary) 2 2" xfId="2530"/>
    <cellStyle name="T_Cost for DD (summary) 3" xfId="2531"/>
    <cellStyle name="T_CPK" xfId="1669"/>
    <cellStyle name="T_CPK 2" xfId="2532"/>
    <cellStyle name="T_CPK 2 2" xfId="2533"/>
    <cellStyle name="T_CPK 3" xfId="2534"/>
    <cellStyle name="T_CTMTQG 2008" xfId="1670"/>
    <cellStyle name="T_CTMTQG 2008 2" xfId="2535"/>
    <cellStyle name="T_CTMTQG 2008 2 2" xfId="2536"/>
    <cellStyle name="T_CTMTQG 2008 3" xfId="2537"/>
    <cellStyle name="T_CTMTQG 2008_Bieu mau danh muc du an thuoc CTMTQG nam 2008" xfId="1671"/>
    <cellStyle name="T_CTMTQG 2008_Bieu mau danh muc du an thuoc CTMTQG nam 2008 2" xfId="2538"/>
    <cellStyle name="T_CTMTQG 2008_Bieu mau danh muc du an thuoc CTMTQG nam 2008 2 2" xfId="2539"/>
    <cellStyle name="T_CTMTQG 2008_Bieu mau danh muc du an thuoc CTMTQG nam 2008 3" xfId="2540"/>
    <cellStyle name="T_CTMTQG 2008_Hi-Tong hop KQ phan bo KH nam 08- LD fong giao 15-11-08" xfId="1672"/>
    <cellStyle name="T_CTMTQG 2008_Hi-Tong hop KQ phan bo KH nam 08- LD fong giao 15-11-08 2" xfId="2541"/>
    <cellStyle name="T_CTMTQG 2008_Hi-Tong hop KQ phan bo KH nam 08- LD fong giao 15-11-08 2 2" xfId="2542"/>
    <cellStyle name="T_CTMTQG 2008_Hi-Tong hop KQ phan bo KH nam 08- LD fong giao 15-11-08 3" xfId="2543"/>
    <cellStyle name="T_CTMTQG 2008_Ket qua thuc hien nam 2008" xfId="1673"/>
    <cellStyle name="T_CTMTQG 2008_Ket qua thuc hien nam 2008 2" xfId="2544"/>
    <cellStyle name="T_CTMTQG 2008_Ket qua thuc hien nam 2008 2 2" xfId="2545"/>
    <cellStyle name="T_CTMTQG 2008_Ket qua thuc hien nam 2008 3" xfId="2546"/>
    <cellStyle name="T_CTMTQG 2008_KH XDCB_2008 lan 1" xfId="1674"/>
    <cellStyle name="T_CTMTQG 2008_KH XDCB_2008 lan 1 2" xfId="2547"/>
    <cellStyle name="T_CTMTQG 2008_KH XDCB_2008 lan 1 2 2" xfId="2548"/>
    <cellStyle name="T_CTMTQG 2008_KH XDCB_2008 lan 1 3" xfId="2549"/>
    <cellStyle name="T_CTMTQG 2008_KH XDCB_2008 lan 1 sua ngay 27-10" xfId="1675"/>
    <cellStyle name="T_CTMTQG 2008_KH XDCB_2008 lan 1 sua ngay 27-10 2" xfId="2550"/>
    <cellStyle name="T_CTMTQG 2008_KH XDCB_2008 lan 1 sua ngay 27-10 2 2" xfId="2551"/>
    <cellStyle name="T_CTMTQG 2008_KH XDCB_2008 lan 1 sua ngay 27-10 3" xfId="2552"/>
    <cellStyle name="T_CTMTQG 2008_KH XDCB_2008 lan 2 sua ngay 10-11" xfId="1676"/>
    <cellStyle name="T_CTMTQG 2008_KH XDCB_2008 lan 2 sua ngay 10-11 2" xfId="2553"/>
    <cellStyle name="T_CTMTQG 2008_KH XDCB_2008 lan 2 sua ngay 10-11 2 2" xfId="2554"/>
    <cellStyle name="T_CTMTQG 2008_KH XDCB_2008 lan 2 sua ngay 10-11 3" xfId="2555"/>
    <cellStyle name="T_DT972000" xfId="1677"/>
    <cellStyle name="T_DTDuong dong tien -sua tham tra 2009 - luong 650" xfId="1678"/>
    <cellStyle name="T_DTDuong dong tien -sua tham tra 2009 - luong 650 2" xfId="2568"/>
    <cellStyle name="T_DTDuong dong tien -sua tham tra 2009 - luong 650 2 2" xfId="2569"/>
    <cellStyle name="T_DTDuong dong tien -sua tham tra 2009 - luong 650 3" xfId="2570"/>
    <cellStyle name="T_dtTL598G1." xfId="1679"/>
    <cellStyle name="T_dtTL598G1. 2" xfId="2571"/>
    <cellStyle name="T_dtTL598G1. 2 2" xfId="2572"/>
    <cellStyle name="T_dtTL598G1. 3" xfId="2573"/>
    <cellStyle name="T_Du an khoi cong moi nam 2010" xfId="1680"/>
    <cellStyle name="T_Du an khoi cong moi nam 2010 2" xfId="2574"/>
    <cellStyle name="T_Du an khoi cong moi nam 2010 2 2" xfId="2575"/>
    <cellStyle name="T_Du an khoi cong moi nam 2010 3" xfId="2576"/>
    <cellStyle name="T_Du an khoi cong moi nam 2010_bieu tong hop" xfId="1681"/>
    <cellStyle name="T_Du an khoi cong moi nam 2010_bieu tong hop 2" xfId="2577"/>
    <cellStyle name="T_Du an khoi cong moi nam 2010_bieu tong hop 2 2" xfId="2578"/>
    <cellStyle name="T_Du an khoi cong moi nam 2010_bieu tong hop 3" xfId="2579"/>
    <cellStyle name="T_Du an khoi cong moi nam 2010_Tong hop ra soat von ung 2011 -Chau" xfId="1682"/>
    <cellStyle name="T_Du an khoi cong moi nam 2010_Tong hop ra soat von ung 2011 -Chau 2" xfId="2580"/>
    <cellStyle name="T_Du an khoi cong moi nam 2010_Tong hop ra soat von ung 2011 -Chau 2 2" xfId="2581"/>
    <cellStyle name="T_Du an khoi cong moi nam 2010_Tong hop ra soat von ung 2011 -Chau 3" xfId="2582"/>
    <cellStyle name="T_Du an khoi cong moi nam 2010_Tong hop -Yte-Giao thong-Thuy loi-24-6" xfId="1683"/>
    <cellStyle name="T_Du an khoi cong moi nam 2010_Tong hop -Yte-Giao thong-Thuy loi-24-6 2" xfId="2583"/>
    <cellStyle name="T_Du an khoi cong moi nam 2010_Tong hop -Yte-Giao thong-Thuy loi-24-6 2 2" xfId="2584"/>
    <cellStyle name="T_Du an khoi cong moi nam 2010_Tong hop -Yte-Giao thong-Thuy loi-24-6 3" xfId="2585"/>
    <cellStyle name="T_DU AN TKQH VA CHUAN BI DAU TU NAM 2007 sua ngay 9-11" xfId="1684"/>
    <cellStyle name="T_DU AN TKQH VA CHUAN BI DAU TU NAM 2007 sua ngay 9-11 2" xfId="2586"/>
    <cellStyle name="T_DU AN TKQH VA CHUAN BI DAU TU NAM 2007 sua ngay 9-11 2 2" xfId="2587"/>
    <cellStyle name="T_DU AN TKQH VA CHUAN BI DAU TU NAM 2007 sua ngay 9-11 3" xfId="2588"/>
    <cellStyle name="T_DU AN TKQH VA CHUAN BI DAU TU NAM 2007 sua ngay 9-11_Bieu mau danh muc du an thuoc CTMTQG nam 2008" xfId="1685"/>
    <cellStyle name="T_DU AN TKQH VA CHUAN BI DAU TU NAM 2007 sua ngay 9-11_Bieu mau danh muc du an thuoc CTMTQG nam 2008 2" xfId="2589"/>
    <cellStyle name="T_DU AN TKQH VA CHUAN BI DAU TU NAM 2007 sua ngay 9-11_Bieu mau danh muc du an thuoc CTMTQG nam 2008 2 2" xfId="2590"/>
    <cellStyle name="T_DU AN TKQH VA CHUAN BI DAU TU NAM 2007 sua ngay 9-11_Bieu mau danh muc du an thuoc CTMTQG nam 2008 3" xfId="2591"/>
    <cellStyle name="T_DU AN TKQH VA CHUAN BI DAU TU NAM 2007 sua ngay 9-11_Bieu mau danh muc du an thuoc CTMTQG nam 2008_bieu tong hop" xfId="1686"/>
    <cellStyle name="T_DU AN TKQH VA CHUAN BI DAU TU NAM 2007 sua ngay 9-11_Bieu mau danh muc du an thuoc CTMTQG nam 2008_bieu tong hop 2" xfId="2592"/>
    <cellStyle name="T_DU AN TKQH VA CHUAN BI DAU TU NAM 2007 sua ngay 9-11_Bieu mau danh muc du an thuoc CTMTQG nam 2008_bieu tong hop 2 2" xfId="2593"/>
    <cellStyle name="T_DU AN TKQH VA CHUAN BI DAU TU NAM 2007 sua ngay 9-11_Bieu mau danh muc du an thuoc CTMTQG nam 2008_bieu tong hop 3" xfId="2594"/>
    <cellStyle name="T_DU AN TKQH VA CHUAN BI DAU TU NAM 2007 sua ngay 9-11_Bieu mau danh muc du an thuoc CTMTQG nam 2008_Tong hop ra soat von ung 2011 -Chau" xfId="1687"/>
    <cellStyle name="T_DU AN TKQH VA CHUAN BI DAU TU NAM 2007 sua ngay 9-11_Bieu mau danh muc du an thuoc CTMTQG nam 2008_Tong hop ra soat von ung 2011 -Chau 2" xfId="2595"/>
    <cellStyle name="T_DU AN TKQH VA CHUAN BI DAU TU NAM 2007 sua ngay 9-11_Bieu mau danh muc du an thuoc CTMTQG nam 2008_Tong hop ra soat von ung 2011 -Chau 2 2" xfId="2596"/>
    <cellStyle name="T_DU AN TKQH VA CHUAN BI DAU TU NAM 2007 sua ngay 9-11_Bieu mau danh muc du an thuoc CTMTQG nam 2008_Tong hop ra soat von ung 2011 -Chau 3" xfId="2597"/>
    <cellStyle name="T_DU AN TKQH VA CHUAN BI DAU TU NAM 2007 sua ngay 9-11_Bieu mau danh muc du an thuoc CTMTQG nam 2008_Tong hop -Yte-Giao thong-Thuy loi-24-6" xfId="1688"/>
    <cellStyle name="T_DU AN TKQH VA CHUAN BI DAU TU NAM 2007 sua ngay 9-11_Bieu mau danh muc du an thuoc CTMTQG nam 2008_Tong hop -Yte-Giao thong-Thuy loi-24-6 2" xfId="2598"/>
    <cellStyle name="T_DU AN TKQH VA CHUAN BI DAU TU NAM 2007 sua ngay 9-11_Bieu mau danh muc du an thuoc CTMTQG nam 2008_Tong hop -Yte-Giao thong-Thuy loi-24-6 2 2" xfId="2599"/>
    <cellStyle name="T_DU AN TKQH VA CHUAN BI DAU TU NAM 2007 sua ngay 9-11_Bieu mau danh muc du an thuoc CTMTQG nam 2008_Tong hop -Yte-Giao thong-Thuy loi-24-6 3" xfId="2600"/>
    <cellStyle name="T_DU AN TKQH VA CHUAN BI DAU TU NAM 2007 sua ngay 9-11_Du an khoi cong moi nam 2010" xfId="1689"/>
    <cellStyle name="T_DU AN TKQH VA CHUAN BI DAU TU NAM 2007 sua ngay 9-11_Du an khoi cong moi nam 2010 2" xfId="2601"/>
    <cellStyle name="T_DU AN TKQH VA CHUAN BI DAU TU NAM 2007 sua ngay 9-11_Du an khoi cong moi nam 2010 2 2" xfId="2602"/>
    <cellStyle name="T_DU AN TKQH VA CHUAN BI DAU TU NAM 2007 sua ngay 9-11_Du an khoi cong moi nam 2010 3" xfId="2603"/>
    <cellStyle name="T_DU AN TKQH VA CHUAN BI DAU TU NAM 2007 sua ngay 9-11_Du an khoi cong moi nam 2010_bieu tong hop" xfId="1690"/>
    <cellStyle name="T_DU AN TKQH VA CHUAN BI DAU TU NAM 2007 sua ngay 9-11_Du an khoi cong moi nam 2010_bieu tong hop 2" xfId="2604"/>
    <cellStyle name="T_DU AN TKQH VA CHUAN BI DAU TU NAM 2007 sua ngay 9-11_Du an khoi cong moi nam 2010_bieu tong hop 2 2" xfId="2605"/>
    <cellStyle name="T_DU AN TKQH VA CHUAN BI DAU TU NAM 2007 sua ngay 9-11_Du an khoi cong moi nam 2010_bieu tong hop 3" xfId="2606"/>
    <cellStyle name="T_DU AN TKQH VA CHUAN BI DAU TU NAM 2007 sua ngay 9-11_Du an khoi cong moi nam 2010_Tong hop ra soat von ung 2011 -Chau" xfId="1691"/>
    <cellStyle name="T_DU AN TKQH VA CHUAN BI DAU TU NAM 2007 sua ngay 9-11_Du an khoi cong moi nam 2010_Tong hop ra soat von ung 2011 -Chau 2" xfId="2607"/>
    <cellStyle name="T_DU AN TKQH VA CHUAN BI DAU TU NAM 2007 sua ngay 9-11_Du an khoi cong moi nam 2010_Tong hop ra soat von ung 2011 -Chau 2 2" xfId="2608"/>
    <cellStyle name="T_DU AN TKQH VA CHUAN BI DAU TU NAM 2007 sua ngay 9-11_Du an khoi cong moi nam 2010_Tong hop ra soat von ung 2011 -Chau 3" xfId="2609"/>
    <cellStyle name="T_DU AN TKQH VA CHUAN BI DAU TU NAM 2007 sua ngay 9-11_Du an khoi cong moi nam 2010_Tong hop -Yte-Giao thong-Thuy loi-24-6" xfId="1692"/>
    <cellStyle name="T_DU AN TKQH VA CHUAN BI DAU TU NAM 2007 sua ngay 9-11_Du an khoi cong moi nam 2010_Tong hop -Yte-Giao thong-Thuy loi-24-6 2" xfId="2610"/>
    <cellStyle name="T_DU AN TKQH VA CHUAN BI DAU TU NAM 2007 sua ngay 9-11_Du an khoi cong moi nam 2010_Tong hop -Yte-Giao thong-Thuy loi-24-6 2 2" xfId="2611"/>
    <cellStyle name="T_DU AN TKQH VA CHUAN BI DAU TU NAM 2007 sua ngay 9-11_Du an khoi cong moi nam 2010_Tong hop -Yte-Giao thong-Thuy loi-24-6 3" xfId="2612"/>
    <cellStyle name="T_DU AN TKQH VA CHUAN BI DAU TU NAM 2007 sua ngay 9-11_Ket qua phan bo von nam 2008" xfId="1693"/>
    <cellStyle name="T_DU AN TKQH VA CHUAN BI DAU TU NAM 2007 sua ngay 9-11_Ket qua phan bo von nam 2008 2" xfId="2613"/>
    <cellStyle name="T_DU AN TKQH VA CHUAN BI DAU TU NAM 2007 sua ngay 9-11_Ket qua phan bo von nam 2008 2 2" xfId="2614"/>
    <cellStyle name="T_DU AN TKQH VA CHUAN BI DAU TU NAM 2007 sua ngay 9-11_Ket qua phan bo von nam 2008 3" xfId="2615"/>
    <cellStyle name="T_DU AN TKQH VA CHUAN BI DAU TU NAM 2007 sua ngay 9-11_KH XDCB_2008 lan 2 sua ngay 10-11" xfId="1694"/>
    <cellStyle name="T_DU AN TKQH VA CHUAN BI DAU TU NAM 2007 sua ngay 9-11_KH XDCB_2008 lan 2 sua ngay 10-11 2" xfId="2616"/>
    <cellStyle name="T_DU AN TKQH VA CHUAN BI DAU TU NAM 2007 sua ngay 9-11_KH XDCB_2008 lan 2 sua ngay 10-11 2 2" xfId="2617"/>
    <cellStyle name="T_DU AN TKQH VA CHUAN BI DAU TU NAM 2007 sua ngay 9-11_KH XDCB_2008 lan 2 sua ngay 10-11 3" xfId="2618"/>
    <cellStyle name="T_du toan dieu chinh  20-8-2006" xfId="1695"/>
    <cellStyle name="T_du toan dieu chinh  20-8-2006 2" xfId="2619"/>
    <cellStyle name="T_du toan dieu chinh  20-8-2006 2 2" xfId="2620"/>
    <cellStyle name="T_du toan dieu chinh  20-8-2006 3" xfId="2621"/>
    <cellStyle name="T_Du toan khao sat (bo sung 2009)" xfId="1696"/>
    <cellStyle name="T_Du toan khao sat (bo sung 2009) 2" xfId="2622"/>
    <cellStyle name="T_Du toan khao sat (bo sung 2009) 2 2" xfId="2623"/>
    <cellStyle name="T_Du toan khao sat (bo sung 2009) 3" xfId="2624"/>
    <cellStyle name="T_du toan lan 3" xfId="1697"/>
    <cellStyle name="T_du toan lan 3 2" xfId="2625"/>
    <cellStyle name="T_du toan lan 3 2 2" xfId="2626"/>
    <cellStyle name="T_du toan lan 3 3" xfId="2627"/>
    <cellStyle name="T_Ke hoach KTXH  nam 2009_PKT thang 11 nam 2008" xfId="1698"/>
    <cellStyle name="T_Ke hoach KTXH  nam 2009_PKT thang 11 nam 2008 2" xfId="2628"/>
    <cellStyle name="T_Ke hoach KTXH  nam 2009_PKT thang 11 nam 2008 2 2" xfId="2629"/>
    <cellStyle name="T_Ke hoach KTXH  nam 2009_PKT thang 11 nam 2008 3" xfId="2630"/>
    <cellStyle name="T_Ke hoach KTXH  nam 2009_PKT thang 11 nam 2008_bieu tong hop" xfId="1699"/>
    <cellStyle name="T_Ke hoach KTXH  nam 2009_PKT thang 11 nam 2008_bieu tong hop 2" xfId="2631"/>
    <cellStyle name="T_Ke hoach KTXH  nam 2009_PKT thang 11 nam 2008_bieu tong hop 2 2" xfId="2632"/>
    <cellStyle name="T_Ke hoach KTXH  nam 2009_PKT thang 11 nam 2008_bieu tong hop 3" xfId="2633"/>
    <cellStyle name="T_Ke hoach KTXH  nam 2009_PKT thang 11 nam 2008_Tong hop ra soat von ung 2011 -Chau" xfId="1700"/>
    <cellStyle name="T_Ke hoach KTXH  nam 2009_PKT thang 11 nam 2008_Tong hop ra soat von ung 2011 -Chau 2" xfId="2634"/>
    <cellStyle name="T_Ke hoach KTXH  nam 2009_PKT thang 11 nam 2008_Tong hop ra soat von ung 2011 -Chau 2 2" xfId="2635"/>
    <cellStyle name="T_Ke hoach KTXH  nam 2009_PKT thang 11 nam 2008_Tong hop ra soat von ung 2011 -Chau 3" xfId="2636"/>
    <cellStyle name="T_Ke hoach KTXH  nam 2009_PKT thang 11 nam 2008_Tong hop -Yte-Giao thong-Thuy loi-24-6" xfId="1701"/>
    <cellStyle name="T_Ke hoach KTXH  nam 2009_PKT thang 11 nam 2008_Tong hop -Yte-Giao thong-Thuy loi-24-6 2" xfId="2637"/>
    <cellStyle name="T_Ke hoach KTXH  nam 2009_PKT thang 11 nam 2008_Tong hop -Yte-Giao thong-Thuy loi-24-6 2 2" xfId="2638"/>
    <cellStyle name="T_Ke hoach KTXH  nam 2009_PKT thang 11 nam 2008_Tong hop -Yte-Giao thong-Thuy loi-24-6 3" xfId="2639"/>
    <cellStyle name="T_Ket qua dau thau" xfId="1702"/>
    <cellStyle name="T_Ket qua dau thau 2" xfId="2640"/>
    <cellStyle name="T_Ket qua dau thau 2 2" xfId="2641"/>
    <cellStyle name="T_Ket qua dau thau 3" xfId="2642"/>
    <cellStyle name="T_Ket qua dau thau_bieu tong hop" xfId="1703"/>
    <cellStyle name="T_Ket qua dau thau_bieu tong hop 2" xfId="2643"/>
    <cellStyle name="T_Ket qua dau thau_bieu tong hop 2 2" xfId="2644"/>
    <cellStyle name="T_Ket qua dau thau_bieu tong hop 3" xfId="2645"/>
    <cellStyle name="T_Ket qua dau thau_Tong hop ra soat von ung 2011 -Chau" xfId="1704"/>
    <cellStyle name="T_Ket qua dau thau_Tong hop ra soat von ung 2011 -Chau 2" xfId="2646"/>
    <cellStyle name="T_Ket qua dau thau_Tong hop ra soat von ung 2011 -Chau 2 2" xfId="2647"/>
    <cellStyle name="T_Ket qua dau thau_Tong hop ra soat von ung 2011 -Chau 3" xfId="2648"/>
    <cellStyle name="T_Ket qua dau thau_Tong hop -Yte-Giao thong-Thuy loi-24-6" xfId="1705"/>
    <cellStyle name="T_Ket qua dau thau_Tong hop -Yte-Giao thong-Thuy loi-24-6 2" xfId="2649"/>
    <cellStyle name="T_Ket qua dau thau_Tong hop -Yte-Giao thong-Thuy loi-24-6 2 2" xfId="2650"/>
    <cellStyle name="T_Ket qua dau thau_Tong hop -Yte-Giao thong-Thuy loi-24-6 3" xfId="2651"/>
    <cellStyle name="T_Ket qua phan bo von nam 2008" xfId="1706"/>
    <cellStyle name="T_Ket qua phan bo von nam 2008 2" xfId="2652"/>
    <cellStyle name="T_Ket qua phan bo von nam 2008 2 2" xfId="2653"/>
    <cellStyle name="T_Ket qua phan bo von nam 2008 3" xfId="2654"/>
    <cellStyle name="T_KH XDCB_2008 lan 2 sua ngay 10-11" xfId="1707"/>
    <cellStyle name="T_KH XDCB_2008 lan 2 sua ngay 10-11 2" xfId="2661"/>
    <cellStyle name="T_KH XDCB_2008 lan 2 sua ngay 10-11 2 2" xfId="2662"/>
    <cellStyle name="T_KH XDCB_2008 lan 2 sua ngay 10-11 3" xfId="2663"/>
    <cellStyle name="T_Khao satD1" xfId="1708"/>
    <cellStyle name="T_Khao satD1 2" xfId="2664"/>
    <cellStyle name="T_Khao satD1 2 2" xfId="2665"/>
    <cellStyle name="T_Khao satD1 3" xfId="2666"/>
    <cellStyle name="T_Khoi luong cac hang muc chi tiet-702" xfId="1709"/>
    <cellStyle name="T_Khoi luong cac hang muc chi tiet-702 2" xfId="2667"/>
    <cellStyle name="T_Khoi luong cac hang muc chi tiet-702 2 2" xfId="2668"/>
    <cellStyle name="T_Khoi luong cac hang muc chi tiet-702 3" xfId="2669"/>
    <cellStyle name="T_KL NT dap nen Dot 3" xfId="1710"/>
    <cellStyle name="T_KL NT Dot 3" xfId="1711"/>
    <cellStyle name="T_Kl VL ranh" xfId="1712"/>
    <cellStyle name="T_Kl VL ranh 2" xfId="2655"/>
    <cellStyle name="T_Kl VL ranh 2 2" xfId="2656"/>
    <cellStyle name="T_Kl VL ranh 3" xfId="2657"/>
    <cellStyle name="T_KLNMD1" xfId="1713"/>
    <cellStyle name="T_KLNMD1 2" xfId="2658"/>
    <cellStyle name="T_KLNMD1 2 2" xfId="2659"/>
    <cellStyle name="T_KLNMD1 3" xfId="2660"/>
    <cellStyle name="T_mau bieu doan giam sat 2010 (version 2)" xfId="1714"/>
    <cellStyle name="T_mau bieu doan giam sat 2010 (version 2) 2" xfId="2670"/>
    <cellStyle name="T_mau bieu doan giam sat 2010 (version 2) 2 2" xfId="2671"/>
    <cellStyle name="T_mau bieu doan giam sat 2010 (version 2) 3" xfId="2672"/>
    <cellStyle name="T_mau KL vach son" xfId="1715"/>
    <cellStyle name="T_mau KL vach son 2" xfId="2673"/>
    <cellStyle name="T_mau KL vach son 2 2" xfId="2674"/>
    <cellStyle name="T_mau KL vach son 3" xfId="2675"/>
    <cellStyle name="T_Me_Tri_6_07" xfId="1716"/>
    <cellStyle name="T_Me_Tri_6_07 2" xfId="2676"/>
    <cellStyle name="T_Me_Tri_6_07 2 2" xfId="2677"/>
    <cellStyle name="T_Me_Tri_6_07 3" xfId="2678"/>
    <cellStyle name="T_N2 thay dat (N1-1)" xfId="1717"/>
    <cellStyle name="T_N2 thay dat (N1-1) 2" xfId="2679"/>
    <cellStyle name="T_N2 thay dat (N1-1) 2 2" xfId="2680"/>
    <cellStyle name="T_N2 thay dat (N1-1) 3" xfId="2681"/>
    <cellStyle name="T_Phuong an can doi nam 2008" xfId="1718"/>
    <cellStyle name="T_Phuong an can doi nam 2008 2" xfId="2682"/>
    <cellStyle name="T_Phuong an can doi nam 2008 2 2" xfId="2683"/>
    <cellStyle name="T_Phuong an can doi nam 2008 3" xfId="2684"/>
    <cellStyle name="T_Phuong an can doi nam 2008_bieu tong hop" xfId="1719"/>
    <cellStyle name="T_Phuong an can doi nam 2008_bieu tong hop 2" xfId="2685"/>
    <cellStyle name="T_Phuong an can doi nam 2008_bieu tong hop 2 2" xfId="2686"/>
    <cellStyle name="T_Phuong an can doi nam 2008_bieu tong hop 3" xfId="2687"/>
    <cellStyle name="T_Phuong an can doi nam 2008_Tong hop ra soat von ung 2011 -Chau" xfId="1720"/>
    <cellStyle name="T_Phuong an can doi nam 2008_Tong hop ra soat von ung 2011 -Chau 2" xfId="2688"/>
    <cellStyle name="T_Phuong an can doi nam 2008_Tong hop ra soat von ung 2011 -Chau 2 2" xfId="2689"/>
    <cellStyle name="T_Phuong an can doi nam 2008_Tong hop ra soat von ung 2011 -Chau 3" xfId="2690"/>
    <cellStyle name="T_Phuong an can doi nam 2008_Tong hop -Yte-Giao thong-Thuy loi-24-6" xfId="1721"/>
    <cellStyle name="T_Phuong an can doi nam 2008_Tong hop -Yte-Giao thong-Thuy loi-24-6 2" xfId="2691"/>
    <cellStyle name="T_Phuong an can doi nam 2008_Tong hop -Yte-Giao thong-Thuy loi-24-6 2 2" xfId="2692"/>
    <cellStyle name="T_Phuong an can doi nam 2008_Tong hop -Yte-Giao thong-Thuy loi-24-6 3" xfId="2693"/>
    <cellStyle name="T_San sat hach moi" xfId="1722"/>
    <cellStyle name="T_San sat hach moi 2" xfId="2694"/>
    <cellStyle name="T_San sat hach moi 2 2" xfId="2695"/>
    <cellStyle name="T_San sat hach moi 3" xfId="2696"/>
    <cellStyle name="T_Seagame(BTL)" xfId="1723"/>
    <cellStyle name="T_So GTVT" xfId="1724"/>
    <cellStyle name="T_So GTVT 2" xfId="2697"/>
    <cellStyle name="T_So GTVT 2 2" xfId="2698"/>
    <cellStyle name="T_So GTVT 3" xfId="2699"/>
    <cellStyle name="T_So GTVT_bieu tong hop" xfId="1725"/>
    <cellStyle name="T_So GTVT_bieu tong hop 2" xfId="2700"/>
    <cellStyle name="T_So GTVT_bieu tong hop 2 2" xfId="2701"/>
    <cellStyle name="T_So GTVT_bieu tong hop 3" xfId="2702"/>
    <cellStyle name="T_So GTVT_Tong hop ra soat von ung 2011 -Chau" xfId="1726"/>
    <cellStyle name="T_So GTVT_Tong hop ra soat von ung 2011 -Chau 2" xfId="2703"/>
    <cellStyle name="T_So GTVT_Tong hop ra soat von ung 2011 -Chau 2 2" xfId="2704"/>
    <cellStyle name="T_So GTVT_Tong hop ra soat von ung 2011 -Chau 3" xfId="2705"/>
    <cellStyle name="T_So GTVT_Tong hop -Yte-Giao thong-Thuy loi-24-6" xfId="1727"/>
    <cellStyle name="T_So GTVT_Tong hop -Yte-Giao thong-Thuy loi-24-6 2" xfId="2706"/>
    <cellStyle name="T_So GTVT_Tong hop -Yte-Giao thong-Thuy loi-24-6 2 2" xfId="2707"/>
    <cellStyle name="T_So GTVT_Tong hop -Yte-Giao thong-Thuy loi-24-6 3" xfId="2708"/>
    <cellStyle name="T_SS BVTC cau va cong tuyen Le Chan" xfId="1728"/>
    <cellStyle name="T_SS BVTC cau va cong tuyen Le Chan 2" xfId="2709"/>
    <cellStyle name="T_SS BVTC cau va cong tuyen Le Chan 2 2" xfId="2710"/>
    <cellStyle name="T_SS BVTC cau va cong tuyen Le Chan 3" xfId="2711"/>
    <cellStyle name="T_Tay Bac 1" xfId="1729"/>
    <cellStyle name="T_Tay Bac 1 2" xfId="2712"/>
    <cellStyle name="T_Tay Bac 1 2 2" xfId="2713"/>
    <cellStyle name="T_Tay Bac 1 3" xfId="2714"/>
    <cellStyle name="T_Tay Bac 1_Bao cao kiem toan kh 2010" xfId="1730"/>
    <cellStyle name="T_Tay Bac 1_Bao cao kiem toan kh 2010 2" xfId="2715"/>
    <cellStyle name="T_Tay Bac 1_Bao cao kiem toan kh 2010 2 2" xfId="2716"/>
    <cellStyle name="T_Tay Bac 1_Bao cao kiem toan kh 2010 3" xfId="2717"/>
    <cellStyle name="T_Tay Bac 1_Book1" xfId="1731"/>
    <cellStyle name="T_Tay Bac 1_Book1 2" xfId="2718"/>
    <cellStyle name="T_Tay Bac 1_Book1 2 2" xfId="2719"/>
    <cellStyle name="T_Tay Bac 1_Book1 3" xfId="2720"/>
    <cellStyle name="T_Tay Bac 1_Ke hoach 2010 (theo doi)2" xfId="1732"/>
    <cellStyle name="T_Tay Bac 1_Ke hoach 2010 (theo doi)2 2" xfId="2721"/>
    <cellStyle name="T_Tay Bac 1_Ke hoach 2010 (theo doi)2 2 2" xfId="2722"/>
    <cellStyle name="T_Tay Bac 1_Ke hoach 2010 (theo doi)2 3" xfId="2723"/>
    <cellStyle name="T_Tay Bac 1_QD UBND tinh" xfId="1733"/>
    <cellStyle name="T_Tay Bac 1_QD UBND tinh 2" xfId="2724"/>
    <cellStyle name="T_Tay Bac 1_QD UBND tinh 2 2" xfId="2725"/>
    <cellStyle name="T_Tay Bac 1_QD UBND tinh 3" xfId="2726"/>
    <cellStyle name="T_Tay Bac 1_Worksheet in D: My Documents Luc Van ban xu ly Nam 2011 Bao cao ra soat tam ung TPCP" xfId="1734"/>
    <cellStyle name="T_Tay Bac 1_Worksheet in D: My Documents Luc Van ban xu ly Nam 2011 Bao cao ra soat tam ung TPCP 2" xfId="2727"/>
    <cellStyle name="T_Tay Bac 1_Worksheet in D: My Documents Luc Van ban xu ly Nam 2011 Bao cao ra soat tam ung TPCP 2 2" xfId="2728"/>
    <cellStyle name="T_Tay Bac 1_Worksheet in D: My Documents Luc Van ban xu ly Nam 2011 Bao cao ra soat tam ung TPCP 3" xfId="2729"/>
    <cellStyle name="T_TDT + duong(8-5-07)" xfId="1735"/>
    <cellStyle name="T_TDT + duong(8-5-07) 2" xfId="2730"/>
    <cellStyle name="T_TDT + duong(8-5-07) 2 2" xfId="2731"/>
    <cellStyle name="T_TDT + duong(8-5-07) 3" xfId="2732"/>
    <cellStyle name="T_tham_tra_du_toan" xfId="1736"/>
    <cellStyle name="T_tham_tra_du_toan 2" xfId="2760"/>
    <cellStyle name="T_tham_tra_du_toan 2 2" xfId="2761"/>
    <cellStyle name="T_tham_tra_du_toan 3" xfId="2762"/>
    <cellStyle name="T_Thiet bi" xfId="1737"/>
    <cellStyle name="T_Thiet bi 2" xfId="2763"/>
    <cellStyle name="T_Thiet bi 2 2" xfId="2764"/>
    <cellStyle name="T_Thiet bi 3" xfId="2765"/>
    <cellStyle name="T_THKL 1303" xfId="1738"/>
    <cellStyle name="T_THKL 1303 2" xfId="2766"/>
    <cellStyle name="T_THKL 1303 2 2" xfId="2767"/>
    <cellStyle name="T_THKL 1303 3" xfId="2768"/>
    <cellStyle name="T_Thong ke" xfId="1739"/>
    <cellStyle name="T_Thong ke 2" xfId="2769"/>
    <cellStyle name="T_Thong ke 2 2" xfId="2770"/>
    <cellStyle name="T_Thong ke 3" xfId="2771"/>
    <cellStyle name="T_Thong ke cong" xfId="1740"/>
    <cellStyle name="T_Thong ke cong 2" xfId="2772"/>
    <cellStyle name="T_Thong ke cong 2 2" xfId="2773"/>
    <cellStyle name="T_Thong ke cong 3" xfId="2774"/>
    <cellStyle name="T_thong ke giao dan sinh" xfId="1741"/>
    <cellStyle name="T_thong ke giao dan sinh 2" xfId="2775"/>
    <cellStyle name="T_thong ke giao dan sinh 2 2" xfId="2776"/>
    <cellStyle name="T_thong ke giao dan sinh 3" xfId="2777"/>
    <cellStyle name="T_tien2004" xfId="1742"/>
    <cellStyle name="T_tien2004 2" xfId="2733"/>
    <cellStyle name="T_tien2004 2 2" xfId="2734"/>
    <cellStyle name="T_tien2004 3" xfId="2735"/>
    <cellStyle name="T_TKE-ChoDon-sua" xfId="1743"/>
    <cellStyle name="T_TKE-ChoDon-sua 2" xfId="2736"/>
    <cellStyle name="T_TKE-ChoDon-sua 2 2" xfId="2737"/>
    <cellStyle name="T_TKE-ChoDon-sua 3" xfId="2738"/>
    <cellStyle name="T_Tong hop 3 tinh (11_5)-TTH-QN-QT" xfId="1744"/>
    <cellStyle name="T_Tong hop 3 tinh (11_5)-TTH-QN-QT 2" xfId="2739"/>
    <cellStyle name="T_Tong hop 3 tinh (11_5)-TTH-QN-QT 2 2" xfId="2740"/>
    <cellStyle name="T_Tong hop 3 tinh (11_5)-TTH-QN-QT 3" xfId="2741"/>
    <cellStyle name="T_Tong hop khoi luong Dot 3" xfId="1745"/>
    <cellStyle name="T_Tong hop khoi luong Dot 3 2" xfId="2742"/>
    <cellStyle name="T_Tong hop khoi luong Dot 3 2 2" xfId="2743"/>
    <cellStyle name="T_Tong hop khoi luong Dot 3 3" xfId="2744"/>
    <cellStyle name="T_Tong hop theo doi von TPCP" xfId="1746"/>
    <cellStyle name="T_Tong hop theo doi von TPCP 2" xfId="2745"/>
    <cellStyle name="T_Tong hop theo doi von TPCP 2 2" xfId="2746"/>
    <cellStyle name="T_Tong hop theo doi von TPCP 3" xfId="2747"/>
    <cellStyle name="T_Tong hop theo doi von TPCP_Bao cao kiem toan kh 2010" xfId="1747"/>
    <cellStyle name="T_Tong hop theo doi von TPCP_Bao cao kiem toan kh 2010 2" xfId="2748"/>
    <cellStyle name="T_Tong hop theo doi von TPCP_Bao cao kiem toan kh 2010 2 2" xfId="2749"/>
    <cellStyle name="T_Tong hop theo doi von TPCP_Bao cao kiem toan kh 2010 3" xfId="2750"/>
    <cellStyle name="T_Tong hop theo doi von TPCP_Ke hoach 2010 (theo doi)2" xfId="1748"/>
    <cellStyle name="T_Tong hop theo doi von TPCP_Ke hoach 2010 (theo doi)2 2" xfId="2751"/>
    <cellStyle name="T_Tong hop theo doi von TPCP_Ke hoach 2010 (theo doi)2 2 2" xfId="2752"/>
    <cellStyle name="T_Tong hop theo doi von TPCP_Ke hoach 2010 (theo doi)2 3" xfId="2753"/>
    <cellStyle name="T_Tong hop theo doi von TPCP_QD UBND tinh" xfId="1749"/>
    <cellStyle name="T_Tong hop theo doi von TPCP_QD UBND tinh 2" xfId="2754"/>
    <cellStyle name="T_Tong hop theo doi von TPCP_QD UBND tinh 2 2" xfId="2755"/>
    <cellStyle name="T_Tong hop theo doi von TPCP_QD UBND tinh 3" xfId="2756"/>
    <cellStyle name="T_Tong hop theo doi von TPCP_Worksheet in D: My Documents Luc Van ban xu ly Nam 2011 Bao cao ra soat tam ung TPCP" xfId="1750"/>
    <cellStyle name="T_Tong hop theo doi von TPCP_Worksheet in D: My Documents Luc Van ban xu ly Nam 2011 Bao cao ra soat tam ung TPCP 2" xfId="2757"/>
    <cellStyle name="T_Tong hop theo doi von TPCP_Worksheet in D: My Documents Luc Van ban xu ly Nam 2011 Bao cao ra soat tam ung TPCP 2 2" xfId="2758"/>
    <cellStyle name="T_Tong hop theo doi von TPCP_Worksheet in D: My Documents Luc Van ban xu ly Nam 2011 Bao cao ra soat tam ung TPCP 3" xfId="2759"/>
    <cellStyle name="T_VBPL kiểm toán Đầu tư XDCB 2010" xfId="1751"/>
    <cellStyle name="T_VBPL kiểm toán Đầu tư XDCB 2010 2" xfId="2778"/>
    <cellStyle name="T_VBPL kiểm toán Đầu tư XDCB 2010 2 2" xfId="2779"/>
    <cellStyle name="T_VBPL kiểm toán Đầu tư XDCB 2010 3" xfId="2780"/>
    <cellStyle name="T_Worksheet in D: ... Hoan thien 5goi theo KL cu 28-06 4.Cong 5goi Coc 33-Km1+490.13 Cong coc 33-km1+490.13" xfId="1752"/>
    <cellStyle name="T_Worksheet in D: ... Hoan thien 5goi theo KL cu 28-06 4.Cong 5goi Coc 33-Km1+490.13 Cong coc 33-km1+490.13 2" xfId="2781"/>
    <cellStyle name="T_Worksheet in D: ... Hoan thien 5goi theo KL cu 28-06 4.Cong 5goi Coc 33-Km1+490.13 Cong coc 33-km1+490.13 2 2" xfId="2782"/>
    <cellStyle name="T_Worksheet in D: ... Hoan thien 5goi theo KL cu 28-06 4.Cong 5goi Coc 33-Km1+490.13 Cong coc 33-km1+490.13 3" xfId="2783"/>
    <cellStyle name="T_ÿÿÿÿÿ" xfId="1753"/>
    <cellStyle name="T_ÿÿÿÿÿ 2" xfId="2784"/>
    <cellStyle name="T_ÿÿÿÿÿ 2 2" xfId="2785"/>
    <cellStyle name="T_ÿÿÿÿÿ 3" xfId="2786"/>
    <cellStyle name="Text" xfId="1754"/>
    <cellStyle name="Text Indent A" xfId="1755"/>
    <cellStyle name="Text Indent B" xfId="1756"/>
    <cellStyle name="Text Indent C" xfId="1757"/>
    <cellStyle name="Text_Bao cao doan cong tac cua Bo thang 4-2010" xfId="1758"/>
    <cellStyle name="th" xfId="1759"/>
    <cellStyle name="th 2" xfId="2800"/>
    <cellStyle name="th 2 2" xfId="2801"/>
    <cellStyle name="th 3" xfId="2802"/>
    <cellStyle name="than" xfId="1760"/>
    <cellStyle name="thanh" xfId="1761"/>
    <cellStyle name="þ_x001d_ð¤_x000c_¯þ_x0014__x000d_¨þU_x0001_À_x0004_ _x0015__x000f__x0001__x0001_" xfId="1762"/>
    <cellStyle name="þ_x001d_ð·_x000c_æþ'_x000d_ßþU_x0001_Ø_x0005_ü_x0014__x0007__x0001__x0001_" xfId="1763"/>
    <cellStyle name="þ_x001d_ðÇ%Uý—&amp;Hý9_x0008_Ÿ s_x000a__x0007__x0001__x0001_" xfId="1764"/>
    <cellStyle name="þ_x001d_ðÇ%Uý—&amp;Hý9_x0008_Ÿ_x0009_s_x000a__x0007__x0001__x0001_" xfId="1978"/>
    <cellStyle name="þ_x001d_ðK_x000c_Fý_x001b__x000d_9ýU_x0001_Ð_x0008_¦)_x0007__x0001__x0001_" xfId="1765"/>
    <cellStyle name="thuong-10" xfId="1766"/>
    <cellStyle name="thuong-11" xfId="1767"/>
    <cellStyle name="Thuyet minh" xfId="1768"/>
    <cellStyle name="Tien1" xfId="1769"/>
    <cellStyle name="Tiêu đề" xfId="1770"/>
    <cellStyle name="Times New Roman" xfId="1771"/>
    <cellStyle name="Tính toán" xfId="1772"/>
    <cellStyle name="Tính toán 2" xfId="2787"/>
    <cellStyle name="Tính toán 2 2" xfId="2788"/>
    <cellStyle name="Tính toán 3" xfId="2789"/>
    <cellStyle name="tit1" xfId="1773"/>
    <cellStyle name="tit2" xfId="1774"/>
    <cellStyle name="tit2 2" xfId="2790"/>
    <cellStyle name="tit2 2 2" xfId="2791"/>
    <cellStyle name="tit2 3" xfId="2792"/>
    <cellStyle name="tit3" xfId="1775"/>
    <cellStyle name="tit4" xfId="1776"/>
    <cellStyle name="Title 2" xfId="1777"/>
    <cellStyle name="Title 3" xfId="1932"/>
    <cellStyle name="Title 4" xfId="125"/>
    <cellStyle name="Tổng" xfId="1778"/>
    <cellStyle name="Tổng 2" xfId="2797"/>
    <cellStyle name="Tổng 2 2" xfId="2798"/>
    <cellStyle name="Tổng 3" xfId="2799"/>
    <cellStyle name="Tongcong" xfId="1779"/>
    <cellStyle name="Tongcong 2" xfId="2793"/>
    <cellStyle name="Tốt" xfId="1780"/>
    <cellStyle name="Total 2" xfId="1781"/>
    <cellStyle name="Total 3" xfId="1782"/>
    <cellStyle name="Total 3 2" xfId="2794"/>
    <cellStyle name="Total 3 2 2" xfId="2795"/>
    <cellStyle name="Total 3 3" xfId="2796"/>
    <cellStyle name="Total 4" xfId="1933"/>
    <cellStyle name="Total 5" xfId="126"/>
    <cellStyle name="trang" xfId="1783"/>
    <cellStyle name="Trung tính" xfId="1784"/>
    <cellStyle name="tt1" xfId="1785"/>
    <cellStyle name="Tuan" xfId="1786"/>
    <cellStyle name="Tusental (0)_pldt" xfId="1787"/>
    <cellStyle name="Tusental_pldt" xfId="1788"/>
    <cellStyle name="u" xfId="1789"/>
    <cellStyle name="ux_3_¼­¿ï-¾È»ê" xfId="1790"/>
    <cellStyle name="Valuta (0)_CALPREZZ" xfId="1791"/>
    <cellStyle name="Valuta_ PESO ELETTR." xfId="1792"/>
    <cellStyle name="Văn bản Cảnh báo" xfId="1793"/>
    <cellStyle name="Văn bản Giải thích" xfId="1794"/>
    <cellStyle name="VANG1" xfId="1795"/>
    <cellStyle name="viet" xfId="1796"/>
    <cellStyle name="viet2" xfId="1797"/>
    <cellStyle name="viet2 2" xfId="2803"/>
    <cellStyle name="Vietnam 1" xfId="1798"/>
    <cellStyle name="VN new romanNormal" xfId="1799"/>
    <cellStyle name="VN new romanNormal 2" xfId="2804"/>
    <cellStyle name="VN new romanNormal 2 2" xfId="2805"/>
    <cellStyle name="vn time 10" xfId="1800"/>
    <cellStyle name="Vn Time 13" xfId="1801"/>
    <cellStyle name="Vn Time 14" xfId="1802"/>
    <cellStyle name="VN time new roman" xfId="1803"/>
    <cellStyle name="VN time new roman 2" xfId="2806"/>
    <cellStyle name="VN time new roman 2 2" xfId="2807"/>
    <cellStyle name="vn_time" xfId="1804"/>
    <cellStyle name="vnbo" xfId="1805"/>
    <cellStyle name="vnbo 2" xfId="2808"/>
    <cellStyle name="vnbo 2 2" xfId="2809"/>
    <cellStyle name="vnbo 3" xfId="2810"/>
    <cellStyle name="vnhead1" xfId="1806"/>
    <cellStyle name="vnhead1 2" xfId="2811"/>
    <cellStyle name="vnhead2" xfId="1807"/>
    <cellStyle name="vnhead2 2" xfId="2812"/>
    <cellStyle name="vnhead2 2 2" xfId="2813"/>
    <cellStyle name="vnhead2 3" xfId="2814"/>
    <cellStyle name="vnhead3" xfId="1808"/>
    <cellStyle name="vnhead3 2" xfId="2815"/>
    <cellStyle name="vnhead3 2 2" xfId="2816"/>
    <cellStyle name="vnhead3 3" xfId="2817"/>
    <cellStyle name="vnhead4" xfId="1809"/>
    <cellStyle name="vntxt1" xfId="1810"/>
    <cellStyle name="vntxt2" xfId="1811"/>
    <cellStyle name="W?hrung [0]_35ERI8T2gbIEMixb4v26icuOo" xfId="1812"/>
    <cellStyle name="W?hrung_35ERI8T2gbIEMixb4v26icuOo" xfId="1813"/>
    <cellStyle name="Währung [0]_68574_Materialbedarfsliste" xfId="1814"/>
    <cellStyle name="Währung_68574_Materialbedarfsliste" xfId="1815"/>
    <cellStyle name="Walutowy [0]_Invoices2001Slovakia" xfId="1816"/>
    <cellStyle name="Walutowy_Invoices2001Slovakia" xfId="1817"/>
    <cellStyle name="Warning Text 2" xfId="1818"/>
    <cellStyle name="Warning Text 3" xfId="1934"/>
    <cellStyle name="Warning Text 4" xfId="127"/>
    <cellStyle name="wrap" xfId="1819"/>
    <cellStyle name="Wไhrung [0]_35ERI8T2gbIEMixb4v26icuOo" xfId="1820"/>
    <cellStyle name="Wไhrung_35ERI8T2gbIEMixb4v26icuOo" xfId="1821"/>
    <cellStyle name="Xấu" xfId="1822"/>
    <cellStyle name="xuan" xfId="1823"/>
    <cellStyle name="y" xfId="1824"/>
    <cellStyle name="Ý kh¸c_B¶ng 1 (2)" xfId="1825"/>
    <cellStyle name="เครื่องหมายสกุลเงิน [0]_FTC_OFFER" xfId="1826"/>
    <cellStyle name="เครื่องหมายสกุลเงิน_FTC_OFFER" xfId="1827"/>
    <cellStyle name="ปกติ_FTC_OFFER" xfId="1828"/>
    <cellStyle name=" [0.00]_ Att. 1- Cover" xfId="1829"/>
    <cellStyle name="_ Att. 1- Cover" xfId="1830"/>
    <cellStyle name="?_ Att. 1- Cover" xfId="1831"/>
    <cellStyle name="똿뗦먛귟 [0.00]_PRODUCT DETAIL Q1" xfId="128"/>
    <cellStyle name="똿뗦먛귟_PRODUCT DETAIL Q1" xfId="129"/>
    <cellStyle name="믅됞 [0.00]_PRODUCT DETAIL Q1" xfId="130"/>
    <cellStyle name="믅됞_PRODUCT DETAIL Q1" xfId="131"/>
    <cellStyle name="백분율_††††† " xfId="1832"/>
    <cellStyle name="뷭?_BOOKSHIP" xfId="132"/>
    <cellStyle name="안건회계법인" xfId="1833"/>
    <cellStyle name="콤마 [ - 유형1" xfId="1834"/>
    <cellStyle name="콤마 [ - 유형2" xfId="1835"/>
    <cellStyle name="콤마 [ - 유형3" xfId="1836"/>
    <cellStyle name="콤마 [ - 유형4" xfId="1837"/>
    <cellStyle name="콤마 [ - 유형5" xfId="1838"/>
    <cellStyle name="콤마 [ - 유형6" xfId="1839"/>
    <cellStyle name="콤마 [ - 유형7" xfId="1840"/>
    <cellStyle name="콤마 [ - 유형8" xfId="1841"/>
    <cellStyle name="콤마 [0]_ 비목별 월별기술 " xfId="1842"/>
    <cellStyle name="콤마_ 비목별 월별기술 " xfId="1843"/>
    <cellStyle name="통화 [0]_††††† " xfId="1844"/>
    <cellStyle name="통화_††††† " xfId="1845"/>
    <cellStyle name="표준_ 97년 경영분석(안)" xfId="1846"/>
    <cellStyle name="표줠_Sheet1_1_총괄표 (수출입) (2)" xfId="1847"/>
    <cellStyle name="一般_00Q3902REV.1" xfId="1848"/>
    <cellStyle name="千分位[0]_00Q3902REV.1" xfId="1849"/>
    <cellStyle name="千分位_00Q3902REV.1" xfId="1850"/>
    <cellStyle name="桁区切り [0.00]_BE-BQ" xfId="1851"/>
    <cellStyle name="桁区切り_BE-BQ" xfId="1852"/>
    <cellStyle name="標準_(A1)BOQ " xfId="1853"/>
    <cellStyle name="貨幣 [0]_00Q3902REV.1" xfId="1854"/>
    <cellStyle name="貨幣[0]_BRE" xfId="1855"/>
    <cellStyle name="貨幣_00Q3902REV.1" xfId="1856"/>
    <cellStyle name="通貨 [0.00]_BE-BQ" xfId="1857"/>
    <cellStyle name="通貨_BE-BQ" xfId="1858"/>
  </cellStyles>
  <dxfs count="0"/>
  <tableStyles count="0" defaultTableStyle="TableStyleMedium2" defaultPivotStyle="PivotStyleLight16"/>
  <colors>
    <mruColors>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LONG%202020\HO%20SO%20XD%20DT%202021\Ho%20so%20DT%20file%20goc_2021\DT%202014%20_%20PA%20sau%20TL\DT%202014%20_%20PA%20sau%20TL\WINDOWS\Desktop\Khiem2004\anhvan\tam\nah%2095-97\My%20Documents\DT%20XECEL\A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Users\trantngoc\AppData\Roaming\eOffice\TMP12345S\WINDOWS\Desktop\Khiem2004\anhvan\tam\nah%2095-97\My%20Documents\DT%20XECEL\A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an_P.QLNS/DU%20TOAN%202021/Khoi%20Huyen/Ho%20so%20DT%20file%20goc_2021/DT%202014%20_%20PA%20sau%20TL/DT%202014%20_%20PA%20sau%20TL/WINDOWS/Desktop/Khiem2004/anhvan/tam/nah%2095-97/My%20Documents/DT%20XECEL/A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Ph­¬ng mai 2"/>
      <sheetName val="CL Ph­¬ng mai 2"/>
      <sheetName val="DT MN V¨n H­¬ng"/>
      <sheetName val="CL MN V¨n H­¬ng"/>
      <sheetName val="DT Hµ t©y"/>
      <sheetName val="CL Hµ t©y"/>
      <sheetName val="DT Bæ tóc"/>
      <sheetName val="CL Bæ tóc"/>
      <sheetName val="DT Ph­¬ng mai 1"/>
      <sheetName val="CL Ph­¬ng mai  1"/>
      <sheetName val="§¬n gi¸ chÝnh"/>
      <sheetName val="Dù to¸n mÉu"/>
      <sheetName val="CLVL MÉu"/>
      <sheetName val="00000000"/>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F4">
            <v>0</v>
          </cell>
        </row>
        <row r="5">
          <cell r="F5">
            <v>1369</v>
          </cell>
        </row>
        <row r="6">
          <cell r="F6">
            <v>1712</v>
          </cell>
        </row>
        <row r="7">
          <cell r="F7">
            <v>1011</v>
          </cell>
        </row>
        <row r="9">
          <cell r="F9">
            <v>1011</v>
          </cell>
        </row>
        <row r="10">
          <cell r="F10">
            <v>643.1</v>
          </cell>
        </row>
        <row r="11">
          <cell r="F11">
            <v>2750</v>
          </cell>
        </row>
        <row r="12">
          <cell r="F12">
            <v>3951</v>
          </cell>
        </row>
        <row r="13">
          <cell r="F13">
            <v>1617</v>
          </cell>
        </row>
        <row r="14">
          <cell r="F14">
            <v>2780</v>
          </cell>
        </row>
        <row r="15">
          <cell r="F15">
            <v>4052</v>
          </cell>
        </row>
        <row r="16">
          <cell r="F16">
            <v>1232</v>
          </cell>
        </row>
        <row r="17">
          <cell r="F17">
            <v>1960</v>
          </cell>
        </row>
        <row r="18">
          <cell r="F18">
            <v>780</v>
          </cell>
        </row>
        <row r="19">
          <cell r="F19">
            <v>2206</v>
          </cell>
        </row>
        <row r="20">
          <cell r="F20">
            <v>2206</v>
          </cell>
        </row>
        <row r="21">
          <cell r="F21">
            <v>1312</v>
          </cell>
        </row>
        <row r="22">
          <cell r="F22">
            <v>12840</v>
          </cell>
        </row>
        <row r="23">
          <cell r="F23">
            <v>2599</v>
          </cell>
        </row>
        <row r="24">
          <cell r="F24">
            <v>1471</v>
          </cell>
        </row>
        <row r="25">
          <cell r="F25">
            <v>135290</v>
          </cell>
        </row>
        <row r="26">
          <cell r="F26">
            <v>1894</v>
          </cell>
        </row>
        <row r="27">
          <cell r="F27">
            <v>3632</v>
          </cell>
        </row>
        <row r="28">
          <cell r="F28">
            <v>1894</v>
          </cell>
        </row>
        <row r="29">
          <cell r="F29">
            <v>14747</v>
          </cell>
        </row>
        <row r="30">
          <cell r="F30">
            <v>5835</v>
          </cell>
        </row>
        <row r="31">
          <cell r="F31">
            <v>12840</v>
          </cell>
        </row>
        <row r="32">
          <cell r="F32">
            <v>1471</v>
          </cell>
        </row>
        <row r="33">
          <cell r="F33">
            <v>12840</v>
          </cell>
        </row>
        <row r="40">
          <cell r="F40">
            <v>324</v>
          </cell>
        </row>
        <row r="41">
          <cell r="F41">
            <v>891</v>
          </cell>
        </row>
        <row r="42">
          <cell r="F42">
            <v>891</v>
          </cell>
        </row>
        <row r="43">
          <cell r="F43">
            <v>130</v>
          </cell>
        </row>
        <row r="53">
          <cell r="F53">
            <v>400</v>
          </cell>
        </row>
        <row r="54">
          <cell r="F54">
            <v>1068</v>
          </cell>
        </row>
        <row r="55">
          <cell r="F55">
            <v>12840</v>
          </cell>
        </row>
        <row r="56">
          <cell r="F56">
            <v>12840</v>
          </cell>
        </row>
        <row r="60">
          <cell r="F60">
            <v>2470</v>
          </cell>
        </row>
        <row r="61">
          <cell r="F61">
            <v>2007</v>
          </cell>
        </row>
        <row r="62">
          <cell r="F62">
            <v>12840</v>
          </cell>
        </row>
        <row r="63">
          <cell r="F63">
            <v>10700</v>
          </cell>
        </row>
        <row r="64">
          <cell r="F64">
            <v>2189</v>
          </cell>
        </row>
        <row r="65">
          <cell r="F65">
            <v>2736</v>
          </cell>
        </row>
        <row r="66">
          <cell r="F66">
            <v>2736</v>
          </cell>
        </row>
        <row r="67">
          <cell r="F67">
            <v>1519</v>
          </cell>
        </row>
        <row r="68">
          <cell r="F68">
            <v>304</v>
          </cell>
        </row>
        <row r="69">
          <cell r="F69">
            <v>12840</v>
          </cell>
        </row>
        <row r="70">
          <cell r="F70">
            <v>12840</v>
          </cell>
        </row>
        <row r="72">
          <cell r="F72">
            <v>2803</v>
          </cell>
        </row>
        <row r="73">
          <cell r="F73">
            <v>8072</v>
          </cell>
        </row>
        <row r="74">
          <cell r="F74">
            <v>1528</v>
          </cell>
        </row>
        <row r="75">
          <cell r="F75">
            <v>12840</v>
          </cell>
        </row>
        <row r="76">
          <cell r="F76">
            <v>540</v>
          </cell>
        </row>
        <row r="82">
          <cell r="F82">
            <v>1518.99</v>
          </cell>
        </row>
        <row r="83">
          <cell r="F83">
            <v>12840</v>
          </cell>
        </row>
        <row r="89">
          <cell r="F89">
            <v>8988</v>
          </cell>
        </row>
        <row r="90">
          <cell r="F90">
            <v>2736</v>
          </cell>
        </row>
        <row r="91">
          <cell r="F91">
            <v>5188</v>
          </cell>
        </row>
        <row r="92">
          <cell r="F92">
            <v>51495</v>
          </cell>
        </row>
        <row r="93">
          <cell r="F93">
            <v>1700.58</v>
          </cell>
        </row>
        <row r="94">
          <cell r="F94">
            <v>1700.58</v>
          </cell>
        </row>
        <row r="95">
          <cell r="F95">
            <v>1700.58</v>
          </cell>
        </row>
        <row r="96">
          <cell r="F96">
            <v>12840</v>
          </cell>
        </row>
        <row r="97">
          <cell r="F97">
            <v>2375</v>
          </cell>
        </row>
        <row r="100">
          <cell r="F100">
            <v>12840</v>
          </cell>
        </row>
        <row r="101">
          <cell r="F101">
            <v>20714</v>
          </cell>
        </row>
        <row r="102">
          <cell r="F102">
            <v>2969</v>
          </cell>
        </row>
        <row r="103">
          <cell r="F103">
            <v>20000</v>
          </cell>
        </row>
        <row r="105">
          <cell r="F105">
            <v>36282</v>
          </cell>
        </row>
        <row r="107">
          <cell r="F107">
            <v>4525</v>
          </cell>
        </row>
        <row r="108">
          <cell r="F108">
            <v>5430</v>
          </cell>
        </row>
        <row r="113">
          <cell r="F113">
            <v>539</v>
          </cell>
        </row>
        <row r="114">
          <cell r="F114">
            <v>552</v>
          </cell>
        </row>
        <row r="115">
          <cell r="F115">
            <v>1962</v>
          </cell>
        </row>
        <row r="116">
          <cell r="F116">
            <v>1962</v>
          </cell>
        </row>
        <row r="117">
          <cell r="F117">
            <v>892</v>
          </cell>
        </row>
        <row r="118">
          <cell r="F118">
            <v>892</v>
          </cell>
        </row>
        <row r="119">
          <cell r="F119">
            <v>892</v>
          </cell>
        </row>
        <row r="120">
          <cell r="F120">
            <v>892</v>
          </cell>
        </row>
        <row r="122">
          <cell r="F122">
            <v>11940</v>
          </cell>
        </row>
        <row r="125">
          <cell r="F125">
            <v>583.70000000000005</v>
          </cell>
        </row>
        <row r="126">
          <cell r="F126">
            <v>583.70000000000005</v>
          </cell>
        </row>
        <row r="127">
          <cell r="F127">
            <v>4510</v>
          </cell>
        </row>
        <row r="129">
          <cell r="F129">
            <v>10700</v>
          </cell>
        </row>
        <row r="132">
          <cell r="F132">
            <v>5000</v>
          </cell>
        </row>
        <row r="133">
          <cell r="F133">
            <v>5000</v>
          </cell>
        </row>
        <row r="135">
          <cell r="F135">
            <v>4510</v>
          </cell>
        </row>
        <row r="136">
          <cell r="F136">
            <v>1649</v>
          </cell>
        </row>
        <row r="137">
          <cell r="F137">
            <v>1649</v>
          </cell>
        </row>
        <row r="138">
          <cell r="F138">
            <v>1649</v>
          </cell>
        </row>
        <row r="139">
          <cell r="F139">
            <v>1649</v>
          </cell>
        </row>
        <row r="140">
          <cell r="F140">
            <v>10000</v>
          </cell>
        </row>
        <row r="141">
          <cell r="F141">
            <v>5000</v>
          </cell>
        </row>
        <row r="142">
          <cell r="F142">
            <v>50000</v>
          </cell>
        </row>
        <row r="143">
          <cell r="F143">
            <v>35490</v>
          </cell>
        </row>
        <row r="148">
          <cell r="F148">
            <v>300</v>
          </cell>
        </row>
        <row r="149">
          <cell r="F149">
            <v>465</v>
          </cell>
        </row>
        <row r="150">
          <cell r="F150">
            <v>300</v>
          </cell>
        </row>
        <row r="151">
          <cell r="F151">
            <v>8068</v>
          </cell>
        </row>
        <row r="152">
          <cell r="F152">
            <v>6413</v>
          </cell>
        </row>
        <row r="154">
          <cell r="F154">
            <v>43152</v>
          </cell>
        </row>
        <row r="155">
          <cell r="F155">
            <v>13079</v>
          </cell>
        </row>
        <row r="156">
          <cell r="F156">
            <v>10700</v>
          </cell>
        </row>
        <row r="157">
          <cell r="F157">
            <v>35490</v>
          </cell>
        </row>
        <row r="160">
          <cell r="F160">
            <v>3091</v>
          </cell>
        </row>
        <row r="161">
          <cell r="F161">
            <v>3091</v>
          </cell>
        </row>
        <row r="162">
          <cell r="F162">
            <v>2089</v>
          </cell>
        </row>
        <row r="163">
          <cell r="F163">
            <v>1962</v>
          </cell>
        </row>
        <row r="165">
          <cell r="F165">
            <v>2189</v>
          </cell>
        </row>
        <row r="166">
          <cell r="F166">
            <v>583.70000000000005</v>
          </cell>
        </row>
        <row r="170">
          <cell r="F170">
            <v>12960</v>
          </cell>
        </row>
        <row r="175">
          <cell r="F175">
            <v>15494</v>
          </cell>
        </row>
        <row r="554">
          <cell r="F554">
            <v>1490</v>
          </cell>
        </row>
        <row r="555">
          <cell r="F555">
            <v>6082</v>
          </cell>
        </row>
        <row r="556">
          <cell r="F556">
            <v>1738</v>
          </cell>
        </row>
        <row r="557">
          <cell r="F557">
            <v>6827</v>
          </cell>
        </row>
        <row r="558">
          <cell r="F558">
            <v>2483</v>
          </cell>
        </row>
        <row r="559">
          <cell r="F559">
            <v>8689</v>
          </cell>
        </row>
        <row r="560">
          <cell r="F560">
            <v>16758</v>
          </cell>
        </row>
        <row r="561">
          <cell r="F561">
            <v>40218</v>
          </cell>
        </row>
        <row r="562">
          <cell r="F562">
            <v>15695</v>
          </cell>
        </row>
        <row r="563">
          <cell r="F563">
            <v>15695</v>
          </cell>
        </row>
        <row r="564">
          <cell r="F564">
            <v>15695</v>
          </cell>
        </row>
        <row r="565">
          <cell r="F565">
            <v>27369</v>
          </cell>
        </row>
        <row r="566">
          <cell r="F566">
            <v>27369</v>
          </cell>
        </row>
        <row r="567">
          <cell r="F567">
            <v>27369</v>
          </cell>
        </row>
        <row r="568">
          <cell r="F568">
            <v>19716</v>
          </cell>
        </row>
        <row r="569">
          <cell r="F569">
            <v>31390</v>
          </cell>
        </row>
        <row r="570">
          <cell r="F570">
            <v>21662</v>
          </cell>
        </row>
        <row r="571">
          <cell r="F571">
            <v>26072</v>
          </cell>
        </row>
        <row r="572">
          <cell r="F572">
            <v>23607</v>
          </cell>
        </row>
        <row r="573">
          <cell r="F573">
            <v>26720</v>
          </cell>
        </row>
        <row r="574">
          <cell r="F574">
            <v>46177</v>
          </cell>
        </row>
        <row r="575">
          <cell r="F575">
            <v>66152</v>
          </cell>
        </row>
        <row r="576">
          <cell r="F576">
            <v>60964</v>
          </cell>
        </row>
        <row r="577">
          <cell r="F577">
            <v>115312</v>
          </cell>
        </row>
        <row r="578">
          <cell r="F578">
            <v>68746</v>
          </cell>
        </row>
        <row r="579">
          <cell r="F579">
            <v>118036</v>
          </cell>
        </row>
        <row r="580">
          <cell r="F580">
            <v>389</v>
          </cell>
        </row>
        <row r="581">
          <cell r="F581">
            <v>649</v>
          </cell>
        </row>
        <row r="582">
          <cell r="F582">
            <v>1167</v>
          </cell>
        </row>
        <row r="583">
          <cell r="F583">
            <v>908</v>
          </cell>
        </row>
        <row r="584">
          <cell r="F584">
            <v>1038</v>
          </cell>
        </row>
        <row r="585">
          <cell r="F585">
            <v>519</v>
          </cell>
        </row>
        <row r="586">
          <cell r="F586">
            <v>778</v>
          </cell>
        </row>
        <row r="587">
          <cell r="F587">
            <v>1167</v>
          </cell>
        </row>
        <row r="588">
          <cell r="F588">
            <v>2594</v>
          </cell>
        </row>
        <row r="589">
          <cell r="F589">
            <v>259</v>
          </cell>
        </row>
        <row r="590">
          <cell r="F590">
            <v>454</v>
          </cell>
        </row>
        <row r="591">
          <cell r="F591">
            <v>1038</v>
          </cell>
        </row>
        <row r="592">
          <cell r="F592">
            <v>1245</v>
          </cell>
        </row>
        <row r="593">
          <cell r="F593">
            <v>23348</v>
          </cell>
        </row>
        <row r="594">
          <cell r="F594">
            <v>21402</v>
          </cell>
        </row>
        <row r="595">
          <cell r="F595">
            <v>14138</v>
          </cell>
        </row>
        <row r="596">
          <cell r="F596">
            <v>26201</v>
          </cell>
        </row>
        <row r="597">
          <cell r="F597">
            <v>24385</v>
          </cell>
        </row>
        <row r="598">
          <cell r="F598">
            <v>24515</v>
          </cell>
        </row>
        <row r="599">
          <cell r="F599">
            <v>24515</v>
          </cell>
        </row>
        <row r="600">
          <cell r="F600">
            <v>38783</v>
          </cell>
        </row>
        <row r="601">
          <cell r="F601">
            <v>38783</v>
          </cell>
        </row>
        <row r="602">
          <cell r="F602">
            <v>84.311999999999998</v>
          </cell>
        </row>
        <row r="603">
          <cell r="F603">
            <v>114.145</v>
          </cell>
        </row>
        <row r="604">
          <cell r="F604">
            <v>778</v>
          </cell>
        </row>
        <row r="605">
          <cell r="F605">
            <v>1167</v>
          </cell>
        </row>
        <row r="606">
          <cell r="F606">
            <v>389</v>
          </cell>
        </row>
        <row r="607">
          <cell r="F607">
            <v>519</v>
          </cell>
        </row>
        <row r="608">
          <cell r="F608">
            <v>649</v>
          </cell>
        </row>
        <row r="609">
          <cell r="F609">
            <v>778</v>
          </cell>
        </row>
        <row r="610">
          <cell r="F610">
            <v>778</v>
          </cell>
        </row>
        <row r="611">
          <cell r="F611">
            <v>519</v>
          </cell>
        </row>
        <row r="612">
          <cell r="F612">
            <v>1427</v>
          </cell>
        </row>
        <row r="613">
          <cell r="F613">
            <v>1686</v>
          </cell>
        </row>
        <row r="614">
          <cell r="F614">
            <v>389</v>
          </cell>
        </row>
        <row r="615">
          <cell r="F615">
            <v>519</v>
          </cell>
        </row>
        <row r="616">
          <cell r="F616">
            <v>519</v>
          </cell>
        </row>
        <row r="617">
          <cell r="F617">
            <v>778</v>
          </cell>
        </row>
        <row r="618">
          <cell r="F618">
            <v>1297</v>
          </cell>
        </row>
        <row r="619">
          <cell r="F619">
            <v>5837</v>
          </cell>
        </row>
        <row r="620">
          <cell r="F620">
            <v>1297</v>
          </cell>
        </row>
        <row r="621">
          <cell r="F621">
            <v>1686</v>
          </cell>
        </row>
        <row r="622">
          <cell r="F622">
            <v>1946</v>
          </cell>
        </row>
        <row r="623">
          <cell r="F623">
            <v>7783</v>
          </cell>
        </row>
        <row r="624">
          <cell r="F624">
            <v>2594</v>
          </cell>
        </row>
        <row r="625">
          <cell r="F625">
            <v>11373</v>
          </cell>
        </row>
        <row r="626">
          <cell r="F626">
            <v>12099</v>
          </cell>
        </row>
        <row r="627">
          <cell r="F627">
            <v>19721</v>
          </cell>
        </row>
        <row r="628">
          <cell r="F628">
            <v>17302</v>
          </cell>
        </row>
        <row r="629">
          <cell r="F629">
            <v>5445</v>
          </cell>
        </row>
        <row r="630">
          <cell r="F630">
            <v>7501</v>
          </cell>
        </row>
        <row r="631">
          <cell r="F631">
            <v>9437</v>
          </cell>
        </row>
        <row r="632">
          <cell r="F632">
            <v>6775</v>
          </cell>
        </row>
        <row r="633">
          <cell r="F633">
            <v>9921</v>
          </cell>
        </row>
        <row r="634">
          <cell r="F634">
            <v>15003</v>
          </cell>
        </row>
        <row r="635">
          <cell r="F635">
            <v>23351</v>
          </cell>
        </row>
        <row r="636">
          <cell r="F636">
            <v>7501</v>
          </cell>
        </row>
        <row r="637">
          <cell r="F637">
            <v>10647</v>
          </cell>
        </row>
        <row r="638">
          <cell r="F638">
            <v>15850</v>
          </cell>
        </row>
        <row r="639">
          <cell r="F639">
            <v>24198</v>
          </cell>
        </row>
        <row r="640">
          <cell r="F640">
            <v>5566</v>
          </cell>
        </row>
        <row r="641">
          <cell r="F641">
            <v>7622</v>
          </cell>
        </row>
        <row r="642">
          <cell r="F642">
            <v>11736</v>
          </cell>
        </row>
        <row r="643">
          <cell r="F643">
            <v>17665</v>
          </cell>
        </row>
        <row r="644">
          <cell r="F644">
            <v>13188</v>
          </cell>
        </row>
        <row r="645">
          <cell r="F645">
            <v>9195</v>
          </cell>
        </row>
        <row r="646">
          <cell r="F646">
            <v>14398</v>
          </cell>
        </row>
        <row r="647">
          <cell r="F647">
            <v>22988</v>
          </cell>
        </row>
        <row r="648">
          <cell r="F648">
            <v>37507</v>
          </cell>
        </row>
        <row r="649">
          <cell r="F649">
            <v>13188</v>
          </cell>
        </row>
        <row r="650">
          <cell r="F650">
            <v>19116</v>
          </cell>
        </row>
        <row r="651">
          <cell r="F651">
            <v>28312</v>
          </cell>
        </row>
        <row r="652">
          <cell r="F652">
            <v>43556</v>
          </cell>
        </row>
        <row r="653">
          <cell r="F653">
            <v>6050</v>
          </cell>
        </row>
        <row r="654">
          <cell r="F654">
            <v>9316</v>
          </cell>
        </row>
        <row r="655">
          <cell r="F655">
            <v>15124</v>
          </cell>
        </row>
        <row r="656">
          <cell r="F656">
            <v>24198</v>
          </cell>
        </row>
        <row r="657">
          <cell r="F657">
            <v>18269</v>
          </cell>
        </row>
        <row r="658">
          <cell r="F658">
            <v>28312</v>
          </cell>
        </row>
        <row r="659">
          <cell r="F659">
            <v>16334</v>
          </cell>
        </row>
        <row r="660">
          <cell r="F660">
            <v>6331</v>
          </cell>
        </row>
        <row r="661">
          <cell r="F661">
            <v>7448</v>
          </cell>
        </row>
        <row r="662">
          <cell r="F662">
            <v>8317</v>
          </cell>
        </row>
        <row r="663">
          <cell r="F663">
            <v>8317</v>
          </cell>
        </row>
        <row r="664">
          <cell r="F664">
            <v>6775</v>
          </cell>
        </row>
        <row r="665">
          <cell r="F665">
            <v>6775</v>
          </cell>
        </row>
        <row r="666">
          <cell r="F666">
            <v>188.08</v>
          </cell>
        </row>
        <row r="667">
          <cell r="F667">
            <v>194.56</v>
          </cell>
        </row>
        <row r="668">
          <cell r="F668">
            <v>259.42</v>
          </cell>
        </row>
        <row r="669">
          <cell r="F669">
            <v>259.42</v>
          </cell>
        </row>
        <row r="671">
          <cell r="F671">
            <v>233.48</v>
          </cell>
        </row>
        <row r="672">
          <cell r="F672">
            <v>364.49</v>
          </cell>
        </row>
        <row r="673">
          <cell r="F673">
            <v>12960</v>
          </cell>
        </row>
        <row r="674">
          <cell r="F674">
            <v>622.61</v>
          </cell>
        </row>
        <row r="675">
          <cell r="F675">
            <v>648.54999999999995</v>
          </cell>
        </row>
        <row r="676">
          <cell r="F676">
            <v>882.03</v>
          </cell>
        </row>
        <row r="677">
          <cell r="F677">
            <v>679.68</v>
          </cell>
        </row>
        <row r="678">
          <cell r="F678">
            <v>840.52</v>
          </cell>
        </row>
        <row r="679">
          <cell r="F679">
            <v>1011.74</v>
          </cell>
        </row>
        <row r="680">
          <cell r="F680">
            <v>3923</v>
          </cell>
        </row>
        <row r="681">
          <cell r="F681">
            <v>4600</v>
          </cell>
        </row>
        <row r="682">
          <cell r="F682">
            <v>10417</v>
          </cell>
        </row>
        <row r="683">
          <cell r="F683">
            <v>10958</v>
          </cell>
        </row>
        <row r="684">
          <cell r="F684">
            <v>12988</v>
          </cell>
        </row>
        <row r="687">
          <cell r="F687">
            <v>24775</v>
          </cell>
        </row>
        <row r="688">
          <cell r="F688">
            <v>24775</v>
          </cell>
        </row>
        <row r="689">
          <cell r="F689">
            <v>24775</v>
          </cell>
        </row>
        <row r="690">
          <cell r="F690">
            <v>23867</v>
          </cell>
        </row>
        <row r="691">
          <cell r="F691">
            <v>23867</v>
          </cell>
        </row>
        <row r="692">
          <cell r="F692">
            <v>23867</v>
          </cell>
        </row>
        <row r="693">
          <cell r="F693">
            <v>32428</v>
          </cell>
        </row>
        <row r="694">
          <cell r="F694">
            <v>32428</v>
          </cell>
        </row>
        <row r="695">
          <cell r="F695">
            <v>32428</v>
          </cell>
        </row>
        <row r="696">
          <cell r="F696">
            <v>26980</v>
          </cell>
        </row>
        <row r="697">
          <cell r="F697">
            <v>26980</v>
          </cell>
        </row>
        <row r="698">
          <cell r="F698">
            <v>26980</v>
          </cell>
        </row>
        <row r="699">
          <cell r="F699">
            <v>30741</v>
          </cell>
        </row>
        <row r="700">
          <cell r="F700">
            <v>30741</v>
          </cell>
        </row>
        <row r="701">
          <cell r="F701">
            <v>30741</v>
          </cell>
        </row>
        <row r="702">
          <cell r="F702">
            <v>21662</v>
          </cell>
        </row>
        <row r="703">
          <cell r="F703">
            <v>21662</v>
          </cell>
        </row>
        <row r="704">
          <cell r="F704">
            <v>21662</v>
          </cell>
        </row>
        <row r="705">
          <cell r="F705">
            <v>21662</v>
          </cell>
        </row>
        <row r="706">
          <cell r="F706">
            <v>21662</v>
          </cell>
        </row>
        <row r="707">
          <cell r="F707">
            <v>19327</v>
          </cell>
        </row>
        <row r="708">
          <cell r="F708">
            <v>19327</v>
          </cell>
        </row>
        <row r="709">
          <cell r="F709">
            <v>19327</v>
          </cell>
        </row>
        <row r="710">
          <cell r="F710">
            <v>19327</v>
          </cell>
        </row>
        <row r="711">
          <cell r="F711">
            <v>19327</v>
          </cell>
        </row>
        <row r="712">
          <cell r="F712">
            <v>21662</v>
          </cell>
        </row>
        <row r="713">
          <cell r="F713">
            <v>21662</v>
          </cell>
        </row>
        <row r="714">
          <cell r="F714">
            <v>21662</v>
          </cell>
        </row>
        <row r="715">
          <cell r="F715">
            <v>21662</v>
          </cell>
        </row>
        <row r="716">
          <cell r="F716">
            <v>21662</v>
          </cell>
        </row>
        <row r="717">
          <cell r="F717">
            <v>19327</v>
          </cell>
        </row>
        <row r="718">
          <cell r="F718">
            <v>19327</v>
          </cell>
        </row>
        <row r="719">
          <cell r="F719">
            <v>19327</v>
          </cell>
        </row>
        <row r="720">
          <cell r="F720">
            <v>19327</v>
          </cell>
        </row>
        <row r="721">
          <cell r="F721">
            <v>19327</v>
          </cell>
        </row>
        <row r="722">
          <cell r="F722">
            <v>31260</v>
          </cell>
        </row>
        <row r="723">
          <cell r="F723">
            <v>31260</v>
          </cell>
        </row>
        <row r="724">
          <cell r="F724">
            <v>31260</v>
          </cell>
        </row>
        <row r="725">
          <cell r="F725">
            <v>31260</v>
          </cell>
        </row>
        <row r="726">
          <cell r="F726">
            <v>31260</v>
          </cell>
        </row>
        <row r="727">
          <cell r="F727">
            <v>31260</v>
          </cell>
        </row>
        <row r="728">
          <cell r="F728">
            <v>31260</v>
          </cell>
        </row>
        <row r="729">
          <cell r="F729">
            <v>31260</v>
          </cell>
        </row>
        <row r="730">
          <cell r="F730">
            <v>31260</v>
          </cell>
        </row>
        <row r="731">
          <cell r="F731">
            <v>31260</v>
          </cell>
        </row>
        <row r="732">
          <cell r="F732">
            <v>31520</v>
          </cell>
        </row>
        <row r="733">
          <cell r="F733">
            <v>31520</v>
          </cell>
        </row>
        <row r="734">
          <cell r="F734">
            <v>31520</v>
          </cell>
        </row>
        <row r="735">
          <cell r="F735">
            <v>31520</v>
          </cell>
        </row>
        <row r="736">
          <cell r="F736">
            <v>31520</v>
          </cell>
        </row>
        <row r="737">
          <cell r="F737">
            <v>31520</v>
          </cell>
        </row>
        <row r="738">
          <cell r="F738">
            <v>31520</v>
          </cell>
        </row>
        <row r="739">
          <cell r="F739">
            <v>31520</v>
          </cell>
        </row>
        <row r="740">
          <cell r="F740">
            <v>31520</v>
          </cell>
        </row>
        <row r="741">
          <cell r="F741">
            <v>31520</v>
          </cell>
        </row>
        <row r="742">
          <cell r="F742">
            <v>31520</v>
          </cell>
        </row>
        <row r="743">
          <cell r="F743">
            <v>31260</v>
          </cell>
        </row>
        <row r="744">
          <cell r="F744">
            <v>31260</v>
          </cell>
        </row>
        <row r="745">
          <cell r="F745">
            <v>31260</v>
          </cell>
        </row>
        <row r="746">
          <cell r="F746">
            <v>31260</v>
          </cell>
        </row>
        <row r="747">
          <cell r="F747">
            <v>31260</v>
          </cell>
        </row>
        <row r="748">
          <cell r="F748">
            <v>31520</v>
          </cell>
        </row>
        <row r="749">
          <cell r="F749">
            <v>31520</v>
          </cell>
        </row>
        <row r="750">
          <cell r="F750">
            <v>31520</v>
          </cell>
        </row>
        <row r="751">
          <cell r="F751">
            <v>31520</v>
          </cell>
        </row>
        <row r="752">
          <cell r="F752">
            <v>31520</v>
          </cell>
        </row>
        <row r="753">
          <cell r="F753">
            <v>24904</v>
          </cell>
        </row>
        <row r="754">
          <cell r="F754">
            <v>24904</v>
          </cell>
        </row>
        <row r="755">
          <cell r="F755">
            <v>24904</v>
          </cell>
        </row>
        <row r="756">
          <cell r="F756">
            <v>24904</v>
          </cell>
        </row>
        <row r="757">
          <cell r="F757">
            <v>24904</v>
          </cell>
        </row>
        <row r="758">
          <cell r="F758">
            <v>24904</v>
          </cell>
        </row>
        <row r="759">
          <cell r="F759">
            <v>24904</v>
          </cell>
        </row>
        <row r="760">
          <cell r="F760">
            <v>25553</v>
          </cell>
        </row>
        <row r="761">
          <cell r="F761">
            <v>25553</v>
          </cell>
        </row>
        <row r="762">
          <cell r="F762">
            <v>25553</v>
          </cell>
        </row>
        <row r="763">
          <cell r="F763">
            <v>25553</v>
          </cell>
        </row>
        <row r="764">
          <cell r="F764">
            <v>25553</v>
          </cell>
        </row>
        <row r="765">
          <cell r="F765">
            <v>25553</v>
          </cell>
        </row>
        <row r="766">
          <cell r="F766">
            <v>25553</v>
          </cell>
        </row>
        <row r="767">
          <cell r="F767">
            <v>25553</v>
          </cell>
        </row>
        <row r="768">
          <cell r="F768">
            <v>25553</v>
          </cell>
        </row>
        <row r="769">
          <cell r="F769">
            <v>24904</v>
          </cell>
        </row>
        <row r="770">
          <cell r="F770">
            <v>24904</v>
          </cell>
        </row>
        <row r="771">
          <cell r="F771">
            <v>24904</v>
          </cell>
        </row>
        <row r="772">
          <cell r="F772">
            <v>24904</v>
          </cell>
        </row>
        <row r="773">
          <cell r="F773">
            <v>24904</v>
          </cell>
        </row>
        <row r="774">
          <cell r="F774">
            <v>25553</v>
          </cell>
        </row>
        <row r="775">
          <cell r="F775">
            <v>25553</v>
          </cell>
        </row>
        <row r="776">
          <cell r="F776">
            <v>25553</v>
          </cell>
        </row>
        <row r="777">
          <cell r="F777">
            <v>25553</v>
          </cell>
        </row>
        <row r="778">
          <cell r="F778">
            <v>25553</v>
          </cell>
        </row>
        <row r="779">
          <cell r="F779">
            <v>21532</v>
          </cell>
        </row>
        <row r="780">
          <cell r="F780">
            <v>21532</v>
          </cell>
        </row>
        <row r="781">
          <cell r="F781">
            <v>21532</v>
          </cell>
        </row>
        <row r="782">
          <cell r="F782">
            <v>21532</v>
          </cell>
        </row>
        <row r="783">
          <cell r="F783">
            <v>21532</v>
          </cell>
        </row>
        <row r="784">
          <cell r="F784">
            <v>23348</v>
          </cell>
        </row>
        <row r="785">
          <cell r="F785">
            <v>23348</v>
          </cell>
        </row>
        <row r="786">
          <cell r="F786">
            <v>23348</v>
          </cell>
        </row>
        <row r="787">
          <cell r="F787">
            <v>23348</v>
          </cell>
        </row>
        <row r="788">
          <cell r="F788">
            <v>23348</v>
          </cell>
        </row>
        <row r="789">
          <cell r="F789">
            <v>38913</v>
          </cell>
        </row>
        <row r="790">
          <cell r="F790">
            <v>38913</v>
          </cell>
        </row>
        <row r="791">
          <cell r="F791">
            <v>38913</v>
          </cell>
        </row>
        <row r="792">
          <cell r="F792">
            <v>38913</v>
          </cell>
        </row>
        <row r="793">
          <cell r="F793">
            <v>51884</v>
          </cell>
        </row>
        <row r="794">
          <cell r="F794">
            <v>51884</v>
          </cell>
        </row>
        <row r="795">
          <cell r="F795">
            <v>51884</v>
          </cell>
        </row>
        <row r="796">
          <cell r="F796">
            <v>51884</v>
          </cell>
        </row>
        <row r="797">
          <cell r="F797">
            <v>46696</v>
          </cell>
        </row>
        <row r="798">
          <cell r="F798">
            <v>46696</v>
          </cell>
        </row>
        <row r="799">
          <cell r="F799">
            <v>46696</v>
          </cell>
        </row>
        <row r="800">
          <cell r="F800">
            <v>51884</v>
          </cell>
        </row>
        <row r="801">
          <cell r="F801">
            <v>51884</v>
          </cell>
        </row>
        <row r="802">
          <cell r="F802">
            <v>7653</v>
          </cell>
        </row>
        <row r="803">
          <cell r="F803">
            <v>20481</v>
          </cell>
        </row>
        <row r="804">
          <cell r="F804">
            <v>20481</v>
          </cell>
        </row>
        <row r="805">
          <cell r="F805">
            <v>14647</v>
          </cell>
        </row>
        <row r="806">
          <cell r="F806">
            <v>14647</v>
          </cell>
        </row>
        <row r="807">
          <cell r="F807">
            <v>20357</v>
          </cell>
        </row>
        <row r="808">
          <cell r="F808">
            <v>20357</v>
          </cell>
        </row>
        <row r="809">
          <cell r="F809">
            <v>20357</v>
          </cell>
        </row>
        <row r="810">
          <cell r="F810">
            <v>20357</v>
          </cell>
        </row>
        <row r="811">
          <cell r="F811">
            <v>20357</v>
          </cell>
        </row>
        <row r="812">
          <cell r="F812">
            <v>19612</v>
          </cell>
        </row>
        <row r="813">
          <cell r="F813">
            <v>19612</v>
          </cell>
        </row>
        <row r="814">
          <cell r="F814">
            <v>46177</v>
          </cell>
        </row>
        <row r="815">
          <cell r="F815">
            <v>58370</v>
          </cell>
        </row>
        <row r="816">
          <cell r="F816">
            <v>62520</v>
          </cell>
        </row>
        <row r="817">
          <cell r="F817">
            <v>46177</v>
          </cell>
        </row>
        <row r="818">
          <cell r="F818">
            <v>46177</v>
          </cell>
        </row>
        <row r="819">
          <cell r="F819">
            <v>32168</v>
          </cell>
        </row>
        <row r="820">
          <cell r="F820">
            <v>32168</v>
          </cell>
        </row>
        <row r="821">
          <cell r="F821">
            <v>32168</v>
          </cell>
        </row>
        <row r="822">
          <cell r="F822">
            <v>49290</v>
          </cell>
        </row>
        <row r="823">
          <cell r="F823">
            <v>49290</v>
          </cell>
        </row>
        <row r="824">
          <cell r="F824">
            <v>37616</v>
          </cell>
        </row>
        <row r="825">
          <cell r="F825">
            <v>39821</v>
          </cell>
        </row>
        <row r="826">
          <cell r="F826">
            <v>14523</v>
          </cell>
        </row>
        <row r="827">
          <cell r="F827">
            <v>14523</v>
          </cell>
        </row>
        <row r="828">
          <cell r="F828">
            <v>12289</v>
          </cell>
        </row>
        <row r="829">
          <cell r="F829">
            <v>12289</v>
          </cell>
        </row>
        <row r="830">
          <cell r="F830">
            <v>31901</v>
          </cell>
        </row>
        <row r="831">
          <cell r="F831">
            <v>61693</v>
          </cell>
        </row>
        <row r="832">
          <cell r="F832">
            <v>38729</v>
          </cell>
        </row>
        <row r="833">
          <cell r="F833">
            <v>35501</v>
          </cell>
        </row>
        <row r="834">
          <cell r="F834">
            <v>146.83000000000001</v>
          </cell>
        </row>
        <row r="835">
          <cell r="F835">
            <v>108.18</v>
          </cell>
        </row>
        <row r="836">
          <cell r="F836">
            <v>82.37</v>
          </cell>
        </row>
        <row r="837">
          <cell r="F837">
            <v>179.834</v>
          </cell>
        </row>
        <row r="838">
          <cell r="F838">
            <v>186.29900000000001</v>
          </cell>
        </row>
        <row r="839">
          <cell r="F839">
            <v>147.37700000000001</v>
          </cell>
        </row>
        <row r="840">
          <cell r="F840">
            <v>160.96700000000001</v>
          </cell>
        </row>
        <row r="841">
          <cell r="F841">
            <v>120.065</v>
          </cell>
        </row>
        <row r="842">
          <cell r="F842">
            <v>134.447</v>
          </cell>
        </row>
        <row r="843">
          <cell r="F843">
            <v>196.33</v>
          </cell>
        </row>
        <row r="844">
          <cell r="F844">
            <v>201.34</v>
          </cell>
        </row>
        <row r="845">
          <cell r="F845">
            <v>132.19999999999999</v>
          </cell>
        </row>
        <row r="846">
          <cell r="F846">
            <v>134.44999999999999</v>
          </cell>
        </row>
        <row r="847">
          <cell r="F847">
            <v>111.89</v>
          </cell>
        </row>
        <row r="848">
          <cell r="F848">
            <v>116.77</v>
          </cell>
        </row>
        <row r="849">
          <cell r="F849">
            <v>213.74</v>
          </cell>
        </row>
        <row r="850">
          <cell r="F850">
            <v>218.63</v>
          </cell>
        </row>
        <row r="851">
          <cell r="F851">
            <v>132.47</v>
          </cell>
        </row>
        <row r="852">
          <cell r="F852">
            <v>137.35</v>
          </cell>
        </row>
        <row r="853">
          <cell r="F853">
            <v>120.07</v>
          </cell>
        </row>
        <row r="854">
          <cell r="F854">
            <v>120.99</v>
          </cell>
        </row>
        <row r="855">
          <cell r="F855">
            <v>286.57</v>
          </cell>
        </row>
        <row r="856">
          <cell r="F856">
            <v>286.57</v>
          </cell>
        </row>
        <row r="857">
          <cell r="F857">
            <v>291.72000000000003</v>
          </cell>
        </row>
        <row r="858">
          <cell r="F858">
            <v>291.72000000000003</v>
          </cell>
        </row>
        <row r="859">
          <cell r="F859">
            <v>272.19</v>
          </cell>
        </row>
        <row r="860">
          <cell r="F860">
            <v>272.19</v>
          </cell>
        </row>
        <row r="861">
          <cell r="F861">
            <v>276.94</v>
          </cell>
        </row>
        <row r="862">
          <cell r="F862">
            <v>276.94</v>
          </cell>
        </row>
        <row r="863">
          <cell r="F863">
            <v>189.77</v>
          </cell>
        </row>
        <row r="864">
          <cell r="F864">
            <v>141.51</v>
          </cell>
        </row>
        <row r="865">
          <cell r="F865">
            <v>239.21</v>
          </cell>
        </row>
        <row r="866">
          <cell r="F866">
            <v>244.22</v>
          </cell>
        </row>
        <row r="867">
          <cell r="F867">
            <v>190.13</v>
          </cell>
        </row>
        <row r="868">
          <cell r="F868">
            <v>193.03</v>
          </cell>
        </row>
        <row r="869">
          <cell r="F869">
            <v>185.11</v>
          </cell>
        </row>
        <row r="870">
          <cell r="F870">
            <v>189.99</v>
          </cell>
        </row>
        <row r="871">
          <cell r="F871">
            <v>376.69</v>
          </cell>
        </row>
        <row r="872">
          <cell r="F872">
            <v>381.7</v>
          </cell>
        </row>
        <row r="873">
          <cell r="F873">
            <v>292.12</v>
          </cell>
        </row>
        <row r="874">
          <cell r="F874">
            <v>297</v>
          </cell>
        </row>
        <row r="875">
          <cell r="F875">
            <v>193.03</v>
          </cell>
        </row>
        <row r="876">
          <cell r="F876">
            <v>197.91</v>
          </cell>
        </row>
        <row r="877">
          <cell r="F877">
            <v>221.8</v>
          </cell>
        </row>
        <row r="878">
          <cell r="F878">
            <v>1765.35</v>
          </cell>
        </row>
        <row r="879">
          <cell r="F879">
            <v>6323.36</v>
          </cell>
        </row>
        <row r="880">
          <cell r="F880">
            <v>3852.39</v>
          </cell>
        </row>
        <row r="881">
          <cell r="F881">
            <v>10659.5</v>
          </cell>
        </row>
        <row r="882">
          <cell r="F882">
            <v>4315.75</v>
          </cell>
        </row>
        <row r="883">
          <cell r="F883">
            <v>4651.2700000000004</v>
          </cell>
        </row>
        <row r="884">
          <cell r="F884">
            <v>3646.06</v>
          </cell>
        </row>
        <row r="885">
          <cell r="F885">
            <v>3851.71</v>
          </cell>
        </row>
        <row r="886">
          <cell r="F886">
            <v>6190.87</v>
          </cell>
        </row>
        <row r="887">
          <cell r="F887">
            <v>12730.79</v>
          </cell>
        </row>
        <row r="888">
          <cell r="F888">
            <v>5867.53</v>
          </cell>
        </row>
        <row r="889">
          <cell r="F889">
            <v>7056.73</v>
          </cell>
        </row>
        <row r="890">
          <cell r="F890">
            <v>3180.21</v>
          </cell>
        </row>
        <row r="891">
          <cell r="F891">
            <v>2029</v>
          </cell>
        </row>
        <row r="892">
          <cell r="F892">
            <v>3382</v>
          </cell>
        </row>
        <row r="893">
          <cell r="F893">
            <v>6088</v>
          </cell>
        </row>
        <row r="894">
          <cell r="F894">
            <v>11500</v>
          </cell>
        </row>
        <row r="895">
          <cell r="F895">
            <v>107003</v>
          </cell>
        </row>
        <row r="896">
          <cell r="F896">
            <v>107003</v>
          </cell>
        </row>
        <row r="897">
          <cell r="F897">
            <v>141308</v>
          </cell>
        </row>
        <row r="898">
          <cell r="F898">
            <v>111357</v>
          </cell>
        </row>
        <row r="899">
          <cell r="F899">
            <v>111357</v>
          </cell>
        </row>
        <row r="900">
          <cell r="F900">
            <v>128773</v>
          </cell>
        </row>
        <row r="901">
          <cell r="F901">
            <v>131266</v>
          </cell>
        </row>
        <row r="902">
          <cell r="F902">
            <v>129191</v>
          </cell>
        </row>
        <row r="903">
          <cell r="F903">
            <v>51495</v>
          </cell>
        </row>
        <row r="904">
          <cell r="F904">
            <v>55127</v>
          </cell>
        </row>
        <row r="905">
          <cell r="F905">
            <v>50198</v>
          </cell>
        </row>
        <row r="906">
          <cell r="F906">
            <v>1946</v>
          </cell>
        </row>
        <row r="907">
          <cell r="F907">
            <v>2929</v>
          </cell>
        </row>
        <row r="908">
          <cell r="F908">
            <v>3243</v>
          </cell>
        </row>
        <row r="909">
          <cell r="F909">
            <v>5188</v>
          </cell>
        </row>
        <row r="910">
          <cell r="F910">
            <v>577.04999999999995</v>
          </cell>
        </row>
        <row r="911">
          <cell r="F911">
            <v>491.99</v>
          </cell>
        </row>
        <row r="912">
          <cell r="F912">
            <v>91.06</v>
          </cell>
        </row>
        <row r="913">
          <cell r="F913">
            <v>483.053</v>
          </cell>
        </row>
        <row r="914">
          <cell r="F914">
            <v>339.69</v>
          </cell>
        </row>
        <row r="915">
          <cell r="F915">
            <v>305.87700000000001</v>
          </cell>
        </row>
        <row r="916">
          <cell r="F916">
            <v>384.14</v>
          </cell>
        </row>
        <row r="917">
          <cell r="F917">
            <v>477.13</v>
          </cell>
        </row>
        <row r="918">
          <cell r="F918">
            <v>15176</v>
          </cell>
        </row>
        <row r="919">
          <cell r="F919">
            <v>16862</v>
          </cell>
        </row>
        <row r="920">
          <cell r="F920">
            <v>19456</v>
          </cell>
        </row>
        <row r="921">
          <cell r="F921">
            <v>22051</v>
          </cell>
        </row>
        <row r="922">
          <cell r="F922">
            <v>125.97</v>
          </cell>
        </row>
        <row r="923">
          <cell r="F923">
            <v>78.290000000000006</v>
          </cell>
        </row>
        <row r="924">
          <cell r="F924">
            <v>35.409999999999997</v>
          </cell>
        </row>
        <row r="925">
          <cell r="F925">
            <v>35.409999999999997</v>
          </cell>
        </row>
        <row r="926">
          <cell r="F926">
            <v>31</v>
          </cell>
        </row>
        <row r="927">
          <cell r="F927">
            <v>91.834000000000003</v>
          </cell>
        </row>
        <row r="928">
          <cell r="F928">
            <v>169.18</v>
          </cell>
        </row>
        <row r="929">
          <cell r="F929">
            <v>6467</v>
          </cell>
        </row>
        <row r="930">
          <cell r="F930">
            <v>4059</v>
          </cell>
        </row>
        <row r="931">
          <cell r="F931">
            <v>5412</v>
          </cell>
        </row>
        <row r="932">
          <cell r="F932">
            <v>2706</v>
          </cell>
        </row>
        <row r="933">
          <cell r="F933">
            <v>6764</v>
          </cell>
        </row>
        <row r="934">
          <cell r="F934">
            <v>4059</v>
          </cell>
        </row>
        <row r="935">
          <cell r="F935">
            <v>151.24</v>
          </cell>
        </row>
        <row r="936">
          <cell r="F936">
            <v>1541.7</v>
          </cell>
        </row>
        <row r="937">
          <cell r="F937">
            <v>1541.7</v>
          </cell>
        </row>
        <row r="938">
          <cell r="F938">
            <v>1700.58</v>
          </cell>
        </row>
        <row r="939">
          <cell r="F939">
            <v>1700.58</v>
          </cell>
        </row>
        <row r="940">
          <cell r="F940">
            <v>946.88</v>
          </cell>
        </row>
        <row r="941">
          <cell r="F941">
            <v>830.14</v>
          </cell>
        </row>
        <row r="942">
          <cell r="F942">
            <v>583.70000000000005</v>
          </cell>
        </row>
        <row r="943">
          <cell r="F943">
            <v>583.70000000000005</v>
          </cell>
        </row>
        <row r="944">
          <cell r="F944">
            <v>583.70000000000005</v>
          </cell>
        </row>
        <row r="945">
          <cell r="F945">
            <v>583.70000000000005</v>
          </cell>
        </row>
        <row r="946">
          <cell r="F946">
            <v>583.70000000000005</v>
          </cell>
        </row>
        <row r="947">
          <cell r="F947">
            <v>664.12</v>
          </cell>
        </row>
        <row r="948">
          <cell r="F948">
            <v>6764</v>
          </cell>
        </row>
        <row r="949">
          <cell r="F949">
            <v>7441</v>
          </cell>
        </row>
        <row r="950">
          <cell r="F950">
            <v>1808</v>
          </cell>
        </row>
        <row r="951">
          <cell r="F951">
            <v>1808</v>
          </cell>
        </row>
        <row r="952">
          <cell r="F952">
            <v>1808</v>
          </cell>
        </row>
        <row r="953">
          <cell r="F953">
            <v>1808</v>
          </cell>
        </row>
        <row r="954">
          <cell r="F954">
            <v>2599</v>
          </cell>
        </row>
        <row r="955">
          <cell r="F955">
            <v>2599</v>
          </cell>
        </row>
        <row r="956">
          <cell r="F956">
            <v>2599</v>
          </cell>
        </row>
        <row r="957">
          <cell r="F957">
            <v>2599</v>
          </cell>
        </row>
        <row r="958">
          <cell r="F958">
            <v>1808</v>
          </cell>
        </row>
        <row r="959">
          <cell r="F959">
            <v>1808</v>
          </cell>
        </row>
        <row r="960">
          <cell r="F960">
            <v>1808</v>
          </cell>
        </row>
        <row r="961">
          <cell r="F961">
            <v>1808</v>
          </cell>
        </row>
        <row r="962">
          <cell r="F962">
            <v>2599</v>
          </cell>
        </row>
        <row r="963">
          <cell r="F963">
            <v>2599</v>
          </cell>
        </row>
        <row r="964">
          <cell r="F964">
            <v>2599</v>
          </cell>
        </row>
        <row r="965">
          <cell r="F965">
            <v>2599</v>
          </cell>
        </row>
        <row r="966">
          <cell r="F966">
            <v>1808</v>
          </cell>
        </row>
        <row r="967">
          <cell r="F967">
            <v>1808</v>
          </cell>
        </row>
        <row r="968">
          <cell r="F968">
            <v>1808</v>
          </cell>
        </row>
        <row r="969">
          <cell r="F969">
            <v>1808</v>
          </cell>
        </row>
        <row r="970">
          <cell r="F970">
            <v>1808</v>
          </cell>
        </row>
        <row r="971">
          <cell r="F971">
            <v>1808</v>
          </cell>
        </row>
        <row r="972">
          <cell r="F972">
            <v>1808</v>
          </cell>
        </row>
        <row r="973">
          <cell r="F973">
            <v>2599</v>
          </cell>
        </row>
        <row r="974">
          <cell r="F974">
            <v>2166</v>
          </cell>
        </row>
        <row r="975">
          <cell r="F975">
            <v>2166</v>
          </cell>
        </row>
        <row r="976">
          <cell r="F976">
            <v>2599</v>
          </cell>
        </row>
        <row r="977">
          <cell r="F977">
            <v>2599</v>
          </cell>
        </row>
        <row r="978">
          <cell r="F978">
            <v>2599</v>
          </cell>
        </row>
        <row r="979">
          <cell r="F979">
            <v>6571</v>
          </cell>
        </row>
        <row r="980">
          <cell r="F980">
            <v>6571</v>
          </cell>
        </row>
        <row r="981">
          <cell r="F981">
            <v>6571</v>
          </cell>
        </row>
        <row r="982">
          <cell r="F982">
            <v>6571</v>
          </cell>
        </row>
        <row r="983">
          <cell r="F983">
            <v>6571</v>
          </cell>
        </row>
        <row r="984">
          <cell r="F984">
            <v>6571</v>
          </cell>
        </row>
        <row r="985">
          <cell r="F985">
            <v>6571</v>
          </cell>
        </row>
        <row r="986">
          <cell r="F986">
            <v>6571</v>
          </cell>
        </row>
        <row r="987">
          <cell r="F987">
            <v>6571</v>
          </cell>
        </row>
        <row r="988">
          <cell r="F988">
            <v>6571</v>
          </cell>
        </row>
        <row r="989">
          <cell r="F989">
            <v>6571</v>
          </cell>
        </row>
        <row r="990">
          <cell r="F990">
            <v>6571</v>
          </cell>
        </row>
        <row r="991">
          <cell r="F991">
            <v>6571</v>
          </cell>
        </row>
        <row r="992">
          <cell r="F992">
            <v>6571</v>
          </cell>
        </row>
        <row r="993">
          <cell r="F993">
            <v>4354</v>
          </cell>
        </row>
        <row r="994">
          <cell r="F994">
            <v>4354</v>
          </cell>
        </row>
        <row r="995">
          <cell r="F995">
            <v>4354</v>
          </cell>
        </row>
        <row r="996">
          <cell r="F996">
            <v>4354</v>
          </cell>
        </row>
        <row r="997">
          <cell r="F997">
            <v>3958</v>
          </cell>
        </row>
        <row r="998">
          <cell r="F998">
            <v>3958</v>
          </cell>
        </row>
        <row r="999">
          <cell r="F999">
            <v>3958</v>
          </cell>
        </row>
        <row r="1000">
          <cell r="F1000">
            <v>3958</v>
          </cell>
        </row>
        <row r="1001">
          <cell r="F1001">
            <v>3958</v>
          </cell>
        </row>
        <row r="1002">
          <cell r="F1002">
            <v>2985</v>
          </cell>
        </row>
        <row r="1003">
          <cell r="F1003">
            <v>2985</v>
          </cell>
        </row>
        <row r="1004">
          <cell r="F1004">
            <v>2985</v>
          </cell>
        </row>
        <row r="1005">
          <cell r="F1005">
            <v>2985</v>
          </cell>
        </row>
        <row r="1006">
          <cell r="F1006">
            <v>1821</v>
          </cell>
        </row>
        <row r="1007">
          <cell r="F1007">
            <v>1821</v>
          </cell>
        </row>
        <row r="1008">
          <cell r="F1008">
            <v>1821</v>
          </cell>
        </row>
        <row r="1009">
          <cell r="F1009">
            <v>1821</v>
          </cell>
        </row>
        <row r="1010">
          <cell r="F1010">
            <v>3167</v>
          </cell>
        </row>
        <row r="1011">
          <cell r="F1011">
            <v>3167</v>
          </cell>
        </row>
        <row r="1012">
          <cell r="F1012">
            <v>3167</v>
          </cell>
        </row>
        <row r="1013">
          <cell r="F1013">
            <v>3167</v>
          </cell>
        </row>
        <row r="1014">
          <cell r="F1014">
            <v>3167</v>
          </cell>
        </row>
        <row r="1015">
          <cell r="F1015">
            <v>4090</v>
          </cell>
        </row>
        <row r="1016">
          <cell r="F1016">
            <v>4222</v>
          </cell>
        </row>
        <row r="1017">
          <cell r="F1017">
            <v>4222</v>
          </cell>
        </row>
        <row r="1018">
          <cell r="F1018">
            <v>38658</v>
          </cell>
        </row>
        <row r="1019">
          <cell r="F1019">
            <v>38658</v>
          </cell>
        </row>
        <row r="1020">
          <cell r="F1020">
            <v>20451</v>
          </cell>
        </row>
        <row r="1021">
          <cell r="F1021">
            <v>20451</v>
          </cell>
        </row>
        <row r="1022">
          <cell r="F1022">
            <v>20451</v>
          </cell>
        </row>
        <row r="1023">
          <cell r="F1023">
            <v>20451</v>
          </cell>
        </row>
        <row r="1024">
          <cell r="F1024">
            <v>13854</v>
          </cell>
        </row>
        <row r="1025">
          <cell r="F1025">
            <v>13854</v>
          </cell>
        </row>
        <row r="1026">
          <cell r="F1026">
            <v>13854</v>
          </cell>
        </row>
        <row r="1027">
          <cell r="F1027">
            <v>13854</v>
          </cell>
        </row>
        <row r="1028">
          <cell r="F1028">
            <v>33381</v>
          </cell>
        </row>
        <row r="1029">
          <cell r="F1029">
            <v>33381</v>
          </cell>
        </row>
        <row r="1030">
          <cell r="F1030">
            <v>33381</v>
          </cell>
        </row>
        <row r="1031">
          <cell r="F1031">
            <v>33381</v>
          </cell>
        </row>
        <row r="1032">
          <cell r="F1032">
            <v>7238</v>
          </cell>
        </row>
        <row r="1033">
          <cell r="F1033">
            <v>7400</v>
          </cell>
        </row>
        <row r="1034">
          <cell r="F1034">
            <v>14476</v>
          </cell>
        </row>
        <row r="1035">
          <cell r="F1035">
            <v>14801</v>
          </cell>
        </row>
        <row r="1036">
          <cell r="F1036">
            <v>14206</v>
          </cell>
        </row>
        <row r="1037">
          <cell r="F1037">
            <v>14611</v>
          </cell>
        </row>
        <row r="1038">
          <cell r="F1038">
            <v>9064</v>
          </cell>
        </row>
        <row r="1039">
          <cell r="F1039">
            <v>9606</v>
          </cell>
        </row>
        <row r="1040">
          <cell r="F1040">
            <v>9606</v>
          </cell>
        </row>
        <row r="1041">
          <cell r="F1041">
            <v>10526</v>
          </cell>
        </row>
        <row r="1042">
          <cell r="F1042">
            <v>14151</v>
          </cell>
        </row>
        <row r="1043">
          <cell r="F1043">
            <v>15004</v>
          </cell>
        </row>
        <row r="1044">
          <cell r="F1044">
            <v>8794</v>
          </cell>
        </row>
        <row r="1045">
          <cell r="F1045">
            <v>9470</v>
          </cell>
        </row>
        <row r="1046">
          <cell r="F1046">
            <v>6764</v>
          </cell>
        </row>
        <row r="1047">
          <cell r="F1047">
            <v>7441</v>
          </cell>
        </row>
        <row r="1048">
          <cell r="F1048">
            <v>10958</v>
          </cell>
        </row>
        <row r="1049">
          <cell r="F1049">
            <v>12582</v>
          </cell>
        </row>
        <row r="1050">
          <cell r="F1050">
            <v>8388</v>
          </cell>
        </row>
        <row r="1051">
          <cell r="F1051">
            <v>9606</v>
          </cell>
        </row>
        <row r="1052">
          <cell r="F1052">
            <v>17588</v>
          </cell>
        </row>
        <row r="1053">
          <cell r="F1053">
            <v>20294</v>
          </cell>
        </row>
        <row r="1054">
          <cell r="F1054">
            <v>24758</v>
          </cell>
        </row>
        <row r="1055">
          <cell r="F1055">
            <v>28140</v>
          </cell>
        </row>
        <row r="1056">
          <cell r="F1056">
            <v>18955</v>
          </cell>
        </row>
        <row r="1057">
          <cell r="F1057">
            <v>21790</v>
          </cell>
        </row>
        <row r="1058">
          <cell r="F1058">
            <v>19402</v>
          </cell>
        </row>
        <row r="1059">
          <cell r="F1059">
            <v>22984</v>
          </cell>
        </row>
        <row r="1060">
          <cell r="F1060">
            <v>30298</v>
          </cell>
        </row>
        <row r="1061">
          <cell r="F1061">
            <v>24776</v>
          </cell>
        </row>
        <row r="1062">
          <cell r="F1062">
            <v>897</v>
          </cell>
        </row>
        <row r="1063">
          <cell r="F1063">
            <v>897</v>
          </cell>
        </row>
        <row r="1064">
          <cell r="F1064">
            <v>897</v>
          </cell>
        </row>
        <row r="1065">
          <cell r="F1065">
            <v>897</v>
          </cell>
        </row>
        <row r="1066">
          <cell r="F1066">
            <v>1029</v>
          </cell>
        </row>
        <row r="1067">
          <cell r="F1067">
            <v>1029</v>
          </cell>
        </row>
        <row r="1068">
          <cell r="F1068">
            <v>1029</v>
          </cell>
        </row>
        <row r="1069">
          <cell r="F1069">
            <v>1029</v>
          </cell>
        </row>
        <row r="1070">
          <cell r="F1070">
            <v>1399</v>
          </cell>
        </row>
        <row r="1071">
          <cell r="F1071">
            <v>1399</v>
          </cell>
        </row>
        <row r="1072">
          <cell r="F1072">
            <v>1399</v>
          </cell>
        </row>
        <row r="1073">
          <cell r="F1073">
            <v>1399</v>
          </cell>
        </row>
        <row r="1074">
          <cell r="F1074">
            <v>1517</v>
          </cell>
        </row>
        <row r="1075">
          <cell r="F1075">
            <v>1517</v>
          </cell>
        </row>
        <row r="1076">
          <cell r="F1076">
            <v>1517</v>
          </cell>
        </row>
        <row r="1077">
          <cell r="F1077">
            <v>1517</v>
          </cell>
        </row>
        <row r="1078">
          <cell r="F1078">
            <v>1201</v>
          </cell>
        </row>
        <row r="1079">
          <cell r="F1079">
            <v>1201</v>
          </cell>
        </row>
        <row r="1080">
          <cell r="F1080">
            <v>1201</v>
          </cell>
        </row>
        <row r="1081">
          <cell r="F1081">
            <v>1340</v>
          </cell>
        </row>
        <row r="1082">
          <cell r="F1082">
            <v>1340</v>
          </cell>
        </row>
        <row r="1083">
          <cell r="F1083">
            <v>1340</v>
          </cell>
        </row>
        <row r="1084">
          <cell r="F1084">
            <v>1649</v>
          </cell>
        </row>
        <row r="1085">
          <cell r="F1085">
            <v>1649</v>
          </cell>
        </row>
        <row r="1086">
          <cell r="F1086">
            <v>1649</v>
          </cell>
        </row>
        <row r="1087">
          <cell r="F1087">
            <v>1781</v>
          </cell>
        </row>
        <row r="1088">
          <cell r="F1088">
            <v>1781</v>
          </cell>
        </row>
        <row r="1089">
          <cell r="F1089">
            <v>1781</v>
          </cell>
        </row>
        <row r="1090">
          <cell r="F1090">
            <v>1557</v>
          </cell>
        </row>
        <row r="1091">
          <cell r="F1091">
            <v>1557</v>
          </cell>
        </row>
        <row r="1092">
          <cell r="F1092">
            <v>1557</v>
          </cell>
        </row>
        <row r="1093">
          <cell r="F1093">
            <v>1874</v>
          </cell>
        </row>
        <row r="1094">
          <cell r="F1094">
            <v>1874</v>
          </cell>
        </row>
        <row r="1095">
          <cell r="F1095">
            <v>1874</v>
          </cell>
        </row>
        <row r="1096">
          <cell r="F1096">
            <v>1557</v>
          </cell>
        </row>
        <row r="1097">
          <cell r="F1097">
            <v>1781</v>
          </cell>
        </row>
        <row r="1098">
          <cell r="F1098">
            <v>1781</v>
          </cell>
        </row>
        <row r="1099">
          <cell r="F1099">
            <v>1781</v>
          </cell>
        </row>
        <row r="1100">
          <cell r="F1100">
            <v>20055</v>
          </cell>
        </row>
        <row r="1101">
          <cell r="F1101">
            <v>25069</v>
          </cell>
        </row>
        <row r="1102">
          <cell r="F1102">
            <v>36547</v>
          </cell>
        </row>
        <row r="1103">
          <cell r="F1103">
            <v>1764</v>
          </cell>
        </row>
        <row r="1104">
          <cell r="F1104">
            <v>1979</v>
          </cell>
        </row>
        <row r="1105">
          <cell r="F1105">
            <v>1979</v>
          </cell>
        </row>
        <row r="1106">
          <cell r="F1106">
            <v>2283</v>
          </cell>
        </row>
        <row r="1107">
          <cell r="F1107">
            <v>2507</v>
          </cell>
        </row>
        <row r="1108">
          <cell r="F1108">
            <v>2243</v>
          </cell>
        </row>
        <row r="1109">
          <cell r="F1109">
            <v>2375</v>
          </cell>
        </row>
        <row r="1110">
          <cell r="F1110">
            <v>2243</v>
          </cell>
        </row>
        <row r="1111">
          <cell r="F1111">
            <v>2375</v>
          </cell>
        </row>
        <row r="1112">
          <cell r="F1112">
            <v>2503</v>
          </cell>
        </row>
        <row r="1113">
          <cell r="F1113">
            <v>2909</v>
          </cell>
        </row>
        <row r="1114">
          <cell r="F1114">
            <v>5412</v>
          </cell>
        </row>
        <row r="1115">
          <cell r="F1115">
            <v>6088</v>
          </cell>
        </row>
        <row r="1116">
          <cell r="F1116">
            <v>4329</v>
          </cell>
        </row>
        <row r="1117">
          <cell r="F1117">
            <v>5141</v>
          </cell>
        </row>
        <row r="1118">
          <cell r="F1118">
            <v>3112</v>
          </cell>
        </row>
        <row r="1119">
          <cell r="F1119">
            <v>3788</v>
          </cell>
        </row>
        <row r="1120">
          <cell r="F1120">
            <v>2594</v>
          </cell>
        </row>
        <row r="1121">
          <cell r="F1121">
            <v>2854</v>
          </cell>
        </row>
        <row r="1122">
          <cell r="F1122">
            <v>2335</v>
          </cell>
        </row>
        <row r="1123">
          <cell r="F1123">
            <v>2594</v>
          </cell>
        </row>
        <row r="1124">
          <cell r="F1124">
            <v>2205</v>
          </cell>
        </row>
        <row r="1125">
          <cell r="F1125">
            <v>2335</v>
          </cell>
        </row>
        <row r="1126">
          <cell r="F1126">
            <v>2706</v>
          </cell>
        </row>
        <row r="1127">
          <cell r="F1127">
            <v>2570</v>
          </cell>
        </row>
        <row r="1128">
          <cell r="F1128">
            <v>2300</v>
          </cell>
        </row>
        <row r="1129">
          <cell r="F1129">
            <v>2165</v>
          </cell>
        </row>
        <row r="1130">
          <cell r="F1130">
            <v>6764</v>
          </cell>
        </row>
        <row r="1131">
          <cell r="F1131">
            <v>7441</v>
          </cell>
        </row>
        <row r="1132">
          <cell r="F1132">
            <v>5885</v>
          </cell>
        </row>
        <row r="1133">
          <cell r="F1133">
            <v>6764</v>
          </cell>
        </row>
        <row r="1134">
          <cell r="F1134">
            <v>5006</v>
          </cell>
        </row>
        <row r="1135">
          <cell r="F1135">
            <v>5682</v>
          </cell>
        </row>
        <row r="1136">
          <cell r="F1136">
            <v>3636</v>
          </cell>
        </row>
        <row r="1137">
          <cell r="F1137">
            <v>3632</v>
          </cell>
        </row>
        <row r="1138">
          <cell r="F1138">
            <v>1816</v>
          </cell>
        </row>
        <row r="1139">
          <cell r="F1139">
            <v>1816</v>
          </cell>
        </row>
        <row r="1140">
          <cell r="F1140">
            <v>1894</v>
          </cell>
        </row>
        <row r="1141">
          <cell r="F1141">
            <v>1894</v>
          </cell>
        </row>
        <row r="1142">
          <cell r="F1142">
            <v>1894</v>
          </cell>
        </row>
        <row r="1143">
          <cell r="F1143">
            <v>1894</v>
          </cell>
        </row>
        <row r="1144">
          <cell r="F1144">
            <v>1894</v>
          </cell>
        </row>
        <row r="1145">
          <cell r="F1145">
            <v>1894</v>
          </cell>
        </row>
        <row r="1146">
          <cell r="F1146">
            <v>11940</v>
          </cell>
        </row>
        <row r="1147">
          <cell r="F1147">
            <v>11940</v>
          </cell>
        </row>
        <row r="1148">
          <cell r="F1148">
            <v>27058</v>
          </cell>
        </row>
        <row r="1149">
          <cell r="F1149">
            <v>9470</v>
          </cell>
        </row>
        <row r="1150">
          <cell r="F1150">
            <v>23676</v>
          </cell>
        </row>
        <row r="1151">
          <cell r="F1151">
            <v>23676</v>
          </cell>
        </row>
        <row r="1152">
          <cell r="F1152">
            <v>4059</v>
          </cell>
        </row>
        <row r="1153">
          <cell r="F1153">
            <v>5141</v>
          </cell>
        </row>
        <row r="1154">
          <cell r="F1154">
            <v>5141</v>
          </cell>
        </row>
        <row r="1155">
          <cell r="F1155">
            <v>7847</v>
          </cell>
        </row>
        <row r="1156">
          <cell r="F1156">
            <v>7847</v>
          </cell>
        </row>
        <row r="1157">
          <cell r="F1157">
            <v>2134</v>
          </cell>
        </row>
        <row r="1158">
          <cell r="F1158">
            <v>2567</v>
          </cell>
        </row>
        <row r="1159">
          <cell r="F1159">
            <v>5970</v>
          </cell>
        </row>
        <row r="1160">
          <cell r="F1160">
            <v>7313</v>
          </cell>
        </row>
        <row r="1161">
          <cell r="F1161">
            <v>108232</v>
          </cell>
        </row>
        <row r="1162">
          <cell r="F1162">
            <v>135290</v>
          </cell>
        </row>
        <row r="1163">
          <cell r="F1163">
            <v>135290</v>
          </cell>
        </row>
        <row r="1164">
          <cell r="F1164">
            <v>14747</v>
          </cell>
        </row>
        <row r="1165">
          <cell r="F1165">
            <v>14747</v>
          </cell>
        </row>
        <row r="1166">
          <cell r="F1166">
            <v>14747</v>
          </cell>
        </row>
        <row r="1167">
          <cell r="F1167">
            <v>15558</v>
          </cell>
        </row>
        <row r="1168">
          <cell r="F1168">
            <v>15558</v>
          </cell>
        </row>
        <row r="1169">
          <cell r="F1169">
            <v>11364</v>
          </cell>
        </row>
        <row r="1170">
          <cell r="F1170">
            <v>10012</v>
          </cell>
        </row>
        <row r="1171">
          <cell r="F1171">
            <v>4059</v>
          </cell>
        </row>
        <row r="1172">
          <cell r="F1172">
            <v>4465</v>
          </cell>
        </row>
        <row r="1173">
          <cell r="F1173">
            <v>1353</v>
          </cell>
        </row>
        <row r="1174">
          <cell r="F1174">
            <v>676</v>
          </cell>
        </row>
        <row r="1175">
          <cell r="F1175">
            <v>1353</v>
          </cell>
        </row>
        <row r="1176">
          <cell r="F1176">
            <v>1624</v>
          </cell>
        </row>
        <row r="1177">
          <cell r="F1177">
            <v>1759</v>
          </cell>
        </row>
        <row r="1178">
          <cell r="F1178">
            <v>1894</v>
          </cell>
        </row>
        <row r="1179">
          <cell r="F1179">
            <v>10823</v>
          </cell>
        </row>
        <row r="1180">
          <cell r="F1180">
            <v>29764</v>
          </cell>
        </row>
        <row r="1181">
          <cell r="F1181">
            <v>0</v>
          </cell>
        </row>
        <row r="1182">
          <cell r="F1182">
            <v>415</v>
          </cell>
        </row>
        <row r="1183">
          <cell r="F1183">
            <v>493</v>
          </cell>
        </row>
        <row r="1184">
          <cell r="F1184">
            <v>415</v>
          </cell>
        </row>
        <row r="1185">
          <cell r="F1185">
            <v>493</v>
          </cell>
        </row>
        <row r="1186">
          <cell r="F1186">
            <v>246</v>
          </cell>
        </row>
        <row r="1187">
          <cell r="F1187">
            <v>272</v>
          </cell>
        </row>
        <row r="1188">
          <cell r="F1188">
            <v>1092</v>
          </cell>
        </row>
        <row r="1189">
          <cell r="F1189">
            <v>1353</v>
          </cell>
        </row>
        <row r="1190">
          <cell r="F1190">
            <v>6494</v>
          </cell>
        </row>
        <row r="1191">
          <cell r="F1191">
            <v>8659</v>
          </cell>
        </row>
        <row r="1192">
          <cell r="F1192">
            <v>6088</v>
          </cell>
        </row>
        <row r="1193">
          <cell r="F1193">
            <v>7306</v>
          </cell>
        </row>
        <row r="1194">
          <cell r="F1194">
            <v>5818</v>
          </cell>
        </row>
        <row r="1195">
          <cell r="F1195">
            <v>6900</v>
          </cell>
        </row>
        <row r="1196">
          <cell r="F1196">
            <v>649</v>
          </cell>
        </row>
        <row r="1197">
          <cell r="F1197">
            <v>830</v>
          </cell>
        </row>
        <row r="1198">
          <cell r="F1198">
            <v>1608</v>
          </cell>
        </row>
        <row r="1199">
          <cell r="F1199">
            <v>2075</v>
          </cell>
        </row>
        <row r="1200">
          <cell r="F1200">
            <v>2400</v>
          </cell>
        </row>
        <row r="1201">
          <cell r="F1201">
            <v>3113</v>
          </cell>
        </row>
        <row r="1202">
          <cell r="F1202">
            <v>1842</v>
          </cell>
        </row>
        <row r="1203">
          <cell r="F1203">
            <v>2166</v>
          </cell>
        </row>
        <row r="1204">
          <cell r="F1204">
            <v>272</v>
          </cell>
        </row>
        <row r="1205">
          <cell r="F1205">
            <v>934</v>
          </cell>
        </row>
        <row r="1206">
          <cell r="F1206">
            <v>1180</v>
          </cell>
        </row>
        <row r="1207">
          <cell r="F1207">
            <v>662</v>
          </cell>
        </row>
        <row r="1208">
          <cell r="F1208">
            <v>960</v>
          </cell>
        </row>
        <row r="1209">
          <cell r="F1209">
            <v>1116</v>
          </cell>
        </row>
        <row r="1210">
          <cell r="F1210">
            <v>1621</v>
          </cell>
        </row>
        <row r="1211">
          <cell r="F1211">
            <v>731</v>
          </cell>
        </row>
        <row r="1212">
          <cell r="F1212">
            <v>731</v>
          </cell>
        </row>
        <row r="1213">
          <cell r="F1213">
            <v>920</v>
          </cell>
        </row>
        <row r="1214">
          <cell r="F1214">
            <v>372</v>
          </cell>
        </row>
        <row r="1215">
          <cell r="F1215">
            <v>5074</v>
          </cell>
        </row>
        <row r="1216">
          <cell r="F1216">
            <v>6268</v>
          </cell>
        </row>
        <row r="1217">
          <cell r="F1217">
            <v>908</v>
          </cell>
        </row>
        <row r="1218">
          <cell r="F1218">
            <v>259</v>
          </cell>
        </row>
        <row r="1219">
          <cell r="F1219">
            <v>5445</v>
          </cell>
        </row>
        <row r="1220">
          <cell r="F1220">
            <v>1704</v>
          </cell>
        </row>
        <row r="1221">
          <cell r="F1221">
            <v>1967</v>
          </cell>
        </row>
        <row r="1222">
          <cell r="F1222">
            <v>3147</v>
          </cell>
        </row>
        <row r="1223">
          <cell r="F1223">
            <v>3409</v>
          </cell>
        </row>
        <row r="1224">
          <cell r="F1224">
            <v>3802</v>
          </cell>
        </row>
        <row r="1225">
          <cell r="F1225">
            <v>5900</v>
          </cell>
        </row>
        <row r="1226">
          <cell r="F1226">
            <v>4458</v>
          </cell>
        </row>
        <row r="1227">
          <cell r="F1227">
            <v>6293</v>
          </cell>
        </row>
        <row r="1228">
          <cell r="F1228">
            <v>3278</v>
          </cell>
        </row>
        <row r="1229">
          <cell r="F1229">
            <v>3933</v>
          </cell>
        </row>
        <row r="1230">
          <cell r="F1230">
            <v>4327</v>
          </cell>
        </row>
        <row r="1231">
          <cell r="F1231">
            <v>2360</v>
          </cell>
        </row>
        <row r="1232">
          <cell r="F1232">
            <v>2622</v>
          </cell>
        </row>
        <row r="1233">
          <cell r="F1233">
            <v>2098</v>
          </cell>
        </row>
        <row r="1234">
          <cell r="F1234">
            <v>1573</v>
          </cell>
        </row>
        <row r="1235">
          <cell r="F1235">
            <v>1967</v>
          </cell>
        </row>
        <row r="1236">
          <cell r="F1236">
            <v>3278</v>
          </cell>
        </row>
        <row r="1237">
          <cell r="F1237">
            <v>4589</v>
          </cell>
        </row>
        <row r="1238">
          <cell r="F1238">
            <v>2622</v>
          </cell>
        </row>
        <row r="1239">
          <cell r="F1239">
            <v>656</v>
          </cell>
        </row>
        <row r="1240">
          <cell r="F1240">
            <v>787</v>
          </cell>
        </row>
        <row r="1241">
          <cell r="F1241">
            <v>813</v>
          </cell>
        </row>
        <row r="1242">
          <cell r="F1242">
            <v>852</v>
          </cell>
        </row>
        <row r="1243">
          <cell r="F1243">
            <v>1246</v>
          </cell>
        </row>
        <row r="1244">
          <cell r="F1244">
            <v>1442</v>
          </cell>
        </row>
        <row r="1245">
          <cell r="F1245">
            <v>2622</v>
          </cell>
        </row>
        <row r="1246">
          <cell r="F1246">
            <v>3409</v>
          </cell>
        </row>
        <row r="1247">
          <cell r="F1247">
            <v>3802</v>
          </cell>
        </row>
        <row r="1248">
          <cell r="F1248">
            <v>4589</v>
          </cell>
        </row>
        <row r="1249">
          <cell r="F1249">
            <v>5376</v>
          </cell>
        </row>
        <row r="1250">
          <cell r="F1250">
            <v>6031</v>
          </cell>
        </row>
        <row r="1251">
          <cell r="F1251">
            <v>4982</v>
          </cell>
        </row>
        <row r="1252">
          <cell r="F1252">
            <v>5507</v>
          </cell>
        </row>
        <row r="1253">
          <cell r="F1253">
            <v>5900</v>
          </cell>
        </row>
        <row r="1254">
          <cell r="F1254">
            <v>7080</v>
          </cell>
        </row>
        <row r="1255">
          <cell r="F1255">
            <v>197</v>
          </cell>
        </row>
        <row r="1256">
          <cell r="F1256">
            <v>262</v>
          </cell>
        </row>
        <row r="1257">
          <cell r="F1257">
            <v>629</v>
          </cell>
        </row>
        <row r="1258">
          <cell r="F1258">
            <v>747</v>
          </cell>
        </row>
        <row r="1259">
          <cell r="F1259">
            <v>892</v>
          </cell>
        </row>
        <row r="1260">
          <cell r="F1260">
            <v>2045</v>
          </cell>
        </row>
        <row r="1261">
          <cell r="F1261">
            <v>2045</v>
          </cell>
        </row>
        <row r="1262">
          <cell r="F1262">
            <v>3671</v>
          </cell>
        </row>
        <row r="1263">
          <cell r="F1263">
            <v>6556</v>
          </cell>
        </row>
        <row r="1264">
          <cell r="F1264">
            <v>288</v>
          </cell>
        </row>
        <row r="1265">
          <cell r="F1265">
            <v>380</v>
          </cell>
        </row>
        <row r="1266">
          <cell r="F1266">
            <v>616</v>
          </cell>
        </row>
        <row r="1270">
          <cell r="F1270">
            <v>1573</v>
          </cell>
        </row>
        <row r="1271">
          <cell r="F1271">
            <v>1967</v>
          </cell>
        </row>
        <row r="1272">
          <cell r="F1272">
            <v>2753</v>
          </cell>
        </row>
        <row r="1273">
          <cell r="F1273">
            <v>328</v>
          </cell>
        </row>
        <row r="1274">
          <cell r="F1274">
            <v>393</v>
          </cell>
        </row>
        <row r="1275">
          <cell r="F1275">
            <v>328</v>
          </cell>
        </row>
        <row r="1276">
          <cell r="F1276">
            <v>328</v>
          </cell>
        </row>
        <row r="1277">
          <cell r="F1277">
            <v>1967</v>
          </cell>
        </row>
        <row r="1278">
          <cell r="F1278">
            <v>1967</v>
          </cell>
        </row>
        <row r="1279">
          <cell r="F1279">
            <v>2163</v>
          </cell>
        </row>
        <row r="1280">
          <cell r="F1280">
            <v>2163</v>
          </cell>
        </row>
        <row r="1281">
          <cell r="F1281">
            <v>1311</v>
          </cell>
        </row>
        <row r="1282">
          <cell r="F1282">
            <v>1967</v>
          </cell>
        </row>
        <row r="1283">
          <cell r="F1283">
            <v>2756</v>
          </cell>
        </row>
        <row r="1284">
          <cell r="F1284">
            <v>3626</v>
          </cell>
        </row>
        <row r="1285">
          <cell r="F1285">
            <v>6904</v>
          </cell>
        </row>
        <row r="1286">
          <cell r="F1286">
            <v>8285</v>
          </cell>
        </row>
        <row r="1287">
          <cell r="F1287">
            <v>20714</v>
          </cell>
        </row>
        <row r="1288">
          <cell r="F1288">
            <v>20714</v>
          </cell>
        </row>
        <row r="1289">
          <cell r="F1289">
            <v>20714</v>
          </cell>
        </row>
        <row r="1290">
          <cell r="F1290">
            <v>20714</v>
          </cell>
        </row>
        <row r="1291">
          <cell r="F1291">
            <v>2762</v>
          </cell>
        </row>
        <row r="1292">
          <cell r="F1292">
            <v>2348</v>
          </cell>
        </row>
        <row r="1293">
          <cell r="F1293">
            <v>30104</v>
          </cell>
        </row>
        <row r="1294">
          <cell r="F1294">
            <v>2209</v>
          </cell>
        </row>
        <row r="1295">
          <cell r="F1295">
            <v>2624</v>
          </cell>
        </row>
        <row r="1296">
          <cell r="F1296">
            <v>6076</v>
          </cell>
        </row>
        <row r="1297">
          <cell r="F1297">
            <v>1726</v>
          </cell>
        </row>
        <row r="1298">
          <cell r="F1298">
            <v>19873</v>
          </cell>
        </row>
        <row r="1299">
          <cell r="F1299">
            <v>23500</v>
          </cell>
        </row>
        <row r="1300">
          <cell r="F1300">
            <v>27561</v>
          </cell>
        </row>
        <row r="1301">
          <cell r="F1301">
            <v>4439.59</v>
          </cell>
        </row>
        <row r="1302">
          <cell r="F1302">
            <v>4439.59</v>
          </cell>
        </row>
        <row r="1303">
          <cell r="F1303">
            <v>4439.59</v>
          </cell>
        </row>
        <row r="1304">
          <cell r="F1304">
            <v>4690.92</v>
          </cell>
        </row>
        <row r="1305">
          <cell r="F1305">
            <v>5468.36</v>
          </cell>
        </row>
        <row r="1306">
          <cell r="F1306">
            <v>6296.9</v>
          </cell>
        </row>
        <row r="1307">
          <cell r="F1307">
            <v>5937.87</v>
          </cell>
        </row>
        <row r="1308">
          <cell r="F1308">
            <v>7594.95</v>
          </cell>
        </row>
        <row r="1309">
          <cell r="F1309">
            <v>8988</v>
          </cell>
        </row>
        <row r="1310">
          <cell r="F1310">
            <v>3646</v>
          </cell>
        </row>
        <row r="1311">
          <cell r="F1311">
            <v>1400.23</v>
          </cell>
        </row>
        <row r="1312">
          <cell r="F1312">
            <v>1518.99</v>
          </cell>
        </row>
        <row r="1313">
          <cell r="F1313">
            <v>1778.6</v>
          </cell>
        </row>
        <row r="1314">
          <cell r="F1314">
            <v>2188.73</v>
          </cell>
        </row>
        <row r="1315">
          <cell r="F1315">
            <v>1311.86</v>
          </cell>
        </row>
        <row r="1316">
          <cell r="F1316">
            <v>1339.47</v>
          </cell>
        </row>
        <row r="1317">
          <cell r="F1317">
            <v>1443.04</v>
          </cell>
        </row>
        <row r="1318">
          <cell r="F1318">
            <v>1415.42</v>
          </cell>
        </row>
        <row r="1319">
          <cell r="F1319">
            <v>1739.93</v>
          </cell>
        </row>
        <row r="1320">
          <cell r="F1320">
            <v>2209.44</v>
          </cell>
        </row>
        <row r="1321">
          <cell r="F1321">
            <v>1450</v>
          </cell>
        </row>
        <row r="1322">
          <cell r="F1322">
            <v>1712</v>
          </cell>
        </row>
        <row r="1323">
          <cell r="F1323">
            <v>2016</v>
          </cell>
        </row>
        <row r="1324">
          <cell r="F1324">
            <v>2389</v>
          </cell>
        </row>
        <row r="1325">
          <cell r="F1325">
            <v>2886</v>
          </cell>
        </row>
        <row r="1326">
          <cell r="F1326">
            <v>3646</v>
          </cell>
        </row>
        <row r="1327">
          <cell r="F1327">
            <v>1450</v>
          </cell>
        </row>
        <row r="1328">
          <cell r="F1328">
            <v>1712</v>
          </cell>
        </row>
        <row r="1329">
          <cell r="F1329">
            <v>2016</v>
          </cell>
        </row>
        <row r="1330">
          <cell r="F1330">
            <v>2389</v>
          </cell>
        </row>
        <row r="1331">
          <cell r="F1331">
            <v>2886</v>
          </cell>
        </row>
        <row r="1332">
          <cell r="F1332">
            <v>524</v>
          </cell>
        </row>
        <row r="1333">
          <cell r="F1333">
            <v>656</v>
          </cell>
        </row>
        <row r="1334">
          <cell r="F1334">
            <v>1049</v>
          </cell>
        </row>
        <row r="1335">
          <cell r="F1335">
            <v>1180</v>
          </cell>
        </row>
        <row r="1336">
          <cell r="F1336">
            <v>1442</v>
          </cell>
        </row>
        <row r="1337">
          <cell r="F1337">
            <v>1573</v>
          </cell>
        </row>
        <row r="1338">
          <cell r="F1338">
            <v>387</v>
          </cell>
        </row>
        <row r="1339">
          <cell r="F1339">
            <v>483</v>
          </cell>
        </row>
        <row r="1340">
          <cell r="F1340">
            <v>511</v>
          </cell>
        </row>
        <row r="1341">
          <cell r="F1341">
            <v>539</v>
          </cell>
        </row>
        <row r="1342">
          <cell r="F1342">
            <v>552</v>
          </cell>
        </row>
        <row r="1343">
          <cell r="F1343">
            <v>608</v>
          </cell>
        </row>
        <row r="1344">
          <cell r="F1344">
            <v>387</v>
          </cell>
        </row>
        <row r="1345">
          <cell r="F1345">
            <v>483</v>
          </cell>
        </row>
        <row r="1346">
          <cell r="F1346">
            <v>511</v>
          </cell>
        </row>
        <row r="1347">
          <cell r="F1347">
            <v>539</v>
          </cell>
        </row>
        <row r="1348">
          <cell r="F1348">
            <v>552</v>
          </cell>
        </row>
        <row r="1349">
          <cell r="F1349">
            <v>608</v>
          </cell>
        </row>
        <row r="1350">
          <cell r="F1350">
            <v>552</v>
          </cell>
        </row>
        <row r="1351">
          <cell r="F1351">
            <v>690</v>
          </cell>
        </row>
        <row r="1352">
          <cell r="F1352">
            <v>704</v>
          </cell>
        </row>
        <row r="1353">
          <cell r="F1353">
            <v>801</v>
          </cell>
        </row>
        <row r="1354">
          <cell r="F1354">
            <v>829</v>
          </cell>
        </row>
        <row r="1355">
          <cell r="F1355">
            <v>898</v>
          </cell>
        </row>
        <row r="1356">
          <cell r="F1356">
            <v>829</v>
          </cell>
        </row>
        <row r="1357">
          <cell r="F1357">
            <v>884</v>
          </cell>
        </row>
        <row r="1358">
          <cell r="F1358">
            <v>994</v>
          </cell>
        </row>
        <row r="1359">
          <cell r="F1359">
            <v>1091</v>
          </cell>
        </row>
        <row r="1360">
          <cell r="F1360">
            <v>1381</v>
          </cell>
        </row>
        <row r="1361">
          <cell r="F1361">
            <v>1519</v>
          </cell>
        </row>
        <row r="1362">
          <cell r="F1362">
            <v>829</v>
          </cell>
        </row>
        <row r="1363">
          <cell r="F1363">
            <v>884</v>
          </cell>
        </row>
        <row r="1364">
          <cell r="F1364">
            <v>994</v>
          </cell>
        </row>
        <row r="1365">
          <cell r="F1365">
            <v>1091</v>
          </cell>
        </row>
        <row r="1366">
          <cell r="F1366">
            <v>1381</v>
          </cell>
        </row>
        <row r="1367">
          <cell r="F1367">
            <v>1519</v>
          </cell>
        </row>
        <row r="1368">
          <cell r="F1368">
            <v>1243</v>
          </cell>
        </row>
        <row r="1369">
          <cell r="F1369">
            <v>1312</v>
          </cell>
        </row>
        <row r="1370">
          <cell r="F1370">
            <v>1491</v>
          </cell>
        </row>
        <row r="1371">
          <cell r="F1371">
            <v>1629</v>
          </cell>
        </row>
        <row r="1372">
          <cell r="F1372">
            <v>2071</v>
          </cell>
        </row>
        <row r="1373">
          <cell r="F1373">
            <v>2278</v>
          </cell>
        </row>
      </sheetData>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Ph­¬ng mai 2"/>
      <sheetName val="CL Ph­¬ng mai 2"/>
      <sheetName val="DT MN V¨n H­¬ng"/>
      <sheetName val="CL MN V¨n H­¬ng"/>
      <sheetName val="DT Hµ t©y"/>
      <sheetName val="CL Hµ t©y"/>
      <sheetName val="DT Bæ tóc"/>
      <sheetName val="CL Bæ tóc"/>
      <sheetName val="DT Ph­¬ng mai 1"/>
      <sheetName val="CL Ph­¬ng mai  1"/>
      <sheetName val="§¬n gi¸ chÝnh"/>
      <sheetName val="Dù to¸n mÉu"/>
      <sheetName val="CLVL MÉu"/>
      <sheetName val="00000000"/>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F4">
            <v>0</v>
          </cell>
        </row>
        <row r="5">
          <cell r="F5">
            <v>1369</v>
          </cell>
        </row>
        <row r="6">
          <cell r="F6">
            <v>1712</v>
          </cell>
        </row>
        <row r="7">
          <cell r="F7">
            <v>1011</v>
          </cell>
        </row>
        <row r="9">
          <cell r="F9">
            <v>1011</v>
          </cell>
        </row>
        <row r="10">
          <cell r="F10">
            <v>643.1</v>
          </cell>
        </row>
        <row r="11">
          <cell r="F11">
            <v>2750</v>
          </cell>
        </row>
        <row r="12">
          <cell r="F12">
            <v>3951</v>
          </cell>
        </row>
        <row r="13">
          <cell r="F13">
            <v>1617</v>
          </cell>
        </row>
        <row r="14">
          <cell r="F14">
            <v>2780</v>
          </cell>
        </row>
        <row r="15">
          <cell r="F15">
            <v>4052</v>
          </cell>
        </row>
        <row r="16">
          <cell r="F16">
            <v>1232</v>
          </cell>
        </row>
        <row r="17">
          <cell r="F17">
            <v>1960</v>
          </cell>
        </row>
        <row r="18">
          <cell r="F18">
            <v>780</v>
          </cell>
        </row>
        <row r="19">
          <cell r="F19">
            <v>2206</v>
          </cell>
        </row>
        <row r="20">
          <cell r="F20">
            <v>2206</v>
          </cell>
        </row>
        <row r="21">
          <cell r="F21">
            <v>1312</v>
          </cell>
        </row>
        <row r="22">
          <cell r="F22">
            <v>12840</v>
          </cell>
        </row>
        <row r="23">
          <cell r="F23">
            <v>2599</v>
          </cell>
        </row>
        <row r="24">
          <cell r="F24">
            <v>1471</v>
          </cell>
        </row>
        <row r="25">
          <cell r="F25">
            <v>135290</v>
          </cell>
        </row>
        <row r="26">
          <cell r="F26">
            <v>1894</v>
          </cell>
        </row>
        <row r="27">
          <cell r="F27">
            <v>3632</v>
          </cell>
        </row>
        <row r="28">
          <cell r="F28">
            <v>1894</v>
          </cell>
        </row>
        <row r="29">
          <cell r="F29">
            <v>14747</v>
          </cell>
        </row>
        <row r="30">
          <cell r="F30">
            <v>5835</v>
          </cell>
        </row>
        <row r="31">
          <cell r="F31">
            <v>12840</v>
          </cell>
        </row>
        <row r="32">
          <cell r="F32">
            <v>1471</v>
          </cell>
        </row>
        <row r="33">
          <cell r="F33">
            <v>12840</v>
          </cell>
        </row>
        <row r="40">
          <cell r="F40">
            <v>324</v>
          </cell>
        </row>
        <row r="41">
          <cell r="F41">
            <v>891</v>
          </cell>
        </row>
        <row r="42">
          <cell r="F42">
            <v>891</v>
          </cell>
        </row>
        <row r="43">
          <cell r="F43">
            <v>130</v>
          </cell>
        </row>
        <row r="53">
          <cell r="F53">
            <v>400</v>
          </cell>
        </row>
        <row r="54">
          <cell r="F54">
            <v>1068</v>
          </cell>
        </row>
        <row r="55">
          <cell r="F55">
            <v>12840</v>
          </cell>
        </row>
        <row r="56">
          <cell r="F56">
            <v>12840</v>
          </cell>
        </row>
        <row r="60">
          <cell r="F60">
            <v>2470</v>
          </cell>
        </row>
        <row r="61">
          <cell r="F61">
            <v>2007</v>
          </cell>
        </row>
        <row r="62">
          <cell r="F62">
            <v>12840</v>
          </cell>
        </row>
        <row r="63">
          <cell r="F63">
            <v>10700</v>
          </cell>
        </row>
        <row r="64">
          <cell r="F64">
            <v>2189</v>
          </cell>
        </row>
        <row r="65">
          <cell r="F65">
            <v>2736</v>
          </cell>
        </row>
        <row r="66">
          <cell r="F66">
            <v>2736</v>
          </cell>
        </row>
        <row r="67">
          <cell r="F67">
            <v>1519</v>
          </cell>
        </row>
        <row r="68">
          <cell r="F68">
            <v>304</v>
          </cell>
        </row>
        <row r="69">
          <cell r="F69">
            <v>12840</v>
          </cell>
        </row>
        <row r="70">
          <cell r="F70">
            <v>12840</v>
          </cell>
        </row>
        <row r="72">
          <cell r="F72">
            <v>2803</v>
          </cell>
        </row>
        <row r="73">
          <cell r="F73">
            <v>8072</v>
          </cell>
        </row>
        <row r="74">
          <cell r="F74">
            <v>1528</v>
          </cell>
        </row>
        <row r="75">
          <cell r="F75">
            <v>12840</v>
          </cell>
        </row>
        <row r="76">
          <cell r="F76">
            <v>540</v>
          </cell>
        </row>
        <row r="82">
          <cell r="F82">
            <v>1518.99</v>
          </cell>
        </row>
        <row r="83">
          <cell r="F83">
            <v>12840</v>
          </cell>
        </row>
        <row r="89">
          <cell r="F89">
            <v>8988</v>
          </cell>
        </row>
        <row r="90">
          <cell r="F90">
            <v>2736</v>
          </cell>
        </row>
        <row r="91">
          <cell r="F91">
            <v>5188</v>
          </cell>
        </row>
        <row r="92">
          <cell r="F92">
            <v>51495</v>
          </cell>
        </row>
        <row r="93">
          <cell r="F93">
            <v>1700.58</v>
          </cell>
        </row>
        <row r="94">
          <cell r="F94">
            <v>1700.58</v>
          </cell>
        </row>
        <row r="95">
          <cell r="F95">
            <v>1700.58</v>
          </cell>
        </row>
        <row r="96">
          <cell r="F96">
            <v>12840</v>
          </cell>
        </row>
        <row r="97">
          <cell r="F97">
            <v>2375</v>
          </cell>
        </row>
        <row r="100">
          <cell r="F100">
            <v>12840</v>
          </cell>
        </row>
        <row r="101">
          <cell r="F101">
            <v>20714</v>
          </cell>
        </row>
        <row r="102">
          <cell r="F102">
            <v>2969</v>
          </cell>
        </row>
        <row r="103">
          <cell r="F103">
            <v>20000</v>
          </cell>
        </row>
        <row r="105">
          <cell r="F105">
            <v>36282</v>
          </cell>
        </row>
        <row r="107">
          <cell r="F107">
            <v>4525</v>
          </cell>
        </row>
        <row r="108">
          <cell r="F108">
            <v>5430</v>
          </cell>
        </row>
        <row r="113">
          <cell r="F113">
            <v>539</v>
          </cell>
        </row>
        <row r="114">
          <cell r="F114">
            <v>552</v>
          </cell>
        </row>
        <row r="115">
          <cell r="F115">
            <v>1962</v>
          </cell>
        </row>
        <row r="116">
          <cell r="F116">
            <v>1962</v>
          </cell>
        </row>
        <row r="117">
          <cell r="F117">
            <v>892</v>
          </cell>
        </row>
        <row r="118">
          <cell r="F118">
            <v>892</v>
          </cell>
        </row>
        <row r="119">
          <cell r="F119">
            <v>892</v>
          </cell>
        </row>
        <row r="120">
          <cell r="F120">
            <v>892</v>
          </cell>
        </row>
        <row r="122">
          <cell r="F122">
            <v>11940</v>
          </cell>
        </row>
        <row r="125">
          <cell r="F125">
            <v>583.70000000000005</v>
          </cell>
        </row>
        <row r="126">
          <cell r="F126">
            <v>583.70000000000005</v>
          </cell>
        </row>
        <row r="127">
          <cell r="F127">
            <v>4510</v>
          </cell>
        </row>
        <row r="129">
          <cell r="F129">
            <v>10700</v>
          </cell>
        </row>
        <row r="132">
          <cell r="F132">
            <v>5000</v>
          </cell>
        </row>
        <row r="133">
          <cell r="F133">
            <v>5000</v>
          </cell>
        </row>
        <row r="135">
          <cell r="F135">
            <v>4510</v>
          </cell>
        </row>
        <row r="136">
          <cell r="F136">
            <v>1649</v>
          </cell>
        </row>
        <row r="137">
          <cell r="F137">
            <v>1649</v>
          </cell>
        </row>
        <row r="138">
          <cell r="F138">
            <v>1649</v>
          </cell>
        </row>
        <row r="139">
          <cell r="F139">
            <v>1649</v>
          </cell>
        </row>
        <row r="140">
          <cell r="F140">
            <v>10000</v>
          </cell>
        </row>
        <row r="141">
          <cell r="F141">
            <v>5000</v>
          </cell>
        </row>
        <row r="142">
          <cell r="F142">
            <v>50000</v>
          </cell>
        </row>
        <row r="143">
          <cell r="F143">
            <v>35490</v>
          </cell>
        </row>
        <row r="148">
          <cell r="F148">
            <v>300</v>
          </cell>
        </row>
        <row r="149">
          <cell r="F149">
            <v>465</v>
          </cell>
        </row>
        <row r="150">
          <cell r="F150">
            <v>300</v>
          </cell>
        </row>
        <row r="151">
          <cell r="F151">
            <v>8068</v>
          </cell>
        </row>
        <row r="152">
          <cell r="F152">
            <v>6413</v>
          </cell>
        </row>
        <row r="154">
          <cell r="F154">
            <v>43152</v>
          </cell>
        </row>
        <row r="155">
          <cell r="F155">
            <v>13079</v>
          </cell>
        </row>
        <row r="156">
          <cell r="F156">
            <v>10700</v>
          </cell>
        </row>
        <row r="157">
          <cell r="F157">
            <v>35490</v>
          </cell>
        </row>
        <row r="160">
          <cell r="F160">
            <v>3091</v>
          </cell>
        </row>
        <row r="161">
          <cell r="F161">
            <v>3091</v>
          </cell>
        </row>
        <row r="162">
          <cell r="F162">
            <v>2089</v>
          </cell>
        </row>
        <row r="163">
          <cell r="F163">
            <v>1962</v>
          </cell>
        </row>
        <row r="165">
          <cell r="F165">
            <v>2189</v>
          </cell>
        </row>
        <row r="166">
          <cell r="F166">
            <v>583.70000000000005</v>
          </cell>
        </row>
        <row r="170">
          <cell r="F170">
            <v>12960</v>
          </cell>
        </row>
        <row r="175">
          <cell r="F175">
            <v>15494</v>
          </cell>
        </row>
        <row r="554">
          <cell r="F554">
            <v>1490</v>
          </cell>
        </row>
        <row r="555">
          <cell r="F555">
            <v>6082</v>
          </cell>
        </row>
        <row r="556">
          <cell r="F556">
            <v>1738</v>
          </cell>
        </row>
        <row r="557">
          <cell r="F557">
            <v>6827</v>
          </cell>
        </row>
        <row r="558">
          <cell r="F558">
            <v>2483</v>
          </cell>
        </row>
        <row r="559">
          <cell r="F559">
            <v>8689</v>
          </cell>
        </row>
        <row r="560">
          <cell r="F560">
            <v>16758</v>
          </cell>
        </row>
        <row r="561">
          <cell r="F561">
            <v>40218</v>
          </cell>
        </row>
        <row r="562">
          <cell r="F562">
            <v>15695</v>
          </cell>
        </row>
        <row r="563">
          <cell r="F563">
            <v>15695</v>
          </cell>
        </row>
        <row r="564">
          <cell r="F564">
            <v>15695</v>
          </cell>
        </row>
        <row r="565">
          <cell r="F565">
            <v>27369</v>
          </cell>
        </row>
        <row r="566">
          <cell r="F566">
            <v>27369</v>
          </cell>
        </row>
        <row r="567">
          <cell r="F567">
            <v>27369</v>
          </cell>
        </row>
        <row r="568">
          <cell r="F568">
            <v>19716</v>
          </cell>
        </row>
        <row r="569">
          <cell r="F569">
            <v>31390</v>
          </cell>
        </row>
        <row r="570">
          <cell r="F570">
            <v>21662</v>
          </cell>
        </row>
        <row r="571">
          <cell r="F571">
            <v>26072</v>
          </cell>
        </row>
        <row r="572">
          <cell r="F572">
            <v>23607</v>
          </cell>
        </row>
        <row r="573">
          <cell r="F573">
            <v>26720</v>
          </cell>
        </row>
        <row r="574">
          <cell r="F574">
            <v>46177</v>
          </cell>
        </row>
        <row r="575">
          <cell r="F575">
            <v>66152</v>
          </cell>
        </row>
        <row r="576">
          <cell r="F576">
            <v>60964</v>
          </cell>
        </row>
        <row r="577">
          <cell r="F577">
            <v>115312</v>
          </cell>
        </row>
        <row r="578">
          <cell r="F578">
            <v>68746</v>
          </cell>
        </row>
        <row r="579">
          <cell r="F579">
            <v>118036</v>
          </cell>
        </row>
        <row r="580">
          <cell r="F580">
            <v>389</v>
          </cell>
        </row>
        <row r="581">
          <cell r="F581">
            <v>649</v>
          </cell>
        </row>
        <row r="582">
          <cell r="F582">
            <v>1167</v>
          </cell>
        </row>
        <row r="583">
          <cell r="F583">
            <v>908</v>
          </cell>
        </row>
        <row r="584">
          <cell r="F584">
            <v>1038</v>
          </cell>
        </row>
        <row r="585">
          <cell r="F585">
            <v>519</v>
          </cell>
        </row>
        <row r="586">
          <cell r="F586">
            <v>778</v>
          </cell>
        </row>
        <row r="587">
          <cell r="F587">
            <v>1167</v>
          </cell>
        </row>
        <row r="588">
          <cell r="F588">
            <v>2594</v>
          </cell>
        </row>
        <row r="589">
          <cell r="F589">
            <v>259</v>
          </cell>
        </row>
        <row r="590">
          <cell r="F590">
            <v>454</v>
          </cell>
        </row>
        <row r="591">
          <cell r="F591">
            <v>1038</v>
          </cell>
        </row>
        <row r="592">
          <cell r="F592">
            <v>1245</v>
          </cell>
        </row>
        <row r="593">
          <cell r="F593">
            <v>23348</v>
          </cell>
        </row>
        <row r="594">
          <cell r="F594">
            <v>21402</v>
          </cell>
        </row>
        <row r="595">
          <cell r="F595">
            <v>14138</v>
          </cell>
        </row>
        <row r="596">
          <cell r="F596">
            <v>26201</v>
          </cell>
        </row>
        <row r="597">
          <cell r="F597">
            <v>24385</v>
          </cell>
        </row>
        <row r="598">
          <cell r="F598">
            <v>24515</v>
          </cell>
        </row>
        <row r="599">
          <cell r="F599">
            <v>24515</v>
          </cell>
        </row>
        <row r="600">
          <cell r="F600">
            <v>38783</v>
          </cell>
        </row>
        <row r="601">
          <cell r="F601">
            <v>38783</v>
          </cell>
        </row>
        <row r="602">
          <cell r="F602">
            <v>84.311999999999998</v>
          </cell>
        </row>
        <row r="603">
          <cell r="F603">
            <v>114.145</v>
          </cell>
        </row>
        <row r="604">
          <cell r="F604">
            <v>778</v>
          </cell>
        </row>
        <row r="605">
          <cell r="F605">
            <v>1167</v>
          </cell>
        </row>
        <row r="606">
          <cell r="F606">
            <v>389</v>
          </cell>
        </row>
        <row r="607">
          <cell r="F607">
            <v>519</v>
          </cell>
        </row>
        <row r="608">
          <cell r="F608">
            <v>649</v>
          </cell>
        </row>
        <row r="609">
          <cell r="F609">
            <v>778</v>
          </cell>
        </row>
        <row r="610">
          <cell r="F610">
            <v>778</v>
          </cell>
        </row>
        <row r="611">
          <cell r="F611">
            <v>519</v>
          </cell>
        </row>
        <row r="612">
          <cell r="F612">
            <v>1427</v>
          </cell>
        </row>
        <row r="613">
          <cell r="F613">
            <v>1686</v>
          </cell>
        </row>
        <row r="614">
          <cell r="F614">
            <v>389</v>
          </cell>
        </row>
        <row r="615">
          <cell r="F615">
            <v>519</v>
          </cell>
        </row>
        <row r="616">
          <cell r="F616">
            <v>519</v>
          </cell>
        </row>
        <row r="617">
          <cell r="F617">
            <v>778</v>
          </cell>
        </row>
        <row r="618">
          <cell r="F618">
            <v>1297</v>
          </cell>
        </row>
        <row r="619">
          <cell r="F619">
            <v>5837</v>
          </cell>
        </row>
        <row r="620">
          <cell r="F620">
            <v>1297</v>
          </cell>
        </row>
        <row r="621">
          <cell r="F621">
            <v>1686</v>
          </cell>
        </row>
        <row r="622">
          <cell r="F622">
            <v>1946</v>
          </cell>
        </row>
        <row r="623">
          <cell r="F623">
            <v>7783</v>
          </cell>
        </row>
        <row r="624">
          <cell r="F624">
            <v>2594</v>
          </cell>
        </row>
        <row r="625">
          <cell r="F625">
            <v>11373</v>
          </cell>
        </row>
        <row r="626">
          <cell r="F626">
            <v>12099</v>
          </cell>
        </row>
        <row r="627">
          <cell r="F627">
            <v>19721</v>
          </cell>
        </row>
        <row r="628">
          <cell r="F628">
            <v>17302</v>
          </cell>
        </row>
        <row r="629">
          <cell r="F629">
            <v>5445</v>
          </cell>
        </row>
        <row r="630">
          <cell r="F630">
            <v>7501</v>
          </cell>
        </row>
        <row r="631">
          <cell r="F631">
            <v>9437</v>
          </cell>
        </row>
        <row r="632">
          <cell r="F632">
            <v>6775</v>
          </cell>
        </row>
        <row r="633">
          <cell r="F633">
            <v>9921</v>
          </cell>
        </row>
        <row r="634">
          <cell r="F634">
            <v>15003</v>
          </cell>
        </row>
        <row r="635">
          <cell r="F635">
            <v>23351</v>
          </cell>
        </row>
        <row r="636">
          <cell r="F636">
            <v>7501</v>
          </cell>
        </row>
        <row r="637">
          <cell r="F637">
            <v>10647</v>
          </cell>
        </row>
        <row r="638">
          <cell r="F638">
            <v>15850</v>
          </cell>
        </row>
        <row r="639">
          <cell r="F639">
            <v>24198</v>
          </cell>
        </row>
        <row r="640">
          <cell r="F640">
            <v>5566</v>
          </cell>
        </row>
        <row r="641">
          <cell r="F641">
            <v>7622</v>
          </cell>
        </row>
        <row r="642">
          <cell r="F642">
            <v>11736</v>
          </cell>
        </row>
        <row r="643">
          <cell r="F643">
            <v>17665</v>
          </cell>
        </row>
        <row r="644">
          <cell r="F644">
            <v>13188</v>
          </cell>
        </row>
        <row r="645">
          <cell r="F645">
            <v>9195</v>
          </cell>
        </row>
        <row r="646">
          <cell r="F646">
            <v>14398</v>
          </cell>
        </row>
        <row r="647">
          <cell r="F647">
            <v>22988</v>
          </cell>
        </row>
        <row r="648">
          <cell r="F648">
            <v>37507</v>
          </cell>
        </row>
        <row r="649">
          <cell r="F649">
            <v>13188</v>
          </cell>
        </row>
        <row r="650">
          <cell r="F650">
            <v>19116</v>
          </cell>
        </row>
        <row r="651">
          <cell r="F651">
            <v>28312</v>
          </cell>
        </row>
        <row r="652">
          <cell r="F652">
            <v>43556</v>
          </cell>
        </row>
        <row r="653">
          <cell r="F653">
            <v>6050</v>
          </cell>
        </row>
        <row r="654">
          <cell r="F654">
            <v>9316</v>
          </cell>
        </row>
        <row r="655">
          <cell r="F655">
            <v>15124</v>
          </cell>
        </row>
        <row r="656">
          <cell r="F656">
            <v>24198</v>
          </cell>
        </row>
        <row r="657">
          <cell r="F657">
            <v>18269</v>
          </cell>
        </row>
        <row r="658">
          <cell r="F658">
            <v>28312</v>
          </cell>
        </row>
        <row r="659">
          <cell r="F659">
            <v>16334</v>
          </cell>
        </row>
        <row r="660">
          <cell r="F660">
            <v>6331</v>
          </cell>
        </row>
        <row r="661">
          <cell r="F661">
            <v>7448</v>
          </cell>
        </row>
        <row r="662">
          <cell r="F662">
            <v>8317</v>
          </cell>
        </row>
        <row r="663">
          <cell r="F663">
            <v>8317</v>
          </cell>
        </row>
        <row r="664">
          <cell r="F664">
            <v>6775</v>
          </cell>
        </row>
        <row r="665">
          <cell r="F665">
            <v>6775</v>
          </cell>
        </row>
        <row r="666">
          <cell r="F666">
            <v>188.08</v>
          </cell>
        </row>
        <row r="667">
          <cell r="F667">
            <v>194.56</v>
          </cell>
        </row>
        <row r="668">
          <cell r="F668">
            <v>259.42</v>
          </cell>
        </row>
        <row r="669">
          <cell r="F669">
            <v>259.42</v>
          </cell>
        </row>
        <row r="671">
          <cell r="F671">
            <v>233.48</v>
          </cell>
        </row>
        <row r="672">
          <cell r="F672">
            <v>364.49</v>
          </cell>
        </row>
        <row r="673">
          <cell r="F673">
            <v>12960</v>
          </cell>
        </row>
        <row r="674">
          <cell r="F674">
            <v>622.61</v>
          </cell>
        </row>
        <row r="675">
          <cell r="F675">
            <v>648.54999999999995</v>
          </cell>
        </row>
        <row r="676">
          <cell r="F676">
            <v>882.03</v>
          </cell>
        </row>
        <row r="677">
          <cell r="F677">
            <v>679.68</v>
          </cell>
        </row>
        <row r="678">
          <cell r="F678">
            <v>840.52</v>
          </cell>
        </row>
        <row r="679">
          <cell r="F679">
            <v>1011.74</v>
          </cell>
        </row>
        <row r="680">
          <cell r="F680">
            <v>3923</v>
          </cell>
        </row>
        <row r="681">
          <cell r="F681">
            <v>4600</v>
          </cell>
        </row>
        <row r="682">
          <cell r="F682">
            <v>10417</v>
          </cell>
        </row>
        <row r="683">
          <cell r="F683">
            <v>10958</v>
          </cell>
        </row>
        <row r="684">
          <cell r="F684">
            <v>12988</v>
          </cell>
        </row>
        <row r="687">
          <cell r="F687">
            <v>24775</v>
          </cell>
        </row>
        <row r="688">
          <cell r="F688">
            <v>24775</v>
          </cell>
        </row>
        <row r="689">
          <cell r="F689">
            <v>24775</v>
          </cell>
        </row>
        <row r="690">
          <cell r="F690">
            <v>23867</v>
          </cell>
        </row>
        <row r="691">
          <cell r="F691">
            <v>23867</v>
          </cell>
        </row>
        <row r="692">
          <cell r="F692">
            <v>23867</v>
          </cell>
        </row>
        <row r="693">
          <cell r="F693">
            <v>32428</v>
          </cell>
        </row>
        <row r="694">
          <cell r="F694">
            <v>32428</v>
          </cell>
        </row>
        <row r="695">
          <cell r="F695">
            <v>32428</v>
          </cell>
        </row>
        <row r="696">
          <cell r="F696">
            <v>26980</v>
          </cell>
        </row>
        <row r="697">
          <cell r="F697">
            <v>26980</v>
          </cell>
        </row>
        <row r="698">
          <cell r="F698">
            <v>26980</v>
          </cell>
        </row>
        <row r="699">
          <cell r="F699">
            <v>30741</v>
          </cell>
        </row>
        <row r="700">
          <cell r="F700">
            <v>30741</v>
          </cell>
        </row>
        <row r="701">
          <cell r="F701">
            <v>30741</v>
          </cell>
        </row>
        <row r="702">
          <cell r="F702">
            <v>21662</v>
          </cell>
        </row>
        <row r="703">
          <cell r="F703">
            <v>21662</v>
          </cell>
        </row>
        <row r="704">
          <cell r="F704">
            <v>21662</v>
          </cell>
        </row>
        <row r="705">
          <cell r="F705">
            <v>21662</v>
          </cell>
        </row>
        <row r="706">
          <cell r="F706">
            <v>21662</v>
          </cell>
        </row>
        <row r="707">
          <cell r="F707">
            <v>19327</v>
          </cell>
        </row>
        <row r="708">
          <cell r="F708">
            <v>19327</v>
          </cell>
        </row>
        <row r="709">
          <cell r="F709">
            <v>19327</v>
          </cell>
        </row>
        <row r="710">
          <cell r="F710">
            <v>19327</v>
          </cell>
        </row>
        <row r="711">
          <cell r="F711">
            <v>19327</v>
          </cell>
        </row>
        <row r="712">
          <cell r="F712">
            <v>21662</v>
          </cell>
        </row>
        <row r="713">
          <cell r="F713">
            <v>21662</v>
          </cell>
        </row>
        <row r="714">
          <cell r="F714">
            <v>21662</v>
          </cell>
        </row>
        <row r="715">
          <cell r="F715">
            <v>21662</v>
          </cell>
        </row>
        <row r="716">
          <cell r="F716">
            <v>21662</v>
          </cell>
        </row>
        <row r="717">
          <cell r="F717">
            <v>19327</v>
          </cell>
        </row>
        <row r="718">
          <cell r="F718">
            <v>19327</v>
          </cell>
        </row>
        <row r="719">
          <cell r="F719">
            <v>19327</v>
          </cell>
        </row>
        <row r="720">
          <cell r="F720">
            <v>19327</v>
          </cell>
        </row>
        <row r="721">
          <cell r="F721">
            <v>19327</v>
          </cell>
        </row>
        <row r="722">
          <cell r="F722">
            <v>31260</v>
          </cell>
        </row>
        <row r="723">
          <cell r="F723">
            <v>31260</v>
          </cell>
        </row>
        <row r="724">
          <cell r="F724">
            <v>31260</v>
          </cell>
        </row>
        <row r="725">
          <cell r="F725">
            <v>31260</v>
          </cell>
        </row>
        <row r="726">
          <cell r="F726">
            <v>31260</v>
          </cell>
        </row>
        <row r="727">
          <cell r="F727">
            <v>31260</v>
          </cell>
        </row>
        <row r="728">
          <cell r="F728">
            <v>31260</v>
          </cell>
        </row>
        <row r="729">
          <cell r="F729">
            <v>31260</v>
          </cell>
        </row>
        <row r="730">
          <cell r="F730">
            <v>31260</v>
          </cell>
        </row>
        <row r="731">
          <cell r="F731">
            <v>31260</v>
          </cell>
        </row>
        <row r="732">
          <cell r="F732">
            <v>31520</v>
          </cell>
        </row>
        <row r="733">
          <cell r="F733">
            <v>31520</v>
          </cell>
        </row>
        <row r="734">
          <cell r="F734">
            <v>31520</v>
          </cell>
        </row>
        <row r="735">
          <cell r="F735">
            <v>31520</v>
          </cell>
        </row>
        <row r="736">
          <cell r="F736">
            <v>31520</v>
          </cell>
        </row>
        <row r="737">
          <cell r="F737">
            <v>31520</v>
          </cell>
        </row>
        <row r="738">
          <cell r="F738">
            <v>31520</v>
          </cell>
        </row>
        <row r="739">
          <cell r="F739">
            <v>31520</v>
          </cell>
        </row>
        <row r="740">
          <cell r="F740">
            <v>31520</v>
          </cell>
        </row>
        <row r="741">
          <cell r="F741">
            <v>31520</v>
          </cell>
        </row>
        <row r="742">
          <cell r="F742">
            <v>31520</v>
          </cell>
        </row>
        <row r="743">
          <cell r="F743">
            <v>31260</v>
          </cell>
        </row>
        <row r="744">
          <cell r="F744">
            <v>31260</v>
          </cell>
        </row>
        <row r="745">
          <cell r="F745">
            <v>31260</v>
          </cell>
        </row>
        <row r="746">
          <cell r="F746">
            <v>31260</v>
          </cell>
        </row>
        <row r="747">
          <cell r="F747">
            <v>31260</v>
          </cell>
        </row>
        <row r="748">
          <cell r="F748">
            <v>31520</v>
          </cell>
        </row>
        <row r="749">
          <cell r="F749">
            <v>31520</v>
          </cell>
        </row>
        <row r="750">
          <cell r="F750">
            <v>31520</v>
          </cell>
        </row>
        <row r="751">
          <cell r="F751">
            <v>31520</v>
          </cell>
        </row>
        <row r="752">
          <cell r="F752">
            <v>31520</v>
          </cell>
        </row>
        <row r="753">
          <cell r="F753">
            <v>24904</v>
          </cell>
        </row>
        <row r="754">
          <cell r="F754">
            <v>24904</v>
          </cell>
        </row>
        <row r="755">
          <cell r="F755">
            <v>24904</v>
          </cell>
        </row>
        <row r="756">
          <cell r="F756">
            <v>24904</v>
          </cell>
        </row>
        <row r="757">
          <cell r="F757">
            <v>24904</v>
          </cell>
        </row>
        <row r="758">
          <cell r="F758">
            <v>24904</v>
          </cell>
        </row>
        <row r="759">
          <cell r="F759">
            <v>24904</v>
          </cell>
        </row>
        <row r="760">
          <cell r="F760">
            <v>25553</v>
          </cell>
        </row>
        <row r="761">
          <cell r="F761">
            <v>25553</v>
          </cell>
        </row>
        <row r="762">
          <cell r="F762">
            <v>25553</v>
          </cell>
        </row>
        <row r="763">
          <cell r="F763">
            <v>25553</v>
          </cell>
        </row>
        <row r="764">
          <cell r="F764">
            <v>25553</v>
          </cell>
        </row>
        <row r="765">
          <cell r="F765">
            <v>25553</v>
          </cell>
        </row>
        <row r="766">
          <cell r="F766">
            <v>25553</v>
          </cell>
        </row>
        <row r="767">
          <cell r="F767">
            <v>25553</v>
          </cell>
        </row>
        <row r="768">
          <cell r="F768">
            <v>25553</v>
          </cell>
        </row>
        <row r="769">
          <cell r="F769">
            <v>24904</v>
          </cell>
        </row>
        <row r="770">
          <cell r="F770">
            <v>24904</v>
          </cell>
        </row>
        <row r="771">
          <cell r="F771">
            <v>24904</v>
          </cell>
        </row>
        <row r="772">
          <cell r="F772">
            <v>24904</v>
          </cell>
        </row>
        <row r="773">
          <cell r="F773">
            <v>24904</v>
          </cell>
        </row>
        <row r="774">
          <cell r="F774">
            <v>25553</v>
          </cell>
        </row>
        <row r="775">
          <cell r="F775">
            <v>25553</v>
          </cell>
        </row>
        <row r="776">
          <cell r="F776">
            <v>25553</v>
          </cell>
        </row>
        <row r="777">
          <cell r="F777">
            <v>25553</v>
          </cell>
        </row>
        <row r="778">
          <cell r="F778">
            <v>25553</v>
          </cell>
        </row>
        <row r="779">
          <cell r="F779">
            <v>21532</v>
          </cell>
        </row>
        <row r="780">
          <cell r="F780">
            <v>21532</v>
          </cell>
        </row>
        <row r="781">
          <cell r="F781">
            <v>21532</v>
          </cell>
        </row>
        <row r="782">
          <cell r="F782">
            <v>21532</v>
          </cell>
        </row>
        <row r="783">
          <cell r="F783">
            <v>21532</v>
          </cell>
        </row>
        <row r="784">
          <cell r="F784">
            <v>23348</v>
          </cell>
        </row>
        <row r="785">
          <cell r="F785">
            <v>23348</v>
          </cell>
        </row>
        <row r="786">
          <cell r="F786">
            <v>23348</v>
          </cell>
        </row>
        <row r="787">
          <cell r="F787">
            <v>23348</v>
          </cell>
        </row>
        <row r="788">
          <cell r="F788">
            <v>23348</v>
          </cell>
        </row>
        <row r="789">
          <cell r="F789">
            <v>38913</v>
          </cell>
        </row>
        <row r="790">
          <cell r="F790">
            <v>38913</v>
          </cell>
        </row>
        <row r="791">
          <cell r="F791">
            <v>38913</v>
          </cell>
        </row>
        <row r="792">
          <cell r="F792">
            <v>38913</v>
          </cell>
        </row>
        <row r="793">
          <cell r="F793">
            <v>51884</v>
          </cell>
        </row>
        <row r="794">
          <cell r="F794">
            <v>51884</v>
          </cell>
        </row>
        <row r="795">
          <cell r="F795">
            <v>51884</v>
          </cell>
        </row>
        <row r="796">
          <cell r="F796">
            <v>51884</v>
          </cell>
        </row>
        <row r="797">
          <cell r="F797">
            <v>46696</v>
          </cell>
        </row>
        <row r="798">
          <cell r="F798">
            <v>46696</v>
          </cell>
        </row>
        <row r="799">
          <cell r="F799">
            <v>46696</v>
          </cell>
        </row>
        <row r="800">
          <cell r="F800">
            <v>51884</v>
          </cell>
        </row>
        <row r="801">
          <cell r="F801">
            <v>51884</v>
          </cell>
        </row>
        <row r="802">
          <cell r="F802">
            <v>7653</v>
          </cell>
        </row>
        <row r="803">
          <cell r="F803">
            <v>20481</v>
          </cell>
        </row>
        <row r="804">
          <cell r="F804">
            <v>20481</v>
          </cell>
        </row>
        <row r="805">
          <cell r="F805">
            <v>14647</v>
          </cell>
        </row>
        <row r="806">
          <cell r="F806">
            <v>14647</v>
          </cell>
        </row>
        <row r="807">
          <cell r="F807">
            <v>20357</v>
          </cell>
        </row>
        <row r="808">
          <cell r="F808">
            <v>20357</v>
          </cell>
        </row>
        <row r="809">
          <cell r="F809">
            <v>20357</v>
          </cell>
        </row>
        <row r="810">
          <cell r="F810">
            <v>20357</v>
          </cell>
        </row>
        <row r="811">
          <cell r="F811">
            <v>20357</v>
          </cell>
        </row>
        <row r="812">
          <cell r="F812">
            <v>19612</v>
          </cell>
        </row>
        <row r="813">
          <cell r="F813">
            <v>19612</v>
          </cell>
        </row>
        <row r="814">
          <cell r="F814">
            <v>46177</v>
          </cell>
        </row>
        <row r="815">
          <cell r="F815">
            <v>58370</v>
          </cell>
        </row>
        <row r="816">
          <cell r="F816">
            <v>62520</v>
          </cell>
        </row>
        <row r="817">
          <cell r="F817">
            <v>46177</v>
          </cell>
        </row>
        <row r="818">
          <cell r="F818">
            <v>46177</v>
          </cell>
        </row>
        <row r="819">
          <cell r="F819">
            <v>32168</v>
          </cell>
        </row>
        <row r="820">
          <cell r="F820">
            <v>32168</v>
          </cell>
        </row>
        <row r="821">
          <cell r="F821">
            <v>32168</v>
          </cell>
        </row>
        <row r="822">
          <cell r="F822">
            <v>49290</v>
          </cell>
        </row>
        <row r="823">
          <cell r="F823">
            <v>49290</v>
          </cell>
        </row>
        <row r="824">
          <cell r="F824">
            <v>37616</v>
          </cell>
        </row>
        <row r="825">
          <cell r="F825">
            <v>39821</v>
          </cell>
        </row>
        <row r="826">
          <cell r="F826">
            <v>14523</v>
          </cell>
        </row>
        <row r="827">
          <cell r="F827">
            <v>14523</v>
          </cell>
        </row>
        <row r="828">
          <cell r="F828">
            <v>12289</v>
          </cell>
        </row>
        <row r="829">
          <cell r="F829">
            <v>12289</v>
          </cell>
        </row>
        <row r="830">
          <cell r="F830">
            <v>31901</v>
          </cell>
        </row>
        <row r="831">
          <cell r="F831">
            <v>61693</v>
          </cell>
        </row>
        <row r="832">
          <cell r="F832">
            <v>38729</v>
          </cell>
        </row>
        <row r="833">
          <cell r="F833">
            <v>35501</v>
          </cell>
        </row>
        <row r="834">
          <cell r="F834">
            <v>146.83000000000001</v>
          </cell>
        </row>
        <row r="835">
          <cell r="F835">
            <v>108.18</v>
          </cell>
        </row>
        <row r="836">
          <cell r="F836">
            <v>82.37</v>
          </cell>
        </row>
        <row r="837">
          <cell r="F837">
            <v>179.834</v>
          </cell>
        </row>
        <row r="838">
          <cell r="F838">
            <v>186.29900000000001</v>
          </cell>
        </row>
        <row r="839">
          <cell r="F839">
            <v>147.37700000000001</v>
          </cell>
        </row>
        <row r="840">
          <cell r="F840">
            <v>160.96700000000001</v>
          </cell>
        </row>
        <row r="841">
          <cell r="F841">
            <v>120.065</v>
          </cell>
        </row>
        <row r="842">
          <cell r="F842">
            <v>134.447</v>
          </cell>
        </row>
        <row r="843">
          <cell r="F843">
            <v>196.33</v>
          </cell>
        </row>
        <row r="844">
          <cell r="F844">
            <v>201.34</v>
          </cell>
        </row>
        <row r="845">
          <cell r="F845">
            <v>132.19999999999999</v>
          </cell>
        </row>
        <row r="846">
          <cell r="F846">
            <v>134.44999999999999</v>
          </cell>
        </row>
        <row r="847">
          <cell r="F847">
            <v>111.89</v>
          </cell>
        </row>
        <row r="848">
          <cell r="F848">
            <v>116.77</v>
          </cell>
        </row>
        <row r="849">
          <cell r="F849">
            <v>213.74</v>
          </cell>
        </row>
        <row r="850">
          <cell r="F850">
            <v>218.63</v>
          </cell>
        </row>
        <row r="851">
          <cell r="F851">
            <v>132.47</v>
          </cell>
        </row>
        <row r="852">
          <cell r="F852">
            <v>137.35</v>
          </cell>
        </row>
        <row r="853">
          <cell r="F853">
            <v>120.07</v>
          </cell>
        </row>
        <row r="854">
          <cell r="F854">
            <v>120.99</v>
          </cell>
        </row>
        <row r="855">
          <cell r="F855">
            <v>286.57</v>
          </cell>
        </row>
        <row r="856">
          <cell r="F856">
            <v>286.57</v>
          </cell>
        </row>
        <row r="857">
          <cell r="F857">
            <v>291.72000000000003</v>
          </cell>
        </row>
        <row r="858">
          <cell r="F858">
            <v>291.72000000000003</v>
          </cell>
        </row>
        <row r="859">
          <cell r="F859">
            <v>272.19</v>
          </cell>
        </row>
        <row r="860">
          <cell r="F860">
            <v>272.19</v>
          </cell>
        </row>
        <row r="861">
          <cell r="F861">
            <v>276.94</v>
          </cell>
        </row>
        <row r="862">
          <cell r="F862">
            <v>276.94</v>
          </cell>
        </row>
        <row r="863">
          <cell r="F863">
            <v>189.77</v>
          </cell>
        </row>
        <row r="864">
          <cell r="F864">
            <v>141.51</v>
          </cell>
        </row>
        <row r="865">
          <cell r="F865">
            <v>239.21</v>
          </cell>
        </row>
        <row r="866">
          <cell r="F866">
            <v>244.22</v>
          </cell>
        </row>
        <row r="867">
          <cell r="F867">
            <v>190.13</v>
          </cell>
        </row>
        <row r="868">
          <cell r="F868">
            <v>193.03</v>
          </cell>
        </row>
        <row r="869">
          <cell r="F869">
            <v>185.11</v>
          </cell>
        </row>
        <row r="870">
          <cell r="F870">
            <v>189.99</v>
          </cell>
        </row>
        <row r="871">
          <cell r="F871">
            <v>376.69</v>
          </cell>
        </row>
        <row r="872">
          <cell r="F872">
            <v>381.7</v>
          </cell>
        </row>
        <row r="873">
          <cell r="F873">
            <v>292.12</v>
          </cell>
        </row>
        <row r="874">
          <cell r="F874">
            <v>297</v>
          </cell>
        </row>
        <row r="875">
          <cell r="F875">
            <v>193.03</v>
          </cell>
        </row>
        <row r="876">
          <cell r="F876">
            <v>197.91</v>
          </cell>
        </row>
        <row r="877">
          <cell r="F877">
            <v>221.8</v>
          </cell>
        </row>
        <row r="878">
          <cell r="F878">
            <v>1765.35</v>
          </cell>
        </row>
        <row r="879">
          <cell r="F879">
            <v>6323.36</v>
          </cell>
        </row>
        <row r="880">
          <cell r="F880">
            <v>3852.39</v>
          </cell>
        </row>
        <row r="881">
          <cell r="F881">
            <v>10659.5</v>
          </cell>
        </row>
        <row r="882">
          <cell r="F882">
            <v>4315.75</v>
          </cell>
        </row>
        <row r="883">
          <cell r="F883">
            <v>4651.2700000000004</v>
          </cell>
        </row>
        <row r="884">
          <cell r="F884">
            <v>3646.06</v>
          </cell>
        </row>
        <row r="885">
          <cell r="F885">
            <v>3851.71</v>
          </cell>
        </row>
        <row r="886">
          <cell r="F886">
            <v>6190.87</v>
          </cell>
        </row>
        <row r="887">
          <cell r="F887">
            <v>12730.79</v>
          </cell>
        </row>
        <row r="888">
          <cell r="F888">
            <v>5867.53</v>
          </cell>
        </row>
        <row r="889">
          <cell r="F889">
            <v>7056.73</v>
          </cell>
        </row>
        <row r="890">
          <cell r="F890">
            <v>3180.21</v>
          </cell>
        </row>
        <row r="891">
          <cell r="F891">
            <v>2029</v>
          </cell>
        </row>
        <row r="892">
          <cell r="F892">
            <v>3382</v>
          </cell>
        </row>
        <row r="893">
          <cell r="F893">
            <v>6088</v>
          </cell>
        </row>
        <row r="894">
          <cell r="F894">
            <v>11500</v>
          </cell>
        </row>
        <row r="895">
          <cell r="F895">
            <v>107003</v>
          </cell>
        </row>
        <row r="896">
          <cell r="F896">
            <v>107003</v>
          </cell>
        </row>
        <row r="897">
          <cell r="F897">
            <v>141308</v>
          </cell>
        </row>
        <row r="898">
          <cell r="F898">
            <v>111357</v>
          </cell>
        </row>
        <row r="899">
          <cell r="F899">
            <v>111357</v>
          </cell>
        </row>
        <row r="900">
          <cell r="F900">
            <v>128773</v>
          </cell>
        </row>
        <row r="901">
          <cell r="F901">
            <v>131266</v>
          </cell>
        </row>
        <row r="902">
          <cell r="F902">
            <v>129191</v>
          </cell>
        </row>
        <row r="903">
          <cell r="F903">
            <v>51495</v>
          </cell>
        </row>
        <row r="904">
          <cell r="F904">
            <v>55127</v>
          </cell>
        </row>
        <row r="905">
          <cell r="F905">
            <v>50198</v>
          </cell>
        </row>
        <row r="906">
          <cell r="F906">
            <v>1946</v>
          </cell>
        </row>
        <row r="907">
          <cell r="F907">
            <v>2929</v>
          </cell>
        </row>
        <row r="908">
          <cell r="F908">
            <v>3243</v>
          </cell>
        </row>
        <row r="909">
          <cell r="F909">
            <v>5188</v>
          </cell>
        </row>
        <row r="910">
          <cell r="F910">
            <v>577.04999999999995</v>
          </cell>
        </row>
        <row r="911">
          <cell r="F911">
            <v>491.99</v>
          </cell>
        </row>
        <row r="912">
          <cell r="F912">
            <v>91.06</v>
          </cell>
        </row>
        <row r="913">
          <cell r="F913">
            <v>483.053</v>
          </cell>
        </row>
        <row r="914">
          <cell r="F914">
            <v>339.69</v>
          </cell>
        </row>
        <row r="915">
          <cell r="F915">
            <v>305.87700000000001</v>
          </cell>
        </row>
        <row r="916">
          <cell r="F916">
            <v>384.14</v>
          </cell>
        </row>
        <row r="917">
          <cell r="F917">
            <v>477.13</v>
          </cell>
        </row>
        <row r="918">
          <cell r="F918">
            <v>15176</v>
          </cell>
        </row>
        <row r="919">
          <cell r="F919">
            <v>16862</v>
          </cell>
        </row>
        <row r="920">
          <cell r="F920">
            <v>19456</v>
          </cell>
        </row>
        <row r="921">
          <cell r="F921">
            <v>22051</v>
          </cell>
        </row>
        <row r="922">
          <cell r="F922">
            <v>125.97</v>
          </cell>
        </row>
        <row r="923">
          <cell r="F923">
            <v>78.290000000000006</v>
          </cell>
        </row>
        <row r="924">
          <cell r="F924">
            <v>35.409999999999997</v>
          </cell>
        </row>
        <row r="925">
          <cell r="F925">
            <v>35.409999999999997</v>
          </cell>
        </row>
        <row r="926">
          <cell r="F926">
            <v>31</v>
          </cell>
        </row>
        <row r="927">
          <cell r="F927">
            <v>91.834000000000003</v>
          </cell>
        </row>
        <row r="928">
          <cell r="F928">
            <v>169.18</v>
          </cell>
        </row>
        <row r="929">
          <cell r="F929">
            <v>6467</v>
          </cell>
        </row>
        <row r="930">
          <cell r="F930">
            <v>4059</v>
          </cell>
        </row>
        <row r="931">
          <cell r="F931">
            <v>5412</v>
          </cell>
        </row>
        <row r="932">
          <cell r="F932">
            <v>2706</v>
          </cell>
        </row>
        <row r="933">
          <cell r="F933">
            <v>6764</v>
          </cell>
        </row>
        <row r="934">
          <cell r="F934">
            <v>4059</v>
          </cell>
        </row>
        <row r="935">
          <cell r="F935">
            <v>151.24</v>
          </cell>
        </row>
        <row r="936">
          <cell r="F936">
            <v>1541.7</v>
          </cell>
        </row>
        <row r="937">
          <cell r="F937">
            <v>1541.7</v>
          </cell>
        </row>
        <row r="938">
          <cell r="F938">
            <v>1700.58</v>
          </cell>
        </row>
        <row r="939">
          <cell r="F939">
            <v>1700.58</v>
          </cell>
        </row>
        <row r="940">
          <cell r="F940">
            <v>946.88</v>
          </cell>
        </row>
        <row r="941">
          <cell r="F941">
            <v>830.14</v>
          </cell>
        </row>
        <row r="942">
          <cell r="F942">
            <v>583.70000000000005</v>
          </cell>
        </row>
        <row r="943">
          <cell r="F943">
            <v>583.70000000000005</v>
          </cell>
        </row>
        <row r="944">
          <cell r="F944">
            <v>583.70000000000005</v>
          </cell>
        </row>
        <row r="945">
          <cell r="F945">
            <v>583.70000000000005</v>
          </cell>
        </row>
        <row r="946">
          <cell r="F946">
            <v>583.70000000000005</v>
          </cell>
        </row>
        <row r="947">
          <cell r="F947">
            <v>664.12</v>
          </cell>
        </row>
        <row r="948">
          <cell r="F948">
            <v>6764</v>
          </cell>
        </row>
        <row r="949">
          <cell r="F949">
            <v>7441</v>
          </cell>
        </row>
        <row r="950">
          <cell r="F950">
            <v>1808</v>
          </cell>
        </row>
        <row r="951">
          <cell r="F951">
            <v>1808</v>
          </cell>
        </row>
        <row r="952">
          <cell r="F952">
            <v>1808</v>
          </cell>
        </row>
        <row r="953">
          <cell r="F953">
            <v>1808</v>
          </cell>
        </row>
        <row r="954">
          <cell r="F954">
            <v>2599</v>
          </cell>
        </row>
        <row r="955">
          <cell r="F955">
            <v>2599</v>
          </cell>
        </row>
        <row r="956">
          <cell r="F956">
            <v>2599</v>
          </cell>
        </row>
        <row r="957">
          <cell r="F957">
            <v>2599</v>
          </cell>
        </row>
        <row r="958">
          <cell r="F958">
            <v>1808</v>
          </cell>
        </row>
        <row r="959">
          <cell r="F959">
            <v>1808</v>
          </cell>
        </row>
        <row r="960">
          <cell r="F960">
            <v>1808</v>
          </cell>
        </row>
        <row r="961">
          <cell r="F961">
            <v>1808</v>
          </cell>
        </row>
        <row r="962">
          <cell r="F962">
            <v>2599</v>
          </cell>
        </row>
        <row r="963">
          <cell r="F963">
            <v>2599</v>
          </cell>
        </row>
        <row r="964">
          <cell r="F964">
            <v>2599</v>
          </cell>
        </row>
        <row r="965">
          <cell r="F965">
            <v>2599</v>
          </cell>
        </row>
        <row r="966">
          <cell r="F966">
            <v>1808</v>
          </cell>
        </row>
        <row r="967">
          <cell r="F967">
            <v>1808</v>
          </cell>
        </row>
        <row r="968">
          <cell r="F968">
            <v>1808</v>
          </cell>
        </row>
        <row r="969">
          <cell r="F969">
            <v>1808</v>
          </cell>
        </row>
        <row r="970">
          <cell r="F970">
            <v>1808</v>
          </cell>
        </row>
        <row r="971">
          <cell r="F971">
            <v>1808</v>
          </cell>
        </row>
        <row r="972">
          <cell r="F972">
            <v>1808</v>
          </cell>
        </row>
        <row r="973">
          <cell r="F973">
            <v>2599</v>
          </cell>
        </row>
        <row r="974">
          <cell r="F974">
            <v>2166</v>
          </cell>
        </row>
        <row r="975">
          <cell r="F975">
            <v>2166</v>
          </cell>
        </row>
        <row r="976">
          <cell r="F976">
            <v>2599</v>
          </cell>
        </row>
        <row r="977">
          <cell r="F977">
            <v>2599</v>
          </cell>
        </row>
        <row r="978">
          <cell r="F978">
            <v>2599</v>
          </cell>
        </row>
        <row r="979">
          <cell r="F979">
            <v>6571</v>
          </cell>
        </row>
        <row r="980">
          <cell r="F980">
            <v>6571</v>
          </cell>
        </row>
        <row r="981">
          <cell r="F981">
            <v>6571</v>
          </cell>
        </row>
        <row r="982">
          <cell r="F982">
            <v>6571</v>
          </cell>
        </row>
        <row r="983">
          <cell r="F983">
            <v>6571</v>
          </cell>
        </row>
        <row r="984">
          <cell r="F984">
            <v>6571</v>
          </cell>
        </row>
        <row r="985">
          <cell r="F985">
            <v>6571</v>
          </cell>
        </row>
        <row r="986">
          <cell r="F986">
            <v>6571</v>
          </cell>
        </row>
        <row r="987">
          <cell r="F987">
            <v>6571</v>
          </cell>
        </row>
        <row r="988">
          <cell r="F988">
            <v>6571</v>
          </cell>
        </row>
        <row r="989">
          <cell r="F989">
            <v>6571</v>
          </cell>
        </row>
        <row r="990">
          <cell r="F990">
            <v>6571</v>
          </cell>
        </row>
        <row r="991">
          <cell r="F991">
            <v>6571</v>
          </cell>
        </row>
        <row r="992">
          <cell r="F992">
            <v>6571</v>
          </cell>
        </row>
        <row r="993">
          <cell r="F993">
            <v>4354</v>
          </cell>
        </row>
        <row r="994">
          <cell r="F994">
            <v>4354</v>
          </cell>
        </row>
        <row r="995">
          <cell r="F995">
            <v>4354</v>
          </cell>
        </row>
        <row r="996">
          <cell r="F996">
            <v>4354</v>
          </cell>
        </row>
        <row r="997">
          <cell r="F997">
            <v>3958</v>
          </cell>
        </row>
        <row r="998">
          <cell r="F998">
            <v>3958</v>
          </cell>
        </row>
        <row r="999">
          <cell r="F999">
            <v>3958</v>
          </cell>
        </row>
        <row r="1000">
          <cell r="F1000">
            <v>3958</v>
          </cell>
        </row>
        <row r="1001">
          <cell r="F1001">
            <v>3958</v>
          </cell>
        </row>
        <row r="1002">
          <cell r="F1002">
            <v>2985</v>
          </cell>
        </row>
        <row r="1003">
          <cell r="F1003">
            <v>2985</v>
          </cell>
        </row>
        <row r="1004">
          <cell r="F1004">
            <v>2985</v>
          </cell>
        </row>
        <row r="1005">
          <cell r="F1005">
            <v>2985</v>
          </cell>
        </row>
        <row r="1006">
          <cell r="F1006">
            <v>1821</v>
          </cell>
        </row>
        <row r="1007">
          <cell r="F1007">
            <v>1821</v>
          </cell>
        </row>
        <row r="1008">
          <cell r="F1008">
            <v>1821</v>
          </cell>
        </row>
        <row r="1009">
          <cell r="F1009">
            <v>1821</v>
          </cell>
        </row>
        <row r="1010">
          <cell r="F1010">
            <v>3167</v>
          </cell>
        </row>
        <row r="1011">
          <cell r="F1011">
            <v>3167</v>
          </cell>
        </row>
        <row r="1012">
          <cell r="F1012">
            <v>3167</v>
          </cell>
        </row>
        <row r="1013">
          <cell r="F1013">
            <v>3167</v>
          </cell>
        </row>
        <row r="1014">
          <cell r="F1014">
            <v>3167</v>
          </cell>
        </row>
        <row r="1015">
          <cell r="F1015">
            <v>4090</v>
          </cell>
        </row>
        <row r="1016">
          <cell r="F1016">
            <v>4222</v>
          </cell>
        </row>
        <row r="1017">
          <cell r="F1017">
            <v>4222</v>
          </cell>
        </row>
        <row r="1018">
          <cell r="F1018">
            <v>38658</v>
          </cell>
        </row>
        <row r="1019">
          <cell r="F1019">
            <v>38658</v>
          </cell>
        </row>
        <row r="1020">
          <cell r="F1020">
            <v>20451</v>
          </cell>
        </row>
        <row r="1021">
          <cell r="F1021">
            <v>20451</v>
          </cell>
        </row>
        <row r="1022">
          <cell r="F1022">
            <v>20451</v>
          </cell>
        </row>
        <row r="1023">
          <cell r="F1023">
            <v>20451</v>
          </cell>
        </row>
        <row r="1024">
          <cell r="F1024">
            <v>13854</v>
          </cell>
        </row>
        <row r="1025">
          <cell r="F1025">
            <v>13854</v>
          </cell>
        </row>
        <row r="1026">
          <cell r="F1026">
            <v>13854</v>
          </cell>
        </row>
        <row r="1027">
          <cell r="F1027">
            <v>13854</v>
          </cell>
        </row>
        <row r="1028">
          <cell r="F1028">
            <v>33381</v>
          </cell>
        </row>
        <row r="1029">
          <cell r="F1029">
            <v>33381</v>
          </cell>
        </row>
        <row r="1030">
          <cell r="F1030">
            <v>33381</v>
          </cell>
        </row>
        <row r="1031">
          <cell r="F1031">
            <v>33381</v>
          </cell>
        </row>
        <row r="1032">
          <cell r="F1032">
            <v>7238</v>
          </cell>
        </row>
        <row r="1033">
          <cell r="F1033">
            <v>7400</v>
          </cell>
        </row>
        <row r="1034">
          <cell r="F1034">
            <v>14476</v>
          </cell>
        </row>
        <row r="1035">
          <cell r="F1035">
            <v>14801</v>
          </cell>
        </row>
        <row r="1036">
          <cell r="F1036">
            <v>14206</v>
          </cell>
        </row>
        <row r="1037">
          <cell r="F1037">
            <v>14611</v>
          </cell>
        </row>
        <row r="1038">
          <cell r="F1038">
            <v>9064</v>
          </cell>
        </row>
        <row r="1039">
          <cell r="F1039">
            <v>9606</v>
          </cell>
        </row>
        <row r="1040">
          <cell r="F1040">
            <v>9606</v>
          </cell>
        </row>
        <row r="1041">
          <cell r="F1041">
            <v>10526</v>
          </cell>
        </row>
        <row r="1042">
          <cell r="F1042">
            <v>14151</v>
          </cell>
        </row>
        <row r="1043">
          <cell r="F1043">
            <v>15004</v>
          </cell>
        </row>
        <row r="1044">
          <cell r="F1044">
            <v>8794</v>
          </cell>
        </row>
        <row r="1045">
          <cell r="F1045">
            <v>9470</v>
          </cell>
        </row>
        <row r="1046">
          <cell r="F1046">
            <v>6764</v>
          </cell>
        </row>
        <row r="1047">
          <cell r="F1047">
            <v>7441</v>
          </cell>
        </row>
        <row r="1048">
          <cell r="F1048">
            <v>10958</v>
          </cell>
        </row>
        <row r="1049">
          <cell r="F1049">
            <v>12582</v>
          </cell>
        </row>
        <row r="1050">
          <cell r="F1050">
            <v>8388</v>
          </cell>
        </row>
        <row r="1051">
          <cell r="F1051">
            <v>9606</v>
          </cell>
        </row>
        <row r="1052">
          <cell r="F1052">
            <v>17588</v>
          </cell>
        </row>
        <row r="1053">
          <cell r="F1053">
            <v>20294</v>
          </cell>
        </row>
        <row r="1054">
          <cell r="F1054">
            <v>24758</v>
          </cell>
        </row>
        <row r="1055">
          <cell r="F1055">
            <v>28140</v>
          </cell>
        </row>
        <row r="1056">
          <cell r="F1056">
            <v>18955</v>
          </cell>
        </row>
        <row r="1057">
          <cell r="F1057">
            <v>21790</v>
          </cell>
        </row>
        <row r="1058">
          <cell r="F1058">
            <v>19402</v>
          </cell>
        </row>
        <row r="1059">
          <cell r="F1059">
            <v>22984</v>
          </cell>
        </row>
        <row r="1060">
          <cell r="F1060">
            <v>30298</v>
          </cell>
        </row>
        <row r="1061">
          <cell r="F1061">
            <v>24776</v>
          </cell>
        </row>
        <row r="1062">
          <cell r="F1062">
            <v>897</v>
          </cell>
        </row>
        <row r="1063">
          <cell r="F1063">
            <v>897</v>
          </cell>
        </row>
        <row r="1064">
          <cell r="F1064">
            <v>897</v>
          </cell>
        </row>
        <row r="1065">
          <cell r="F1065">
            <v>897</v>
          </cell>
        </row>
        <row r="1066">
          <cell r="F1066">
            <v>1029</v>
          </cell>
        </row>
        <row r="1067">
          <cell r="F1067">
            <v>1029</v>
          </cell>
        </row>
        <row r="1068">
          <cell r="F1068">
            <v>1029</v>
          </cell>
        </row>
        <row r="1069">
          <cell r="F1069">
            <v>1029</v>
          </cell>
        </row>
        <row r="1070">
          <cell r="F1070">
            <v>1399</v>
          </cell>
        </row>
        <row r="1071">
          <cell r="F1071">
            <v>1399</v>
          </cell>
        </row>
        <row r="1072">
          <cell r="F1072">
            <v>1399</v>
          </cell>
        </row>
        <row r="1073">
          <cell r="F1073">
            <v>1399</v>
          </cell>
        </row>
        <row r="1074">
          <cell r="F1074">
            <v>1517</v>
          </cell>
        </row>
        <row r="1075">
          <cell r="F1075">
            <v>1517</v>
          </cell>
        </row>
        <row r="1076">
          <cell r="F1076">
            <v>1517</v>
          </cell>
        </row>
        <row r="1077">
          <cell r="F1077">
            <v>1517</v>
          </cell>
        </row>
        <row r="1078">
          <cell r="F1078">
            <v>1201</v>
          </cell>
        </row>
        <row r="1079">
          <cell r="F1079">
            <v>1201</v>
          </cell>
        </row>
        <row r="1080">
          <cell r="F1080">
            <v>1201</v>
          </cell>
        </row>
        <row r="1081">
          <cell r="F1081">
            <v>1340</v>
          </cell>
        </row>
        <row r="1082">
          <cell r="F1082">
            <v>1340</v>
          </cell>
        </row>
        <row r="1083">
          <cell r="F1083">
            <v>1340</v>
          </cell>
        </row>
        <row r="1084">
          <cell r="F1084">
            <v>1649</v>
          </cell>
        </row>
        <row r="1085">
          <cell r="F1085">
            <v>1649</v>
          </cell>
        </row>
        <row r="1086">
          <cell r="F1086">
            <v>1649</v>
          </cell>
        </row>
        <row r="1087">
          <cell r="F1087">
            <v>1781</v>
          </cell>
        </row>
        <row r="1088">
          <cell r="F1088">
            <v>1781</v>
          </cell>
        </row>
        <row r="1089">
          <cell r="F1089">
            <v>1781</v>
          </cell>
        </row>
        <row r="1090">
          <cell r="F1090">
            <v>1557</v>
          </cell>
        </row>
        <row r="1091">
          <cell r="F1091">
            <v>1557</v>
          </cell>
        </row>
        <row r="1092">
          <cell r="F1092">
            <v>1557</v>
          </cell>
        </row>
        <row r="1093">
          <cell r="F1093">
            <v>1874</v>
          </cell>
        </row>
        <row r="1094">
          <cell r="F1094">
            <v>1874</v>
          </cell>
        </row>
        <row r="1095">
          <cell r="F1095">
            <v>1874</v>
          </cell>
        </row>
        <row r="1096">
          <cell r="F1096">
            <v>1557</v>
          </cell>
        </row>
        <row r="1097">
          <cell r="F1097">
            <v>1781</v>
          </cell>
        </row>
        <row r="1098">
          <cell r="F1098">
            <v>1781</v>
          </cell>
        </row>
        <row r="1099">
          <cell r="F1099">
            <v>1781</v>
          </cell>
        </row>
        <row r="1100">
          <cell r="F1100">
            <v>20055</v>
          </cell>
        </row>
        <row r="1101">
          <cell r="F1101">
            <v>25069</v>
          </cell>
        </row>
        <row r="1102">
          <cell r="F1102">
            <v>36547</v>
          </cell>
        </row>
        <row r="1103">
          <cell r="F1103">
            <v>1764</v>
          </cell>
        </row>
        <row r="1104">
          <cell r="F1104">
            <v>1979</v>
          </cell>
        </row>
        <row r="1105">
          <cell r="F1105">
            <v>1979</v>
          </cell>
        </row>
        <row r="1106">
          <cell r="F1106">
            <v>2283</v>
          </cell>
        </row>
        <row r="1107">
          <cell r="F1107">
            <v>2507</v>
          </cell>
        </row>
        <row r="1108">
          <cell r="F1108">
            <v>2243</v>
          </cell>
        </row>
        <row r="1109">
          <cell r="F1109">
            <v>2375</v>
          </cell>
        </row>
        <row r="1110">
          <cell r="F1110">
            <v>2243</v>
          </cell>
        </row>
        <row r="1111">
          <cell r="F1111">
            <v>2375</v>
          </cell>
        </row>
        <row r="1112">
          <cell r="F1112">
            <v>2503</v>
          </cell>
        </row>
        <row r="1113">
          <cell r="F1113">
            <v>2909</v>
          </cell>
        </row>
        <row r="1114">
          <cell r="F1114">
            <v>5412</v>
          </cell>
        </row>
        <row r="1115">
          <cell r="F1115">
            <v>6088</v>
          </cell>
        </row>
        <row r="1116">
          <cell r="F1116">
            <v>4329</v>
          </cell>
        </row>
        <row r="1117">
          <cell r="F1117">
            <v>5141</v>
          </cell>
        </row>
        <row r="1118">
          <cell r="F1118">
            <v>3112</v>
          </cell>
        </row>
        <row r="1119">
          <cell r="F1119">
            <v>3788</v>
          </cell>
        </row>
        <row r="1120">
          <cell r="F1120">
            <v>2594</v>
          </cell>
        </row>
        <row r="1121">
          <cell r="F1121">
            <v>2854</v>
          </cell>
        </row>
        <row r="1122">
          <cell r="F1122">
            <v>2335</v>
          </cell>
        </row>
        <row r="1123">
          <cell r="F1123">
            <v>2594</v>
          </cell>
        </row>
        <row r="1124">
          <cell r="F1124">
            <v>2205</v>
          </cell>
        </row>
        <row r="1125">
          <cell r="F1125">
            <v>2335</v>
          </cell>
        </row>
        <row r="1126">
          <cell r="F1126">
            <v>2706</v>
          </cell>
        </row>
        <row r="1127">
          <cell r="F1127">
            <v>2570</v>
          </cell>
        </row>
        <row r="1128">
          <cell r="F1128">
            <v>2300</v>
          </cell>
        </row>
        <row r="1129">
          <cell r="F1129">
            <v>2165</v>
          </cell>
        </row>
        <row r="1130">
          <cell r="F1130">
            <v>6764</v>
          </cell>
        </row>
        <row r="1131">
          <cell r="F1131">
            <v>7441</v>
          </cell>
        </row>
        <row r="1132">
          <cell r="F1132">
            <v>5885</v>
          </cell>
        </row>
        <row r="1133">
          <cell r="F1133">
            <v>6764</v>
          </cell>
        </row>
        <row r="1134">
          <cell r="F1134">
            <v>5006</v>
          </cell>
        </row>
        <row r="1135">
          <cell r="F1135">
            <v>5682</v>
          </cell>
        </row>
        <row r="1136">
          <cell r="F1136">
            <v>3636</v>
          </cell>
        </row>
        <row r="1137">
          <cell r="F1137">
            <v>3632</v>
          </cell>
        </row>
        <row r="1138">
          <cell r="F1138">
            <v>1816</v>
          </cell>
        </row>
        <row r="1139">
          <cell r="F1139">
            <v>1816</v>
          </cell>
        </row>
        <row r="1140">
          <cell r="F1140">
            <v>1894</v>
          </cell>
        </row>
        <row r="1141">
          <cell r="F1141">
            <v>1894</v>
          </cell>
        </row>
        <row r="1142">
          <cell r="F1142">
            <v>1894</v>
          </cell>
        </row>
        <row r="1143">
          <cell r="F1143">
            <v>1894</v>
          </cell>
        </row>
        <row r="1144">
          <cell r="F1144">
            <v>1894</v>
          </cell>
        </row>
        <row r="1145">
          <cell r="F1145">
            <v>1894</v>
          </cell>
        </row>
        <row r="1146">
          <cell r="F1146">
            <v>11940</v>
          </cell>
        </row>
        <row r="1147">
          <cell r="F1147">
            <v>11940</v>
          </cell>
        </row>
        <row r="1148">
          <cell r="F1148">
            <v>27058</v>
          </cell>
        </row>
        <row r="1149">
          <cell r="F1149">
            <v>9470</v>
          </cell>
        </row>
        <row r="1150">
          <cell r="F1150">
            <v>23676</v>
          </cell>
        </row>
        <row r="1151">
          <cell r="F1151">
            <v>23676</v>
          </cell>
        </row>
        <row r="1152">
          <cell r="F1152">
            <v>4059</v>
          </cell>
        </row>
        <row r="1153">
          <cell r="F1153">
            <v>5141</v>
          </cell>
        </row>
        <row r="1154">
          <cell r="F1154">
            <v>5141</v>
          </cell>
        </row>
        <row r="1155">
          <cell r="F1155">
            <v>7847</v>
          </cell>
        </row>
        <row r="1156">
          <cell r="F1156">
            <v>7847</v>
          </cell>
        </row>
        <row r="1157">
          <cell r="F1157">
            <v>2134</v>
          </cell>
        </row>
        <row r="1158">
          <cell r="F1158">
            <v>2567</v>
          </cell>
        </row>
        <row r="1159">
          <cell r="F1159">
            <v>5970</v>
          </cell>
        </row>
        <row r="1160">
          <cell r="F1160">
            <v>7313</v>
          </cell>
        </row>
        <row r="1161">
          <cell r="F1161">
            <v>108232</v>
          </cell>
        </row>
        <row r="1162">
          <cell r="F1162">
            <v>135290</v>
          </cell>
        </row>
        <row r="1163">
          <cell r="F1163">
            <v>135290</v>
          </cell>
        </row>
        <row r="1164">
          <cell r="F1164">
            <v>14747</v>
          </cell>
        </row>
        <row r="1165">
          <cell r="F1165">
            <v>14747</v>
          </cell>
        </row>
        <row r="1166">
          <cell r="F1166">
            <v>14747</v>
          </cell>
        </row>
        <row r="1167">
          <cell r="F1167">
            <v>15558</v>
          </cell>
        </row>
        <row r="1168">
          <cell r="F1168">
            <v>15558</v>
          </cell>
        </row>
        <row r="1169">
          <cell r="F1169">
            <v>11364</v>
          </cell>
        </row>
        <row r="1170">
          <cell r="F1170">
            <v>10012</v>
          </cell>
        </row>
        <row r="1171">
          <cell r="F1171">
            <v>4059</v>
          </cell>
        </row>
        <row r="1172">
          <cell r="F1172">
            <v>4465</v>
          </cell>
        </row>
        <row r="1173">
          <cell r="F1173">
            <v>1353</v>
          </cell>
        </row>
        <row r="1174">
          <cell r="F1174">
            <v>676</v>
          </cell>
        </row>
        <row r="1175">
          <cell r="F1175">
            <v>1353</v>
          </cell>
        </row>
        <row r="1176">
          <cell r="F1176">
            <v>1624</v>
          </cell>
        </row>
        <row r="1177">
          <cell r="F1177">
            <v>1759</v>
          </cell>
        </row>
        <row r="1178">
          <cell r="F1178">
            <v>1894</v>
          </cell>
        </row>
        <row r="1179">
          <cell r="F1179">
            <v>10823</v>
          </cell>
        </row>
        <row r="1180">
          <cell r="F1180">
            <v>29764</v>
          </cell>
        </row>
        <row r="1181">
          <cell r="F1181">
            <v>0</v>
          </cell>
        </row>
        <row r="1182">
          <cell r="F1182">
            <v>415</v>
          </cell>
        </row>
        <row r="1183">
          <cell r="F1183">
            <v>493</v>
          </cell>
        </row>
        <row r="1184">
          <cell r="F1184">
            <v>415</v>
          </cell>
        </row>
        <row r="1185">
          <cell r="F1185">
            <v>493</v>
          </cell>
        </row>
        <row r="1186">
          <cell r="F1186">
            <v>246</v>
          </cell>
        </row>
        <row r="1187">
          <cell r="F1187">
            <v>272</v>
          </cell>
        </row>
        <row r="1188">
          <cell r="F1188">
            <v>1092</v>
          </cell>
        </row>
        <row r="1189">
          <cell r="F1189">
            <v>1353</v>
          </cell>
        </row>
        <row r="1190">
          <cell r="F1190">
            <v>6494</v>
          </cell>
        </row>
        <row r="1191">
          <cell r="F1191">
            <v>8659</v>
          </cell>
        </row>
        <row r="1192">
          <cell r="F1192">
            <v>6088</v>
          </cell>
        </row>
        <row r="1193">
          <cell r="F1193">
            <v>7306</v>
          </cell>
        </row>
        <row r="1194">
          <cell r="F1194">
            <v>5818</v>
          </cell>
        </row>
        <row r="1195">
          <cell r="F1195">
            <v>6900</v>
          </cell>
        </row>
        <row r="1196">
          <cell r="F1196">
            <v>649</v>
          </cell>
        </row>
        <row r="1197">
          <cell r="F1197">
            <v>830</v>
          </cell>
        </row>
        <row r="1198">
          <cell r="F1198">
            <v>1608</v>
          </cell>
        </row>
        <row r="1199">
          <cell r="F1199">
            <v>2075</v>
          </cell>
        </row>
        <row r="1200">
          <cell r="F1200">
            <v>2400</v>
          </cell>
        </row>
        <row r="1201">
          <cell r="F1201">
            <v>3113</v>
          </cell>
        </row>
        <row r="1202">
          <cell r="F1202">
            <v>1842</v>
          </cell>
        </row>
        <row r="1203">
          <cell r="F1203">
            <v>2166</v>
          </cell>
        </row>
        <row r="1204">
          <cell r="F1204">
            <v>272</v>
          </cell>
        </row>
        <row r="1205">
          <cell r="F1205">
            <v>934</v>
          </cell>
        </row>
        <row r="1206">
          <cell r="F1206">
            <v>1180</v>
          </cell>
        </row>
        <row r="1207">
          <cell r="F1207">
            <v>662</v>
          </cell>
        </row>
        <row r="1208">
          <cell r="F1208">
            <v>960</v>
          </cell>
        </row>
        <row r="1209">
          <cell r="F1209">
            <v>1116</v>
          </cell>
        </row>
        <row r="1210">
          <cell r="F1210">
            <v>1621</v>
          </cell>
        </row>
        <row r="1211">
          <cell r="F1211">
            <v>731</v>
          </cell>
        </row>
        <row r="1212">
          <cell r="F1212">
            <v>731</v>
          </cell>
        </row>
        <row r="1213">
          <cell r="F1213">
            <v>920</v>
          </cell>
        </row>
        <row r="1214">
          <cell r="F1214">
            <v>372</v>
          </cell>
        </row>
        <row r="1215">
          <cell r="F1215">
            <v>5074</v>
          </cell>
        </row>
        <row r="1216">
          <cell r="F1216">
            <v>6268</v>
          </cell>
        </row>
        <row r="1217">
          <cell r="F1217">
            <v>908</v>
          </cell>
        </row>
        <row r="1218">
          <cell r="F1218">
            <v>259</v>
          </cell>
        </row>
        <row r="1219">
          <cell r="F1219">
            <v>5445</v>
          </cell>
        </row>
        <row r="1220">
          <cell r="F1220">
            <v>1704</v>
          </cell>
        </row>
        <row r="1221">
          <cell r="F1221">
            <v>1967</v>
          </cell>
        </row>
        <row r="1222">
          <cell r="F1222">
            <v>3147</v>
          </cell>
        </row>
        <row r="1223">
          <cell r="F1223">
            <v>3409</v>
          </cell>
        </row>
        <row r="1224">
          <cell r="F1224">
            <v>3802</v>
          </cell>
        </row>
        <row r="1225">
          <cell r="F1225">
            <v>5900</v>
          </cell>
        </row>
        <row r="1226">
          <cell r="F1226">
            <v>4458</v>
          </cell>
        </row>
        <row r="1227">
          <cell r="F1227">
            <v>6293</v>
          </cell>
        </row>
        <row r="1228">
          <cell r="F1228">
            <v>3278</v>
          </cell>
        </row>
        <row r="1229">
          <cell r="F1229">
            <v>3933</v>
          </cell>
        </row>
        <row r="1230">
          <cell r="F1230">
            <v>4327</v>
          </cell>
        </row>
        <row r="1231">
          <cell r="F1231">
            <v>2360</v>
          </cell>
        </row>
        <row r="1232">
          <cell r="F1232">
            <v>2622</v>
          </cell>
        </row>
        <row r="1233">
          <cell r="F1233">
            <v>2098</v>
          </cell>
        </row>
        <row r="1234">
          <cell r="F1234">
            <v>1573</v>
          </cell>
        </row>
        <row r="1235">
          <cell r="F1235">
            <v>1967</v>
          </cell>
        </row>
        <row r="1236">
          <cell r="F1236">
            <v>3278</v>
          </cell>
        </row>
        <row r="1237">
          <cell r="F1237">
            <v>4589</v>
          </cell>
        </row>
        <row r="1238">
          <cell r="F1238">
            <v>2622</v>
          </cell>
        </row>
        <row r="1239">
          <cell r="F1239">
            <v>656</v>
          </cell>
        </row>
        <row r="1240">
          <cell r="F1240">
            <v>787</v>
          </cell>
        </row>
        <row r="1241">
          <cell r="F1241">
            <v>813</v>
          </cell>
        </row>
        <row r="1242">
          <cell r="F1242">
            <v>852</v>
          </cell>
        </row>
        <row r="1243">
          <cell r="F1243">
            <v>1246</v>
          </cell>
        </row>
        <row r="1244">
          <cell r="F1244">
            <v>1442</v>
          </cell>
        </row>
        <row r="1245">
          <cell r="F1245">
            <v>2622</v>
          </cell>
        </row>
        <row r="1246">
          <cell r="F1246">
            <v>3409</v>
          </cell>
        </row>
        <row r="1247">
          <cell r="F1247">
            <v>3802</v>
          </cell>
        </row>
        <row r="1248">
          <cell r="F1248">
            <v>4589</v>
          </cell>
        </row>
        <row r="1249">
          <cell r="F1249">
            <v>5376</v>
          </cell>
        </row>
        <row r="1250">
          <cell r="F1250">
            <v>6031</v>
          </cell>
        </row>
        <row r="1251">
          <cell r="F1251">
            <v>4982</v>
          </cell>
        </row>
        <row r="1252">
          <cell r="F1252">
            <v>5507</v>
          </cell>
        </row>
        <row r="1253">
          <cell r="F1253">
            <v>5900</v>
          </cell>
        </row>
        <row r="1254">
          <cell r="F1254">
            <v>7080</v>
          </cell>
        </row>
        <row r="1255">
          <cell r="F1255">
            <v>197</v>
          </cell>
        </row>
        <row r="1256">
          <cell r="F1256">
            <v>262</v>
          </cell>
        </row>
        <row r="1257">
          <cell r="F1257">
            <v>629</v>
          </cell>
        </row>
        <row r="1258">
          <cell r="F1258">
            <v>747</v>
          </cell>
        </row>
        <row r="1259">
          <cell r="F1259">
            <v>892</v>
          </cell>
        </row>
        <row r="1260">
          <cell r="F1260">
            <v>2045</v>
          </cell>
        </row>
        <row r="1261">
          <cell r="F1261">
            <v>2045</v>
          </cell>
        </row>
        <row r="1262">
          <cell r="F1262">
            <v>3671</v>
          </cell>
        </row>
        <row r="1263">
          <cell r="F1263">
            <v>6556</v>
          </cell>
        </row>
        <row r="1264">
          <cell r="F1264">
            <v>288</v>
          </cell>
        </row>
        <row r="1265">
          <cell r="F1265">
            <v>380</v>
          </cell>
        </row>
        <row r="1266">
          <cell r="F1266">
            <v>616</v>
          </cell>
        </row>
        <row r="1270">
          <cell r="F1270">
            <v>1573</v>
          </cell>
        </row>
        <row r="1271">
          <cell r="F1271">
            <v>1967</v>
          </cell>
        </row>
        <row r="1272">
          <cell r="F1272">
            <v>2753</v>
          </cell>
        </row>
        <row r="1273">
          <cell r="F1273">
            <v>328</v>
          </cell>
        </row>
        <row r="1274">
          <cell r="F1274">
            <v>393</v>
          </cell>
        </row>
        <row r="1275">
          <cell r="F1275">
            <v>328</v>
          </cell>
        </row>
        <row r="1276">
          <cell r="F1276">
            <v>328</v>
          </cell>
        </row>
        <row r="1277">
          <cell r="F1277">
            <v>1967</v>
          </cell>
        </row>
        <row r="1278">
          <cell r="F1278">
            <v>1967</v>
          </cell>
        </row>
        <row r="1279">
          <cell r="F1279">
            <v>2163</v>
          </cell>
        </row>
        <row r="1280">
          <cell r="F1280">
            <v>2163</v>
          </cell>
        </row>
        <row r="1281">
          <cell r="F1281">
            <v>1311</v>
          </cell>
        </row>
        <row r="1282">
          <cell r="F1282">
            <v>1967</v>
          </cell>
        </row>
        <row r="1283">
          <cell r="F1283">
            <v>2756</v>
          </cell>
        </row>
        <row r="1284">
          <cell r="F1284">
            <v>3626</v>
          </cell>
        </row>
        <row r="1285">
          <cell r="F1285">
            <v>6904</v>
          </cell>
        </row>
        <row r="1286">
          <cell r="F1286">
            <v>8285</v>
          </cell>
        </row>
        <row r="1287">
          <cell r="F1287">
            <v>20714</v>
          </cell>
        </row>
        <row r="1288">
          <cell r="F1288">
            <v>20714</v>
          </cell>
        </row>
        <row r="1289">
          <cell r="F1289">
            <v>20714</v>
          </cell>
        </row>
        <row r="1290">
          <cell r="F1290">
            <v>20714</v>
          </cell>
        </row>
        <row r="1291">
          <cell r="F1291">
            <v>2762</v>
          </cell>
        </row>
        <row r="1292">
          <cell r="F1292">
            <v>2348</v>
          </cell>
        </row>
        <row r="1293">
          <cell r="F1293">
            <v>30104</v>
          </cell>
        </row>
        <row r="1294">
          <cell r="F1294">
            <v>2209</v>
          </cell>
        </row>
        <row r="1295">
          <cell r="F1295">
            <v>2624</v>
          </cell>
        </row>
        <row r="1296">
          <cell r="F1296">
            <v>6076</v>
          </cell>
        </row>
        <row r="1297">
          <cell r="F1297">
            <v>1726</v>
          </cell>
        </row>
        <row r="1298">
          <cell r="F1298">
            <v>19873</v>
          </cell>
        </row>
        <row r="1299">
          <cell r="F1299">
            <v>23500</v>
          </cell>
        </row>
        <row r="1300">
          <cell r="F1300">
            <v>27561</v>
          </cell>
        </row>
        <row r="1301">
          <cell r="F1301">
            <v>4439.59</v>
          </cell>
        </row>
        <row r="1302">
          <cell r="F1302">
            <v>4439.59</v>
          </cell>
        </row>
        <row r="1303">
          <cell r="F1303">
            <v>4439.59</v>
          </cell>
        </row>
        <row r="1304">
          <cell r="F1304">
            <v>4690.92</v>
          </cell>
        </row>
        <row r="1305">
          <cell r="F1305">
            <v>5468.36</v>
          </cell>
        </row>
        <row r="1306">
          <cell r="F1306">
            <v>6296.9</v>
          </cell>
        </row>
        <row r="1307">
          <cell r="F1307">
            <v>5937.87</v>
          </cell>
        </row>
        <row r="1308">
          <cell r="F1308">
            <v>7594.95</v>
          </cell>
        </row>
        <row r="1309">
          <cell r="F1309">
            <v>8988</v>
          </cell>
        </row>
        <row r="1310">
          <cell r="F1310">
            <v>3646</v>
          </cell>
        </row>
        <row r="1311">
          <cell r="F1311">
            <v>1400.23</v>
          </cell>
        </row>
        <row r="1312">
          <cell r="F1312">
            <v>1518.99</v>
          </cell>
        </row>
        <row r="1313">
          <cell r="F1313">
            <v>1778.6</v>
          </cell>
        </row>
        <row r="1314">
          <cell r="F1314">
            <v>2188.73</v>
          </cell>
        </row>
        <row r="1315">
          <cell r="F1315">
            <v>1311.86</v>
          </cell>
        </row>
        <row r="1316">
          <cell r="F1316">
            <v>1339.47</v>
          </cell>
        </row>
        <row r="1317">
          <cell r="F1317">
            <v>1443.04</v>
          </cell>
        </row>
        <row r="1318">
          <cell r="F1318">
            <v>1415.42</v>
          </cell>
        </row>
        <row r="1319">
          <cell r="F1319">
            <v>1739.93</v>
          </cell>
        </row>
        <row r="1320">
          <cell r="F1320">
            <v>2209.44</v>
          </cell>
        </row>
        <row r="1321">
          <cell r="F1321">
            <v>1450</v>
          </cell>
        </row>
        <row r="1322">
          <cell r="F1322">
            <v>1712</v>
          </cell>
        </row>
        <row r="1323">
          <cell r="F1323">
            <v>2016</v>
          </cell>
        </row>
        <row r="1324">
          <cell r="F1324">
            <v>2389</v>
          </cell>
        </row>
        <row r="1325">
          <cell r="F1325">
            <v>2886</v>
          </cell>
        </row>
        <row r="1326">
          <cell r="F1326">
            <v>3646</v>
          </cell>
        </row>
        <row r="1327">
          <cell r="F1327">
            <v>1450</v>
          </cell>
        </row>
        <row r="1328">
          <cell r="F1328">
            <v>1712</v>
          </cell>
        </row>
        <row r="1329">
          <cell r="F1329">
            <v>2016</v>
          </cell>
        </row>
        <row r="1330">
          <cell r="F1330">
            <v>2389</v>
          </cell>
        </row>
        <row r="1331">
          <cell r="F1331">
            <v>2886</v>
          </cell>
        </row>
        <row r="1332">
          <cell r="F1332">
            <v>524</v>
          </cell>
        </row>
        <row r="1333">
          <cell r="F1333">
            <v>656</v>
          </cell>
        </row>
        <row r="1334">
          <cell r="F1334">
            <v>1049</v>
          </cell>
        </row>
        <row r="1335">
          <cell r="F1335">
            <v>1180</v>
          </cell>
        </row>
        <row r="1336">
          <cell r="F1336">
            <v>1442</v>
          </cell>
        </row>
        <row r="1337">
          <cell r="F1337">
            <v>1573</v>
          </cell>
        </row>
        <row r="1338">
          <cell r="F1338">
            <v>387</v>
          </cell>
        </row>
        <row r="1339">
          <cell r="F1339">
            <v>483</v>
          </cell>
        </row>
        <row r="1340">
          <cell r="F1340">
            <v>511</v>
          </cell>
        </row>
        <row r="1341">
          <cell r="F1341">
            <v>539</v>
          </cell>
        </row>
        <row r="1342">
          <cell r="F1342">
            <v>552</v>
          </cell>
        </row>
        <row r="1343">
          <cell r="F1343">
            <v>608</v>
          </cell>
        </row>
        <row r="1344">
          <cell r="F1344">
            <v>387</v>
          </cell>
        </row>
        <row r="1345">
          <cell r="F1345">
            <v>483</v>
          </cell>
        </row>
        <row r="1346">
          <cell r="F1346">
            <v>511</v>
          </cell>
        </row>
        <row r="1347">
          <cell r="F1347">
            <v>539</v>
          </cell>
        </row>
        <row r="1348">
          <cell r="F1348">
            <v>552</v>
          </cell>
        </row>
        <row r="1349">
          <cell r="F1349">
            <v>608</v>
          </cell>
        </row>
        <row r="1350">
          <cell r="F1350">
            <v>552</v>
          </cell>
        </row>
        <row r="1351">
          <cell r="F1351">
            <v>690</v>
          </cell>
        </row>
        <row r="1352">
          <cell r="F1352">
            <v>704</v>
          </cell>
        </row>
        <row r="1353">
          <cell r="F1353">
            <v>801</v>
          </cell>
        </row>
        <row r="1354">
          <cell r="F1354">
            <v>829</v>
          </cell>
        </row>
        <row r="1355">
          <cell r="F1355">
            <v>898</v>
          </cell>
        </row>
        <row r="1356">
          <cell r="F1356">
            <v>829</v>
          </cell>
        </row>
        <row r="1357">
          <cell r="F1357">
            <v>884</v>
          </cell>
        </row>
        <row r="1358">
          <cell r="F1358">
            <v>994</v>
          </cell>
        </row>
        <row r="1359">
          <cell r="F1359">
            <v>1091</v>
          </cell>
        </row>
        <row r="1360">
          <cell r="F1360">
            <v>1381</v>
          </cell>
        </row>
        <row r="1361">
          <cell r="F1361">
            <v>1519</v>
          </cell>
        </row>
        <row r="1362">
          <cell r="F1362">
            <v>829</v>
          </cell>
        </row>
        <row r="1363">
          <cell r="F1363">
            <v>884</v>
          </cell>
        </row>
        <row r="1364">
          <cell r="F1364">
            <v>994</v>
          </cell>
        </row>
        <row r="1365">
          <cell r="F1365">
            <v>1091</v>
          </cell>
        </row>
        <row r="1366">
          <cell r="F1366">
            <v>1381</v>
          </cell>
        </row>
        <row r="1367">
          <cell r="F1367">
            <v>1519</v>
          </cell>
        </row>
        <row r="1368">
          <cell r="F1368">
            <v>1243</v>
          </cell>
        </row>
        <row r="1369">
          <cell r="F1369">
            <v>1312</v>
          </cell>
        </row>
        <row r="1370">
          <cell r="F1370">
            <v>1491</v>
          </cell>
        </row>
        <row r="1371">
          <cell r="F1371">
            <v>1629</v>
          </cell>
        </row>
        <row r="1372">
          <cell r="F1372">
            <v>2071</v>
          </cell>
        </row>
        <row r="1373">
          <cell r="F1373">
            <v>2278</v>
          </cell>
        </row>
      </sheetData>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Ph­¬ng mai 2"/>
      <sheetName val="CL Ph­¬ng mai 2"/>
      <sheetName val="DT MN V¨n H­¬ng"/>
      <sheetName val="CL MN V¨n H­¬ng"/>
      <sheetName val="DT Hµ t©y"/>
      <sheetName val="CL Hµ t©y"/>
      <sheetName val="DT Bæ tóc"/>
      <sheetName val="CL Bæ tóc"/>
      <sheetName val="DT Ph­¬ng mai 1"/>
      <sheetName val="CL Ph­¬ng mai  1"/>
      <sheetName val="§¬n gi¸ chÝnh"/>
      <sheetName val="Dù to¸n mÉu"/>
      <sheetName val="CLVL MÉu"/>
      <sheetName val="00000000"/>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F4">
            <v>0</v>
          </cell>
        </row>
        <row r="5">
          <cell r="F5">
            <v>1369</v>
          </cell>
        </row>
        <row r="6">
          <cell r="F6">
            <v>1712</v>
          </cell>
        </row>
        <row r="7">
          <cell r="F7">
            <v>1011</v>
          </cell>
        </row>
        <row r="9">
          <cell r="F9">
            <v>1011</v>
          </cell>
        </row>
        <row r="10">
          <cell r="F10">
            <v>643.1</v>
          </cell>
        </row>
        <row r="11">
          <cell r="F11">
            <v>2750</v>
          </cell>
        </row>
        <row r="12">
          <cell r="F12">
            <v>3951</v>
          </cell>
        </row>
        <row r="13">
          <cell r="F13">
            <v>1617</v>
          </cell>
        </row>
        <row r="14">
          <cell r="F14">
            <v>2780</v>
          </cell>
        </row>
        <row r="15">
          <cell r="F15">
            <v>4052</v>
          </cell>
        </row>
        <row r="16">
          <cell r="F16">
            <v>1232</v>
          </cell>
        </row>
        <row r="17">
          <cell r="F17">
            <v>1960</v>
          </cell>
        </row>
        <row r="18">
          <cell r="F18">
            <v>780</v>
          </cell>
        </row>
        <row r="19">
          <cell r="F19">
            <v>2206</v>
          </cell>
        </row>
        <row r="20">
          <cell r="F20">
            <v>2206</v>
          </cell>
        </row>
        <row r="21">
          <cell r="F21">
            <v>1312</v>
          </cell>
        </row>
        <row r="22">
          <cell r="F22">
            <v>12840</v>
          </cell>
        </row>
        <row r="23">
          <cell r="F23">
            <v>2599</v>
          </cell>
        </row>
        <row r="24">
          <cell r="F24">
            <v>1471</v>
          </cell>
        </row>
        <row r="25">
          <cell r="F25">
            <v>135290</v>
          </cell>
        </row>
        <row r="26">
          <cell r="F26">
            <v>1894</v>
          </cell>
        </row>
        <row r="27">
          <cell r="F27">
            <v>3632</v>
          </cell>
        </row>
        <row r="28">
          <cell r="F28">
            <v>1894</v>
          </cell>
        </row>
        <row r="29">
          <cell r="F29">
            <v>14747</v>
          </cell>
        </row>
        <row r="30">
          <cell r="F30">
            <v>5835</v>
          </cell>
        </row>
        <row r="31">
          <cell r="F31">
            <v>12840</v>
          </cell>
        </row>
        <row r="32">
          <cell r="F32">
            <v>1471</v>
          </cell>
        </row>
        <row r="33">
          <cell r="F33">
            <v>12840</v>
          </cell>
        </row>
        <row r="40">
          <cell r="F40">
            <v>324</v>
          </cell>
        </row>
        <row r="41">
          <cell r="F41">
            <v>891</v>
          </cell>
        </row>
        <row r="42">
          <cell r="F42">
            <v>891</v>
          </cell>
        </row>
        <row r="43">
          <cell r="F43">
            <v>130</v>
          </cell>
        </row>
        <row r="53">
          <cell r="F53">
            <v>400</v>
          </cell>
        </row>
        <row r="54">
          <cell r="F54">
            <v>1068</v>
          </cell>
        </row>
        <row r="55">
          <cell r="F55">
            <v>12840</v>
          </cell>
        </row>
        <row r="56">
          <cell r="F56">
            <v>12840</v>
          </cell>
        </row>
        <row r="60">
          <cell r="F60">
            <v>2470</v>
          </cell>
        </row>
        <row r="61">
          <cell r="F61">
            <v>2007</v>
          </cell>
        </row>
        <row r="62">
          <cell r="F62">
            <v>12840</v>
          </cell>
        </row>
        <row r="63">
          <cell r="F63">
            <v>10700</v>
          </cell>
        </row>
        <row r="64">
          <cell r="F64">
            <v>2189</v>
          </cell>
        </row>
        <row r="65">
          <cell r="F65">
            <v>2736</v>
          </cell>
        </row>
        <row r="66">
          <cell r="F66">
            <v>2736</v>
          </cell>
        </row>
        <row r="67">
          <cell r="F67">
            <v>1519</v>
          </cell>
        </row>
        <row r="68">
          <cell r="F68">
            <v>304</v>
          </cell>
        </row>
        <row r="69">
          <cell r="F69">
            <v>12840</v>
          </cell>
        </row>
        <row r="70">
          <cell r="F70">
            <v>12840</v>
          </cell>
        </row>
        <row r="72">
          <cell r="F72">
            <v>2803</v>
          </cell>
        </row>
        <row r="73">
          <cell r="F73">
            <v>8072</v>
          </cell>
        </row>
        <row r="74">
          <cell r="F74">
            <v>1528</v>
          </cell>
        </row>
        <row r="75">
          <cell r="F75">
            <v>12840</v>
          </cell>
        </row>
        <row r="76">
          <cell r="F76">
            <v>540</v>
          </cell>
        </row>
        <row r="82">
          <cell r="F82">
            <v>1518.99</v>
          </cell>
        </row>
        <row r="83">
          <cell r="F83">
            <v>12840</v>
          </cell>
        </row>
        <row r="89">
          <cell r="F89">
            <v>8988</v>
          </cell>
        </row>
        <row r="90">
          <cell r="F90">
            <v>2736</v>
          </cell>
        </row>
        <row r="91">
          <cell r="F91">
            <v>5188</v>
          </cell>
        </row>
        <row r="92">
          <cell r="F92">
            <v>51495</v>
          </cell>
        </row>
        <row r="93">
          <cell r="F93">
            <v>1700.58</v>
          </cell>
        </row>
        <row r="94">
          <cell r="F94">
            <v>1700.58</v>
          </cell>
        </row>
        <row r="95">
          <cell r="F95">
            <v>1700.58</v>
          </cell>
        </row>
        <row r="96">
          <cell r="F96">
            <v>12840</v>
          </cell>
        </row>
        <row r="97">
          <cell r="F97">
            <v>2375</v>
          </cell>
        </row>
        <row r="100">
          <cell r="F100">
            <v>12840</v>
          </cell>
        </row>
        <row r="101">
          <cell r="F101">
            <v>20714</v>
          </cell>
        </row>
        <row r="102">
          <cell r="F102">
            <v>2969</v>
          </cell>
        </row>
        <row r="103">
          <cell r="F103">
            <v>20000</v>
          </cell>
        </row>
        <row r="105">
          <cell r="F105">
            <v>36282</v>
          </cell>
        </row>
        <row r="107">
          <cell r="F107">
            <v>4525</v>
          </cell>
        </row>
        <row r="108">
          <cell r="F108">
            <v>5430</v>
          </cell>
        </row>
        <row r="113">
          <cell r="F113">
            <v>539</v>
          </cell>
        </row>
        <row r="114">
          <cell r="F114">
            <v>552</v>
          </cell>
        </row>
        <row r="115">
          <cell r="F115">
            <v>1962</v>
          </cell>
        </row>
        <row r="116">
          <cell r="F116">
            <v>1962</v>
          </cell>
        </row>
        <row r="117">
          <cell r="F117">
            <v>892</v>
          </cell>
        </row>
        <row r="118">
          <cell r="F118">
            <v>892</v>
          </cell>
        </row>
        <row r="119">
          <cell r="F119">
            <v>892</v>
          </cell>
        </row>
        <row r="120">
          <cell r="F120">
            <v>892</v>
          </cell>
        </row>
        <row r="122">
          <cell r="F122">
            <v>11940</v>
          </cell>
        </row>
        <row r="125">
          <cell r="F125">
            <v>583.70000000000005</v>
          </cell>
        </row>
        <row r="126">
          <cell r="F126">
            <v>583.70000000000005</v>
          </cell>
        </row>
        <row r="127">
          <cell r="F127">
            <v>4510</v>
          </cell>
        </row>
        <row r="129">
          <cell r="F129">
            <v>10700</v>
          </cell>
        </row>
        <row r="132">
          <cell r="F132">
            <v>5000</v>
          </cell>
        </row>
        <row r="133">
          <cell r="F133">
            <v>5000</v>
          </cell>
        </row>
        <row r="135">
          <cell r="F135">
            <v>4510</v>
          </cell>
        </row>
        <row r="136">
          <cell r="F136">
            <v>1649</v>
          </cell>
        </row>
        <row r="137">
          <cell r="F137">
            <v>1649</v>
          </cell>
        </row>
        <row r="138">
          <cell r="F138">
            <v>1649</v>
          </cell>
        </row>
        <row r="139">
          <cell r="F139">
            <v>1649</v>
          </cell>
        </row>
        <row r="140">
          <cell r="F140">
            <v>10000</v>
          </cell>
        </row>
        <row r="141">
          <cell r="F141">
            <v>5000</v>
          </cell>
        </row>
        <row r="142">
          <cell r="F142">
            <v>50000</v>
          </cell>
        </row>
        <row r="143">
          <cell r="F143">
            <v>35490</v>
          </cell>
        </row>
        <row r="148">
          <cell r="F148">
            <v>300</v>
          </cell>
        </row>
        <row r="149">
          <cell r="F149">
            <v>465</v>
          </cell>
        </row>
        <row r="150">
          <cell r="F150">
            <v>300</v>
          </cell>
        </row>
        <row r="151">
          <cell r="F151">
            <v>8068</v>
          </cell>
        </row>
        <row r="152">
          <cell r="F152">
            <v>6413</v>
          </cell>
        </row>
        <row r="154">
          <cell r="F154">
            <v>43152</v>
          </cell>
        </row>
        <row r="155">
          <cell r="F155">
            <v>13079</v>
          </cell>
        </row>
        <row r="156">
          <cell r="F156">
            <v>10700</v>
          </cell>
        </row>
        <row r="157">
          <cell r="F157">
            <v>35490</v>
          </cell>
        </row>
        <row r="160">
          <cell r="F160">
            <v>3091</v>
          </cell>
        </row>
        <row r="161">
          <cell r="F161">
            <v>3091</v>
          </cell>
        </row>
        <row r="162">
          <cell r="F162">
            <v>2089</v>
          </cell>
        </row>
        <row r="163">
          <cell r="F163">
            <v>1962</v>
          </cell>
        </row>
        <row r="165">
          <cell r="F165">
            <v>2189</v>
          </cell>
        </row>
        <row r="166">
          <cell r="F166">
            <v>583.70000000000005</v>
          </cell>
        </row>
        <row r="170">
          <cell r="F170">
            <v>12960</v>
          </cell>
        </row>
        <row r="175">
          <cell r="F175">
            <v>15494</v>
          </cell>
        </row>
        <row r="554">
          <cell r="F554">
            <v>1490</v>
          </cell>
        </row>
        <row r="555">
          <cell r="F555">
            <v>6082</v>
          </cell>
        </row>
        <row r="556">
          <cell r="F556">
            <v>1738</v>
          </cell>
        </row>
        <row r="557">
          <cell r="F557">
            <v>6827</v>
          </cell>
        </row>
        <row r="558">
          <cell r="F558">
            <v>2483</v>
          </cell>
        </row>
        <row r="559">
          <cell r="F559">
            <v>8689</v>
          </cell>
        </row>
        <row r="560">
          <cell r="F560">
            <v>16758</v>
          </cell>
        </row>
        <row r="561">
          <cell r="F561">
            <v>40218</v>
          </cell>
        </row>
        <row r="562">
          <cell r="F562">
            <v>15695</v>
          </cell>
        </row>
        <row r="563">
          <cell r="F563">
            <v>15695</v>
          </cell>
        </row>
        <row r="564">
          <cell r="F564">
            <v>15695</v>
          </cell>
        </row>
        <row r="565">
          <cell r="F565">
            <v>27369</v>
          </cell>
        </row>
        <row r="566">
          <cell r="F566">
            <v>27369</v>
          </cell>
        </row>
        <row r="567">
          <cell r="F567">
            <v>27369</v>
          </cell>
        </row>
        <row r="568">
          <cell r="F568">
            <v>19716</v>
          </cell>
        </row>
        <row r="569">
          <cell r="F569">
            <v>31390</v>
          </cell>
        </row>
        <row r="570">
          <cell r="F570">
            <v>21662</v>
          </cell>
        </row>
        <row r="571">
          <cell r="F571">
            <v>26072</v>
          </cell>
        </row>
        <row r="572">
          <cell r="F572">
            <v>23607</v>
          </cell>
        </row>
        <row r="573">
          <cell r="F573">
            <v>26720</v>
          </cell>
        </row>
        <row r="574">
          <cell r="F574">
            <v>46177</v>
          </cell>
        </row>
        <row r="575">
          <cell r="F575">
            <v>66152</v>
          </cell>
        </row>
        <row r="576">
          <cell r="F576">
            <v>60964</v>
          </cell>
        </row>
        <row r="577">
          <cell r="F577">
            <v>115312</v>
          </cell>
        </row>
        <row r="578">
          <cell r="F578">
            <v>68746</v>
          </cell>
        </row>
        <row r="579">
          <cell r="F579">
            <v>118036</v>
          </cell>
        </row>
        <row r="580">
          <cell r="F580">
            <v>389</v>
          </cell>
        </row>
        <row r="581">
          <cell r="F581">
            <v>649</v>
          </cell>
        </row>
        <row r="582">
          <cell r="F582">
            <v>1167</v>
          </cell>
        </row>
        <row r="583">
          <cell r="F583">
            <v>908</v>
          </cell>
        </row>
        <row r="584">
          <cell r="F584">
            <v>1038</v>
          </cell>
        </row>
        <row r="585">
          <cell r="F585">
            <v>519</v>
          </cell>
        </row>
        <row r="586">
          <cell r="F586">
            <v>778</v>
          </cell>
        </row>
        <row r="587">
          <cell r="F587">
            <v>1167</v>
          </cell>
        </row>
        <row r="588">
          <cell r="F588">
            <v>2594</v>
          </cell>
        </row>
        <row r="589">
          <cell r="F589">
            <v>259</v>
          </cell>
        </row>
        <row r="590">
          <cell r="F590">
            <v>454</v>
          </cell>
        </row>
        <row r="591">
          <cell r="F591">
            <v>1038</v>
          </cell>
        </row>
        <row r="592">
          <cell r="F592">
            <v>1245</v>
          </cell>
        </row>
        <row r="593">
          <cell r="F593">
            <v>23348</v>
          </cell>
        </row>
        <row r="594">
          <cell r="F594">
            <v>21402</v>
          </cell>
        </row>
        <row r="595">
          <cell r="F595">
            <v>14138</v>
          </cell>
        </row>
        <row r="596">
          <cell r="F596">
            <v>26201</v>
          </cell>
        </row>
        <row r="597">
          <cell r="F597">
            <v>24385</v>
          </cell>
        </row>
        <row r="598">
          <cell r="F598">
            <v>24515</v>
          </cell>
        </row>
        <row r="599">
          <cell r="F599">
            <v>24515</v>
          </cell>
        </row>
        <row r="600">
          <cell r="F600">
            <v>38783</v>
          </cell>
        </row>
        <row r="601">
          <cell r="F601">
            <v>38783</v>
          </cell>
        </row>
        <row r="602">
          <cell r="F602">
            <v>84.311999999999998</v>
          </cell>
        </row>
        <row r="603">
          <cell r="F603">
            <v>114.145</v>
          </cell>
        </row>
        <row r="604">
          <cell r="F604">
            <v>778</v>
          </cell>
        </row>
        <row r="605">
          <cell r="F605">
            <v>1167</v>
          </cell>
        </row>
        <row r="606">
          <cell r="F606">
            <v>389</v>
          </cell>
        </row>
        <row r="607">
          <cell r="F607">
            <v>519</v>
          </cell>
        </row>
        <row r="608">
          <cell r="F608">
            <v>649</v>
          </cell>
        </row>
        <row r="609">
          <cell r="F609">
            <v>778</v>
          </cell>
        </row>
        <row r="610">
          <cell r="F610">
            <v>778</v>
          </cell>
        </row>
        <row r="611">
          <cell r="F611">
            <v>519</v>
          </cell>
        </row>
        <row r="612">
          <cell r="F612">
            <v>1427</v>
          </cell>
        </row>
        <row r="613">
          <cell r="F613">
            <v>1686</v>
          </cell>
        </row>
        <row r="614">
          <cell r="F614">
            <v>389</v>
          </cell>
        </row>
        <row r="615">
          <cell r="F615">
            <v>519</v>
          </cell>
        </row>
        <row r="616">
          <cell r="F616">
            <v>519</v>
          </cell>
        </row>
        <row r="617">
          <cell r="F617">
            <v>778</v>
          </cell>
        </row>
        <row r="618">
          <cell r="F618">
            <v>1297</v>
          </cell>
        </row>
        <row r="619">
          <cell r="F619">
            <v>5837</v>
          </cell>
        </row>
        <row r="620">
          <cell r="F620">
            <v>1297</v>
          </cell>
        </row>
        <row r="621">
          <cell r="F621">
            <v>1686</v>
          </cell>
        </row>
        <row r="622">
          <cell r="F622">
            <v>1946</v>
          </cell>
        </row>
        <row r="623">
          <cell r="F623">
            <v>7783</v>
          </cell>
        </row>
        <row r="624">
          <cell r="F624">
            <v>2594</v>
          </cell>
        </row>
        <row r="625">
          <cell r="F625">
            <v>11373</v>
          </cell>
        </row>
        <row r="626">
          <cell r="F626">
            <v>12099</v>
          </cell>
        </row>
        <row r="627">
          <cell r="F627">
            <v>19721</v>
          </cell>
        </row>
        <row r="628">
          <cell r="F628">
            <v>17302</v>
          </cell>
        </row>
        <row r="629">
          <cell r="F629">
            <v>5445</v>
          </cell>
        </row>
        <row r="630">
          <cell r="F630">
            <v>7501</v>
          </cell>
        </row>
        <row r="631">
          <cell r="F631">
            <v>9437</v>
          </cell>
        </row>
        <row r="632">
          <cell r="F632">
            <v>6775</v>
          </cell>
        </row>
        <row r="633">
          <cell r="F633">
            <v>9921</v>
          </cell>
        </row>
        <row r="634">
          <cell r="F634">
            <v>15003</v>
          </cell>
        </row>
        <row r="635">
          <cell r="F635">
            <v>23351</v>
          </cell>
        </row>
        <row r="636">
          <cell r="F636">
            <v>7501</v>
          </cell>
        </row>
        <row r="637">
          <cell r="F637">
            <v>10647</v>
          </cell>
        </row>
        <row r="638">
          <cell r="F638">
            <v>15850</v>
          </cell>
        </row>
        <row r="639">
          <cell r="F639">
            <v>24198</v>
          </cell>
        </row>
        <row r="640">
          <cell r="F640">
            <v>5566</v>
          </cell>
        </row>
        <row r="641">
          <cell r="F641">
            <v>7622</v>
          </cell>
        </row>
        <row r="642">
          <cell r="F642">
            <v>11736</v>
          </cell>
        </row>
        <row r="643">
          <cell r="F643">
            <v>17665</v>
          </cell>
        </row>
        <row r="644">
          <cell r="F644">
            <v>13188</v>
          </cell>
        </row>
        <row r="645">
          <cell r="F645">
            <v>9195</v>
          </cell>
        </row>
        <row r="646">
          <cell r="F646">
            <v>14398</v>
          </cell>
        </row>
        <row r="647">
          <cell r="F647">
            <v>22988</v>
          </cell>
        </row>
        <row r="648">
          <cell r="F648">
            <v>37507</v>
          </cell>
        </row>
        <row r="649">
          <cell r="F649">
            <v>13188</v>
          </cell>
        </row>
        <row r="650">
          <cell r="F650">
            <v>19116</v>
          </cell>
        </row>
        <row r="651">
          <cell r="F651">
            <v>28312</v>
          </cell>
        </row>
        <row r="652">
          <cell r="F652">
            <v>43556</v>
          </cell>
        </row>
        <row r="653">
          <cell r="F653">
            <v>6050</v>
          </cell>
        </row>
        <row r="654">
          <cell r="F654">
            <v>9316</v>
          </cell>
        </row>
        <row r="655">
          <cell r="F655">
            <v>15124</v>
          </cell>
        </row>
        <row r="656">
          <cell r="F656">
            <v>24198</v>
          </cell>
        </row>
        <row r="657">
          <cell r="F657">
            <v>18269</v>
          </cell>
        </row>
        <row r="658">
          <cell r="F658">
            <v>28312</v>
          </cell>
        </row>
        <row r="659">
          <cell r="F659">
            <v>16334</v>
          </cell>
        </row>
        <row r="660">
          <cell r="F660">
            <v>6331</v>
          </cell>
        </row>
        <row r="661">
          <cell r="F661">
            <v>7448</v>
          </cell>
        </row>
        <row r="662">
          <cell r="F662">
            <v>8317</v>
          </cell>
        </row>
        <row r="663">
          <cell r="F663">
            <v>8317</v>
          </cell>
        </row>
        <row r="664">
          <cell r="F664">
            <v>6775</v>
          </cell>
        </row>
        <row r="665">
          <cell r="F665">
            <v>6775</v>
          </cell>
        </row>
        <row r="666">
          <cell r="F666">
            <v>188.08</v>
          </cell>
        </row>
        <row r="667">
          <cell r="F667">
            <v>194.56</v>
          </cell>
        </row>
        <row r="668">
          <cell r="F668">
            <v>259.42</v>
          </cell>
        </row>
        <row r="669">
          <cell r="F669">
            <v>259.42</v>
          </cell>
        </row>
        <row r="671">
          <cell r="F671">
            <v>233.48</v>
          </cell>
        </row>
        <row r="672">
          <cell r="F672">
            <v>364.49</v>
          </cell>
        </row>
        <row r="673">
          <cell r="F673">
            <v>12960</v>
          </cell>
        </row>
        <row r="674">
          <cell r="F674">
            <v>622.61</v>
          </cell>
        </row>
        <row r="675">
          <cell r="F675">
            <v>648.54999999999995</v>
          </cell>
        </row>
        <row r="676">
          <cell r="F676">
            <v>882.03</v>
          </cell>
        </row>
        <row r="677">
          <cell r="F677">
            <v>679.68</v>
          </cell>
        </row>
        <row r="678">
          <cell r="F678">
            <v>840.52</v>
          </cell>
        </row>
        <row r="679">
          <cell r="F679">
            <v>1011.74</v>
          </cell>
        </row>
        <row r="680">
          <cell r="F680">
            <v>3923</v>
          </cell>
        </row>
        <row r="681">
          <cell r="F681">
            <v>4600</v>
          </cell>
        </row>
        <row r="682">
          <cell r="F682">
            <v>10417</v>
          </cell>
        </row>
        <row r="683">
          <cell r="F683">
            <v>10958</v>
          </cell>
        </row>
        <row r="684">
          <cell r="F684">
            <v>12988</v>
          </cell>
        </row>
        <row r="687">
          <cell r="F687">
            <v>24775</v>
          </cell>
        </row>
        <row r="688">
          <cell r="F688">
            <v>24775</v>
          </cell>
        </row>
        <row r="689">
          <cell r="F689">
            <v>24775</v>
          </cell>
        </row>
        <row r="690">
          <cell r="F690">
            <v>23867</v>
          </cell>
        </row>
        <row r="691">
          <cell r="F691">
            <v>23867</v>
          </cell>
        </row>
        <row r="692">
          <cell r="F692">
            <v>23867</v>
          </cell>
        </row>
        <row r="693">
          <cell r="F693">
            <v>32428</v>
          </cell>
        </row>
        <row r="694">
          <cell r="F694">
            <v>32428</v>
          </cell>
        </row>
        <row r="695">
          <cell r="F695">
            <v>32428</v>
          </cell>
        </row>
        <row r="696">
          <cell r="F696">
            <v>26980</v>
          </cell>
        </row>
        <row r="697">
          <cell r="F697">
            <v>26980</v>
          </cell>
        </row>
        <row r="698">
          <cell r="F698">
            <v>26980</v>
          </cell>
        </row>
        <row r="699">
          <cell r="F699">
            <v>30741</v>
          </cell>
        </row>
        <row r="700">
          <cell r="F700">
            <v>30741</v>
          </cell>
        </row>
        <row r="701">
          <cell r="F701">
            <v>30741</v>
          </cell>
        </row>
        <row r="702">
          <cell r="F702">
            <v>21662</v>
          </cell>
        </row>
        <row r="703">
          <cell r="F703">
            <v>21662</v>
          </cell>
        </row>
        <row r="704">
          <cell r="F704">
            <v>21662</v>
          </cell>
        </row>
        <row r="705">
          <cell r="F705">
            <v>21662</v>
          </cell>
        </row>
        <row r="706">
          <cell r="F706">
            <v>21662</v>
          </cell>
        </row>
        <row r="707">
          <cell r="F707">
            <v>19327</v>
          </cell>
        </row>
        <row r="708">
          <cell r="F708">
            <v>19327</v>
          </cell>
        </row>
        <row r="709">
          <cell r="F709">
            <v>19327</v>
          </cell>
        </row>
        <row r="710">
          <cell r="F710">
            <v>19327</v>
          </cell>
        </row>
        <row r="711">
          <cell r="F711">
            <v>19327</v>
          </cell>
        </row>
        <row r="712">
          <cell r="F712">
            <v>21662</v>
          </cell>
        </row>
        <row r="713">
          <cell r="F713">
            <v>21662</v>
          </cell>
        </row>
        <row r="714">
          <cell r="F714">
            <v>21662</v>
          </cell>
        </row>
        <row r="715">
          <cell r="F715">
            <v>21662</v>
          </cell>
        </row>
        <row r="716">
          <cell r="F716">
            <v>21662</v>
          </cell>
        </row>
        <row r="717">
          <cell r="F717">
            <v>19327</v>
          </cell>
        </row>
        <row r="718">
          <cell r="F718">
            <v>19327</v>
          </cell>
        </row>
        <row r="719">
          <cell r="F719">
            <v>19327</v>
          </cell>
        </row>
        <row r="720">
          <cell r="F720">
            <v>19327</v>
          </cell>
        </row>
        <row r="721">
          <cell r="F721">
            <v>19327</v>
          </cell>
        </row>
        <row r="722">
          <cell r="F722">
            <v>31260</v>
          </cell>
        </row>
        <row r="723">
          <cell r="F723">
            <v>31260</v>
          </cell>
        </row>
        <row r="724">
          <cell r="F724">
            <v>31260</v>
          </cell>
        </row>
        <row r="725">
          <cell r="F725">
            <v>31260</v>
          </cell>
        </row>
        <row r="726">
          <cell r="F726">
            <v>31260</v>
          </cell>
        </row>
        <row r="727">
          <cell r="F727">
            <v>31260</v>
          </cell>
        </row>
        <row r="728">
          <cell r="F728">
            <v>31260</v>
          </cell>
        </row>
        <row r="729">
          <cell r="F729">
            <v>31260</v>
          </cell>
        </row>
        <row r="730">
          <cell r="F730">
            <v>31260</v>
          </cell>
        </row>
        <row r="731">
          <cell r="F731">
            <v>31260</v>
          </cell>
        </row>
        <row r="732">
          <cell r="F732">
            <v>31520</v>
          </cell>
        </row>
        <row r="733">
          <cell r="F733">
            <v>31520</v>
          </cell>
        </row>
        <row r="734">
          <cell r="F734">
            <v>31520</v>
          </cell>
        </row>
        <row r="735">
          <cell r="F735">
            <v>31520</v>
          </cell>
        </row>
        <row r="736">
          <cell r="F736">
            <v>31520</v>
          </cell>
        </row>
        <row r="737">
          <cell r="F737">
            <v>31520</v>
          </cell>
        </row>
        <row r="738">
          <cell r="F738">
            <v>31520</v>
          </cell>
        </row>
        <row r="739">
          <cell r="F739">
            <v>31520</v>
          </cell>
        </row>
        <row r="740">
          <cell r="F740">
            <v>31520</v>
          </cell>
        </row>
        <row r="741">
          <cell r="F741">
            <v>31520</v>
          </cell>
        </row>
        <row r="742">
          <cell r="F742">
            <v>31520</v>
          </cell>
        </row>
        <row r="743">
          <cell r="F743">
            <v>31260</v>
          </cell>
        </row>
        <row r="744">
          <cell r="F744">
            <v>31260</v>
          </cell>
        </row>
        <row r="745">
          <cell r="F745">
            <v>31260</v>
          </cell>
        </row>
        <row r="746">
          <cell r="F746">
            <v>31260</v>
          </cell>
        </row>
        <row r="747">
          <cell r="F747">
            <v>31260</v>
          </cell>
        </row>
        <row r="748">
          <cell r="F748">
            <v>31520</v>
          </cell>
        </row>
        <row r="749">
          <cell r="F749">
            <v>31520</v>
          </cell>
        </row>
        <row r="750">
          <cell r="F750">
            <v>31520</v>
          </cell>
        </row>
        <row r="751">
          <cell r="F751">
            <v>31520</v>
          </cell>
        </row>
        <row r="752">
          <cell r="F752">
            <v>31520</v>
          </cell>
        </row>
        <row r="753">
          <cell r="F753">
            <v>24904</v>
          </cell>
        </row>
        <row r="754">
          <cell r="F754">
            <v>24904</v>
          </cell>
        </row>
        <row r="755">
          <cell r="F755">
            <v>24904</v>
          </cell>
        </row>
        <row r="756">
          <cell r="F756">
            <v>24904</v>
          </cell>
        </row>
        <row r="757">
          <cell r="F757">
            <v>24904</v>
          </cell>
        </row>
        <row r="758">
          <cell r="F758">
            <v>24904</v>
          </cell>
        </row>
        <row r="759">
          <cell r="F759">
            <v>24904</v>
          </cell>
        </row>
        <row r="760">
          <cell r="F760">
            <v>25553</v>
          </cell>
        </row>
        <row r="761">
          <cell r="F761">
            <v>25553</v>
          </cell>
        </row>
        <row r="762">
          <cell r="F762">
            <v>25553</v>
          </cell>
        </row>
        <row r="763">
          <cell r="F763">
            <v>25553</v>
          </cell>
        </row>
        <row r="764">
          <cell r="F764">
            <v>25553</v>
          </cell>
        </row>
        <row r="765">
          <cell r="F765">
            <v>25553</v>
          </cell>
        </row>
        <row r="766">
          <cell r="F766">
            <v>25553</v>
          </cell>
        </row>
        <row r="767">
          <cell r="F767">
            <v>25553</v>
          </cell>
        </row>
        <row r="768">
          <cell r="F768">
            <v>25553</v>
          </cell>
        </row>
        <row r="769">
          <cell r="F769">
            <v>24904</v>
          </cell>
        </row>
        <row r="770">
          <cell r="F770">
            <v>24904</v>
          </cell>
        </row>
        <row r="771">
          <cell r="F771">
            <v>24904</v>
          </cell>
        </row>
        <row r="772">
          <cell r="F772">
            <v>24904</v>
          </cell>
        </row>
        <row r="773">
          <cell r="F773">
            <v>24904</v>
          </cell>
        </row>
        <row r="774">
          <cell r="F774">
            <v>25553</v>
          </cell>
        </row>
        <row r="775">
          <cell r="F775">
            <v>25553</v>
          </cell>
        </row>
        <row r="776">
          <cell r="F776">
            <v>25553</v>
          </cell>
        </row>
        <row r="777">
          <cell r="F777">
            <v>25553</v>
          </cell>
        </row>
        <row r="778">
          <cell r="F778">
            <v>25553</v>
          </cell>
        </row>
        <row r="779">
          <cell r="F779">
            <v>21532</v>
          </cell>
        </row>
        <row r="780">
          <cell r="F780">
            <v>21532</v>
          </cell>
        </row>
        <row r="781">
          <cell r="F781">
            <v>21532</v>
          </cell>
        </row>
        <row r="782">
          <cell r="F782">
            <v>21532</v>
          </cell>
        </row>
        <row r="783">
          <cell r="F783">
            <v>21532</v>
          </cell>
        </row>
        <row r="784">
          <cell r="F784">
            <v>23348</v>
          </cell>
        </row>
        <row r="785">
          <cell r="F785">
            <v>23348</v>
          </cell>
        </row>
        <row r="786">
          <cell r="F786">
            <v>23348</v>
          </cell>
        </row>
        <row r="787">
          <cell r="F787">
            <v>23348</v>
          </cell>
        </row>
        <row r="788">
          <cell r="F788">
            <v>23348</v>
          </cell>
        </row>
        <row r="789">
          <cell r="F789">
            <v>38913</v>
          </cell>
        </row>
        <row r="790">
          <cell r="F790">
            <v>38913</v>
          </cell>
        </row>
        <row r="791">
          <cell r="F791">
            <v>38913</v>
          </cell>
        </row>
        <row r="792">
          <cell r="F792">
            <v>38913</v>
          </cell>
        </row>
        <row r="793">
          <cell r="F793">
            <v>51884</v>
          </cell>
        </row>
        <row r="794">
          <cell r="F794">
            <v>51884</v>
          </cell>
        </row>
        <row r="795">
          <cell r="F795">
            <v>51884</v>
          </cell>
        </row>
        <row r="796">
          <cell r="F796">
            <v>51884</v>
          </cell>
        </row>
        <row r="797">
          <cell r="F797">
            <v>46696</v>
          </cell>
        </row>
        <row r="798">
          <cell r="F798">
            <v>46696</v>
          </cell>
        </row>
        <row r="799">
          <cell r="F799">
            <v>46696</v>
          </cell>
        </row>
        <row r="800">
          <cell r="F800">
            <v>51884</v>
          </cell>
        </row>
        <row r="801">
          <cell r="F801">
            <v>51884</v>
          </cell>
        </row>
        <row r="802">
          <cell r="F802">
            <v>7653</v>
          </cell>
        </row>
        <row r="803">
          <cell r="F803">
            <v>20481</v>
          </cell>
        </row>
        <row r="804">
          <cell r="F804">
            <v>20481</v>
          </cell>
        </row>
        <row r="805">
          <cell r="F805">
            <v>14647</v>
          </cell>
        </row>
        <row r="806">
          <cell r="F806">
            <v>14647</v>
          </cell>
        </row>
        <row r="807">
          <cell r="F807">
            <v>20357</v>
          </cell>
        </row>
        <row r="808">
          <cell r="F808">
            <v>20357</v>
          </cell>
        </row>
        <row r="809">
          <cell r="F809">
            <v>20357</v>
          </cell>
        </row>
        <row r="810">
          <cell r="F810">
            <v>20357</v>
          </cell>
        </row>
        <row r="811">
          <cell r="F811">
            <v>20357</v>
          </cell>
        </row>
        <row r="812">
          <cell r="F812">
            <v>19612</v>
          </cell>
        </row>
        <row r="813">
          <cell r="F813">
            <v>19612</v>
          </cell>
        </row>
        <row r="814">
          <cell r="F814">
            <v>46177</v>
          </cell>
        </row>
        <row r="815">
          <cell r="F815">
            <v>58370</v>
          </cell>
        </row>
        <row r="816">
          <cell r="F816">
            <v>62520</v>
          </cell>
        </row>
        <row r="817">
          <cell r="F817">
            <v>46177</v>
          </cell>
        </row>
        <row r="818">
          <cell r="F818">
            <v>46177</v>
          </cell>
        </row>
        <row r="819">
          <cell r="F819">
            <v>32168</v>
          </cell>
        </row>
        <row r="820">
          <cell r="F820">
            <v>32168</v>
          </cell>
        </row>
        <row r="821">
          <cell r="F821">
            <v>32168</v>
          </cell>
        </row>
        <row r="822">
          <cell r="F822">
            <v>49290</v>
          </cell>
        </row>
        <row r="823">
          <cell r="F823">
            <v>49290</v>
          </cell>
        </row>
        <row r="824">
          <cell r="F824">
            <v>37616</v>
          </cell>
        </row>
        <row r="825">
          <cell r="F825">
            <v>39821</v>
          </cell>
        </row>
        <row r="826">
          <cell r="F826">
            <v>14523</v>
          </cell>
        </row>
        <row r="827">
          <cell r="F827">
            <v>14523</v>
          </cell>
        </row>
        <row r="828">
          <cell r="F828">
            <v>12289</v>
          </cell>
        </row>
        <row r="829">
          <cell r="F829">
            <v>12289</v>
          </cell>
        </row>
        <row r="830">
          <cell r="F830">
            <v>31901</v>
          </cell>
        </row>
        <row r="831">
          <cell r="F831">
            <v>61693</v>
          </cell>
        </row>
        <row r="832">
          <cell r="F832">
            <v>38729</v>
          </cell>
        </row>
        <row r="833">
          <cell r="F833">
            <v>35501</v>
          </cell>
        </row>
        <row r="834">
          <cell r="F834">
            <v>146.83000000000001</v>
          </cell>
        </row>
        <row r="835">
          <cell r="F835">
            <v>108.18</v>
          </cell>
        </row>
        <row r="836">
          <cell r="F836">
            <v>82.37</v>
          </cell>
        </row>
        <row r="837">
          <cell r="F837">
            <v>179.834</v>
          </cell>
        </row>
        <row r="838">
          <cell r="F838">
            <v>186.29900000000001</v>
          </cell>
        </row>
        <row r="839">
          <cell r="F839">
            <v>147.37700000000001</v>
          </cell>
        </row>
        <row r="840">
          <cell r="F840">
            <v>160.96700000000001</v>
          </cell>
        </row>
        <row r="841">
          <cell r="F841">
            <v>120.065</v>
          </cell>
        </row>
        <row r="842">
          <cell r="F842">
            <v>134.447</v>
          </cell>
        </row>
        <row r="843">
          <cell r="F843">
            <v>196.33</v>
          </cell>
        </row>
        <row r="844">
          <cell r="F844">
            <v>201.34</v>
          </cell>
        </row>
        <row r="845">
          <cell r="F845">
            <v>132.19999999999999</v>
          </cell>
        </row>
        <row r="846">
          <cell r="F846">
            <v>134.44999999999999</v>
          </cell>
        </row>
        <row r="847">
          <cell r="F847">
            <v>111.89</v>
          </cell>
        </row>
        <row r="848">
          <cell r="F848">
            <v>116.77</v>
          </cell>
        </row>
        <row r="849">
          <cell r="F849">
            <v>213.74</v>
          </cell>
        </row>
        <row r="850">
          <cell r="F850">
            <v>218.63</v>
          </cell>
        </row>
        <row r="851">
          <cell r="F851">
            <v>132.47</v>
          </cell>
        </row>
        <row r="852">
          <cell r="F852">
            <v>137.35</v>
          </cell>
        </row>
        <row r="853">
          <cell r="F853">
            <v>120.07</v>
          </cell>
        </row>
        <row r="854">
          <cell r="F854">
            <v>120.99</v>
          </cell>
        </row>
        <row r="855">
          <cell r="F855">
            <v>286.57</v>
          </cell>
        </row>
        <row r="856">
          <cell r="F856">
            <v>286.57</v>
          </cell>
        </row>
        <row r="857">
          <cell r="F857">
            <v>291.72000000000003</v>
          </cell>
        </row>
        <row r="858">
          <cell r="F858">
            <v>291.72000000000003</v>
          </cell>
        </row>
        <row r="859">
          <cell r="F859">
            <v>272.19</v>
          </cell>
        </row>
        <row r="860">
          <cell r="F860">
            <v>272.19</v>
          </cell>
        </row>
        <row r="861">
          <cell r="F861">
            <v>276.94</v>
          </cell>
        </row>
        <row r="862">
          <cell r="F862">
            <v>276.94</v>
          </cell>
        </row>
        <row r="863">
          <cell r="F863">
            <v>189.77</v>
          </cell>
        </row>
        <row r="864">
          <cell r="F864">
            <v>141.51</v>
          </cell>
        </row>
        <row r="865">
          <cell r="F865">
            <v>239.21</v>
          </cell>
        </row>
        <row r="866">
          <cell r="F866">
            <v>244.22</v>
          </cell>
        </row>
        <row r="867">
          <cell r="F867">
            <v>190.13</v>
          </cell>
        </row>
        <row r="868">
          <cell r="F868">
            <v>193.03</v>
          </cell>
        </row>
        <row r="869">
          <cell r="F869">
            <v>185.11</v>
          </cell>
        </row>
        <row r="870">
          <cell r="F870">
            <v>189.99</v>
          </cell>
        </row>
        <row r="871">
          <cell r="F871">
            <v>376.69</v>
          </cell>
        </row>
        <row r="872">
          <cell r="F872">
            <v>381.7</v>
          </cell>
        </row>
        <row r="873">
          <cell r="F873">
            <v>292.12</v>
          </cell>
        </row>
        <row r="874">
          <cell r="F874">
            <v>297</v>
          </cell>
        </row>
        <row r="875">
          <cell r="F875">
            <v>193.03</v>
          </cell>
        </row>
        <row r="876">
          <cell r="F876">
            <v>197.91</v>
          </cell>
        </row>
        <row r="877">
          <cell r="F877">
            <v>221.8</v>
          </cell>
        </row>
        <row r="878">
          <cell r="F878">
            <v>1765.35</v>
          </cell>
        </row>
        <row r="879">
          <cell r="F879">
            <v>6323.36</v>
          </cell>
        </row>
        <row r="880">
          <cell r="F880">
            <v>3852.39</v>
          </cell>
        </row>
        <row r="881">
          <cell r="F881">
            <v>10659.5</v>
          </cell>
        </row>
        <row r="882">
          <cell r="F882">
            <v>4315.75</v>
          </cell>
        </row>
        <row r="883">
          <cell r="F883">
            <v>4651.2700000000004</v>
          </cell>
        </row>
        <row r="884">
          <cell r="F884">
            <v>3646.06</v>
          </cell>
        </row>
        <row r="885">
          <cell r="F885">
            <v>3851.71</v>
          </cell>
        </row>
        <row r="886">
          <cell r="F886">
            <v>6190.87</v>
          </cell>
        </row>
        <row r="887">
          <cell r="F887">
            <v>12730.79</v>
          </cell>
        </row>
        <row r="888">
          <cell r="F888">
            <v>5867.53</v>
          </cell>
        </row>
        <row r="889">
          <cell r="F889">
            <v>7056.73</v>
          </cell>
        </row>
        <row r="890">
          <cell r="F890">
            <v>3180.21</v>
          </cell>
        </row>
        <row r="891">
          <cell r="F891">
            <v>2029</v>
          </cell>
        </row>
        <row r="892">
          <cell r="F892">
            <v>3382</v>
          </cell>
        </row>
        <row r="893">
          <cell r="F893">
            <v>6088</v>
          </cell>
        </row>
        <row r="894">
          <cell r="F894">
            <v>11500</v>
          </cell>
        </row>
        <row r="895">
          <cell r="F895">
            <v>107003</v>
          </cell>
        </row>
        <row r="896">
          <cell r="F896">
            <v>107003</v>
          </cell>
        </row>
        <row r="897">
          <cell r="F897">
            <v>141308</v>
          </cell>
        </row>
        <row r="898">
          <cell r="F898">
            <v>111357</v>
          </cell>
        </row>
        <row r="899">
          <cell r="F899">
            <v>111357</v>
          </cell>
        </row>
        <row r="900">
          <cell r="F900">
            <v>128773</v>
          </cell>
        </row>
        <row r="901">
          <cell r="F901">
            <v>131266</v>
          </cell>
        </row>
        <row r="902">
          <cell r="F902">
            <v>129191</v>
          </cell>
        </row>
        <row r="903">
          <cell r="F903">
            <v>51495</v>
          </cell>
        </row>
        <row r="904">
          <cell r="F904">
            <v>55127</v>
          </cell>
        </row>
        <row r="905">
          <cell r="F905">
            <v>50198</v>
          </cell>
        </row>
        <row r="906">
          <cell r="F906">
            <v>1946</v>
          </cell>
        </row>
        <row r="907">
          <cell r="F907">
            <v>2929</v>
          </cell>
        </row>
        <row r="908">
          <cell r="F908">
            <v>3243</v>
          </cell>
        </row>
        <row r="909">
          <cell r="F909">
            <v>5188</v>
          </cell>
        </row>
        <row r="910">
          <cell r="F910">
            <v>577.04999999999995</v>
          </cell>
        </row>
        <row r="911">
          <cell r="F911">
            <v>491.99</v>
          </cell>
        </row>
        <row r="912">
          <cell r="F912">
            <v>91.06</v>
          </cell>
        </row>
        <row r="913">
          <cell r="F913">
            <v>483.053</v>
          </cell>
        </row>
        <row r="914">
          <cell r="F914">
            <v>339.69</v>
          </cell>
        </row>
        <row r="915">
          <cell r="F915">
            <v>305.87700000000001</v>
          </cell>
        </row>
        <row r="916">
          <cell r="F916">
            <v>384.14</v>
          </cell>
        </row>
        <row r="917">
          <cell r="F917">
            <v>477.13</v>
          </cell>
        </row>
        <row r="918">
          <cell r="F918">
            <v>15176</v>
          </cell>
        </row>
        <row r="919">
          <cell r="F919">
            <v>16862</v>
          </cell>
        </row>
        <row r="920">
          <cell r="F920">
            <v>19456</v>
          </cell>
        </row>
        <row r="921">
          <cell r="F921">
            <v>22051</v>
          </cell>
        </row>
        <row r="922">
          <cell r="F922">
            <v>125.97</v>
          </cell>
        </row>
        <row r="923">
          <cell r="F923">
            <v>78.290000000000006</v>
          </cell>
        </row>
        <row r="924">
          <cell r="F924">
            <v>35.409999999999997</v>
          </cell>
        </row>
        <row r="925">
          <cell r="F925">
            <v>35.409999999999997</v>
          </cell>
        </row>
        <row r="926">
          <cell r="F926">
            <v>31</v>
          </cell>
        </row>
        <row r="927">
          <cell r="F927">
            <v>91.834000000000003</v>
          </cell>
        </row>
        <row r="928">
          <cell r="F928">
            <v>169.18</v>
          </cell>
        </row>
        <row r="929">
          <cell r="F929">
            <v>6467</v>
          </cell>
        </row>
        <row r="930">
          <cell r="F930">
            <v>4059</v>
          </cell>
        </row>
        <row r="931">
          <cell r="F931">
            <v>5412</v>
          </cell>
        </row>
        <row r="932">
          <cell r="F932">
            <v>2706</v>
          </cell>
        </row>
        <row r="933">
          <cell r="F933">
            <v>6764</v>
          </cell>
        </row>
        <row r="934">
          <cell r="F934">
            <v>4059</v>
          </cell>
        </row>
        <row r="935">
          <cell r="F935">
            <v>151.24</v>
          </cell>
        </row>
        <row r="936">
          <cell r="F936">
            <v>1541.7</v>
          </cell>
        </row>
        <row r="937">
          <cell r="F937">
            <v>1541.7</v>
          </cell>
        </row>
        <row r="938">
          <cell r="F938">
            <v>1700.58</v>
          </cell>
        </row>
        <row r="939">
          <cell r="F939">
            <v>1700.58</v>
          </cell>
        </row>
        <row r="940">
          <cell r="F940">
            <v>946.88</v>
          </cell>
        </row>
        <row r="941">
          <cell r="F941">
            <v>830.14</v>
          </cell>
        </row>
        <row r="942">
          <cell r="F942">
            <v>583.70000000000005</v>
          </cell>
        </row>
        <row r="943">
          <cell r="F943">
            <v>583.70000000000005</v>
          </cell>
        </row>
        <row r="944">
          <cell r="F944">
            <v>583.70000000000005</v>
          </cell>
        </row>
        <row r="945">
          <cell r="F945">
            <v>583.70000000000005</v>
          </cell>
        </row>
        <row r="946">
          <cell r="F946">
            <v>583.70000000000005</v>
          </cell>
        </row>
        <row r="947">
          <cell r="F947">
            <v>664.12</v>
          </cell>
        </row>
        <row r="948">
          <cell r="F948">
            <v>6764</v>
          </cell>
        </row>
        <row r="949">
          <cell r="F949">
            <v>7441</v>
          </cell>
        </row>
        <row r="950">
          <cell r="F950">
            <v>1808</v>
          </cell>
        </row>
        <row r="951">
          <cell r="F951">
            <v>1808</v>
          </cell>
        </row>
        <row r="952">
          <cell r="F952">
            <v>1808</v>
          </cell>
        </row>
        <row r="953">
          <cell r="F953">
            <v>1808</v>
          </cell>
        </row>
        <row r="954">
          <cell r="F954">
            <v>2599</v>
          </cell>
        </row>
        <row r="955">
          <cell r="F955">
            <v>2599</v>
          </cell>
        </row>
        <row r="956">
          <cell r="F956">
            <v>2599</v>
          </cell>
        </row>
        <row r="957">
          <cell r="F957">
            <v>2599</v>
          </cell>
        </row>
        <row r="958">
          <cell r="F958">
            <v>1808</v>
          </cell>
        </row>
        <row r="959">
          <cell r="F959">
            <v>1808</v>
          </cell>
        </row>
        <row r="960">
          <cell r="F960">
            <v>1808</v>
          </cell>
        </row>
        <row r="961">
          <cell r="F961">
            <v>1808</v>
          </cell>
        </row>
        <row r="962">
          <cell r="F962">
            <v>2599</v>
          </cell>
        </row>
        <row r="963">
          <cell r="F963">
            <v>2599</v>
          </cell>
        </row>
        <row r="964">
          <cell r="F964">
            <v>2599</v>
          </cell>
        </row>
        <row r="965">
          <cell r="F965">
            <v>2599</v>
          </cell>
        </row>
        <row r="966">
          <cell r="F966">
            <v>1808</v>
          </cell>
        </row>
        <row r="967">
          <cell r="F967">
            <v>1808</v>
          </cell>
        </row>
        <row r="968">
          <cell r="F968">
            <v>1808</v>
          </cell>
        </row>
        <row r="969">
          <cell r="F969">
            <v>1808</v>
          </cell>
        </row>
        <row r="970">
          <cell r="F970">
            <v>1808</v>
          </cell>
        </row>
        <row r="971">
          <cell r="F971">
            <v>1808</v>
          </cell>
        </row>
        <row r="972">
          <cell r="F972">
            <v>1808</v>
          </cell>
        </row>
        <row r="973">
          <cell r="F973">
            <v>2599</v>
          </cell>
        </row>
        <row r="974">
          <cell r="F974">
            <v>2166</v>
          </cell>
        </row>
        <row r="975">
          <cell r="F975">
            <v>2166</v>
          </cell>
        </row>
        <row r="976">
          <cell r="F976">
            <v>2599</v>
          </cell>
        </row>
        <row r="977">
          <cell r="F977">
            <v>2599</v>
          </cell>
        </row>
        <row r="978">
          <cell r="F978">
            <v>2599</v>
          </cell>
        </row>
        <row r="979">
          <cell r="F979">
            <v>6571</v>
          </cell>
        </row>
        <row r="980">
          <cell r="F980">
            <v>6571</v>
          </cell>
        </row>
        <row r="981">
          <cell r="F981">
            <v>6571</v>
          </cell>
        </row>
        <row r="982">
          <cell r="F982">
            <v>6571</v>
          </cell>
        </row>
        <row r="983">
          <cell r="F983">
            <v>6571</v>
          </cell>
        </row>
        <row r="984">
          <cell r="F984">
            <v>6571</v>
          </cell>
        </row>
        <row r="985">
          <cell r="F985">
            <v>6571</v>
          </cell>
        </row>
        <row r="986">
          <cell r="F986">
            <v>6571</v>
          </cell>
        </row>
        <row r="987">
          <cell r="F987">
            <v>6571</v>
          </cell>
        </row>
        <row r="988">
          <cell r="F988">
            <v>6571</v>
          </cell>
        </row>
        <row r="989">
          <cell r="F989">
            <v>6571</v>
          </cell>
        </row>
        <row r="990">
          <cell r="F990">
            <v>6571</v>
          </cell>
        </row>
        <row r="991">
          <cell r="F991">
            <v>6571</v>
          </cell>
        </row>
        <row r="992">
          <cell r="F992">
            <v>6571</v>
          </cell>
        </row>
        <row r="993">
          <cell r="F993">
            <v>4354</v>
          </cell>
        </row>
        <row r="994">
          <cell r="F994">
            <v>4354</v>
          </cell>
        </row>
        <row r="995">
          <cell r="F995">
            <v>4354</v>
          </cell>
        </row>
        <row r="996">
          <cell r="F996">
            <v>4354</v>
          </cell>
        </row>
        <row r="997">
          <cell r="F997">
            <v>3958</v>
          </cell>
        </row>
        <row r="998">
          <cell r="F998">
            <v>3958</v>
          </cell>
        </row>
        <row r="999">
          <cell r="F999">
            <v>3958</v>
          </cell>
        </row>
        <row r="1000">
          <cell r="F1000">
            <v>3958</v>
          </cell>
        </row>
        <row r="1001">
          <cell r="F1001">
            <v>3958</v>
          </cell>
        </row>
        <row r="1002">
          <cell r="F1002">
            <v>2985</v>
          </cell>
        </row>
        <row r="1003">
          <cell r="F1003">
            <v>2985</v>
          </cell>
        </row>
        <row r="1004">
          <cell r="F1004">
            <v>2985</v>
          </cell>
        </row>
        <row r="1005">
          <cell r="F1005">
            <v>2985</v>
          </cell>
        </row>
        <row r="1006">
          <cell r="F1006">
            <v>1821</v>
          </cell>
        </row>
        <row r="1007">
          <cell r="F1007">
            <v>1821</v>
          </cell>
        </row>
        <row r="1008">
          <cell r="F1008">
            <v>1821</v>
          </cell>
        </row>
        <row r="1009">
          <cell r="F1009">
            <v>1821</v>
          </cell>
        </row>
        <row r="1010">
          <cell r="F1010">
            <v>3167</v>
          </cell>
        </row>
        <row r="1011">
          <cell r="F1011">
            <v>3167</v>
          </cell>
        </row>
        <row r="1012">
          <cell r="F1012">
            <v>3167</v>
          </cell>
        </row>
        <row r="1013">
          <cell r="F1013">
            <v>3167</v>
          </cell>
        </row>
        <row r="1014">
          <cell r="F1014">
            <v>3167</v>
          </cell>
        </row>
        <row r="1015">
          <cell r="F1015">
            <v>4090</v>
          </cell>
        </row>
        <row r="1016">
          <cell r="F1016">
            <v>4222</v>
          </cell>
        </row>
        <row r="1017">
          <cell r="F1017">
            <v>4222</v>
          </cell>
        </row>
        <row r="1018">
          <cell r="F1018">
            <v>38658</v>
          </cell>
        </row>
        <row r="1019">
          <cell r="F1019">
            <v>38658</v>
          </cell>
        </row>
        <row r="1020">
          <cell r="F1020">
            <v>20451</v>
          </cell>
        </row>
        <row r="1021">
          <cell r="F1021">
            <v>20451</v>
          </cell>
        </row>
        <row r="1022">
          <cell r="F1022">
            <v>20451</v>
          </cell>
        </row>
        <row r="1023">
          <cell r="F1023">
            <v>20451</v>
          </cell>
        </row>
        <row r="1024">
          <cell r="F1024">
            <v>13854</v>
          </cell>
        </row>
        <row r="1025">
          <cell r="F1025">
            <v>13854</v>
          </cell>
        </row>
        <row r="1026">
          <cell r="F1026">
            <v>13854</v>
          </cell>
        </row>
        <row r="1027">
          <cell r="F1027">
            <v>13854</v>
          </cell>
        </row>
        <row r="1028">
          <cell r="F1028">
            <v>33381</v>
          </cell>
        </row>
        <row r="1029">
          <cell r="F1029">
            <v>33381</v>
          </cell>
        </row>
        <row r="1030">
          <cell r="F1030">
            <v>33381</v>
          </cell>
        </row>
        <row r="1031">
          <cell r="F1031">
            <v>33381</v>
          </cell>
        </row>
        <row r="1032">
          <cell r="F1032">
            <v>7238</v>
          </cell>
        </row>
        <row r="1033">
          <cell r="F1033">
            <v>7400</v>
          </cell>
        </row>
        <row r="1034">
          <cell r="F1034">
            <v>14476</v>
          </cell>
        </row>
        <row r="1035">
          <cell r="F1035">
            <v>14801</v>
          </cell>
        </row>
        <row r="1036">
          <cell r="F1036">
            <v>14206</v>
          </cell>
        </row>
        <row r="1037">
          <cell r="F1037">
            <v>14611</v>
          </cell>
        </row>
        <row r="1038">
          <cell r="F1038">
            <v>9064</v>
          </cell>
        </row>
        <row r="1039">
          <cell r="F1039">
            <v>9606</v>
          </cell>
        </row>
        <row r="1040">
          <cell r="F1040">
            <v>9606</v>
          </cell>
        </row>
        <row r="1041">
          <cell r="F1041">
            <v>10526</v>
          </cell>
        </row>
        <row r="1042">
          <cell r="F1042">
            <v>14151</v>
          </cell>
        </row>
        <row r="1043">
          <cell r="F1043">
            <v>15004</v>
          </cell>
        </row>
        <row r="1044">
          <cell r="F1044">
            <v>8794</v>
          </cell>
        </row>
        <row r="1045">
          <cell r="F1045">
            <v>9470</v>
          </cell>
        </row>
        <row r="1046">
          <cell r="F1046">
            <v>6764</v>
          </cell>
        </row>
        <row r="1047">
          <cell r="F1047">
            <v>7441</v>
          </cell>
        </row>
        <row r="1048">
          <cell r="F1048">
            <v>10958</v>
          </cell>
        </row>
        <row r="1049">
          <cell r="F1049">
            <v>12582</v>
          </cell>
        </row>
        <row r="1050">
          <cell r="F1050">
            <v>8388</v>
          </cell>
        </row>
        <row r="1051">
          <cell r="F1051">
            <v>9606</v>
          </cell>
        </row>
        <row r="1052">
          <cell r="F1052">
            <v>17588</v>
          </cell>
        </row>
        <row r="1053">
          <cell r="F1053">
            <v>20294</v>
          </cell>
        </row>
        <row r="1054">
          <cell r="F1054">
            <v>24758</v>
          </cell>
        </row>
        <row r="1055">
          <cell r="F1055">
            <v>28140</v>
          </cell>
        </row>
        <row r="1056">
          <cell r="F1056">
            <v>18955</v>
          </cell>
        </row>
        <row r="1057">
          <cell r="F1057">
            <v>21790</v>
          </cell>
        </row>
        <row r="1058">
          <cell r="F1058">
            <v>19402</v>
          </cell>
        </row>
        <row r="1059">
          <cell r="F1059">
            <v>22984</v>
          </cell>
        </row>
        <row r="1060">
          <cell r="F1060">
            <v>30298</v>
          </cell>
        </row>
        <row r="1061">
          <cell r="F1061">
            <v>24776</v>
          </cell>
        </row>
        <row r="1062">
          <cell r="F1062">
            <v>897</v>
          </cell>
        </row>
        <row r="1063">
          <cell r="F1063">
            <v>897</v>
          </cell>
        </row>
        <row r="1064">
          <cell r="F1064">
            <v>897</v>
          </cell>
        </row>
        <row r="1065">
          <cell r="F1065">
            <v>897</v>
          </cell>
        </row>
        <row r="1066">
          <cell r="F1066">
            <v>1029</v>
          </cell>
        </row>
        <row r="1067">
          <cell r="F1067">
            <v>1029</v>
          </cell>
        </row>
        <row r="1068">
          <cell r="F1068">
            <v>1029</v>
          </cell>
        </row>
        <row r="1069">
          <cell r="F1069">
            <v>1029</v>
          </cell>
        </row>
        <row r="1070">
          <cell r="F1070">
            <v>1399</v>
          </cell>
        </row>
        <row r="1071">
          <cell r="F1071">
            <v>1399</v>
          </cell>
        </row>
        <row r="1072">
          <cell r="F1072">
            <v>1399</v>
          </cell>
        </row>
        <row r="1073">
          <cell r="F1073">
            <v>1399</v>
          </cell>
        </row>
        <row r="1074">
          <cell r="F1074">
            <v>1517</v>
          </cell>
        </row>
        <row r="1075">
          <cell r="F1075">
            <v>1517</v>
          </cell>
        </row>
        <row r="1076">
          <cell r="F1076">
            <v>1517</v>
          </cell>
        </row>
        <row r="1077">
          <cell r="F1077">
            <v>1517</v>
          </cell>
        </row>
        <row r="1078">
          <cell r="F1078">
            <v>1201</v>
          </cell>
        </row>
        <row r="1079">
          <cell r="F1079">
            <v>1201</v>
          </cell>
        </row>
        <row r="1080">
          <cell r="F1080">
            <v>1201</v>
          </cell>
        </row>
        <row r="1081">
          <cell r="F1081">
            <v>1340</v>
          </cell>
        </row>
        <row r="1082">
          <cell r="F1082">
            <v>1340</v>
          </cell>
        </row>
        <row r="1083">
          <cell r="F1083">
            <v>1340</v>
          </cell>
        </row>
        <row r="1084">
          <cell r="F1084">
            <v>1649</v>
          </cell>
        </row>
        <row r="1085">
          <cell r="F1085">
            <v>1649</v>
          </cell>
        </row>
        <row r="1086">
          <cell r="F1086">
            <v>1649</v>
          </cell>
        </row>
        <row r="1087">
          <cell r="F1087">
            <v>1781</v>
          </cell>
        </row>
        <row r="1088">
          <cell r="F1088">
            <v>1781</v>
          </cell>
        </row>
        <row r="1089">
          <cell r="F1089">
            <v>1781</v>
          </cell>
        </row>
        <row r="1090">
          <cell r="F1090">
            <v>1557</v>
          </cell>
        </row>
        <row r="1091">
          <cell r="F1091">
            <v>1557</v>
          </cell>
        </row>
        <row r="1092">
          <cell r="F1092">
            <v>1557</v>
          </cell>
        </row>
        <row r="1093">
          <cell r="F1093">
            <v>1874</v>
          </cell>
        </row>
        <row r="1094">
          <cell r="F1094">
            <v>1874</v>
          </cell>
        </row>
        <row r="1095">
          <cell r="F1095">
            <v>1874</v>
          </cell>
        </row>
        <row r="1096">
          <cell r="F1096">
            <v>1557</v>
          </cell>
        </row>
        <row r="1097">
          <cell r="F1097">
            <v>1781</v>
          </cell>
        </row>
        <row r="1098">
          <cell r="F1098">
            <v>1781</v>
          </cell>
        </row>
        <row r="1099">
          <cell r="F1099">
            <v>1781</v>
          </cell>
        </row>
        <row r="1100">
          <cell r="F1100">
            <v>20055</v>
          </cell>
        </row>
        <row r="1101">
          <cell r="F1101">
            <v>25069</v>
          </cell>
        </row>
        <row r="1102">
          <cell r="F1102">
            <v>36547</v>
          </cell>
        </row>
        <row r="1103">
          <cell r="F1103">
            <v>1764</v>
          </cell>
        </row>
        <row r="1104">
          <cell r="F1104">
            <v>1979</v>
          </cell>
        </row>
        <row r="1105">
          <cell r="F1105">
            <v>1979</v>
          </cell>
        </row>
        <row r="1106">
          <cell r="F1106">
            <v>2283</v>
          </cell>
        </row>
        <row r="1107">
          <cell r="F1107">
            <v>2507</v>
          </cell>
        </row>
        <row r="1108">
          <cell r="F1108">
            <v>2243</v>
          </cell>
        </row>
        <row r="1109">
          <cell r="F1109">
            <v>2375</v>
          </cell>
        </row>
        <row r="1110">
          <cell r="F1110">
            <v>2243</v>
          </cell>
        </row>
        <row r="1111">
          <cell r="F1111">
            <v>2375</v>
          </cell>
        </row>
        <row r="1112">
          <cell r="F1112">
            <v>2503</v>
          </cell>
        </row>
        <row r="1113">
          <cell r="F1113">
            <v>2909</v>
          </cell>
        </row>
        <row r="1114">
          <cell r="F1114">
            <v>5412</v>
          </cell>
        </row>
        <row r="1115">
          <cell r="F1115">
            <v>6088</v>
          </cell>
        </row>
        <row r="1116">
          <cell r="F1116">
            <v>4329</v>
          </cell>
        </row>
        <row r="1117">
          <cell r="F1117">
            <v>5141</v>
          </cell>
        </row>
        <row r="1118">
          <cell r="F1118">
            <v>3112</v>
          </cell>
        </row>
        <row r="1119">
          <cell r="F1119">
            <v>3788</v>
          </cell>
        </row>
        <row r="1120">
          <cell r="F1120">
            <v>2594</v>
          </cell>
        </row>
        <row r="1121">
          <cell r="F1121">
            <v>2854</v>
          </cell>
        </row>
        <row r="1122">
          <cell r="F1122">
            <v>2335</v>
          </cell>
        </row>
        <row r="1123">
          <cell r="F1123">
            <v>2594</v>
          </cell>
        </row>
        <row r="1124">
          <cell r="F1124">
            <v>2205</v>
          </cell>
        </row>
        <row r="1125">
          <cell r="F1125">
            <v>2335</v>
          </cell>
        </row>
        <row r="1126">
          <cell r="F1126">
            <v>2706</v>
          </cell>
        </row>
        <row r="1127">
          <cell r="F1127">
            <v>2570</v>
          </cell>
        </row>
        <row r="1128">
          <cell r="F1128">
            <v>2300</v>
          </cell>
        </row>
        <row r="1129">
          <cell r="F1129">
            <v>2165</v>
          </cell>
        </row>
        <row r="1130">
          <cell r="F1130">
            <v>6764</v>
          </cell>
        </row>
        <row r="1131">
          <cell r="F1131">
            <v>7441</v>
          </cell>
        </row>
        <row r="1132">
          <cell r="F1132">
            <v>5885</v>
          </cell>
        </row>
        <row r="1133">
          <cell r="F1133">
            <v>6764</v>
          </cell>
        </row>
        <row r="1134">
          <cell r="F1134">
            <v>5006</v>
          </cell>
        </row>
        <row r="1135">
          <cell r="F1135">
            <v>5682</v>
          </cell>
        </row>
        <row r="1136">
          <cell r="F1136">
            <v>3636</v>
          </cell>
        </row>
        <row r="1137">
          <cell r="F1137">
            <v>3632</v>
          </cell>
        </row>
        <row r="1138">
          <cell r="F1138">
            <v>1816</v>
          </cell>
        </row>
        <row r="1139">
          <cell r="F1139">
            <v>1816</v>
          </cell>
        </row>
        <row r="1140">
          <cell r="F1140">
            <v>1894</v>
          </cell>
        </row>
        <row r="1141">
          <cell r="F1141">
            <v>1894</v>
          </cell>
        </row>
        <row r="1142">
          <cell r="F1142">
            <v>1894</v>
          </cell>
        </row>
        <row r="1143">
          <cell r="F1143">
            <v>1894</v>
          </cell>
        </row>
        <row r="1144">
          <cell r="F1144">
            <v>1894</v>
          </cell>
        </row>
        <row r="1145">
          <cell r="F1145">
            <v>1894</v>
          </cell>
        </row>
        <row r="1146">
          <cell r="F1146">
            <v>11940</v>
          </cell>
        </row>
        <row r="1147">
          <cell r="F1147">
            <v>11940</v>
          </cell>
        </row>
        <row r="1148">
          <cell r="F1148">
            <v>27058</v>
          </cell>
        </row>
        <row r="1149">
          <cell r="F1149">
            <v>9470</v>
          </cell>
        </row>
        <row r="1150">
          <cell r="F1150">
            <v>23676</v>
          </cell>
        </row>
        <row r="1151">
          <cell r="F1151">
            <v>23676</v>
          </cell>
        </row>
        <row r="1152">
          <cell r="F1152">
            <v>4059</v>
          </cell>
        </row>
        <row r="1153">
          <cell r="F1153">
            <v>5141</v>
          </cell>
        </row>
        <row r="1154">
          <cell r="F1154">
            <v>5141</v>
          </cell>
        </row>
        <row r="1155">
          <cell r="F1155">
            <v>7847</v>
          </cell>
        </row>
        <row r="1156">
          <cell r="F1156">
            <v>7847</v>
          </cell>
        </row>
        <row r="1157">
          <cell r="F1157">
            <v>2134</v>
          </cell>
        </row>
        <row r="1158">
          <cell r="F1158">
            <v>2567</v>
          </cell>
        </row>
        <row r="1159">
          <cell r="F1159">
            <v>5970</v>
          </cell>
        </row>
        <row r="1160">
          <cell r="F1160">
            <v>7313</v>
          </cell>
        </row>
        <row r="1161">
          <cell r="F1161">
            <v>108232</v>
          </cell>
        </row>
        <row r="1162">
          <cell r="F1162">
            <v>135290</v>
          </cell>
        </row>
        <row r="1163">
          <cell r="F1163">
            <v>135290</v>
          </cell>
        </row>
        <row r="1164">
          <cell r="F1164">
            <v>14747</v>
          </cell>
        </row>
        <row r="1165">
          <cell r="F1165">
            <v>14747</v>
          </cell>
        </row>
        <row r="1166">
          <cell r="F1166">
            <v>14747</v>
          </cell>
        </row>
        <row r="1167">
          <cell r="F1167">
            <v>15558</v>
          </cell>
        </row>
        <row r="1168">
          <cell r="F1168">
            <v>15558</v>
          </cell>
        </row>
        <row r="1169">
          <cell r="F1169">
            <v>11364</v>
          </cell>
        </row>
        <row r="1170">
          <cell r="F1170">
            <v>10012</v>
          </cell>
        </row>
        <row r="1171">
          <cell r="F1171">
            <v>4059</v>
          </cell>
        </row>
        <row r="1172">
          <cell r="F1172">
            <v>4465</v>
          </cell>
        </row>
        <row r="1173">
          <cell r="F1173">
            <v>1353</v>
          </cell>
        </row>
        <row r="1174">
          <cell r="F1174">
            <v>676</v>
          </cell>
        </row>
        <row r="1175">
          <cell r="F1175">
            <v>1353</v>
          </cell>
        </row>
        <row r="1176">
          <cell r="F1176">
            <v>1624</v>
          </cell>
        </row>
        <row r="1177">
          <cell r="F1177">
            <v>1759</v>
          </cell>
        </row>
        <row r="1178">
          <cell r="F1178">
            <v>1894</v>
          </cell>
        </row>
        <row r="1179">
          <cell r="F1179">
            <v>10823</v>
          </cell>
        </row>
        <row r="1180">
          <cell r="F1180">
            <v>29764</v>
          </cell>
        </row>
        <row r="1181">
          <cell r="F1181">
            <v>0</v>
          </cell>
        </row>
        <row r="1182">
          <cell r="F1182">
            <v>415</v>
          </cell>
        </row>
        <row r="1183">
          <cell r="F1183">
            <v>493</v>
          </cell>
        </row>
        <row r="1184">
          <cell r="F1184">
            <v>415</v>
          </cell>
        </row>
        <row r="1185">
          <cell r="F1185">
            <v>493</v>
          </cell>
        </row>
        <row r="1186">
          <cell r="F1186">
            <v>246</v>
          </cell>
        </row>
        <row r="1187">
          <cell r="F1187">
            <v>272</v>
          </cell>
        </row>
        <row r="1188">
          <cell r="F1188">
            <v>1092</v>
          </cell>
        </row>
        <row r="1189">
          <cell r="F1189">
            <v>1353</v>
          </cell>
        </row>
        <row r="1190">
          <cell r="F1190">
            <v>6494</v>
          </cell>
        </row>
        <row r="1191">
          <cell r="F1191">
            <v>8659</v>
          </cell>
        </row>
        <row r="1192">
          <cell r="F1192">
            <v>6088</v>
          </cell>
        </row>
        <row r="1193">
          <cell r="F1193">
            <v>7306</v>
          </cell>
        </row>
        <row r="1194">
          <cell r="F1194">
            <v>5818</v>
          </cell>
        </row>
        <row r="1195">
          <cell r="F1195">
            <v>6900</v>
          </cell>
        </row>
        <row r="1196">
          <cell r="F1196">
            <v>649</v>
          </cell>
        </row>
        <row r="1197">
          <cell r="F1197">
            <v>830</v>
          </cell>
        </row>
        <row r="1198">
          <cell r="F1198">
            <v>1608</v>
          </cell>
        </row>
        <row r="1199">
          <cell r="F1199">
            <v>2075</v>
          </cell>
        </row>
        <row r="1200">
          <cell r="F1200">
            <v>2400</v>
          </cell>
        </row>
        <row r="1201">
          <cell r="F1201">
            <v>3113</v>
          </cell>
        </row>
        <row r="1202">
          <cell r="F1202">
            <v>1842</v>
          </cell>
        </row>
        <row r="1203">
          <cell r="F1203">
            <v>2166</v>
          </cell>
        </row>
        <row r="1204">
          <cell r="F1204">
            <v>272</v>
          </cell>
        </row>
        <row r="1205">
          <cell r="F1205">
            <v>934</v>
          </cell>
        </row>
        <row r="1206">
          <cell r="F1206">
            <v>1180</v>
          </cell>
        </row>
        <row r="1207">
          <cell r="F1207">
            <v>662</v>
          </cell>
        </row>
        <row r="1208">
          <cell r="F1208">
            <v>960</v>
          </cell>
        </row>
        <row r="1209">
          <cell r="F1209">
            <v>1116</v>
          </cell>
        </row>
        <row r="1210">
          <cell r="F1210">
            <v>1621</v>
          </cell>
        </row>
        <row r="1211">
          <cell r="F1211">
            <v>731</v>
          </cell>
        </row>
        <row r="1212">
          <cell r="F1212">
            <v>731</v>
          </cell>
        </row>
        <row r="1213">
          <cell r="F1213">
            <v>920</v>
          </cell>
        </row>
        <row r="1214">
          <cell r="F1214">
            <v>372</v>
          </cell>
        </row>
        <row r="1215">
          <cell r="F1215">
            <v>5074</v>
          </cell>
        </row>
        <row r="1216">
          <cell r="F1216">
            <v>6268</v>
          </cell>
        </row>
        <row r="1217">
          <cell r="F1217">
            <v>908</v>
          </cell>
        </row>
        <row r="1218">
          <cell r="F1218">
            <v>259</v>
          </cell>
        </row>
        <row r="1219">
          <cell r="F1219">
            <v>5445</v>
          </cell>
        </row>
        <row r="1220">
          <cell r="F1220">
            <v>1704</v>
          </cell>
        </row>
        <row r="1221">
          <cell r="F1221">
            <v>1967</v>
          </cell>
        </row>
        <row r="1222">
          <cell r="F1222">
            <v>3147</v>
          </cell>
        </row>
        <row r="1223">
          <cell r="F1223">
            <v>3409</v>
          </cell>
        </row>
        <row r="1224">
          <cell r="F1224">
            <v>3802</v>
          </cell>
        </row>
        <row r="1225">
          <cell r="F1225">
            <v>5900</v>
          </cell>
        </row>
        <row r="1226">
          <cell r="F1226">
            <v>4458</v>
          </cell>
        </row>
        <row r="1227">
          <cell r="F1227">
            <v>6293</v>
          </cell>
        </row>
        <row r="1228">
          <cell r="F1228">
            <v>3278</v>
          </cell>
        </row>
        <row r="1229">
          <cell r="F1229">
            <v>3933</v>
          </cell>
        </row>
        <row r="1230">
          <cell r="F1230">
            <v>4327</v>
          </cell>
        </row>
        <row r="1231">
          <cell r="F1231">
            <v>2360</v>
          </cell>
        </row>
        <row r="1232">
          <cell r="F1232">
            <v>2622</v>
          </cell>
        </row>
        <row r="1233">
          <cell r="F1233">
            <v>2098</v>
          </cell>
        </row>
        <row r="1234">
          <cell r="F1234">
            <v>1573</v>
          </cell>
        </row>
        <row r="1235">
          <cell r="F1235">
            <v>1967</v>
          </cell>
        </row>
        <row r="1236">
          <cell r="F1236">
            <v>3278</v>
          </cell>
        </row>
        <row r="1237">
          <cell r="F1237">
            <v>4589</v>
          </cell>
        </row>
        <row r="1238">
          <cell r="F1238">
            <v>2622</v>
          </cell>
        </row>
        <row r="1239">
          <cell r="F1239">
            <v>656</v>
          </cell>
        </row>
        <row r="1240">
          <cell r="F1240">
            <v>787</v>
          </cell>
        </row>
        <row r="1241">
          <cell r="F1241">
            <v>813</v>
          </cell>
        </row>
        <row r="1242">
          <cell r="F1242">
            <v>852</v>
          </cell>
        </row>
        <row r="1243">
          <cell r="F1243">
            <v>1246</v>
          </cell>
        </row>
        <row r="1244">
          <cell r="F1244">
            <v>1442</v>
          </cell>
        </row>
        <row r="1245">
          <cell r="F1245">
            <v>2622</v>
          </cell>
        </row>
        <row r="1246">
          <cell r="F1246">
            <v>3409</v>
          </cell>
        </row>
        <row r="1247">
          <cell r="F1247">
            <v>3802</v>
          </cell>
        </row>
        <row r="1248">
          <cell r="F1248">
            <v>4589</v>
          </cell>
        </row>
        <row r="1249">
          <cell r="F1249">
            <v>5376</v>
          </cell>
        </row>
        <row r="1250">
          <cell r="F1250">
            <v>6031</v>
          </cell>
        </row>
        <row r="1251">
          <cell r="F1251">
            <v>4982</v>
          </cell>
        </row>
        <row r="1252">
          <cell r="F1252">
            <v>5507</v>
          </cell>
        </row>
        <row r="1253">
          <cell r="F1253">
            <v>5900</v>
          </cell>
        </row>
        <row r="1254">
          <cell r="F1254">
            <v>7080</v>
          </cell>
        </row>
        <row r="1255">
          <cell r="F1255">
            <v>197</v>
          </cell>
        </row>
        <row r="1256">
          <cell r="F1256">
            <v>262</v>
          </cell>
        </row>
        <row r="1257">
          <cell r="F1257">
            <v>629</v>
          </cell>
        </row>
        <row r="1258">
          <cell r="F1258">
            <v>747</v>
          </cell>
        </row>
        <row r="1259">
          <cell r="F1259">
            <v>892</v>
          </cell>
        </row>
        <row r="1260">
          <cell r="F1260">
            <v>2045</v>
          </cell>
        </row>
        <row r="1261">
          <cell r="F1261">
            <v>2045</v>
          </cell>
        </row>
        <row r="1262">
          <cell r="F1262">
            <v>3671</v>
          </cell>
        </row>
        <row r="1263">
          <cell r="F1263">
            <v>6556</v>
          </cell>
        </row>
        <row r="1264">
          <cell r="F1264">
            <v>288</v>
          </cell>
        </row>
        <row r="1265">
          <cell r="F1265">
            <v>380</v>
          </cell>
        </row>
        <row r="1266">
          <cell r="F1266">
            <v>616</v>
          </cell>
        </row>
        <row r="1270">
          <cell r="F1270">
            <v>1573</v>
          </cell>
        </row>
        <row r="1271">
          <cell r="F1271">
            <v>1967</v>
          </cell>
        </row>
        <row r="1272">
          <cell r="F1272">
            <v>2753</v>
          </cell>
        </row>
        <row r="1273">
          <cell r="F1273">
            <v>328</v>
          </cell>
        </row>
        <row r="1274">
          <cell r="F1274">
            <v>393</v>
          </cell>
        </row>
        <row r="1275">
          <cell r="F1275">
            <v>328</v>
          </cell>
        </row>
        <row r="1276">
          <cell r="F1276">
            <v>328</v>
          </cell>
        </row>
        <row r="1277">
          <cell r="F1277">
            <v>1967</v>
          </cell>
        </row>
        <row r="1278">
          <cell r="F1278">
            <v>1967</v>
          </cell>
        </row>
        <row r="1279">
          <cell r="F1279">
            <v>2163</v>
          </cell>
        </row>
        <row r="1280">
          <cell r="F1280">
            <v>2163</v>
          </cell>
        </row>
        <row r="1281">
          <cell r="F1281">
            <v>1311</v>
          </cell>
        </row>
        <row r="1282">
          <cell r="F1282">
            <v>1967</v>
          </cell>
        </row>
        <row r="1283">
          <cell r="F1283">
            <v>2756</v>
          </cell>
        </row>
        <row r="1284">
          <cell r="F1284">
            <v>3626</v>
          </cell>
        </row>
        <row r="1285">
          <cell r="F1285">
            <v>6904</v>
          </cell>
        </row>
        <row r="1286">
          <cell r="F1286">
            <v>8285</v>
          </cell>
        </row>
        <row r="1287">
          <cell r="F1287">
            <v>20714</v>
          </cell>
        </row>
        <row r="1288">
          <cell r="F1288">
            <v>20714</v>
          </cell>
        </row>
        <row r="1289">
          <cell r="F1289">
            <v>20714</v>
          </cell>
        </row>
        <row r="1290">
          <cell r="F1290">
            <v>20714</v>
          </cell>
        </row>
        <row r="1291">
          <cell r="F1291">
            <v>2762</v>
          </cell>
        </row>
        <row r="1292">
          <cell r="F1292">
            <v>2348</v>
          </cell>
        </row>
        <row r="1293">
          <cell r="F1293">
            <v>30104</v>
          </cell>
        </row>
        <row r="1294">
          <cell r="F1294">
            <v>2209</v>
          </cell>
        </row>
        <row r="1295">
          <cell r="F1295">
            <v>2624</v>
          </cell>
        </row>
        <row r="1296">
          <cell r="F1296">
            <v>6076</v>
          </cell>
        </row>
        <row r="1297">
          <cell r="F1297">
            <v>1726</v>
          </cell>
        </row>
        <row r="1298">
          <cell r="F1298">
            <v>19873</v>
          </cell>
        </row>
        <row r="1299">
          <cell r="F1299">
            <v>23500</v>
          </cell>
        </row>
        <row r="1300">
          <cell r="F1300">
            <v>27561</v>
          </cell>
        </row>
        <row r="1301">
          <cell r="F1301">
            <v>4439.59</v>
          </cell>
        </row>
        <row r="1302">
          <cell r="F1302">
            <v>4439.59</v>
          </cell>
        </row>
        <row r="1303">
          <cell r="F1303">
            <v>4439.59</v>
          </cell>
        </row>
        <row r="1304">
          <cell r="F1304">
            <v>4690.92</v>
          </cell>
        </row>
        <row r="1305">
          <cell r="F1305">
            <v>5468.36</v>
          </cell>
        </row>
        <row r="1306">
          <cell r="F1306">
            <v>6296.9</v>
          </cell>
        </row>
        <row r="1307">
          <cell r="F1307">
            <v>5937.87</v>
          </cell>
        </row>
        <row r="1308">
          <cell r="F1308">
            <v>7594.95</v>
          </cell>
        </row>
        <row r="1309">
          <cell r="F1309">
            <v>8988</v>
          </cell>
        </row>
        <row r="1310">
          <cell r="F1310">
            <v>3646</v>
          </cell>
        </row>
        <row r="1311">
          <cell r="F1311">
            <v>1400.23</v>
          </cell>
        </row>
        <row r="1312">
          <cell r="F1312">
            <v>1518.99</v>
          </cell>
        </row>
        <row r="1313">
          <cell r="F1313">
            <v>1778.6</v>
          </cell>
        </row>
        <row r="1314">
          <cell r="F1314">
            <v>2188.73</v>
          </cell>
        </row>
        <row r="1315">
          <cell r="F1315">
            <v>1311.86</v>
          </cell>
        </row>
        <row r="1316">
          <cell r="F1316">
            <v>1339.47</v>
          </cell>
        </row>
        <row r="1317">
          <cell r="F1317">
            <v>1443.04</v>
          </cell>
        </row>
        <row r="1318">
          <cell r="F1318">
            <v>1415.42</v>
          </cell>
        </row>
        <row r="1319">
          <cell r="F1319">
            <v>1739.93</v>
          </cell>
        </row>
        <row r="1320">
          <cell r="F1320">
            <v>2209.44</v>
          </cell>
        </row>
        <row r="1321">
          <cell r="F1321">
            <v>1450</v>
          </cell>
        </row>
        <row r="1322">
          <cell r="F1322">
            <v>1712</v>
          </cell>
        </row>
        <row r="1323">
          <cell r="F1323">
            <v>2016</v>
          </cell>
        </row>
        <row r="1324">
          <cell r="F1324">
            <v>2389</v>
          </cell>
        </row>
        <row r="1325">
          <cell r="F1325">
            <v>2886</v>
          </cell>
        </row>
        <row r="1326">
          <cell r="F1326">
            <v>3646</v>
          </cell>
        </row>
        <row r="1327">
          <cell r="F1327">
            <v>1450</v>
          </cell>
        </row>
        <row r="1328">
          <cell r="F1328">
            <v>1712</v>
          </cell>
        </row>
        <row r="1329">
          <cell r="F1329">
            <v>2016</v>
          </cell>
        </row>
        <row r="1330">
          <cell r="F1330">
            <v>2389</v>
          </cell>
        </row>
        <row r="1331">
          <cell r="F1331">
            <v>2886</v>
          </cell>
        </row>
        <row r="1332">
          <cell r="F1332">
            <v>524</v>
          </cell>
        </row>
        <row r="1333">
          <cell r="F1333">
            <v>656</v>
          </cell>
        </row>
        <row r="1334">
          <cell r="F1334">
            <v>1049</v>
          </cell>
        </row>
        <row r="1335">
          <cell r="F1335">
            <v>1180</v>
          </cell>
        </row>
        <row r="1336">
          <cell r="F1336">
            <v>1442</v>
          </cell>
        </row>
        <row r="1337">
          <cell r="F1337">
            <v>1573</v>
          </cell>
        </row>
        <row r="1338">
          <cell r="F1338">
            <v>387</v>
          </cell>
        </row>
        <row r="1339">
          <cell r="F1339">
            <v>483</v>
          </cell>
        </row>
        <row r="1340">
          <cell r="F1340">
            <v>511</v>
          </cell>
        </row>
        <row r="1341">
          <cell r="F1341">
            <v>539</v>
          </cell>
        </row>
        <row r="1342">
          <cell r="F1342">
            <v>552</v>
          </cell>
        </row>
        <row r="1343">
          <cell r="F1343">
            <v>608</v>
          </cell>
        </row>
        <row r="1344">
          <cell r="F1344">
            <v>387</v>
          </cell>
        </row>
        <row r="1345">
          <cell r="F1345">
            <v>483</v>
          </cell>
        </row>
        <row r="1346">
          <cell r="F1346">
            <v>511</v>
          </cell>
        </row>
        <row r="1347">
          <cell r="F1347">
            <v>539</v>
          </cell>
        </row>
        <row r="1348">
          <cell r="F1348">
            <v>552</v>
          </cell>
        </row>
        <row r="1349">
          <cell r="F1349">
            <v>608</v>
          </cell>
        </row>
        <row r="1350">
          <cell r="F1350">
            <v>552</v>
          </cell>
        </row>
        <row r="1351">
          <cell r="F1351">
            <v>690</v>
          </cell>
        </row>
        <row r="1352">
          <cell r="F1352">
            <v>704</v>
          </cell>
        </row>
        <row r="1353">
          <cell r="F1353">
            <v>801</v>
          </cell>
        </row>
        <row r="1354">
          <cell r="F1354">
            <v>829</v>
          </cell>
        </row>
        <row r="1355">
          <cell r="F1355">
            <v>898</v>
          </cell>
        </row>
        <row r="1356">
          <cell r="F1356">
            <v>829</v>
          </cell>
        </row>
        <row r="1357">
          <cell r="F1357">
            <v>884</v>
          </cell>
        </row>
        <row r="1358">
          <cell r="F1358">
            <v>994</v>
          </cell>
        </row>
        <row r="1359">
          <cell r="F1359">
            <v>1091</v>
          </cell>
        </row>
        <row r="1360">
          <cell r="F1360">
            <v>1381</v>
          </cell>
        </row>
        <row r="1361">
          <cell r="F1361">
            <v>1519</v>
          </cell>
        </row>
        <row r="1362">
          <cell r="F1362">
            <v>829</v>
          </cell>
        </row>
        <row r="1363">
          <cell r="F1363">
            <v>884</v>
          </cell>
        </row>
        <row r="1364">
          <cell r="F1364">
            <v>994</v>
          </cell>
        </row>
        <row r="1365">
          <cell r="F1365">
            <v>1091</v>
          </cell>
        </row>
        <row r="1366">
          <cell r="F1366">
            <v>1381</v>
          </cell>
        </row>
        <row r="1367">
          <cell r="F1367">
            <v>1519</v>
          </cell>
        </row>
        <row r="1368">
          <cell r="F1368">
            <v>1243</v>
          </cell>
        </row>
        <row r="1369">
          <cell r="F1369">
            <v>1312</v>
          </cell>
        </row>
        <row r="1370">
          <cell r="F1370">
            <v>1491</v>
          </cell>
        </row>
        <row r="1371">
          <cell r="F1371">
            <v>1629</v>
          </cell>
        </row>
        <row r="1372">
          <cell r="F1372">
            <v>2071</v>
          </cell>
        </row>
        <row r="1373">
          <cell r="F1373">
            <v>2278</v>
          </cell>
        </row>
      </sheetData>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Z117"/>
  <sheetViews>
    <sheetView workbookViewId="0">
      <pane xSplit="2" ySplit="5" topLeftCell="C6" activePane="bottomRight" state="frozen"/>
      <selection activeCell="E9" sqref="E9:E11"/>
      <selection pane="topRight" activeCell="E9" sqref="E9:E11"/>
      <selection pane="bottomLeft" activeCell="E9" sqref="E9:E11"/>
      <selection pane="bottomRight" activeCell="E9" sqref="E9:E11"/>
    </sheetView>
  </sheetViews>
  <sheetFormatPr defaultColWidth="9.109375" defaultRowHeight="13.8" outlineLevelRow="1"/>
  <cols>
    <col min="1" max="1" width="5.44140625" style="11" customWidth="1"/>
    <col min="2" max="2" width="38.5546875" style="12" customWidth="1"/>
    <col min="3" max="3" width="12" style="12" customWidth="1"/>
    <col min="4" max="4" width="9.5546875" style="12" customWidth="1"/>
    <col min="5" max="5" width="11" style="12" customWidth="1"/>
    <col min="6" max="12" width="11" style="4" customWidth="1"/>
    <col min="13" max="15" width="11" style="8" customWidth="1"/>
    <col min="16" max="16" width="9.6640625" style="12" bestFit="1" customWidth="1"/>
    <col min="17" max="16384" width="9.109375" style="12"/>
  </cols>
  <sheetData>
    <row r="2" spans="1:18">
      <c r="A2" s="11" t="s">
        <v>147</v>
      </c>
      <c r="B2" s="1453" t="s">
        <v>271</v>
      </c>
      <c r="C2" s="1453"/>
      <c r="D2" s="1453"/>
      <c r="E2" s="1453"/>
      <c r="F2" s="1453"/>
      <c r="G2" s="1453"/>
      <c r="H2" s="1453"/>
      <c r="I2" s="1453"/>
      <c r="J2" s="1453"/>
      <c r="K2" s="1453"/>
      <c r="L2" s="1453"/>
      <c r="M2" s="1453"/>
      <c r="N2" s="1453"/>
      <c r="O2" s="1453"/>
    </row>
    <row r="3" spans="1:18" s="14" customFormat="1">
      <c r="A3" s="13"/>
      <c r="F3" s="5"/>
      <c r="G3" s="5"/>
      <c r="H3" s="5"/>
      <c r="I3" s="5"/>
      <c r="J3" s="5"/>
      <c r="K3" s="5"/>
      <c r="L3" s="5"/>
      <c r="M3" s="5"/>
      <c r="N3" s="5" t="s">
        <v>272</v>
      </c>
      <c r="O3" s="5"/>
    </row>
    <row r="4" spans="1:18" s="14" customFormat="1">
      <c r="A4" s="1454" t="s">
        <v>1</v>
      </c>
      <c r="B4" s="1456" t="s">
        <v>273</v>
      </c>
      <c r="C4" s="1454" t="s">
        <v>274</v>
      </c>
      <c r="D4" s="1454" t="s">
        <v>275</v>
      </c>
      <c r="E4" s="1454" t="s">
        <v>276</v>
      </c>
      <c r="F4" s="1458" t="s">
        <v>277</v>
      </c>
      <c r="G4" s="1459"/>
      <c r="H4" s="1459"/>
      <c r="I4" s="1459"/>
      <c r="J4" s="1459"/>
      <c r="K4" s="1459"/>
      <c r="L4" s="1459"/>
      <c r="M4" s="1459"/>
      <c r="N4" s="1459"/>
      <c r="O4" s="1460"/>
    </row>
    <row r="5" spans="1:18" s="14" customFormat="1" ht="31.5" customHeight="1">
      <c r="A5" s="1455"/>
      <c r="B5" s="1457"/>
      <c r="C5" s="1455"/>
      <c r="D5" s="1455"/>
      <c r="E5" s="1455"/>
      <c r="F5" s="222" t="s">
        <v>4</v>
      </c>
      <c r="G5" s="222" t="s">
        <v>5</v>
      </c>
      <c r="H5" s="222" t="s">
        <v>6</v>
      </c>
      <c r="I5" s="222" t="s">
        <v>7</v>
      </c>
      <c r="J5" s="222" t="s">
        <v>8</v>
      </c>
      <c r="K5" s="222" t="s">
        <v>9</v>
      </c>
      <c r="L5" s="222" t="s">
        <v>10</v>
      </c>
      <c r="M5" s="222" t="s">
        <v>11</v>
      </c>
      <c r="N5" s="222" t="s">
        <v>12</v>
      </c>
      <c r="O5" s="222" t="s">
        <v>13</v>
      </c>
    </row>
    <row r="6" spans="1:18" s="15" customFormat="1" ht="18" customHeight="1">
      <c r="A6" s="507" t="s">
        <v>14</v>
      </c>
      <c r="B6" s="489" t="s">
        <v>1700</v>
      </c>
      <c r="C6" s="488"/>
      <c r="D6" s="488"/>
      <c r="E6" s="488"/>
      <c r="F6" s="490"/>
      <c r="G6" s="490"/>
      <c r="H6" s="490"/>
      <c r="I6" s="490"/>
      <c r="J6" s="490"/>
      <c r="K6" s="490"/>
      <c r="L6" s="490"/>
      <c r="M6" s="490"/>
      <c r="N6" s="490"/>
      <c r="O6" s="490"/>
    </row>
    <row r="7" spans="1:18" s="17" customFormat="1" ht="23.25" customHeight="1">
      <c r="A7" s="18" t="s">
        <v>16</v>
      </c>
      <c r="B7" s="19" t="s">
        <v>1917</v>
      </c>
      <c r="C7" s="20">
        <f>D7+E7</f>
        <v>4500000</v>
      </c>
      <c r="D7" s="19"/>
      <c r="E7" s="20">
        <f>F7+G7+H7+I7+J7+K7+L7+M7+N7+O7</f>
        <v>4500000</v>
      </c>
      <c r="F7" s="24">
        <v>2926900</v>
      </c>
      <c r="G7" s="24">
        <v>168570</v>
      </c>
      <c r="H7" s="24">
        <v>124580</v>
      </c>
      <c r="I7" s="24">
        <v>434860</v>
      </c>
      <c r="J7" s="24">
        <v>28130</v>
      </c>
      <c r="K7" s="24">
        <v>112630</v>
      </c>
      <c r="L7" s="24">
        <v>67600</v>
      </c>
      <c r="M7" s="24">
        <v>76310</v>
      </c>
      <c r="N7" s="24">
        <v>500260</v>
      </c>
      <c r="O7" s="24">
        <v>60160</v>
      </c>
      <c r="P7" s="16"/>
    </row>
    <row r="8" spans="1:18" s="21" customFormat="1" ht="24" customHeight="1">
      <c r="A8" s="18" t="s">
        <v>28</v>
      </c>
      <c r="B8" s="19" t="s">
        <v>278</v>
      </c>
      <c r="C8" s="20">
        <f>C9+C10</f>
        <v>4499999.7</v>
      </c>
      <c r="D8" s="491">
        <f>D9+D10</f>
        <v>2501840</v>
      </c>
      <c r="E8" s="20">
        <f>E9+E10</f>
        <v>1998159.7</v>
      </c>
      <c r="F8" s="20">
        <f>F9+F10</f>
        <v>750026.4</v>
      </c>
      <c r="G8" s="20">
        <f t="shared" ref="G8:O8" si="0">G9+G10</f>
        <v>116244.4</v>
      </c>
      <c r="H8" s="20">
        <f t="shared" si="0"/>
        <v>99499.9</v>
      </c>
      <c r="I8" s="20">
        <f t="shared" si="0"/>
        <v>399606</v>
      </c>
      <c r="J8" s="20">
        <f t="shared" si="0"/>
        <v>23388</v>
      </c>
      <c r="K8" s="20">
        <f>K9+K10</f>
        <v>89528</v>
      </c>
      <c r="L8" s="20">
        <f t="shared" si="0"/>
        <v>36497</v>
      </c>
      <c r="M8" s="20">
        <f t="shared" si="0"/>
        <v>59823</v>
      </c>
      <c r="N8" s="20">
        <f t="shared" si="0"/>
        <v>379025</v>
      </c>
      <c r="O8" s="20">
        <f t="shared" si="0"/>
        <v>44522</v>
      </c>
    </row>
    <row r="9" spans="1:18" s="22" customFormat="1" ht="17.25" customHeight="1">
      <c r="A9" s="23" t="s">
        <v>18</v>
      </c>
      <c r="B9" s="19" t="s">
        <v>279</v>
      </c>
      <c r="C9" s="20">
        <f t="shared" ref="C9:C14" si="1">D9+E9</f>
        <v>485699.69999999995</v>
      </c>
      <c r="D9" s="491"/>
      <c r="E9" s="20">
        <f>F9+G9+H9+I9+J9+K9+L9+M9+N9+O9</f>
        <v>485699.69999999995</v>
      </c>
      <c r="F9" s="24">
        <v>137111.4</v>
      </c>
      <c r="G9" s="24">
        <v>23198.400000000001</v>
      </c>
      <c r="H9" s="24">
        <v>5756.9</v>
      </c>
      <c r="I9" s="24">
        <v>298645</v>
      </c>
      <c r="J9" s="24">
        <v>1533</v>
      </c>
      <c r="K9" s="24">
        <v>825</v>
      </c>
      <c r="L9" s="24">
        <v>1268</v>
      </c>
      <c r="M9" s="24">
        <v>2211</v>
      </c>
      <c r="N9" s="24">
        <v>12486</v>
      </c>
      <c r="O9" s="24">
        <v>2665</v>
      </c>
    </row>
    <row r="10" spans="1:18" s="21" customFormat="1" ht="20.25" customHeight="1">
      <c r="A10" s="23" t="s">
        <v>26</v>
      </c>
      <c r="B10" s="19" t="s">
        <v>280</v>
      </c>
      <c r="C10" s="20">
        <f>D10+E10</f>
        <v>4014300</v>
      </c>
      <c r="D10" s="24">
        <f>D11+D12</f>
        <v>2501840</v>
      </c>
      <c r="E10" s="20">
        <f t="shared" ref="E10:E14" si="2">F10+G10+H10+I10+J10+K10+L10+M10+N10+O10</f>
        <v>1512460</v>
      </c>
      <c r="F10" s="24">
        <f>F11+F12</f>
        <v>612915</v>
      </c>
      <c r="G10" s="24">
        <f t="shared" ref="G10:O10" si="3">G11+G12</f>
        <v>93046</v>
      </c>
      <c r="H10" s="24">
        <f t="shared" si="3"/>
        <v>93743</v>
      </c>
      <c r="I10" s="24">
        <f t="shared" si="3"/>
        <v>100961</v>
      </c>
      <c r="J10" s="24">
        <f t="shared" si="3"/>
        <v>21855</v>
      </c>
      <c r="K10" s="24">
        <f>K11+K12</f>
        <v>88703</v>
      </c>
      <c r="L10" s="24">
        <f t="shared" si="3"/>
        <v>35229</v>
      </c>
      <c r="M10" s="24">
        <f t="shared" si="3"/>
        <v>57612</v>
      </c>
      <c r="N10" s="24">
        <f t="shared" si="3"/>
        <v>366539</v>
      </c>
      <c r="O10" s="24">
        <f t="shared" si="3"/>
        <v>41857</v>
      </c>
      <c r="P10" s="29">
        <f>C10-C16-C19</f>
        <v>2284437</v>
      </c>
      <c r="Q10" s="29">
        <f>D10-D18-D19</f>
        <v>1172922.6000000001</v>
      </c>
      <c r="R10" s="29">
        <f>E10-E18-E19</f>
        <v>1111514.3999999999</v>
      </c>
    </row>
    <row r="11" spans="1:18" s="22" customFormat="1" ht="20.25" customHeight="1">
      <c r="A11" s="26" t="s">
        <v>23</v>
      </c>
      <c r="B11" s="27" t="s">
        <v>24</v>
      </c>
      <c r="C11" s="28">
        <f>D11+E11</f>
        <v>2616500</v>
      </c>
      <c r="D11" s="492">
        <v>1862558</v>
      </c>
      <c r="E11" s="28">
        <f>F11+G11+H11+I11+J11+K11+L11+M11+N11+O11</f>
        <v>753942</v>
      </c>
      <c r="F11" s="32">
        <v>339440</v>
      </c>
      <c r="G11" s="32">
        <v>47715</v>
      </c>
      <c r="H11" s="32">
        <v>29613</v>
      </c>
      <c r="I11" s="32">
        <v>46130</v>
      </c>
      <c r="J11" s="32">
        <v>15203</v>
      </c>
      <c r="K11" s="32">
        <v>26015</v>
      </c>
      <c r="L11" s="32">
        <v>17919</v>
      </c>
      <c r="M11" s="32">
        <v>30134</v>
      </c>
      <c r="N11" s="32">
        <v>184749</v>
      </c>
      <c r="O11" s="32">
        <v>17024</v>
      </c>
      <c r="Q11" s="25"/>
    </row>
    <row r="12" spans="1:18" s="21" customFormat="1" ht="20.25" customHeight="1">
      <c r="A12" s="26" t="s">
        <v>23</v>
      </c>
      <c r="B12" s="27" t="s">
        <v>25</v>
      </c>
      <c r="C12" s="28">
        <f>D12+E12</f>
        <v>1397800</v>
      </c>
      <c r="D12" s="492">
        <f>D14</f>
        <v>639282</v>
      </c>
      <c r="E12" s="28">
        <f>F12+G12+H12+I12+J12+K12+L12+M12+N12+O12</f>
        <v>758518</v>
      </c>
      <c r="F12" s="492">
        <f>F14</f>
        <v>273475</v>
      </c>
      <c r="G12" s="492">
        <f t="shared" ref="G12:O12" si="4">G14</f>
        <v>45331</v>
      </c>
      <c r="H12" s="492">
        <f>H14</f>
        <v>64130</v>
      </c>
      <c r="I12" s="492">
        <f t="shared" si="4"/>
        <v>54831</v>
      </c>
      <c r="J12" s="492">
        <f t="shared" si="4"/>
        <v>6652</v>
      </c>
      <c r="K12" s="492">
        <f t="shared" si="4"/>
        <v>62688</v>
      </c>
      <c r="L12" s="492">
        <f t="shared" si="4"/>
        <v>17310</v>
      </c>
      <c r="M12" s="492">
        <f t="shared" si="4"/>
        <v>27478</v>
      </c>
      <c r="N12" s="492">
        <f t="shared" si="4"/>
        <v>181790</v>
      </c>
      <c r="O12" s="492">
        <f t="shared" si="4"/>
        <v>24833</v>
      </c>
    </row>
    <row r="13" spans="1:18" s="7" customFormat="1" ht="20.25" customHeight="1">
      <c r="A13" s="26" t="s">
        <v>281</v>
      </c>
      <c r="B13" s="27" t="s">
        <v>282</v>
      </c>
      <c r="C13" s="28">
        <f t="shared" si="1"/>
        <v>1397800</v>
      </c>
      <c r="D13" s="492"/>
      <c r="E13" s="28">
        <f t="shared" si="2"/>
        <v>1397800</v>
      </c>
      <c r="F13" s="32">
        <v>729420</v>
      </c>
      <c r="G13" s="32">
        <v>90240</v>
      </c>
      <c r="H13" s="32">
        <v>83490</v>
      </c>
      <c r="I13" s="32">
        <v>71970</v>
      </c>
      <c r="J13" s="32">
        <v>9360</v>
      </c>
      <c r="K13" s="32">
        <v>83040</v>
      </c>
      <c r="L13" s="32">
        <v>43600</v>
      </c>
      <c r="M13" s="32">
        <v>32930</v>
      </c>
      <c r="N13" s="32">
        <v>224200</v>
      </c>
      <c r="O13" s="32">
        <v>29550</v>
      </c>
      <c r="Q13" s="6"/>
    </row>
    <row r="14" spans="1:18" s="22" customFormat="1" ht="20.25" customHeight="1">
      <c r="A14" s="26" t="s">
        <v>281</v>
      </c>
      <c r="B14" s="27" t="s">
        <v>283</v>
      </c>
      <c r="C14" s="28">
        <f t="shared" si="1"/>
        <v>1397800</v>
      </c>
      <c r="D14" s="493">
        <v>639282</v>
      </c>
      <c r="E14" s="28">
        <f t="shared" si="2"/>
        <v>758518</v>
      </c>
      <c r="F14" s="32">
        <v>273475</v>
      </c>
      <c r="G14" s="32">
        <v>45331</v>
      </c>
      <c r="H14" s="32">
        <v>64130</v>
      </c>
      <c r="I14" s="32">
        <v>54831</v>
      </c>
      <c r="J14" s="32">
        <v>6652</v>
      </c>
      <c r="K14" s="32">
        <v>62688</v>
      </c>
      <c r="L14" s="32">
        <v>17310</v>
      </c>
      <c r="M14" s="32">
        <v>27478</v>
      </c>
      <c r="N14" s="32">
        <v>181790</v>
      </c>
      <c r="O14" s="32">
        <v>24833</v>
      </c>
      <c r="P14" s="25"/>
    </row>
    <row r="15" spans="1:18" s="21" customFormat="1" ht="29.25" customHeight="1">
      <c r="A15" s="23" t="s">
        <v>59</v>
      </c>
      <c r="B15" s="19" t="s">
        <v>284</v>
      </c>
      <c r="C15" s="24">
        <f>C16+C19+C20+C26+C32+C29+C23</f>
        <v>1756063</v>
      </c>
      <c r="D15" s="24">
        <f>D16+D19+D20+D26+D32+D29+D23</f>
        <v>1346142.4</v>
      </c>
      <c r="E15" s="24">
        <f t="shared" ref="E15:O15" si="5">E16+E19+E20+E26+E32+E29+E23</f>
        <v>409920.6</v>
      </c>
      <c r="F15" s="24">
        <f>F16+F19+F20+F26+F32+F29+F23</f>
        <v>223658.6</v>
      </c>
      <c r="G15" s="24">
        <f t="shared" si="5"/>
        <v>21100</v>
      </c>
      <c r="H15" s="24">
        <f t="shared" si="5"/>
        <v>13555</v>
      </c>
      <c r="I15" s="24">
        <f t="shared" si="5"/>
        <v>24680</v>
      </c>
      <c r="J15" s="24">
        <f t="shared" si="5"/>
        <v>8670</v>
      </c>
      <c r="K15" s="24">
        <f t="shared" si="5"/>
        <v>17900</v>
      </c>
      <c r="L15" s="24">
        <f t="shared" si="5"/>
        <v>8900</v>
      </c>
      <c r="M15" s="24">
        <f t="shared" si="5"/>
        <v>850</v>
      </c>
      <c r="N15" s="24">
        <f t="shared" si="5"/>
        <v>89475</v>
      </c>
      <c r="O15" s="24">
        <f t="shared" si="5"/>
        <v>1132</v>
      </c>
      <c r="Q15" s="29"/>
    </row>
    <row r="16" spans="1:18" s="14" customFormat="1">
      <c r="A16" s="23" t="s">
        <v>285</v>
      </c>
      <c r="B16" s="19" t="s">
        <v>286</v>
      </c>
      <c r="C16" s="20">
        <f>D16+E16</f>
        <v>1652863</v>
      </c>
      <c r="D16" s="24">
        <f>D18</f>
        <v>1251917.3999999999</v>
      </c>
      <c r="E16" s="20">
        <f>F16+G16+H16+I16+J16+K16+L16+M16+N16+O16</f>
        <v>400945.6</v>
      </c>
      <c r="F16" s="24">
        <f>F18</f>
        <v>219973.6</v>
      </c>
      <c r="G16" s="24">
        <f t="shared" ref="G16:O16" si="6">G18</f>
        <v>20240</v>
      </c>
      <c r="H16" s="24">
        <f t="shared" si="6"/>
        <v>13200</v>
      </c>
      <c r="I16" s="24">
        <f t="shared" si="6"/>
        <v>23760</v>
      </c>
      <c r="J16" s="24">
        <f t="shared" si="6"/>
        <v>7920</v>
      </c>
      <c r="K16" s="24">
        <f t="shared" si="6"/>
        <v>17600</v>
      </c>
      <c r="L16" s="24">
        <f t="shared" si="6"/>
        <v>8800</v>
      </c>
      <c r="M16" s="24">
        <f t="shared" si="6"/>
        <v>440</v>
      </c>
      <c r="N16" s="24">
        <f t="shared" si="6"/>
        <v>88000</v>
      </c>
      <c r="O16" s="24">
        <f t="shared" si="6"/>
        <v>1012</v>
      </c>
    </row>
    <row r="17" spans="1:15" s="15" customFormat="1">
      <c r="A17" s="34"/>
      <c r="B17" s="31" t="s">
        <v>287</v>
      </c>
      <c r="C17" s="28">
        <f>D17+E17</f>
        <v>1652863</v>
      </c>
      <c r="D17" s="492"/>
      <c r="E17" s="28">
        <f>F17+G17+H17+I17+J17+K17+L17+M17+N17+O17</f>
        <v>1652863</v>
      </c>
      <c r="F17" s="32">
        <f>194350+1252863</f>
        <v>1447213</v>
      </c>
      <c r="G17" s="32">
        <v>23000</v>
      </c>
      <c r="H17" s="32">
        <v>15000</v>
      </c>
      <c r="I17" s="32">
        <v>27000</v>
      </c>
      <c r="J17" s="32">
        <v>9000</v>
      </c>
      <c r="K17" s="32">
        <v>20000</v>
      </c>
      <c r="L17" s="32">
        <v>10000</v>
      </c>
      <c r="M17" s="32">
        <v>500</v>
      </c>
      <c r="N17" s="32">
        <v>100000</v>
      </c>
      <c r="O17" s="32">
        <v>1150</v>
      </c>
    </row>
    <row r="18" spans="1:15" s="15" customFormat="1">
      <c r="A18" s="34"/>
      <c r="B18" s="31" t="s">
        <v>288</v>
      </c>
      <c r="C18" s="28">
        <f>D18+E18</f>
        <v>1652863</v>
      </c>
      <c r="D18" s="492">
        <f>E17-E18</f>
        <v>1251917.3999999999</v>
      </c>
      <c r="E18" s="28">
        <f>F18+G18+H18+I18+J18+K18+L18+M18+N18+O18</f>
        <v>400945.6</v>
      </c>
      <c r="F18" s="32">
        <v>219973.6</v>
      </c>
      <c r="G18" s="32">
        <v>20240</v>
      </c>
      <c r="H18" s="32">
        <v>13200</v>
      </c>
      <c r="I18" s="32">
        <v>23760</v>
      </c>
      <c r="J18" s="32">
        <v>7920</v>
      </c>
      <c r="K18" s="32">
        <v>17600</v>
      </c>
      <c r="L18" s="32">
        <v>8800</v>
      </c>
      <c r="M18" s="32">
        <v>440</v>
      </c>
      <c r="N18" s="32">
        <v>88000</v>
      </c>
      <c r="O18" s="32">
        <v>1012</v>
      </c>
    </row>
    <row r="19" spans="1:15" s="15" customFormat="1">
      <c r="A19" s="23" t="s">
        <v>289</v>
      </c>
      <c r="B19" s="19" t="s">
        <v>290</v>
      </c>
      <c r="C19" s="20">
        <f t="shared" ref="C19:C99" si="7">D19+E19</f>
        <v>77000</v>
      </c>
      <c r="D19" s="491">
        <v>77000</v>
      </c>
      <c r="E19" s="20">
        <f t="shared" ref="E19:E99" si="8">F19+G19+H19+I19+J19+K19+L19+M19+N19+O19</f>
        <v>0</v>
      </c>
      <c r="F19" s="24"/>
      <c r="G19" s="24"/>
      <c r="H19" s="24"/>
      <c r="I19" s="24"/>
      <c r="J19" s="24"/>
      <c r="K19" s="24"/>
      <c r="L19" s="24"/>
      <c r="M19" s="24"/>
      <c r="N19" s="24"/>
      <c r="O19" s="24"/>
    </row>
    <row r="20" spans="1:15" s="15" customFormat="1">
      <c r="A20" s="23" t="s">
        <v>291</v>
      </c>
      <c r="B20" s="19" t="s">
        <v>292</v>
      </c>
      <c r="C20" s="20">
        <f t="shared" si="7"/>
        <v>8000</v>
      </c>
      <c r="D20" s="491"/>
      <c r="E20" s="20">
        <f t="shared" si="8"/>
        <v>8000</v>
      </c>
      <c r="F20" s="24">
        <f>F22</f>
        <v>2985</v>
      </c>
      <c r="G20" s="24">
        <f t="shared" ref="G20:O20" si="9">G22</f>
        <v>760</v>
      </c>
      <c r="H20" s="24">
        <f t="shared" si="9"/>
        <v>350</v>
      </c>
      <c r="I20" s="24">
        <f t="shared" si="9"/>
        <v>920</v>
      </c>
      <c r="J20" s="24">
        <f t="shared" si="9"/>
        <v>700</v>
      </c>
      <c r="K20" s="24">
        <f t="shared" si="9"/>
        <v>300</v>
      </c>
      <c r="L20" s="24">
        <f t="shared" si="9"/>
        <v>100</v>
      </c>
      <c r="M20" s="24">
        <f t="shared" si="9"/>
        <v>410</v>
      </c>
      <c r="N20" s="24">
        <f t="shared" si="9"/>
        <v>1355</v>
      </c>
      <c r="O20" s="24">
        <f t="shared" si="9"/>
        <v>120</v>
      </c>
    </row>
    <row r="21" spans="1:15">
      <c r="A21" s="34"/>
      <c r="B21" s="31" t="s">
        <v>287</v>
      </c>
      <c r="C21" s="28">
        <f t="shared" si="7"/>
        <v>8000</v>
      </c>
      <c r="D21" s="492"/>
      <c r="E21" s="28">
        <f>F21+G21+H21+I21+J21+K21+L21+M21+N21+O21</f>
        <v>8000</v>
      </c>
      <c r="F21" s="32">
        <f>F22</f>
        <v>2985</v>
      </c>
      <c r="G21" s="32">
        <f t="shared" ref="G21:O21" si="10">G22</f>
        <v>760</v>
      </c>
      <c r="H21" s="32">
        <f t="shared" si="10"/>
        <v>350</v>
      </c>
      <c r="I21" s="32">
        <f t="shared" si="10"/>
        <v>920</v>
      </c>
      <c r="J21" s="32">
        <f t="shared" si="10"/>
        <v>700</v>
      </c>
      <c r="K21" s="32">
        <f t="shared" si="10"/>
        <v>300</v>
      </c>
      <c r="L21" s="32">
        <f t="shared" si="10"/>
        <v>100</v>
      </c>
      <c r="M21" s="32">
        <f t="shared" si="10"/>
        <v>410</v>
      </c>
      <c r="N21" s="32">
        <f t="shared" si="10"/>
        <v>1355</v>
      </c>
      <c r="O21" s="32">
        <f t="shared" si="10"/>
        <v>120</v>
      </c>
    </row>
    <row r="22" spans="1:15">
      <c r="A22" s="34"/>
      <c r="B22" s="31" t="s">
        <v>288</v>
      </c>
      <c r="C22" s="28">
        <f t="shared" si="7"/>
        <v>8000</v>
      </c>
      <c r="D22" s="492"/>
      <c r="E22" s="28">
        <f t="shared" si="8"/>
        <v>8000</v>
      </c>
      <c r="F22" s="32">
        <v>2985</v>
      </c>
      <c r="G22" s="32">
        <v>760</v>
      </c>
      <c r="H22" s="32">
        <v>350</v>
      </c>
      <c r="I22" s="32">
        <v>920</v>
      </c>
      <c r="J22" s="32">
        <v>700</v>
      </c>
      <c r="K22" s="32">
        <v>300</v>
      </c>
      <c r="L22" s="32">
        <v>100</v>
      </c>
      <c r="M22" s="32">
        <v>410</v>
      </c>
      <c r="N22" s="32">
        <v>1355</v>
      </c>
      <c r="O22" s="32">
        <v>120</v>
      </c>
    </row>
    <row r="23" spans="1:15" s="15" customFormat="1">
      <c r="A23" s="23" t="s">
        <v>293</v>
      </c>
      <c r="B23" s="19" t="s">
        <v>1918</v>
      </c>
      <c r="C23" s="20">
        <f>D23+E23</f>
        <v>3500</v>
      </c>
      <c r="D23" s="24">
        <f>D25</f>
        <v>3225</v>
      </c>
      <c r="E23" s="20">
        <f>F23+G23+H23+I23+J23+K23+L23+M23+N23+O23</f>
        <v>275</v>
      </c>
      <c r="F23" s="24">
        <f>F25</f>
        <v>0</v>
      </c>
      <c r="G23" s="24">
        <f t="shared" ref="G23:O23" si="11">G25</f>
        <v>100</v>
      </c>
      <c r="H23" s="24">
        <f t="shared" si="11"/>
        <v>5</v>
      </c>
      <c r="I23" s="24">
        <f t="shared" si="11"/>
        <v>0</v>
      </c>
      <c r="J23" s="24">
        <f t="shared" si="11"/>
        <v>50</v>
      </c>
      <c r="K23" s="24">
        <f t="shared" si="11"/>
        <v>0</v>
      </c>
      <c r="L23" s="24">
        <f t="shared" si="11"/>
        <v>0</v>
      </c>
      <c r="M23" s="24">
        <f t="shared" si="11"/>
        <v>0</v>
      </c>
      <c r="N23" s="24">
        <f t="shared" si="11"/>
        <v>120</v>
      </c>
      <c r="O23" s="24">
        <f t="shared" si="11"/>
        <v>0</v>
      </c>
    </row>
    <row r="24" spans="1:15" s="15" customFormat="1">
      <c r="A24" s="34"/>
      <c r="B24" s="31" t="s">
        <v>287</v>
      </c>
      <c r="C24" s="28">
        <f>D24+E24</f>
        <v>3500</v>
      </c>
      <c r="D24" s="492"/>
      <c r="E24" s="28">
        <f>F24+G24+H24+I24+J24+K24+L24+M24+N24+O24</f>
        <v>3500</v>
      </c>
      <c r="F24" s="32">
        <v>3025</v>
      </c>
      <c r="G24" s="32">
        <v>100</v>
      </c>
      <c r="H24" s="32">
        <v>5</v>
      </c>
      <c r="I24" s="32">
        <v>200</v>
      </c>
      <c r="J24" s="32">
        <v>50</v>
      </c>
      <c r="K24" s="32"/>
      <c r="L24" s="32"/>
      <c r="M24" s="32"/>
      <c r="N24" s="32">
        <v>120</v>
      </c>
      <c r="O24" s="32"/>
    </row>
    <row r="25" spans="1:15" s="15" customFormat="1">
      <c r="A25" s="34"/>
      <c r="B25" s="31" t="s">
        <v>288</v>
      </c>
      <c r="C25" s="28">
        <f>D25+E25</f>
        <v>3500</v>
      </c>
      <c r="D25" s="492">
        <f>E24-E25</f>
        <v>3225</v>
      </c>
      <c r="E25" s="28">
        <f>F25+G25+H25+I25+J25+K25+L25+M25+N25+O25</f>
        <v>275</v>
      </c>
      <c r="F25" s="32"/>
      <c r="G25" s="32">
        <v>100</v>
      </c>
      <c r="H25" s="32">
        <v>5</v>
      </c>
      <c r="I25" s="32"/>
      <c r="J25" s="32">
        <v>50</v>
      </c>
      <c r="K25" s="32"/>
      <c r="L25" s="32"/>
      <c r="M25" s="32"/>
      <c r="N25" s="32">
        <v>120</v>
      </c>
      <c r="O25" s="32"/>
    </row>
    <row r="26" spans="1:15" s="15" customFormat="1" ht="41.4">
      <c r="A26" s="23" t="s">
        <v>295</v>
      </c>
      <c r="B26" s="19" t="s">
        <v>294</v>
      </c>
      <c r="C26" s="20">
        <f t="shared" si="7"/>
        <v>12000</v>
      </c>
      <c r="D26" s="491">
        <f>D28</f>
        <v>12000</v>
      </c>
      <c r="E26" s="20">
        <f t="shared" si="8"/>
        <v>0</v>
      </c>
      <c r="F26" s="24">
        <f>F28</f>
        <v>0</v>
      </c>
      <c r="G26" s="24">
        <f t="shared" ref="G26:O26" si="12">G28</f>
        <v>0</v>
      </c>
      <c r="H26" s="24">
        <f t="shared" si="12"/>
        <v>0</v>
      </c>
      <c r="I26" s="24">
        <f t="shared" si="12"/>
        <v>0</v>
      </c>
      <c r="J26" s="24">
        <f t="shared" si="12"/>
        <v>0</v>
      </c>
      <c r="K26" s="24">
        <f t="shared" si="12"/>
        <v>0</v>
      </c>
      <c r="L26" s="24">
        <f t="shared" si="12"/>
        <v>0</v>
      </c>
      <c r="M26" s="24">
        <f t="shared" si="12"/>
        <v>0</v>
      </c>
      <c r="N26" s="24">
        <f t="shared" si="12"/>
        <v>0</v>
      </c>
      <c r="O26" s="24">
        <f t="shared" si="12"/>
        <v>0</v>
      </c>
    </row>
    <row r="27" spans="1:15" s="15" customFormat="1">
      <c r="A27" s="34"/>
      <c r="B27" s="31" t="s">
        <v>287</v>
      </c>
      <c r="C27" s="28">
        <f t="shared" si="7"/>
        <v>12000</v>
      </c>
      <c r="D27" s="31"/>
      <c r="E27" s="28">
        <f t="shared" si="8"/>
        <v>12000</v>
      </c>
      <c r="F27" s="32"/>
      <c r="G27" s="32"/>
      <c r="H27" s="32"/>
      <c r="I27" s="32">
        <v>12000</v>
      </c>
      <c r="J27" s="32"/>
      <c r="K27" s="32"/>
      <c r="L27" s="32"/>
      <c r="M27" s="32"/>
      <c r="N27" s="32"/>
      <c r="O27" s="32"/>
    </row>
    <row r="28" spans="1:15" s="15" customFormat="1">
      <c r="A28" s="34"/>
      <c r="B28" s="31" t="s">
        <v>288</v>
      </c>
      <c r="C28" s="28">
        <f t="shared" si="7"/>
        <v>12000</v>
      </c>
      <c r="D28" s="28">
        <v>12000</v>
      </c>
      <c r="E28" s="28">
        <f t="shared" si="8"/>
        <v>0</v>
      </c>
      <c r="F28" s="32"/>
      <c r="G28" s="32"/>
      <c r="H28" s="32"/>
      <c r="I28" s="32"/>
      <c r="J28" s="32"/>
      <c r="K28" s="32"/>
      <c r="L28" s="32"/>
      <c r="M28" s="32"/>
      <c r="N28" s="32"/>
      <c r="O28" s="32"/>
    </row>
    <row r="29" spans="1:15" s="15" customFormat="1">
      <c r="A29" s="23" t="s">
        <v>1919</v>
      </c>
      <c r="B29" s="19" t="s">
        <v>1402</v>
      </c>
      <c r="C29" s="20">
        <f t="shared" si="7"/>
        <v>2000</v>
      </c>
      <c r="D29" s="491">
        <f>D31</f>
        <v>2000</v>
      </c>
      <c r="E29" s="20">
        <f t="shared" si="8"/>
        <v>0</v>
      </c>
      <c r="F29" s="24">
        <f>F31</f>
        <v>0</v>
      </c>
      <c r="G29" s="24">
        <f t="shared" ref="G29:O29" si="13">G31</f>
        <v>0</v>
      </c>
      <c r="H29" s="24">
        <f t="shared" si="13"/>
        <v>0</v>
      </c>
      <c r="I29" s="24">
        <f t="shared" si="13"/>
        <v>0</v>
      </c>
      <c r="J29" s="24">
        <f t="shared" si="13"/>
        <v>0</v>
      </c>
      <c r="K29" s="24">
        <f t="shared" si="13"/>
        <v>0</v>
      </c>
      <c r="L29" s="24">
        <f t="shared" si="13"/>
        <v>0</v>
      </c>
      <c r="M29" s="24">
        <f t="shared" si="13"/>
        <v>0</v>
      </c>
      <c r="N29" s="24">
        <f t="shared" si="13"/>
        <v>0</v>
      </c>
      <c r="O29" s="24">
        <f t="shared" si="13"/>
        <v>0</v>
      </c>
    </row>
    <row r="30" spans="1:15" s="15" customFormat="1">
      <c r="A30" s="34"/>
      <c r="B30" s="31" t="s">
        <v>287</v>
      </c>
      <c r="C30" s="28">
        <f t="shared" si="7"/>
        <v>2000</v>
      </c>
      <c r="D30" s="31"/>
      <c r="E30" s="28">
        <f t="shared" si="8"/>
        <v>2000</v>
      </c>
      <c r="F30" s="32">
        <v>1500</v>
      </c>
      <c r="G30" s="32"/>
      <c r="H30" s="32">
        <v>500</v>
      </c>
      <c r="I30" s="32"/>
      <c r="J30" s="32"/>
      <c r="K30" s="32"/>
      <c r="L30" s="32"/>
      <c r="M30" s="32"/>
      <c r="N30" s="32"/>
      <c r="O30" s="32"/>
    </row>
    <row r="31" spans="1:15" s="15" customFormat="1">
      <c r="A31" s="34"/>
      <c r="B31" s="31" t="s">
        <v>288</v>
      </c>
      <c r="C31" s="28">
        <f t="shared" si="7"/>
        <v>2000</v>
      </c>
      <c r="D31" s="28">
        <v>2000</v>
      </c>
      <c r="E31" s="28">
        <f t="shared" si="8"/>
        <v>0</v>
      </c>
      <c r="F31" s="32"/>
      <c r="G31" s="32"/>
      <c r="H31" s="32"/>
      <c r="I31" s="32"/>
      <c r="J31" s="32"/>
      <c r="K31" s="32"/>
      <c r="L31" s="32"/>
      <c r="M31" s="32"/>
      <c r="N31" s="32"/>
      <c r="O31" s="32"/>
    </row>
    <row r="32" spans="1:15" s="15" customFormat="1">
      <c r="A32" s="23" t="s">
        <v>1920</v>
      </c>
      <c r="B32" s="19" t="s">
        <v>296</v>
      </c>
      <c r="C32" s="20">
        <f t="shared" si="7"/>
        <v>700</v>
      </c>
      <c r="D32" s="19"/>
      <c r="E32" s="20">
        <f t="shared" si="8"/>
        <v>700</v>
      </c>
      <c r="F32" s="24">
        <v>700</v>
      </c>
      <c r="G32" s="24"/>
      <c r="H32" s="24"/>
      <c r="I32" s="24"/>
      <c r="J32" s="24"/>
      <c r="K32" s="24"/>
      <c r="L32" s="24"/>
      <c r="M32" s="24"/>
      <c r="N32" s="24"/>
      <c r="O32" s="24"/>
    </row>
    <row r="33" spans="1:18" s="15" customFormat="1" ht="27.6">
      <c r="A33" s="494"/>
      <c r="B33" s="495" t="s">
        <v>1921</v>
      </c>
      <c r="C33" s="496">
        <f t="shared" si="7"/>
        <v>2284437</v>
      </c>
      <c r="D33" s="496">
        <f>D10-D16-D19</f>
        <v>1172922.6000000001</v>
      </c>
      <c r="E33" s="496">
        <f t="shared" ref="E33:O33" si="14">E10-E16-E19</f>
        <v>1111514.3999999999</v>
      </c>
      <c r="F33" s="496">
        <f t="shared" si="14"/>
        <v>392941.4</v>
      </c>
      <c r="G33" s="496">
        <f t="shared" si="14"/>
        <v>72806</v>
      </c>
      <c r="H33" s="496">
        <f t="shared" si="14"/>
        <v>80543</v>
      </c>
      <c r="I33" s="496">
        <f t="shared" si="14"/>
        <v>77201</v>
      </c>
      <c r="J33" s="496">
        <f t="shared" si="14"/>
        <v>13935</v>
      </c>
      <c r="K33" s="496">
        <f t="shared" si="14"/>
        <v>71103</v>
      </c>
      <c r="L33" s="496">
        <f t="shared" si="14"/>
        <v>26429</v>
      </c>
      <c r="M33" s="496">
        <f t="shared" si="14"/>
        <v>57172</v>
      </c>
      <c r="N33" s="496">
        <f t="shared" si="14"/>
        <v>278539</v>
      </c>
      <c r="O33" s="496">
        <f t="shared" si="14"/>
        <v>40845</v>
      </c>
    </row>
    <row r="34" spans="1:18" s="17" customFormat="1">
      <c r="A34" s="23" t="s">
        <v>73</v>
      </c>
      <c r="B34" s="19" t="s">
        <v>297</v>
      </c>
      <c r="C34" s="20">
        <f t="shared" si="7"/>
        <v>2258237</v>
      </c>
      <c r="D34" s="24">
        <f>D10-D15</f>
        <v>1155697.6000000001</v>
      </c>
      <c r="E34" s="20">
        <f t="shared" si="8"/>
        <v>1102539.3999999999</v>
      </c>
      <c r="F34" s="24">
        <f>F10-F15</f>
        <v>389256.4</v>
      </c>
      <c r="G34" s="24">
        <f t="shared" ref="G34:O34" si="15">G10-G15</f>
        <v>71946</v>
      </c>
      <c r="H34" s="24">
        <f t="shared" si="15"/>
        <v>80188</v>
      </c>
      <c r="I34" s="24">
        <f t="shared" si="15"/>
        <v>76281</v>
      </c>
      <c r="J34" s="24">
        <f t="shared" si="15"/>
        <v>13185</v>
      </c>
      <c r="K34" s="24">
        <f t="shared" si="15"/>
        <v>70803</v>
      </c>
      <c r="L34" s="24">
        <f t="shared" si="15"/>
        <v>26329</v>
      </c>
      <c r="M34" s="24">
        <f t="shared" si="15"/>
        <v>56762</v>
      </c>
      <c r="N34" s="24">
        <f t="shared" si="15"/>
        <v>277064</v>
      </c>
      <c r="O34" s="24">
        <f t="shared" si="15"/>
        <v>40725</v>
      </c>
    </row>
    <row r="35" spans="1:18" s="22" customFormat="1" ht="27" hidden="1" customHeight="1">
      <c r="A35" s="23" t="s">
        <v>69</v>
      </c>
      <c r="B35" s="19" t="s">
        <v>1922</v>
      </c>
      <c r="C35" s="20"/>
      <c r="D35" s="24"/>
      <c r="E35" s="20"/>
      <c r="F35" s="24"/>
      <c r="G35" s="24"/>
      <c r="H35" s="24"/>
      <c r="I35" s="24"/>
      <c r="J35" s="24"/>
      <c r="K35" s="24"/>
      <c r="L35" s="24"/>
      <c r="M35" s="24"/>
      <c r="N35" s="24"/>
      <c r="O35" s="24"/>
    </row>
    <row r="36" spans="1:18" s="22" customFormat="1">
      <c r="A36" s="18" t="s">
        <v>16</v>
      </c>
      <c r="B36" s="19" t="s">
        <v>1923</v>
      </c>
      <c r="C36" s="20">
        <f t="shared" si="7"/>
        <v>3269450.4</v>
      </c>
      <c r="D36" s="19"/>
      <c r="E36" s="20">
        <f t="shared" si="8"/>
        <v>3269450.4</v>
      </c>
      <c r="F36" s="24">
        <v>1633380.4</v>
      </c>
      <c r="G36" s="24">
        <v>140270</v>
      </c>
      <c r="H36" s="24">
        <v>157120</v>
      </c>
      <c r="I36" s="24">
        <v>419250</v>
      </c>
      <c r="J36" s="24">
        <v>33500</v>
      </c>
      <c r="K36" s="24">
        <v>136110</v>
      </c>
      <c r="L36" s="24">
        <v>91230</v>
      </c>
      <c r="M36" s="24">
        <v>97690</v>
      </c>
      <c r="N36" s="24">
        <v>497700</v>
      </c>
      <c r="O36" s="24">
        <v>63200</v>
      </c>
      <c r="P36" s="25"/>
    </row>
    <row r="37" spans="1:18" s="21" customFormat="1">
      <c r="A37" s="18" t="s">
        <v>28</v>
      </c>
      <c r="B37" s="19" t="s">
        <v>278</v>
      </c>
      <c r="C37" s="20">
        <f>D37+E37</f>
        <v>3269450.4</v>
      </c>
      <c r="D37" s="20">
        <f>D39+D40</f>
        <v>1385750</v>
      </c>
      <c r="E37" s="20">
        <f t="shared" si="8"/>
        <v>1883700.4</v>
      </c>
      <c r="F37" s="24">
        <f>F39+F40</f>
        <v>587962.39999999991</v>
      </c>
      <c r="G37" s="24">
        <f>G39+G40</f>
        <v>98736</v>
      </c>
      <c r="H37" s="24">
        <f t="shared" ref="H37:O37" si="16">H39+H40</f>
        <v>130369</v>
      </c>
      <c r="I37" s="24">
        <f t="shared" si="16"/>
        <v>383798</v>
      </c>
      <c r="J37" s="24">
        <f t="shared" si="16"/>
        <v>26882</v>
      </c>
      <c r="K37" s="24">
        <f>K39+K40</f>
        <v>109133</v>
      </c>
      <c r="L37" s="24">
        <f t="shared" si="16"/>
        <v>49914</v>
      </c>
      <c r="M37" s="24">
        <f t="shared" si="16"/>
        <v>81164</v>
      </c>
      <c r="N37" s="24">
        <f t="shared" si="16"/>
        <v>370305</v>
      </c>
      <c r="O37" s="24">
        <f t="shared" si="16"/>
        <v>45437</v>
      </c>
      <c r="P37" s="29"/>
    </row>
    <row r="38" spans="1:18" s="33" customFormat="1">
      <c r="A38" s="497"/>
      <c r="B38" s="498" t="s">
        <v>298</v>
      </c>
      <c r="C38" s="499">
        <f>D38+E38</f>
        <v>2979450.4</v>
      </c>
      <c r="D38" s="499"/>
      <c r="E38" s="499">
        <f>F38+G38+H38+I38+J38+K38+L38+M38+N38+O38</f>
        <v>2979450.4</v>
      </c>
      <c r="F38" s="500">
        <v>1633380.4</v>
      </c>
      <c r="G38" s="500">
        <v>140270</v>
      </c>
      <c r="H38" s="500">
        <v>157120</v>
      </c>
      <c r="I38" s="500">
        <v>129250</v>
      </c>
      <c r="J38" s="500">
        <v>33500</v>
      </c>
      <c r="K38" s="500">
        <v>136110</v>
      </c>
      <c r="L38" s="500">
        <v>91230</v>
      </c>
      <c r="M38" s="500">
        <v>97690</v>
      </c>
      <c r="N38" s="500">
        <v>497700</v>
      </c>
      <c r="O38" s="500">
        <v>63200</v>
      </c>
    </row>
    <row r="39" spans="1:18" s="21" customFormat="1">
      <c r="A39" s="23">
        <v>1</v>
      </c>
      <c r="B39" s="19" t="s">
        <v>299</v>
      </c>
      <c r="C39" s="20">
        <f>D39+E39</f>
        <v>463127</v>
      </c>
      <c r="D39" s="19"/>
      <c r="E39" s="20">
        <f t="shared" si="8"/>
        <v>463127</v>
      </c>
      <c r="F39" s="24">
        <v>115444</v>
      </c>
      <c r="G39" s="24">
        <v>18781</v>
      </c>
      <c r="H39" s="24">
        <v>5752</v>
      </c>
      <c r="I39" s="24">
        <v>295595</v>
      </c>
      <c r="J39" s="24">
        <v>1931</v>
      </c>
      <c r="K39" s="24">
        <v>2230</v>
      </c>
      <c r="L39" s="24">
        <v>3417</v>
      </c>
      <c r="M39" s="24">
        <v>2979</v>
      </c>
      <c r="N39" s="24">
        <v>14328</v>
      </c>
      <c r="O39" s="24">
        <v>2670</v>
      </c>
    </row>
    <row r="40" spans="1:18" s="22" customFormat="1">
      <c r="A40" s="23" t="s">
        <v>26</v>
      </c>
      <c r="B40" s="19" t="s">
        <v>300</v>
      </c>
      <c r="C40" s="20">
        <f>D40+E40</f>
        <v>2806323.4</v>
      </c>
      <c r="D40" s="20">
        <f>D41+D42</f>
        <v>1385750</v>
      </c>
      <c r="E40" s="20">
        <f t="shared" si="8"/>
        <v>1420573.4</v>
      </c>
      <c r="F40" s="24">
        <v>472518.39999999991</v>
      </c>
      <c r="G40" s="24">
        <v>79955</v>
      </c>
      <c r="H40" s="24">
        <v>124617</v>
      </c>
      <c r="I40" s="24">
        <v>88203</v>
      </c>
      <c r="J40" s="24">
        <v>24951</v>
      </c>
      <c r="K40" s="24">
        <v>106903</v>
      </c>
      <c r="L40" s="24">
        <v>46497</v>
      </c>
      <c r="M40" s="24">
        <v>78185</v>
      </c>
      <c r="N40" s="24">
        <v>355977</v>
      </c>
      <c r="O40" s="24">
        <v>42767</v>
      </c>
      <c r="Q40" s="25">
        <f>D40-D46-D49</f>
        <v>1196414</v>
      </c>
      <c r="R40" s="25">
        <f>E40-E46-E49</f>
        <v>1231109.3999999999</v>
      </c>
    </row>
    <row r="41" spans="1:18" s="14" customFormat="1" hidden="1" outlineLevel="1">
      <c r="A41" s="30" t="s">
        <v>23</v>
      </c>
      <c r="B41" s="31" t="s">
        <v>24</v>
      </c>
      <c r="C41" s="28">
        <f t="shared" si="7"/>
        <v>1374449.4</v>
      </c>
      <c r="D41" s="32">
        <v>775671</v>
      </c>
      <c r="E41" s="28">
        <f t="shared" si="8"/>
        <v>598778.39999999991</v>
      </c>
      <c r="F41" s="32">
        <v>179274.39999999991</v>
      </c>
      <c r="G41" s="32">
        <v>46374</v>
      </c>
      <c r="H41" s="32">
        <v>37507</v>
      </c>
      <c r="I41" s="32">
        <v>34209</v>
      </c>
      <c r="J41" s="32">
        <v>14652</v>
      </c>
      <c r="K41" s="32">
        <v>41153</v>
      </c>
      <c r="L41" s="32">
        <v>17265</v>
      </c>
      <c r="M41" s="32">
        <v>32352</v>
      </c>
      <c r="N41" s="32">
        <v>179197</v>
      </c>
      <c r="O41" s="32">
        <v>16795</v>
      </c>
    </row>
    <row r="42" spans="1:18" s="14" customFormat="1" hidden="1" outlineLevel="1">
      <c r="A42" s="30" t="s">
        <v>23</v>
      </c>
      <c r="B42" s="31" t="s">
        <v>25</v>
      </c>
      <c r="C42" s="28">
        <f t="shared" si="7"/>
        <v>1431874</v>
      </c>
      <c r="D42" s="28">
        <f>D44</f>
        <v>610079</v>
      </c>
      <c r="E42" s="28">
        <f t="shared" si="8"/>
        <v>821795</v>
      </c>
      <c r="F42" s="32">
        <f>F44</f>
        <v>293244</v>
      </c>
      <c r="G42" s="32">
        <f t="shared" ref="G42:O42" si="17">G44</f>
        <v>33581</v>
      </c>
      <c r="H42" s="32">
        <f t="shared" si="17"/>
        <v>87110</v>
      </c>
      <c r="I42" s="32">
        <f t="shared" si="17"/>
        <v>53994</v>
      </c>
      <c r="J42" s="32">
        <f t="shared" si="17"/>
        <v>10299</v>
      </c>
      <c r="K42" s="32">
        <f t="shared" si="17"/>
        <v>65750</v>
      </c>
      <c r="L42" s="32">
        <f t="shared" si="17"/>
        <v>29232</v>
      </c>
      <c r="M42" s="32">
        <f t="shared" si="17"/>
        <v>45833</v>
      </c>
      <c r="N42" s="32">
        <f t="shared" si="17"/>
        <v>176780</v>
      </c>
      <c r="O42" s="32">
        <f t="shared" si="17"/>
        <v>25972</v>
      </c>
      <c r="P42" s="14">
        <f>M40/M10</f>
        <v>1.3570957439422342</v>
      </c>
    </row>
    <row r="43" spans="1:18" s="14" customFormat="1" hidden="1" outlineLevel="1">
      <c r="A43" s="30" t="s">
        <v>281</v>
      </c>
      <c r="B43" s="31" t="s">
        <v>282</v>
      </c>
      <c r="C43" s="28">
        <f t="shared" si="7"/>
        <v>1431869</v>
      </c>
      <c r="D43" s="31"/>
      <c r="E43" s="28">
        <f t="shared" si="8"/>
        <v>1431869</v>
      </c>
      <c r="F43" s="32">
        <v>712439</v>
      </c>
      <c r="G43" s="32">
        <v>67325</v>
      </c>
      <c r="H43" s="32">
        <v>108000</v>
      </c>
      <c r="I43" s="32">
        <v>72040</v>
      </c>
      <c r="J43" s="32">
        <v>14100</v>
      </c>
      <c r="K43" s="32">
        <v>88070</v>
      </c>
      <c r="L43" s="32">
        <v>66450</v>
      </c>
      <c r="M43" s="32">
        <v>54710</v>
      </c>
      <c r="N43" s="32">
        <v>217760</v>
      </c>
      <c r="O43" s="32">
        <v>30975</v>
      </c>
    </row>
    <row r="44" spans="1:18" s="14" customFormat="1" hidden="1" outlineLevel="1">
      <c r="A44" s="30" t="s">
        <v>281</v>
      </c>
      <c r="B44" s="31" t="s">
        <v>283</v>
      </c>
      <c r="C44" s="28">
        <f t="shared" si="7"/>
        <v>1431874</v>
      </c>
      <c r="D44" s="32">
        <v>610079</v>
      </c>
      <c r="E44" s="28">
        <f t="shared" si="8"/>
        <v>821795</v>
      </c>
      <c r="F44" s="32">
        <v>293244</v>
      </c>
      <c r="G44" s="32">
        <v>33581</v>
      </c>
      <c r="H44" s="32">
        <v>87110</v>
      </c>
      <c r="I44" s="32">
        <v>53994</v>
      </c>
      <c r="J44" s="32">
        <v>10299</v>
      </c>
      <c r="K44" s="32">
        <v>65750</v>
      </c>
      <c r="L44" s="32">
        <v>29232</v>
      </c>
      <c r="M44" s="32">
        <v>45833</v>
      </c>
      <c r="N44" s="32">
        <v>176780</v>
      </c>
      <c r="O44" s="32">
        <v>25972</v>
      </c>
    </row>
    <row r="45" spans="1:18" s="21" customFormat="1" collapsed="1">
      <c r="A45" s="23" t="s">
        <v>59</v>
      </c>
      <c r="B45" s="19" t="s">
        <v>301</v>
      </c>
      <c r="C45" s="20">
        <f>C46+C49+C50+C56+C62+C63+C59+C53</f>
        <v>410515</v>
      </c>
      <c r="D45" s="20">
        <f t="shared" ref="D45:O45" si="18">D46+D49+D50+D56+D62+D63+D59+D53</f>
        <v>211636</v>
      </c>
      <c r="E45" s="20">
        <f>E46+E49+E50+E56+E62+E63+E59+E53</f>
        <v>198879</v>
      </c>
      <c r="F45" s="20">
        <f t="shared" si="18"/>
        <v>65940</v>
      </c>
      <c r="G45" s="20">
        <f t="shared" si="18"/>
        <v>18380</v>
      </c>
      <c r="H45" s="20">
        <f t="shared" si="18"/>
        <v>18025</v>
      </c>
      <c r="I45" s="20">
        <f t="shared" si="18"/>
        <v>9760</v>
      </c>
      <c r="J45" s="20">
        <f t="shared" si="18"/>
        <v>5410</v>
      </c>
      <c r="K45" s="20">
        <f t="shared" si="18"/>
        <v>31150</v>
      </c>
      <c r="L45" s="20">
        <f t="shared" si="18"/>
        <v>4550</v>
      </c>
      <c r="M45" s="20">
        <f t="shared" si="18"/>
        <v>826</v>
      </c>
      <c r="N45" s="20">
        <f t="shared" si="18"/>
        <v>44630</v>
      </c>
      <c r="O45" s="20">
        <f t="shared" si="18"/>
        <v>208</v>
      </c>
      <c r="Q45" s="29">
        <f>Q40-Q10</f>
        <v>23491.399999999907</v>
      </c>
      <c r="R45" s="29">
        <f>R40-R10</f>
        <v>119595</v>
      </c>
    </row>
    <row r="46" spans="1:18" s="14" customFormat="1">
      <c r="A46" s="23" t="s">
        <v>285</v>
      </c>
      <c r="B46" s="19" t="s">
        <v>286</v>
      </c>
      <c r="C46" s="20">
        <f>D46+E46</f>
        <v>301300</v>
      </c>
      <c r="D46" s="20">
        <f>D48</f>
        <v>111836</v>
      </c>
      <c r="E46" s="20">
        <f t="shared" si="8"/>
        <v>189464</v>
      </c>
      <c r="F46" s="24">
        <f>F48</f>
        <v>61600</v>
      </c>
      <c r="G46" s="24">
        <f t="shared" ref="G46:O46" si="19">G48</f>
        <v>17600</v>
      </c>
      <c r="H46" s="24">
        <f t="shared" si="19"/>
        <v>17600</v>
      </c>
      <c r="I46" s="24">
        <f t="shared" si="19"/>
        <v>8800</v>
      </c>
      <c r="J46" s="24">
        <f t="shared" si="19"/>
        <v>3960</v>
      </c>
      <c r="K46" s="24">
        <f t="shared" si="19"/>
        <v>30800</v>
      </c>
      <c r="L46" s="24">
        <f t="shared" si="19"/>
        <v>4400</v>
      </c>
      <c r="M46" s="24">
        <f t="shared" si="19"/>
        <v>616</v>
      </c>
      <c r="N46" s="24">
        <f t="shared" si="19"/>
        <v>44000</v>
      </c>
      <c r="O46" s="24">
        <f t="shared" si="19"/>
        <v>88</v>
      </c>
    </row>
    <row r="47" spans="1:18" s="14" customFormat="1">
      <c r="A47" s="34"/>
      <c r="B47" s="31" t="s">
        <v>287</v>
      </c>
      <c r="C47" s="28">
        <f>D47+E47</f>
        <v>301300</v>
      </c>
      <c r="D47" s="28"/>
      <c r="E47" s="28">
        <f>F47+G47+H47+I47+J47+K47+L47+M47+N47+O47</f>
        <v>301300</v>
      </c>
      <c r="F47" s="32">
        <v>156000</v>
      </c>
      <c r="G47" s="32">
        <v>20000</v>
      </c>
      <c r="H47" s="32">
        <v>20000</v>
      </c>
      <c r="I47" s="32">
        <v>10000</v>
      </c>
      <c r="J47" s="32">
        <v>4500</v>
      </c>
      <c r="K47" s="32">
        <v>35000</v>
      </c>
      <c r="L47" s="32">
        <v>5000</v>
      </c>
      <c r="M47" s="32">
        <v>700</v>
      </c>
      <c r="N47" s="32">
        <v>50000</v>
      </c>
      <c r="O47" s="32">
        <v>100</v>
      </c>
      <c r="Q47" s="35"/>
    </row>
    <row r="48" spans="1:18" s="14" customFormat="1">
      <c r="A48" s="34"/>
      <c r="B48" s="31" t="s">
        <v>288</v>
      </c>
      <c r="C48" s="28">
        <f t="shared" si="7"/>
        <v>301300</v>
      </c>
      <c r="D48" s="28">
        <f>E47-E48</f>
        <v>111836</v>
      </c>
      <c r="E48" s="28">
        <f>F48+G48+H48+I48+J48+K48+L48+M48+N48+O48</f>
        <v>189464</v>
      </c>
      <c r="F48" s="32">
        <v>61600</v>
      </c>
      <c r="G48" s="32">
        <v>17600</v>
      </c>
      <c r="H48" s="32">
        <v>17600</v>
      </c>
      <c r="I48" s="32">
        <v>8800</v>
      </c>
      <c r="J48" s="32">
        <v>3960</v>
      </c>
      <c r="K48" s="32">
        <v>30800</v>
      </c>
      <c r="L48" s="32">
        <v>4400</v>
      </c>
      <c r="M48" s="32">
        <v>616</v>
      </c>
      <c r="N48" s="32">
        <v>44000</v>
      </c>
      <c r="O48" s="32">
        <v>88</v>
      </c>
      <c r="Q48" s="35">
        <f>C40-C46-C49</f>
        <v>2427523.4</v>
      </c>
    </row>
    <row r="49" spans="1:15">
      <c r="A49" s="23" t="s">
        <v>289</v>
      </c>
      <c r="B49" s="19" t="s">
        <v>290</v>
      </c>
      <c r="C49" s="20">
        <f t="shared" si="7"/>
        <v>77500</v>
      </c>
      <c r="D49" s="20">
        <v>77500</v>
      </c>
      <c r="E49" s="20">
        <f t="shared" si="8"/>
        <v>0</v>
      </c>
      <c r="F49" s="24"/>
      <c r="G49" s="24"/>
      <c r="H49" s="24"/>
      <c r="I49" s="24"/>
      <c r="J49" s="24"/>
      <c r="K49" s="24"/>
      <c r="L49" s="24"/>
      <c r="M49" s="24"/>
      <c r="N49" s="24"/>
      <c r="O49" s="24"/>
    </row>
    <row r="50" spans="1:15" s="15" customFormat="1">
      <c r="A50" s="23" t="s">
        <v>291</v>
      </c>
      <c r="B50" s="19" t="s">
        <v>292</v>
      </c>
      <c r="C50" s="20">
        <f t="shared" si="7"/>
        <v>8530</v>
      </c>
      <c r="D50" s="19"/>
      <c r="E50" s="20">
        <f t="shared" si="8"/>
        <v>8530</v>
      </c>
      <c r="F50" s="24">
        <f>F52</f>
        <v>3770</v>
      </c>
      <c r="G50" s="24">
        <f t="shared" ref="G50:O50" si="20">G52</f>
        <v>600</v>
      </c>
      <c r="H50" s="24">
        <f t="shared" si="20"/>
        <v>340</v>
      </c>
      <c r="I50" s="24">
        <f t="shared" si="20"/>
        <v>960</v>
      </c>
      <c r="J50" s="24">
        <f t="shared" si="20"/>
        <v>1400</v>
      </c>
      <c r="K50" s="24">
        <f t="shared" si="20"/>
        <v>350</v>
      </c>
      <c r="L50" s="24">
        <f t="shared" si="20"/>
        <v>150</v>
      </c>
      <c r="M50" s="24">
        <f t="shared" si="20"/>
        <v>210</v>
      </c>
      <c r="N50" s="24">
        <f t="shared" si="20"/>
        <v>630</v>
      </c>
      <c r="O50" s="24">
        <f t="shared" si="20"/>
        <v>120</v>
      </c>
    </row>
    <row r="51" spans="1:15">
      <c r="A51" s="34"/>
      <c r="B51" s="31" t="s">
        <v>287</v>
      </c>
      <c r="C51" s="28">
        <f t="shared" si="7"/>
        <v>8530</v>
      </c>
      <c r="D51" s="31"/>
      <c r="E51" s="28">
        <f t="shared" si="8"/>
        <v>8530</v>
      </c>
      <c r="F51" s="32">
        <v>3770</v>
      </c>
      <c r="G51" s="32">
        <v>600</v>
      </c>
      <c r="H51" s="32">
        <v>340</v>
      </c>
      <c r="I51" s="32">
        <v>960</v>
      </c>
      <c r="J51" s="32">
        <v>1400</v>
      </c>
      <c r="K51" s="32">
        <v>350</v>
      </c>
      <c r="L51" s="32">
        <v>150</v>
      </c>
      <c r="M51" s="32">
        <v>210</v>
      </c>
      <c r="N51" s="32">
        <v>630</v>
      </c>
      <c r="O51" s="32">
        <v>120</v>
      </c>
    </row>
    <row r="52" spans="1:15">
      <c r="A52" s="34"/>
      <c r="B52" s="31" t="s">
        <v>288</v>
      </c>
      <c r="C52" s="28">
        <f t="shared" si="7"/>
        <v>8530</v>
      </c>
      <c r="D52" s="31"/>
      <c r="E52" s="28">
        <f t="shared" si="8"/>
        <v>8530</v>
      </c>
      <c r="F52" s="32">
        <f>F51</f>
        <v>3770</v>
      </c>
      <c r="G52" s="32">
        <f>G51</f>
        <v>600</v>
      </c>
      <c r="H52" s="32">
        <f t="shared" ref="H52:O52" si="21">H51</f>
        <v>340</v>
      </c>
      <c r="I52" s="32">
        <f t="shared" si="21"/>
        <v>960</v>
      </c>
      <c r="J52" s="32">
        <f t="shared" si="21"/>
        <v>1400</v>
      </c>
      <c r="K52" s="32">
        <f t="shared" si="21"/>
        <v>350</v>
      </c>
      <c r="L52" s="32">
        <f t="shared" si="21"/>
        <v>150</v>
      </c>
      <c r="M52" s="32">
        <f t="shared" si="21"/>
        <v>210</v>
      </c>
      <c r="N52" s="32">
        <f t="shared" si="21"/>
        <v>630</v>
      </c>
      <c r="O52" s="32">
        <f t="shared" si="21"/>
        <v>120</v>
      </c>
    </row>
    <row r="53" spans="1:15" s="15" customFormat="1">
      <c r="A53" s="23" t="s">
        <v>293</v>
      </c>
      <c r="B53" s="19" t="s">
        <v>1918</v>
      </c>
      <c r="C53" s="20">
        <f>D53+E53</f>
        <v>3455</v>
      </c>
      <c r="D53" s="20">
        <f>D55</f>
        <v>3300</v>
      </c>
      <c r="E53" s="20">
        <f t="shared" si="8"/>
        <v>155</v>
      </c>
      <c r="F53" s="24">
        <f>F55</f>
        <v>0</v>
      </c>
      <c r="G53" s="24">
        <f t="shared" ref="G53:O53" si="22">G55</f>
        <v>100</v>
      </c>
      <c r="H53" s="24">
        <f t="shared" si="22"/>
        <v>5</v>
      </c>
      <c r="I53" s="24">
        <f t="shared" si="22"/>
        <v>0</v>
      </c>
      <c r="J53" s="24">
        <f t="shared" si="22"/>
        <v>50</v>
      </c>
      <c r="K53" s="24">
        <f t="shared" si="22"/>
        <v>0</v>
      </c>
      <c r="L53" s="24">
        <f t="shared" si="22"/>
        <v>0</v>
      </c>
      <c r="M53" s="24">
        <f t="shared" si="22"/>
        <v>0</v>
      </c>
      <c r="N53" s="24">
        <f t="shared" si="22"/>
        <v>0</v>
      </c>
      <c r="O53" s="24">
        <f t="shared" si="22"/>
        <v>0</v>
      </c>
    </row>
    <row r="54" spans="1:15">
      <c r="A54" s="34"/>
      <c r="B54" s="31" t="s">
        <v>287</v>
      </c>
      <c r="C54" s="28">
        <f>D54+E54</f>
        <v>3455</v>
      </c>
      <c r="D54" s="28"/>
      <c r="E54" s="28">
        <f>F54+G54+H54+I54+J54+K54+L54+M54+N54+O54</f>
        <v>3455</v>
      </c>
      <c r="F54" s="32">
        <v>3300</v>
      </c>
      <c r="G54" s="32">
        <v>100</v>
      </c>
      <c r="H54" s="32">
        <v>5</v>
      </c>
      <c r="I54" s="32"/>
      <c r="J54" s="32">
        <v>50</v>
      </c>
      <c r="K54" s="32"/>
      <c r="L54" s="32"/>
      <c r="M54" s="32"/>
      <c r="N54" s="32"/>
      <c r="O54" s="32"/>
    </row>
    <row r="55" spans="1:15">
      <c r="A55" s="34"/>
      <c r="B55" s="31" t="s">
        <v>288</v>
      </c>
      <c r="C55" s="28">
        <f t="shared" ref="C55" si="23">D55+E55</f>
        <v>3455</v>
      </c>
      <c r="D55" s="28">
        <f>E54-E55</f>
        <v>3300</v>
      </c>
      <c r="E55" s="28">
        <f>F55+G55+H55+I55+J55+K55+L55+M55+N55+O55</f>
        <v>155</v>
      </c>
      <c r="F55" s="32"/>
      <c r="G55" s="32">
        <f>G54</f>
        <v>100</v>
      </c>
      <c r="H55" s="32">
        <f t="shared" ref="H55:O55" si="24">H54</f>
        <v>5</v>
      </c>
      <c r="I55" s="32">
        <f t="shared" si="24"/>
        <v>0</v>
      </c>
      <c r="J55" s="32">
        <f t="shared" si="24"/>
        <v>50</v>
      </c>
      <c r="K55" s="32">
        <f t="shared" si="24"/>
        <v>0</v>
      </c>
      <c r="L55" s="32">
        <f t="shared" si="24"/>
        <v>0</v>
      </c>
      <c r="M55" s="32">
        <f t="shared" si="24"/>
        <v>0</v>
      </c>
      <c r="N55" s="32">
        <f t="shared" si="24"/>
        <v>0</v>
      </c>
      <c r="O55" s="32">
        <f t="shared" si="24"/>
        <v>0</v>
      </c>
    </row>
    <row r="56" spans="1:15" ht="41.4">
      <c r="A56" s="23" t="s">
        <v>295</v>
      </c>
      <c r="B56" s="19" t="s">
        <v>294</v>
      </c>
      <c r="C56" s="20">
        <f t="shared" si="7"/>
        <v>13000</v>
      </c>
      <c r="D56" s="20">
        <f>D58</f>
        <v>13000</v>
      </c>
      <c r="E56" s="20">
        <f>F56+G56+H56+I56+J56+K56+L56+M56+N56+O56</f>
        <v>0</v>
      </c>
      <c r="F56" s="24">
        <f>F58</f>
        <v>0</v>
      </c>
      <c r="G56" s="24">
        <f t="shared" ref="G56:O56" si="25">G58</f>
        <v>0</v>
      </c>
      <c r="H56" s="24">
        <f t="shared" si="25"/>
        <v>0</v>
      </c>
      <c r="I56" s="24">
        <f t="shared" si="25"/>
        <v>0</v>
      </c>
      <c r="J56" s="24">
        <f t="shared" si="25"/>
        <v>0</v>
      </c>
      <c r="K56" s="24">
        <f t="shared" si="25"/>
        <v>0</v>
      </c>
      <c r="L56" s="24">
        <f t="shared" si="25"/>
        <v>0</v>
      </c>
      <c r="M56" s="24">
        <f t="shared" si="25"/>
        <v>0</v>
      </c>
      <c r="N56" s="24">
        <f t="shared" si="25"/>
        <v>0</v>
      </c>
      <c r="O56" s="24">
        <f t="shared" si="25"/>
        <v>0</v>
      </c>
    </row>
    <row r="57" spans="1:15">
      <c r="A57" s="34"/>
      <c r="B57" s="31" t="s">
        <v>287</v>
      </c>
      <c r="C57" s="28">
        <f t="shared" si="7"/>
        <v>13000</v>
      </c>
      <c r="D57" s="31"/>
      <c r="E57" s="32">
        <f t="shared" si="8"/>
        <v>13000</v>
      </c>
      <c r="F57" s="32">
        <v>0</v>
      </c>
      <c r="G57" s="32"/>
      <c r="H57" s="32"/>
      <c r="I57" s="32">
        <v>13000</v>
      </c>
      <c r="J57" s="32"/>
      <c r="K57" s="32"/>
      <c r="L57" s="32"/>
      <c r="M57" s="32"/>
      <c r="N57" s="32"/>
      <c r="O57" s="32"/>
    </row>
    <row r="58" spans="1:15">
      <c r="A58" s="34"/>
      <c r="B58" s="31" t="s">
        <v>288</v>
      </c>
      <c r="C58" s="28">
        <f t="shared" si="7"/>
        <v>13000</v>
      </c>
      <c r="D58" s="28">
        <f>E57</f>
        <v>13000</v>
      </c>
      <c r="E58" s="28">
        <f t="shared" si="8"/>
        <v>0</v>
      </c>
      <c r="F58" s="32"/>
      <c r="G58" s="32"/>
      <c r="H58" s="32"/>
      <c r="I58" s="32"/>
      <c r="J58" s="32"/>
      <c r="K58" s="32"/>
      <c r="L58" s="32"/>
      <c r="M58" s="32"/>
      <c r="N58" s="32"/>
      <c r="O58" s="32"/>
    </row>
    <row r="59" spans="1:15">
      <c r="A59" s="23" t="s">
        <v>1919</v>
      </c>
      <c r="B59" s="19" t="s">
        <v>1402</v>
      </c>
      <c r="C59" s="20">
        <f t="shared" si="7"/>
        <v>6000</v>
      </c>
      <c r="D59" s="20">
        <f>D61</f>
        <v>6000</v>
      </c>
      <c r="E59" s="20">
        <f>F59+G59+H59+I59+J59+K59+L59+M59+N59+O59</f>
        <v>0</v>
      </c>
      <c r="F59" s="24">
        <f>F61</f>
        <v>0</v>
      </c>
      <c r="G59" s="24">
        <f t="shared" ref="G59:O59" si="26">G61</f>
        <v>0</v>
      </c>
      <c r="H59" s="24">
        <f t="shared" si="26"/>
        <v>0</v>
      </c>
      <c r="I59" s="24">
        <f t="shared" si="26"/>
        <v>0</v>
      </c>
      <c r="J59" s="24">
        <f t="shared" si="26"/>
        <v>0</v>
      </c>
      <c r="K59" s="24">
        <f t="shared" si="26"/>
        <v>0</v>
      </c>
      <c r="L59" s="24">
        <f t="shared" si="26"/>
        <v>0</v>
      </c>
      <c r="M59" s="24">
        <f t="shared" si="26"/>
        <v>0</v>
      </c>
      <c r="N59" s="24">
        <f t="shared" si="26"/>
        <v>0</v>
      </c>
      <c r="O59" s="24">
        <f t="shared" si="26"/>
        <v>0</v>
      </c>
    </row>
    <row r="60" spans="1:15">
      <c r="A60" s="34"/>
      <c r="B60" s="31" t="s">
        <v>287</v>
      </c>
      <c r="C60" s="28">
        <f t="shared" si="7"/>
        <v>6000</v>
      </c>
      <c r="D60" s="31"/>
      <c r="E60" s="32">
        <f t="shared" ref="E60:E61" si="27">F60+G60+H60+I60+J60+K60+L60+M60+N60+O60</f>
        <v>6000</v>
      </c>
      <c r="F60" s="32">
        <v>4390</v>
      </c>
      <c r="G60" s="32"/>
      <c r="H60" s="32">
        <v>1000</v>
      </c>
      <c r="I60" s="32"/>
      <c r="J60" s="32"/>
      <c r="K60" s="32"/>
      <c r="L60" s="32"/>
      <c r="M60" s="32"/>
      <c r="N60" s="32">
        <v>610</v>
      </c>
      <c r="O60" s="32"/>
    </row>
    <row r="61" spans="1:15">
      <c r="A61" s="34"/>
      <c r="B61" s="31" t="s">
        <v>288</v>
      </c>
      <c r="C61" s="28">
        <f t="shared" si="7"/>
        <v>6000</v>
      </c>
      <c r="D61" s="28">
        <f>E60</f>
        <v>6000</v>
      </c>
      <c r="E61" s="28">
        <f t="shared" si="27"/>
        <v>0</v>
      </c>
      <c r="F61" s="32"/>
      <c r="G61" s="32"/>
      <c r="H61" s="32"/>
      <c r="I61" s="32"/>
      <c r="J61" s="32"/>
      <c r="K61" s="32"/>
      <c r="L61" s="32"/>
      <c r="M61" s="32"/>
      <c r="N61" s="32"/>
      <c r="O61" s="32"/>
    </row>
    <row r="62" spans="1:15" s="15" customFormat="1">
      <c r="A62" s="23" t="s">
        <v>1920</v>
      </c>
      <c r="B62" s="19" t="s">
        <v>296</v>
      </c>
      <c r="C62" s="20">
        <f>D62+E62</f>
        <v>730</v>
      </c>
      <c r="D62" s="19"/>
      <c r="E62" s="20">
        <f t="shared" si="8"/>
        <v>730</v>
      </c>
      <c r="F62" s="24">
        <v>570</v>
      </c>
      <c r="G62" s="24">
        <v>80</v>
      </c>
      <c r="H62" s="24">
        <v>80</v>
      </c>
      <c r="I62" s="24"/>
      <c r="J62" s="24">
        <v>0</v>
      </c>
      <c r="K62" s="24">
        <v>0</v>
      </c>
      <c r="L62" s="24">
        <v>0</v>
      </c>
      <c r="M62" s="24">
        <v>0</v>
      </c>
      <c r="N62" s="24">
        <v>0</v>
      </c>
      <c r="O62" s="24">
        <v>0</v>
      </c>
    </row>
    <row r="63" spans="1:15" s="15" customFormat="1" ht="27.6">
      <c r="A63" s="23" t="s">
        <v>1924</v>
      </c>
      <c r="B63" s="19" t="s">
        <v>606</v>
      </c>
      <c r="C63" s="20">
        <f t="shared" ref="C63" si="28">D63+E63</f>
        <v>0</v>
      </c>
      <c r="D63" s="19"/>
      <c r="E63" s="20">
        <f t="shared" si="8"/>
        <v>0</v>
      </c>
      <c r="F63" s="24"/>
      <c r="G63" s="24"/>
      <c r="H63" s="24"/>
      <c r="I63" s="24"/>
      <c r="J63" s="24"/>
      <c r="K63" s="24"/>
      <c r="L63" s="24"/>
      <c r="M63" s="24"/>
      <c r="N63" s="24"/>
      <c r="O63" s="24"/>
    </row>
    <row r="64" spans="1:15" s="14" customFormat="1">
      <c r="A64" s="23" t="s">
        <v>73</v>
      </c>
      <c r="B64" s="19" t="s">
        <v>302</v>
      </c>
      <c r="C64" s="20">
        <f t="shared" ref="C64:O64" si="29">C40-C45</f>
        <v>2395808.4</v>
      </c>
      <c r="D64" s="20">
        <f t="shared" si="29"/>
        <v>1174114</v>
      </c>
      <c r="E64" s="20">
        <f t="shared" si="29"/>
        <v>1221694.3999999999</v>
      </c>
      <c r="F64" s="20">
        <f t="shared" si="29"/>
        <v>406578.39999999991</v>
      </c>
      <c r="G64" s="20">
        <f t="shared" si="29"/>
        <v>61575</v>
      </c>
      <c r="H64" s="20">
        <f t="shared" si="29"/>
        <v>106592</v>
      </c>
      <c r="I64" s="20">
        <f t="shared" si="29"/>
        <v>78443</v>
      </c>
      <c r="J64" s="20">
        <f t="shared" si="29"/>
        <v>19541</v>
      </c>
      <c r="K64" s="20">
        <f t="shared" si="29"/>
        <v>75753</v>
      </c>
      <c r="L64" s="20">
        <f t="shared" si="29"/>
        <v>41947</v>
      </c>
      <c r="M64" s="20">
        <f t="shared" si="29"/>
        <v>77359</v>
      </c>
      <c r="N64" s="20">
        <f t="shared" si="29"/>
        <v>311347</v>
      </c>
      <c r="O64" s="20">
        <f t="shared" si="29"/>
        <v>42559</v>
      </c>
    </row>
    <row r="65" spans="1:26" s="21" customFormat="1" ht="27.6">
      <c r="A65" s="23" t="s">
        <v>74</v>
      </c>
      <c r="B65" s="19" t="s">
        <v>1925</v>
      </c>
      <c r="C65" s="20">
        <f t="shared" si="7"/>
        <v>137571.39999999979</v>
      </c>
      <c r="D65" s="20">
        <f>D64-D34</f>
        <v>18416.399999999907</v>
      </c>
      <c r="E65" s="20">
        <f t="shared" si="8"/>
        <v>119154.99999999988</v>
      </c>
      <c r="F65" s="24">
        <f t="shared" ref="F65:O65" si="30">F64-F34</f>
        <v>17321.999999999884</v>
      </c>
      <c r="G65" s="24">
        <f t="shared" si="30"/>
        <v>-10371</v>
      </c>
      <c r="H65" s="24">
        <f t="shared" si="30"/>
        <v>26404</v>
      </c>
      <c r="I65" s="24">
        <f t="shared" si="30"/>
        <v>2162</v>
      </c>
      <c r="J65" s="24">
        <f t="shared" si="30"/>
        <v>6356</v>
      </c>
      <c r="K65" s="24">
        <f t="shared" si="30"/>
        <v>4950</v>
      </c>
      <c r="L65" s="24">
        <f t="shared" si="30"/>
        <v>15618</v>
      </c>
      <c r="M65" s="24">
        <f t="shared" si="30"/>
        <v>20597</v>
      </c>
      <c r="N65" s="24">
        <f t="shared" si="30"/>
        <v>34283</v>
      </c>
      <c r="O65" s="24">
        <f t="shared" si="30"/>
        <v>1834</v>
      </c>
    </row>
    <row r="66" spans="1:26" s="7" customFormat="1">
      <c r="A66" s="23"/>
      <c r="B66" s="19" t="s">
        <v>311</v>
      </c>
      <c r="C66" s="20">
        <f t="shared" si="7"/>
        <v>96299.979999999865</v>
      </c>
      <c r="D66" s="24">
        <f>D65*0.7</f>
        <v>12891.479999999934</v>
      </c>
      <c r="E66" s="20">
        <f t="shared" si="8"/>
        <v>83408.499999999927</v>
      </c>
      <c r="F66" s="24">
        <f>F65*0.7</f>
        <v>12125.399999999918</v>
      </c>
      <c r="G66" s="24">
        <f t="shared" ref="G66:O66" si="31">G65*0.7</f>
        <v>-7259.7</v>
      </c>
      <c r="H66" s="24">
        <f t="shared" si="31"/>
        <v>18482.8</v>
      </c>
      <c r="I66" s="24">
        <f t="shared" si="31"/>
        <v>1513.3999999999999</v>
      </c>
      <c r="J66" s="24">
        <f t="shared" si="31"/>
        <v>4449.2</v>
      </c>
      <c r="K66" s="24">
        <f>K65*0.7</f>
        <v>3465</v>
      </c>
      <c r="L66" s="24">
        <f t="shared" si="31"/>
        <v>10932.599999999999</v>
      </c>
      <c r="M66" s="24">
        <f t="shared" si="31"/>
        <v>14417.9</v>
      </c>
      <c r="N66" s="24">
        <f t="shared" si="31"/>
        <v>23998.1</v>
      </c>
      <c r="O66" s="24">
        <f t="shared" si="31"/>
        <v>1283.8</v>
      </c>
    </row>
    <row r="67" spans="1:26" s="17" customFormat="1" ht="27.75" customHeight="1">
      <c r="A67" s="18" t="s">
        <v>70</v>
      </c>
      <c r="B67" s="19" t="s">
        <v>1926</v>
      </c>
      <c r="C67" s="20">
        <f>D67+E67</f>
        <v>3233000</v>
      </c>
      <c r="D67" s="19"/>
      <c r="E67" s="20">
        <f>F67+G67+H67+I67+J67+K67+L67+M67+N67+O67</f>
        <v>3233000</v>
      </c>
      <c r="F67" s="24">
        <v>1624580</v>
      </c>
      <c r="G67" s="24">
        <v>133660</v>
      </c>
      <c r="H67" s="24">
        <v>126600</v>
      </c>
      <c r="I67" s="24">
        <v>430500</v>
      </c>
      <c r="J67" s="24">
        <v>30500</v>
      </c>
      <c r="K67" s="24">
        <v>114660</v>
      </c>
      <c r="L67" s="24">
        <v>89700</v>
      </c>
      <c r="M67" s="24">
        <v>83900</v>
      </c>
      <c r="N67" s="24">
        <v>538100</v>
      </c>
      <c r="O67" s="24">
        <v>60800</v>
      </c>
      <c r="P67" s="36"/>
      <c r="Q67" s="37"/>
      <c r="R67" s="38"/>
    </row>
    <row r="68" spans="1:26" s="33" customFormat="1">
      <c r="A68" s="497"/>
      <c r="B68" s="498" t="s">
        <v>298</v>
      </c>
      <c r="C68" s="499">
        <f t="shared" si="7"/>
        <v>2938000</v>
      </c>
      <c r="D68" s="498"/>
      <c r="E68" s="499">
        <f t="shared" si="8"/>
        <v>2938000</v>
      </c>
      <c r="F68" s="500">
        <v>1624580</v>
      </c>
      <c r="G68" s="500">
        <v>133660</v>
      </c>
      <c r="H68" s="500">
        <v>126600</v>
      </c>
      <c r="I68" s="500">
        <v>135500</v>
      </c>
      <c r="J68" s="500">
        <v>30500</v>
      </c>
      <c r="K68" s="500">
        <v>114660</v>
      </c>
      <c r="L68" s="500">
        <v>89700</v>
      </c>
      <c r="M68" s="500">
        <v>83900</v>
      </c>
      <c r="N68" s="500">
        <v>538100</v>
      </c>
      <c r="O68" s="500">
        <v>60800</v>
      </c>
    </row>
    <row r="69" spans="1:26" s="21" customFormat="1">
      <c r="A69" s="23" t="s">
        <v>18</v>
      </c>
      <c r="B69" s="19" t="s">
        <v>299</v>
      </c>
      <c r="C69" s="20">
        <f t="shared" si="7"/>
        <v>469400.69999999995</v>
      </c>
      <c r="D69" s="19"/>
      <c r="E69" s="20">
        <f t="shared" si="8"/>
        <v>469400.69999999995</v>
      </c>
      <c r="F69" s="24">
        <v>114884.4</v>
      </c>
      <c r="G69" s="24">
        <v>19321.400000000001</v>
      </c>
      <c r="H69" s="24">
        <v>6001.9</v>
      </c>
      <c r="I69" s="24">
        <v>300595</v>
      </c>
      <c r="J69" s="24">
        <v>1852</v>
      </c>
      <c r="K69" s="24">
        <v>1430</v>
      </c>
      <c r="L69" s="24">
        <v>5376</v>
      </c>
      <c r="M69" s="24">
        <v>2989</v>
      </c>
      <c r="N69" s="24">
        <v>14178</v>
      </c>
      <c r="O69" s="24">
        <v>2773</v>
      </c>
      <c r="P69" s="39"/>
      <c r="Q69" s="39"/>
    </row>
    <row r="70" spans="1:26" s="21" customFormat="1">
      <c r="A70" s="23" t="s">
        <v>26</v>
      </c>
      <c r="B70" s="19" t="s">
        <v>304</v>
      </c>
      <c r="C70" s="20">
        <f>D70+E70</f>
        <v>2763600</v>
      </c>
      <c r="D70" s="491">
        <f>D73+D76</f>
        <v>1310519</v>
      </c>
      <c r="E70" s="20">
        <f t="shared" si="8"/>
        <v>1453081</v>
      </c>
      <c r="F70" s="24">
        <f>F71+F74</f>
        <v>543121</v>
      </c>
      <c r="G70" s="24">
        <f t="shared" ref="G70:O70" si="32">G71+G74</f>
        <v>73867</v>
      </c>
      <c r="H70" s="24">
        <f t="shared" si="32"/>
        <v>96681</v>
      </c>
      <c r="I70" s="24">
        <f>I71+I74</f>
        <v>94409</v>
      </c>
      <c r="J70" s="24">
        <f t="shared" si="32"/>
        <v>23900</v>
      </c>
      <c r="K70" s="24">
        <f>K71+K74</f>
        <v>88287</v>
      </c>
      <c r="L70" s="24">
        <f t="shared" si="32"/>
        <v>40908</v>
      </c>
      <c r="M70" s="24">
        <f t="shared" si="32"/>
        <v>64823</v>
      </c>
      <c r="N70" s="24">
        <f t="shared" si="32"/>
        <v>385679</v>
      </c>
      <c r="O70" s="24">
        <f t="shared" si="32"/>
        <v>41406</v>
      </c>
      <c r="P70" s="29"/>
      <c r="Q70" s="40"/>
    </row>
    <row r="71" spans="1:26" s="21" customFormat="1">
      <c r="A71" s="23" t="s">
        <v>42</v>
      </c>
      <c r="B71" s="19" t="s">
        <v>305</v>
      </c>
      <c r="C71" s="20">
        <f t="shared" si="7"/>
        <v>748025</v>
      </c>
      <c r="D71" s="491"/>
      <c r="E71" s="20">
        <f t="shared" si="8"/>
        <v>748025</v>
      </c>
      <c r="F71" s="24">
        <f>F73</f>
        <v>268481</v>
      </c>
      <c r="G71" s="24">
        <f t="shared" ref="G71:O71" si="33">G73</f>
        <v>30117</v>
      </c>
      <c r="H71" s="24">
        <f t="shared" si="33"/>
        <v>67631</v>
      </c>
      <c r="I71" s="24">
        <f t="shared" si="33"/>
        <v>49229</v>
      </c>
      <c r="J71" s="24">
        <f t="shared" si="33"/>
        <v>8446</v>
      </c>
      <c r="K71" s="24">
        <f>K73</f>
        <v>55357</v>
      </c>
      <c r="L71" s="24">
        <f t="shared" si="33"/>
        <v>26199</v>
      </c>
      <c r="M71" s="24">
        <f t="shared" si="33"/>
        <v>43473</v>
      </c>
      <c r="N71" s="24">
        <f t="shared" si="33"/>
        <v>174259</v>
      </c>
      <c r="O71" s="24">
        <f t="shared" si="33"/>
        <v>24833</v>
      </c>
    </row>
    <row r="72" spans="1:26" s="15" customFormat="1">
      <c r="A72" s="30"/>
      <c r="B72" s="31" t="s">
        <v>306</v>
      </c>
      <c r="C72" s="28">
        <f t="shared" si="7"/>
        <v>1351100</v>
      </c>
      <c r="D72" s="492"/>
      <c r="E72" s="28">
        <f t="shared" si="8"/>
        <v>1351100</v>
      </c>
      <c r="F72" s="32">
        <v>689040</v>
      </c>
      <c r="G72" s="32">
        <v>62820</v>
      </c>
      <c r="H72" s="32">
        <v>85370</v>
      </c>
      <c r="I72" s="32">
        <v>65900</v>
      </c>
      <c r="J72" s="32">
        <v>11060</v>
      </c>
      <c r="K72" s="32">
        <v>76520</v>
      </c>
      <c r="L72" s="32">
        <v>63860</v>
      </c>
      <c r="M72" s="32">
        <v>51900</v>
      </c>
      <c r="N72" s="32">
        <v>215060</v>
      </c>
      <c r="O72" s="32">
        <v>29570</v>
      </c>
    </row>
    <row r="73" spans="1:26" s="15" customFormat="1">
      <c r="A73" s="30"/>
      <c r="B73" s="31" t="s">
        <v>307</v>
      </c>
      <c r="C73" s="28">
        <f t="shared" si="7"/>
        <v>1351100</v>
      </c>
      <c r="D73" s="492">
        <v>603075</v>
      </c>
      <c r="E73" s="28">
        <f t="shared" si="8"/>
        <v>748025</v>
      </c>
      <c r="F73" s="32">
        <v>268481</v>
      </c>
      <c r="G73" s="501">
        <v>30117</v>
      </c>
      <c r="H73" s="501">
        <v>67631</v>
      </c>
      <c r="I73" s="501">
        <v>49229</v>
      </c>
      <c r="J73" s="501">
        <v>8446</v>
      </c>
      <c r="K73" s="501">
        <v>55357</v>
      </c>
      <c r="L73" s="501">
        <v>26199</v>
      </c>
      <c r="M73" s="501">
        <v>43473</v>
      </c>
      <c r="N73" s="501">
        <v>174259</v>
      </c>
      <c r="O73" s="501">
        <v>24833</v>
      </c>
    </row>
    <row r="74" spans="1:26" s="21" customFormat="1">
      <c r="A74" s="23" t="s">
        <v>52</v>
      </c>
      <c r="B74" s="19" t="s">
        <v>308</v>
      </c>
      <c r="C74" s="20">
        <f t="shared" si="7"/>
        <v>705056</v>
      </c>
      <c r="D74" s="491"/>
      <c r="E74" s="20">
        <f t="shared" si="8"/>
        <v>705056</v>
      </c>
      <c r="F74" s="24">
        <f>F76</f>
        <v>274640</v>
      </c>
      <c r="G74" s="24">
        <f>G76</f>
        <v>43750</v>
      </c>
      <c r="H74" s="24">
        <f t="shared" ref="H74:O74" si="34">H76</f>
        <v>29050</v>
      </c>
      <c r="I74" s="24">
        <f t="shared" si="34"/>
        <v>45180</v>
      </c>
      <c r="J74" s="24">
        <f t="shared" si="34"/>
        <v>15454</v>
      </c>
      <c r="K74" s="24">
        <f>K76</f>
        <v>32930</v>
      </c>
      <c r="L74" s="24">
        <f t="shared" si="34"/>
        <v>14709</v>
      </c>
      <c r="M74" s="24">
        <f t="shared" si="34"/>
        <v>21350</v>
      </c>
      <c r="N74" s="24">
        <f t="shared" si="34"/>
        <v>211420</v>
      </c>
      <c r="O74" s="24">
        <f t="shared" si="34"/>
        <v>16573</v>
      </c>
      <c r="R74" s="29"/>
    </row>
    <row r="75" spans="1:26" s="15" customFormat="1">
      <c r="A75" s="34"/>
      <c r="B75" s="31" t="s">
        <v>306</v>
      </c>
      <c r="C75" s="28">
        <f>D75+E75</f>
        <v>1412500.4</v>
      </c>
      <c r="D75" s="492"/>
      <c r="E75" s="28">
        <f t="shared" si="8"/>
        <v>1412500.4</v>
      </c>
      <c r="F75" s="32">
        <v>820659.6</v>
      </c>
      <c r="G75" s="32">
        <v>51518.6</v>
      </c>
      <c r="H75" s="32">
        <v>35227.599999999999</v>
      </c>
      <c r="I75" s="32">
        <v>64004.6</v>
      </c>
      <c r="J75" s="32">
        <v>17587.599999999999</v>
      </c>
      <c r="K75" s="32">
        <v>36709.599999999999</v>
      </c>
      <c r="L75" s="32">
        <v>20463.599999999999</v>
      </c>
      <c r="M75" s="32">
        <v>29010.6</v>
      </c>
      <c r="N75" s="32">
        <v>308861.59999999998</v>
      </c>
      <c r="O75" s="32">
        <v>28457</v>
      </c>
    </row>
    <row r="76" spans="1:26" s="15" customFormat="1">
      <c r="A76" s="34"/>
      <c r="B76" s="31" t="s">
        <v>307</v>
      </c>
      <c r="C76" s="28">
        <f>D76+E76</f>
        <v>1412500</v>
      </c>
      <c r="D76" s="492">
        <v>707444</v>
      </c>
      <c r="E76" s="28">
        <f t="shared" si="8"/>
        <v>705056</v>
      </c>
      <c r="F76" s="32">
        <v>274640</v>
      </c>
      <c r="G76" s="502">
        <v>43750</v>
      </c>
      <c r="H76" s="502">
        <v>29050</v>
      </c>
      <c r="I76" s="502">
        <v>45180</v>
      </c>
      <c r="J76" s="502">
        <v>15454</v>
      </c>
      <c r="K76" s="32">
        <v>32930</v>
      </c>
      <c r="L76" s="502">
        <v>14709</v>
      </c>
      <c r="M76" s="502">
        <v>21350</v>
      </c>
      <c r="N76" s="502">
        <v>211420</v>
      </c>
      <c r="O76" s="502">
        <v>16573</v>
      </c>
    </row>
    <row r="77" spans="1:26" s="21" customFormat="1">
      <c r="A77" s="23" t="s">
        <v>59</v>
      </c>
      <c r="B77" s="19" t="s">
        <v>309</v>
      </c>
      <c r="C77" s="20">
        <f>D77+E77</f>
        <v>488890</v>
      </c>
      <c r="D77" s="491">
        <f>D78+D81+D82+D88+D94+D91+D85</f>
        <v>146045</v>
      </c>
      <c r="E77" s="20">
        <f>F77+G77+H77+I77+J77+K77+L77+M77+N77+O77</f>
        <v>342845</v>
      </c>
      <c r="F77" s="491">
        <f>F78+F81+F82+F88+F94+F91+F85</f>
        <v>161872</v>
      </c>
      <c r="G77" s="491">
        <f t="shared" ref="G77:O77" si="35">G78+G81+G82+G88+G94+G91+G85</f>
        <v>18360</v>
      </c>
      <c r="H77" s="491">
        <f t="shared" si="35"/>
        <v>13555</v>
      </c>
      <c r="I77" s="491">
        <f t="shared" si="35"/>
        <v>23500</v>
      </c>
      <c r="J77" s="491">
        <f t="shared" si="35"/>
        <v>8970</v>
      </c>
      <c r="K77" s="491">
        <f t="shared" si="35"/>
        <v>22400</v>
      </c>
      <c r="L77" s="491">
        <f t="shared" si="35"/>
        <v>4550</v>
      </c>
      <c r="M77" s="491">
        <f t="shared" si="35"/>
        <v>750</v>
      </c>
      <c r="N77" s="491">
        <f t="shared" si="35"/>
        <v>88680</v>
      </c>
      <c r="O77" s="491">
        <f t="shared" si="35"/>
        <v>208</v>
      </c>
      <c r="R77" s="29"/>
      <c r="Z77" s="29"/>
    </row>
    <row r="78" spans="1:26" s="14" customFormat="1">
      <c r="A78" s="23" t="s">
        <v>285</v>
      </c>
      <c r="B78" s="19" t="s">
        <v>286</v>
      </c>
      <c r="C78" s="20">
        <f t="shared" si="7"/>
        <v>380000</v>
      </c>
      <c r="D78" s="491">
        <f>D80</f>
        <v>45600</v>
      </c>
      <c r="E78" s="20">
        <f>F78+G78+H78+I78+J78+K78+L78+M78+N78+O78</f>
        <v>334400</v>
      </c>
      <c r="F78" s="24">
        <f>F80</f>
        <v>158752</v>
      </c>
      <c r="G78" s="24">
        <f t="shared" ref="G78:O78" si="36">G80</f>
        <v>17600</v>
      </c>
      <c r="H78" s="24">
        <f t="shared" si="36"/>
        <v>13200</v>
      </c>
      <c r="I78" s="24">
        <f t="shared" si="36"/>
        <v>22000</v>
      </c>
      <c r="J78" s="24">
        <f t="shared" si="36"/>
        <v>7920</v>
      </c>
      <c r="K78" s="24">
        <f t="shared" si="36"/>
        <v>22000</v>
      </c>
      <c r="L78" s="24">
        <f t="shared" si="36"/>
        <v>4400</v>
      </c>
      <c r="M78" s="24">
        <f t="shared" si="36"/>
        <v>440</v>
      </c>
      <c r="N78" s="24">
        <f t="shared" si="36"/>
        <v>88000</v>
      </c>
      <c r="O78" s="24">
        <f t="shared" si="36"/>
        <v>88</v>
      </c>
      <c r="R78" s="35"/>
    </row>
    <row r="79" spans="1:26" s="15" customFormat="1">
      <c r="A79" s="34"/>
      <c r="B79" s="31" t="s">
        <v>287</v>
      </c>
      <c r="C79" s="28">
        <f t="shared" si="7"/>
        <v>380000</v>
      </c>
      <c r="D79" s="492"/>
      <c r="E79" s="28">
        <f>F79+G79+H79+I79+J79+K79+L79+M79+N79+O79</f>
        <v>380000</v>
      </c>
      <c r="F79" s="32">
        <v>180400</v>
      </c>
      <c r="G79" s="32">
        <v>20000</v>
      </c>
      <c r="H79" s="32">
        <v>15000</v>
      </c>
      <c r="I79" s="32">
        <v>25000</v>
      </c>
      <c r="J79" s="32">
        <v>9000</v>
      </c>
      <c r="K79" s="32">
        <v>25000</v>
      </c>
      <c r="L79" s="32">
        <v>5000</v>
      </c>
      <c r="M79" s="32">
        <v>500</v>
      </c>
      <c r="N79" s="32">
        <v>100000</v>
      </c>
      <c r="O79" s="32">
        <v>100</v>
      </c>
      <c r="R79" s="41"/>
    </row>
    <row r="80" spans="1:26" s="15" customFormat="1">
      <c r="A80" s="34"/>
      <c r="B80" s="31" t="s">
        <v>288</v>
      </c>
      <c r="C80" s="28">
        <f t="shared" si="7"/>
        <v>380000</v>
      </c>
      <c r="D80" s="492">
        <f>E79-E80</f>
        <v>45600</v>
      </c>
      <c r="E80" s="28">
        <f t="shared" si="8"/>
        <v>334400</v>
      </c>
      <c r="F80" s="32">
        <v>158752</v>
      </c>
      <c r="G80" s="32">
        <v>17600</v>
      </c>
      <c r="H80" s="32">
        <v>13200</v>
      </c>
      <c r="I80" s="32">
        <v>22000</v>
      </c>
      <c r="J80" s="32">
        <v>7920</v>
      </c>
      <c r="K80" s="32">
        <v>22000</v>
      </c>
      <c r="L80" s="32">
        <v>4400</v>
      </c>
      <c r="M80" s="32">
        <v>440</v>
      </c>
      <c r="N80" s="32">
        <v>88000</v>
      </c>
      <c r="O80" s="32">
        <v>88</v>
      </c>
    </row>
    <row r="81" spans="1:18" s="15" customFormat="1">
      <c r="A81" s="23" t="s">
        <v>289</v>
      </c>
      <c r="B81" s="19" t="s">
        <v>290</v>
      </c>
      <c r="C81" s="20">
        <f t="shared" si="7"/>
        <v>80000</v>
      </c>
      <c r="D81" s="491">
        <v>80000</v>
      </c>
      <c r="E81" s="20">
        <f t="shared" si="8"/>
        <v>0</v>
      </c>
      <c r="F81" s="24"/>
      <c r="G81" s="24"/>
      <c r="H81" s="24"/>
      <c r="I81" s="24"/>
      <c r="J81" s="24"/>
      <c r="K81" s="24"/>
      <c r="L81" s="24"/>
      <c r="M81" s="24"/>
      <c r="N81" s="24"/>
      <c r="O81" s="24"/>
    </row>
    <row r="82" spans="1:18" s="15" customFormat="1" outlineLevel="1">
      <c r="A82" s="23" t="s">
        <v>291</v>
      </c>
      <c r="B82" s="19" t="s">
        <v>292</v>
      </c>
      <c r="C82" s="20">
        <f t="shared" si="7"/>
        <v>7990</v>
      </c>
      <c r="D82" s="20">
        <f>D84</f>
        <v>0</v>
      </c>
      <c r="E82" s="20">
        <f t="shared" si="8"/>
        <v>7990</v>
      </c>
      <c r="F82" s="24">
        <f>F84</f>
        <v>2870</v>
      </c>
      <c r="G82" s="24">
        <f t="shared" ref="G82:O82" si="37">G84</f>
        <v>610</v>
      </c>
      <c r="H82" s="24">
        <f t="shared" si="37"/>
        <v>350</v>
      </c>
      <c r="I82" s="24">
        <f t="shared" si="37"/>
        <v>1500</v>
      </c>
      <c r="J82" s="24">
        <f t="shared" si="37"/>
        <v>1000</v>
      </c>
      <c r="K82" s="24">
        <f t="shared" si="37"/>
        <v>400</v>
      </c>
      <c r="L82" s="24">
        <f t="shared" si="37"/>
        <v>150</v>
      </c>
      <c r="M82" s="24">
        <f t="shared" si="37"/>
        <v>310</v>
      </c>
      <c r="N82" s="24">
        <f t="shared" si="37"/>
        <v>680</v>
      </c>
      <c r="O82" s="24">
        <f t="shared" si="37"/>
        <v>120</v>
      </c>
      <c r="R82" s="15" t="s">
        <v>147</v>
      </c>
    </row>
    <row r="83" spans="1:18" outlineLevel="1">
      <c r="A83" s="34"/>
      <c r="B83" s="31" t="s">
        <v>287</v>
      </c>
      <c r="C83" s="20">
        <f t="shared" si="7"/>
        <v>7990</v>
      </c>
      <c r="D83" s="31"/>
      <c r="E83" s="28">
        <f t="shared" si="8"/>
        <v>7990</v>
      </c>
      <c r="F83" s="32">
        <v>2870</v>
      </c>
      <c r="G83" s="32">
        <v>610</v>
      </c>
      <c r="H83" s="32">
        <v>350</v>
      </c>
      <c r="I83" s="32">
        <v>1500</v>
      </c>
      <c r="J83" s="32">
        <v>1000</v>
      </c>
      <c r="K83" s="32">
        <v>400</v>
      </c>
      <c r="L83" s="32">
        <v>150</v>
      </c>
      <c r="M83" s="32">
        <v>310</v>
      </c>
      <c r="N83" s="32">
        <v>680</v>
      </c>
      <c r="O83" s="32">
        <v>120</v>
      </c>
    </row>
    <row r="84" spans="1:18" outlineLevel="1">
      <c r="A84" s="34"/>
      <c r="B84" s="31" t="s">
        <v>288</v>
      </c>
      <c r="C84" s="20">
        <f t="shared" si="7"/>
        <v>7990</v>
      </c>
      <c r="D84" s="28">
        <f>E83-E84</f>
        <v>0</v>
      </c>
      <c r="E84" s="28">
        <f t="shared" si="8"/>
        <v>7990</v>
      </c>
      <c r="F84" s="32">
        <f>F83</f>
        <v>2870</v>
      </c>
      <c r="G84" s="32">
        <f t="shared" ref="G84:O84" si="38">G83</f>
        <v>610</v>
      </c>
      <c r="H84" s="32">
        <f t="shared" si="38"/>
        <v>350</v>
      </c>
      <c r="I84" s="32">
        <f t="shared" si="38"/>
        <v>1500</v>
      </c>
      <c r="J84" s="32">
        <f t="shared" si="38"/>
        <v>1000</v>
      </c>
      <c r="K84" s="32">
        <f t="shared" si="38"/>
        <v>400</v>
      </c>
      <c r="L84" s="32">
        <f t="shared" si="38"/>
        <v>150</v>
      </c>
      <c r="M84" s="32">
        <f t="shared" si="38"/>
        <v>310</v>
      </c>
      <c r="N84" s="32">
        <f t="shared" si="38"/>
        <v>680</v>
      </c>
      <c r="O84" s="32">
        <f t="shared" si="38"/>
        <v>120</v>
      </c>
    </row>
    <row r="85" spans="1:18" s="15" customFormat="1" outlineLevel="1">
      <c r="A85" s="23" t="s">
        <v>293</v>
      </c>
      <c r="B85" s="19" t="s">
        <v>1918</v>
      </c>
      <c r="C85" s="20">
        <f t="shared" si="7"/>
        <v>3500</v>
      </c>
      <c r="D85" s="491">
        <f>D87</f>
        <v>3345</v>
      </c>
      <c r="E85" s="20">
        <f>F85+G85+H85+I85+J85+K85+L85+M85+N85+O85</f>
        <v>155</v>
      </c>
      <c r="F85" s="24">
        <f>F87</f>
        <v>0</v>
      </c>
      <c r="G85" s="24">
        <f t="shared" ref="G85:O85" si="39">G87</f>
        <v>100</v>
      </c>
      <c r="H85" s="24">
        <f t="shared" si="39"/>
        <v>5</v>
      </c>
      <c r="I85" s="24">
        <f t="shared" si="39"/>
        <v>0</v>
      </c>
      <c r="J85" s="24">
        <f t="shared" si="39"/>
        <v>50</v>
      </c>
      <c r="K85" s="24">
        <f t="shared" si="39"/>
        <v>0</v>
      </c>
      <c r="L85" s="24">
        <f t="shared" si="39"/>
        <v>0</v>
      </c>
      <c r="M85" s="24">
        <f t="shared" si="39"/>
        <v>0</v>
      </c>
      <c r="N85" s="24">
        <f t="shared" si="39"/>
        <v>0</v>
      </c>
      <c r="O85" s="24">
        <f t="shared" si="39"/>
        <v>0</v>
      </c>
    </row>
    <row r="86" spans="1:18" outlineLevel="1">
      <c r="A86" s="34"/>
      <c r="B86" s="31" t="s">
        <v>287</v>
      </c>
      <c r="C86" s="20">
        <f t="shared" si="7"/>
        <v>3500</v>
      </c>
      <c r="D86" s="492"/>
      <c r="E86" s="28">
        <f>F86+G86+H86+I86+J86+K86+L86+M86+N86+O86</f>
        <v>3500</v>
      </c>
      <c r="F86" s="32">
        <v>3345</v>
      </c>
      <c r="G86" s="32">
        <v>100</v>
      </c>
      <c r="H86" s="32">
        <v>5</v>
      </c>
      <c r="I86" s="32">
        <v>0</v>
      </c>
      <c r="J86" s="32">
        <v>50</v>
      </c>
      <c r="K86" s="32"/>
      <c r="L86" s="32"/>
      <c r="M86" s="32"/>
      <c r="N86" s="32">
        <v>0</v>
      </c>
      <c r="O86" s="32"/>
    </row>
    <row r="87" spans="1:18" outlineLevel="1">
      <c r="A87" s="34"/>
      <c r="B87" s="31" t="s">
        <v>288</v>
      </c>
      <c r="C87" s="20">
        <f t="shared" si="7"/>
        <v>3500</v>
      </c>
      <c r="D87" s="492">
        <f>E86-E87</f>
        <v>3345</v>
      </c>
      <c r="E87" s="28">
        <f t="shared" ref="E87" si="40">F87+G87+H87+I87+J87+K87+L87+M87+N87+O87</f>
        <v>155</v>
      </c>
      <c r="F87" s="32"/>
      <c r="G87" s="32">
        <f>G86</f>
        <v>100</v>
      </c>
      <c r="H87" s="32">
        <f t="shared" ref="H87:O87" si="41">H86</f>
        <v>5</v>
      </c>
      <c r="I87" s="32">
        <f t="shared" si="41"/>
        <v>0</v>
      </c>
      <c r="J87" s="32">
        <f t="shared" si="41"/>
        <v>50</v>
      </c>
      <c r="K87" s="32">
        <f t="shared" si="41"/>
        <v>0</v>
      </c>
      <c r="L87" s="32">
        <f t="shared" si="41"/>
        <v>0</v>
      </c>
      <c r="M87" s="32">
        <f t="shared" si="41"/>
        <v>0</v>
      </c>
      <c r="N87" s="32">
        <f t="shared" si="41"/>
        <v>0</v>
      </c>
      <c r="O87" s="32">
        <f t="shared" si="41"/>
        <v>0</v>
      </c>
    </row>
    <row r="88" spans="1:18" ht="41.4" outlineLevel="1">
      <c r="A88" s="23" t="s">
        <v>295</v>
      </c>
      <c r="B88" s="19" t="s">
        <v>294</v>
      </c>
      <c r="C88" s="20">
        <f t="shared" si="7"/>
        <v>13100</v>
      </c>
      <c r="D88" s="20">
        <f>D90</f>
        <v>13100</v>
      </c>
      <c r="E88" s="20">
        <f t="shared" si="8"/>
        <v>0</v>
      </c>
      <c r="F88" s="24">
        <f>F90</f>
        <v>0</v>
      </c>
      <c r="G88" s="20">
        <f>G90</f>
        <v>0</v>
      </c>
      <c r="H88" s="20">
        <f t="shared" ref="H88:O88" si="42">H90</f>
        <v>0</v>
      </c>
      <c r="I88" s="20">
        <f>I90</f>
        <v>0</v>
      </c>
      <c r="J88" s="20">
        <f t="shared" si="42"/>
        <v>0</v>
      </c>
      <c r="K88" s="20">
        <f t="shared" si="42"/>
        <v>0</v>
      </c>
      <c r="L88" s="20">
        <f t="shared" si="42"/>
        <v>0</v>
      </c>
      <c r="M88" s="20">
        <f t="shared" si="42"/>
        <v>0</v>
      </c>
      <c r="N88" s="20">
        <f t="shared" si="42"/>
        <v>0</v>
      </c>
      <c r="O88" s="20">
        <f t="shared" si="42"/>
        <v>0</v>
      </c>
    </row>
    <row r="89" spans="1:18" outlineLevel="1">
      <c r="A89" s="34"/>
      <c r="B89" s="31" t="s">
        <v>287</v>
      </c>
      <c r="C89" s="20">
        <f t="shared" si="7"/>
        <v>13100</v>
      </c>
      <c r="D89" s="31"/>
      <c r="E89" s="28">
        <f t="shared" si="8"/>
        <v>13100</v>
      </c>
      <c r="F89" s="32">
        <v>0</v>
      </c>
      <c r="G89" s="32"/>
      <c r="H89" s="32"/>
      <c r="I89" s="32">
        <v>13100</v>
      </c>
      <c r="J89" s="32"/>
      <c r="K89" s="32"/>
      <c r="L89" s="32"/>
      <c r="M89" s="32"/>
      <c r="N89" s="32"/>
      <c r="O89" s="32"/>
    </row>
    <row r="90" spans="1:18" outlineLevel="1">
      <c r="A90" s="34"/>
      <c r="B90" s="31" t="s">
        <v>288</v>
      </c>
      <c r="C90" s="20">
        <f t="shared" si="7"/>
        <v>13100</v>
      </c>
      <c r="D90" s="28">
        <f>E89</f>
        <v>13100</v>
      </c>
      <c r="E90" s="28">
        <f t="shared" si="8"/>
        <v>0</v>
      </c>
      <c r="F90" s="32"/>
      <c r="G90" s="32"/>
      <c r="H90" s="32"/>
      <c r="I90" s="32"/>
      <c r="J90" s="32"/>
      <c r="K90" s="32"/>
      <c r="L90" s="32"/>
      <c r="M90" s="32"/>
      <c r="N90" s="32"/>
      <c r="O90" s="32"/>
    </row>
    <row r="91" spans="1:18" outlineLevel="1">
      <c r="A91" s="23" t="s">
        <v>1919</v>
      </c>
      <c r="B91" s="19" t="s">
        <v>1402</v>
      </c>
      <c r="C91" s="20">
        <f t="shared" si="7"/>
        <v>4000</v>
      </c>
      <c r="D91" s="20">
        <f>D93</f>
        <v>4000</v>
      </c>
      <c r="E91" s="20">
        <f t="shared" si="8"/>
        <v>0</v>
      </c>
      <c r="F91" s="24">
        <f>F93</f>
        <v>0</v>
      </c>
      <c r="G91" s="20">
        <f>G93</f>
        <v>0</v>
      </c>
      <c r="H91" s="20">
        <f t="shared" ref="H91" si="43">H93</f>
        <v>0</v>
      </c>
      <c r="I91" s="20">
        <f>I93</f>
        <v>0</v>
      </c>
      <c r="J91" s="20">
        <f t="shared" ref="J91:O91" si="44">J93</f>
        <v>0</v>
      </c>
      <c r="K91" s="20">
        <f t="shared" si="44"/>
        <v>0</v>
      </c>
      <c r="L91" s="20">
        <f t="shared" si="44"/>
        <v>0</v>
      </c>
      <c r="M91" s="20">
        <f t="shared" si="44"/>
        <v>0</v>
      </c>
      <c r="N91" s="20">
        <f t="shared" si="44"/>
        <v>0</v>
      </c>
      <c r="O91" s="20">
        <f t="shared" si="44"/>
        <v>0</v>
      </c>
    </row>
    <row r="92" spans="1:18" outlineLevel="1">
      <c r="A92" s="34"/>
      <c r="B92" s="31" t="s">
        <v>287</v>
      </c>
      <c r="C92" s="20">
        <f t="shared" si="7"/>
        <v>4000</v>
      </c>
      <c r="D92" s="31"/>
      <c r="E92" s="28">
        <f t="shared" si="8"/>
        <v>4000</v>
      </c>
      <c r="F92" s="32">
        <v>2360</v>
      </c>
      <c r="G92" s="32">
        <v>0</v>
      </c>
      <c r="H92" s="32">
        <v>1000</v>
      </c>
      <c r="I92" s="32"/>
      <c r="J92" s="32">
        <v>0</v>
      </c>
      <c r="K92" s="32"/>
      <c r="L92" s="32">
        <v>0</v>
      </c>
      <c r="M92" s="32">
        <v>0</v>
      </c>
      <c r="N92" s="32">
        <v>640</v>
      </c>
      <c r="O92" s="32">
        <v>0</v>
      </c>
    </row>
    <row r="93" spans="1:18" outlineLevel="1">
      <c r="A93" s="34"/>
      <c r="B93" s="31" t="s">
        <v>288</v>
      </c>
      <c r="C93" s="20">
        <f t="shared" si="7"/>
        <v>4000</v>
      </c>
      <c r="D93" s="28">
        <f>E92</f>
        <v>4000</v>
      </c>
      <c r="E93" s="28">
        <f t="shared" si="8"/>
        <v>0</v>
      </c>
      <c r="F93" s="32"/>
      <c r="G93" s="32"/>
      <c r="H93" s="32"/>
      <c r="I93" s="32"/>
      <c r="J93" s="32"/>
      <c r="K93" s="32"/>
      <c r="L93" s="32"/>
      <c r="M93" s="32"/>
      <c r="N93" s="32"/>
      <c r="O93" s="32"/>
    </row>
    <row r="94" spans="1:18" s="15" customFormat="1" outlineLevel="1">
      <c r="A94" s="23" t="s">
        <v>1920</v>
      </c>
      <c r="B94" s="19" t="s">
        <v>296</v>
      </c>
      <c r="C94" s="20">
        <f t="shared" si="7"/>
        <v>300</v>
      </c>
      <c r="D94" s="19"/>
      <c r="E94" s="20">
        <f t="shared" si="8"/>
        <v>300</v>
      </c>
      <c r="F94" s="24">
        <v>250</v>
      </c>
      <c r="G94" s="24">
        <v>50</v>
      </c>
      <c r="H94" s="24">
        <v>0</v>
      </c>
      <c r="I94" s="24"/>
      <c r="J94" s="24"/>
      <c r="K94" s="24"/>
      <c r="L94" s="24"/>
      <c r="M94" s="24"/>
      <c r="N94" s="24"/>
      <c r="O94" s="24"/>
    </row>
    <row r="95" spans="1:18" s="15" customFormat="1" ht="27.6" outlineLevel="1">
      <c r="A95" s="494"/>
      <c r="B95" s="495" t="s">
        <v>1921</v>
      </c>
      <c r="C95" s="496">
        <f t="shared" si="7"/>
        <v>2303600</v>
      </c>
      <c r="D95" s="496">
        <f>D70-D78-D81</f>
        <v>1184919</v>
      </c>
      <c r="E95" s="496">
        <f t="shared" ref="E95:O95" si="45">E70-E78-E81</f>
        <v>1118681</v>
      </c>
      <c r="F95" s="496">
        <f t="shared" si="45"/>
        <v>384369</v>
      </c>
      <c r="G95" s="496">
        <f t="shared" si="45"/>
        <v>56267</v>
      </c>
      <c r="H95" s="496">
        <f t="shared" si="45"/>
        <v>83481</v>
      </c>
      <c r="I95" s="496">
        <f t="shared" si="45"/>
        <v>72409</v>
      </c>
      <c r="J95" s="496">
        <f t="shared" si="45"/>
        <v>15980</v>
      </c>
      <c r="K95" s="496">
        <f t="shared" si="45"/>
        <v>66287</v>
      </c>
      <c r="L95" s="496">
        <f t="shared" si="45"/>
        <v>36508</v>
      </c>
      <c r="M95" s="496">
        <f t="shared" si="45"/>
        <v>64383</v>
      </c>
      <c r="N95" s="496">
        <f t="shared" si="45"/>
        <v>297679</v>
      </c>
      <c r="O95" s="496">
        <f t="shared" si="45"/>
        <v>41318</v>
      </c>
    </row>
    <row r="96" spans="1:18" s="15" customFormat="1" outlineLevel="1">
      <c r="A96" s="494"/>
      <c r="B96" s="495" t="s">
        <v>1927</v>
      </c>
      <c r="C96" s="503">
        <f>C95/C33*100</f>
        <v>100.83885000987114</v>
      </c>
      <c r="D96" s="503">
        <f>D95/D33*100</f>
        <v>101.02277848512766</v>
      </c>
      <c r="E96" s="503">
        <f t="shared" ref="E96:O96" si="46">E95/E33*100</f>
        <v>100.64475997791843</v>
      </c>
      <c r="F96" s="503">
        <f t="shared" si="46"/>
        <v>97.818402438633328</v>
      </c>
      <c r="G96" s="503">
        <f t="shared" si="46"/>
        <v>77.283465648435566</v>
      </c>
      <c r="H96" s="503">
        <f t="shared" si="46"/>
        <v>103.64774095824592</v>
      </c>
      <c r="I96" s="503">
        <f t="shared" si="46"/>
        <v>93.792826517791212</v>
      </c>
      <c r="J96" s="503">
        <f t="shared" si="46"/>
        <v>114.67527807678508</v>
      </c>
      <c r="K96" s="503">
        <f t="shared" si="46"/>
        <v>93.226727423596756</v>
      </c>
      <c r="L96" s="503">
        <f t="shared" si="46"/>
        <v>138.1361383328919</v>
      </c>
      <c r="M96" s="503">
        <f t="shared" si="46"/>
        <v>112.61281746309382</v>
      </c>
      <c r="N96" s="503">
        <f t="shared" si="46"/>
        <v>106.87156915189615</v>
      </c>
      <c r="O96" s="503">
        <f t="shared" si="46"/>
        <v>101.15803647937325</v>
      </c>
    </row>
    <row r="97" spans="1:15" s="21" customFormat="1" ht="27.6">
      <c r="A97" s="23" t="s">
        <v>73</v>
      </c>
      <c r="B97" s="19" t="s">
        <v>310</v>
      </c>
      <c r="C97" s="20">
        <f t="shared" si="7"/>
        <v>2274710</v>
      </c>
      <c r="D97" s="20">
        <f>D70-D77</f>
        <v>1164474</v>
      </c>
      <c r="E97" s="20">
        <f t="shared" si="8"/>
        <v>1110236</v>
      </c>
      <c r="F97" s="20">
        <f>F70-F77</f>
        <v>381249</v>
      </c>
      <c r="G97" s="20">
        <f t="shared" ref="G97:O97" si="47">G70-G77</f>
        <v>55507</v>
      </c>
      <c r="H97" s="20">
        <f t="shared" si="47"/>
        <v>83126</v>
      </c>
      <c r="I97" s="20">
        <f>I70-I77</f>
        <v>70909</v>
      </c>
      <c r="J97" s="20">
        <f t="shared" si="47"/>
        <v>14930</v>
      </c>
      <c r="K97" s="20">
        <f>K70-K77</f>
        <v>65887</v>
      </c>
      <c r="L97" s="20">
        <f>L70-L77</f>
        <v>36358</v>
      </c>
      <c r="M97" s="20">
        <f t="shared" si="47"/>
        <v>64073</v>
      </c>
      <c r="N97" s="20">
        <f t="shared" si="47"/>
        <v>296999</v>
      </c>
      <c r="O97" s="20">
        <f t="shared" si="47"/>
        <v>41198</v>
      </c>
    </row>
    <row r="98" spans="1:15" s="21" customFormat="1" ht="27.6">
      <c r="A98" s="23" t="s">
        <v>74</v>
      </c>
      <c r="B98" s="19" t="s">
        <v>1928</v>
      </c>
      <c r="C98" s="20">
        <f t="shared" si="7"/>
        <v>16472.999999999884</v>
      </c>
      <c r="D98" s="20">
        <f>D97-D34</f>
        <v>8776.3999999999069</v>
      </c>
      <c r="E98" s="20">
        <f t="shared" si="8"/>
        <v>7696.5999999999767</v>
      </c>
      <c r="F98" s="20">
        <f t="shared" ref="F98:O98" si="48">F97-F34</f>
        <v>-8007.4000000000233</v>
      </c>
      <c r="G98" s="20">
        <f t="shared" si="48"/>
        <v>-16439</v>
      </c>
      <c r="H98" s="20">
        <f t="shared" si="48"/>
        <v>2938</v>
      </c>
      <c r="I98" s="20">
        <f t="shared" si="48"/>
        <v>-5372</v>
      </c>
      <c r="J98" s="20">
        <f t="shared" si="48"/>
        <v>1745</v>
      </c>
      <c r="K98" s="20">
        <f t="shared" si="48"/>
        <v>-4916</v>
      </c>
      <c r="L98" s="20">
        <f t="shared" si="48"/>
        <v>10029</v>
      </c>
      <c r="M98" s="20">
        <f t="shared" si="48"/>
        <v>7311</v>
      </c>
      <c r="N98" s="20">
        <f t="shared" si="48"/>
        <v>19935</v>
      </c>
      <c r="O98" s="20">
        <f t="shared" si="48"/>
        <v>473</v>
      </c>
    </row>
    <row r="99" spans="1:15" s="42" customFormat="1" ht="16.5" customHeight="1">
      <c r="A99" s="504"/>
      <c r="B99" s="505" t="s">
        <v>303</v>
      </c>
      <c r="C99" s="506">
        <f t="shared" si="7"/>
        <v>8238.1999999999534</v>
      </c>
      <c r="D99" s="506">
        <f>D98*0.5</f>
        <v>4388.1999999999534</v>
      </c>
      <c r="E99" s="506">
        <f t="shared" si="8"/>
        <v>3850</v>
      </c>
      <c r="F99" s="506">
        <f>ROUND((F98*0.5),0)</f>
        <v>-4004</v>
      </c>
      <c r="G99" s="506">
        <f>ROUND((G98*0.5),0)</f>
        <v>-8220</v>
      </c>
      <c r="H99" s="506">
        <f t="shared" ref="H99:O99" si="49">ROUND((H98*0.5),0)</f>
        <v>1469</v>
      </c>
      <c r="I99" s="506">
        <f t="shared" si="49"/>
        <v>-2686</v>
      </c>
      <c r="J99" s="506">
        <f t="shared" si="49"/>
        <v>873</v>
      </c>
      <c r="K99" s="506">
        <f t="shared" si="49"/>
        <v>-2458</v>
      </c>
      <c r="L99" s="506">
        <f t="shared" si="49"/>
        <v>5015</v>
      </c>
      <c r="M99" s="506">
        <f t="shared" si="49"/>
        <v>3656</v>
      </c>
      <c r="N99" s="506">
        <f t="shared" si="49"/>
        <v>9968</v>
      </c>
      <c r="O99" s="506">
        <f t="shared" si="49"/>
        <v>237</v>
      </c>
    </row>
    <row r="103" spans="1:15">
      <c r="A103" s="12"/>
      <c r="B103" s="43" t="e">
        <f ca="1">CELL("filename")</f>
        <v>#N/A</v>
      </c>
      <c r="C103" s="43"/>
      <c r="D103" s="43"/>
      <c r="E103" s="43"/>
    </row>
    <row r="104" spans="1:15">
      <c r="A104" s="12"/>
      <c r="B104" s="43"/>
      <c r="C104" s="43"/>
      <c r="D104" s="43"/>
      <c r="E104" s="43"/>
    </row>
    <row r="105" spans="1:15">
      <c r="A105" s="12"/>
      <c r="B105" s="43"/>
      <c r="C105" s="43"/>
      <c r="D105" s="43"/>
      <c r="E105" s="43"/>
    </row>
    <row r="106" spans="1:15">
      <c r="A106" s="12"/>
      <c r="B106" s="43"/>
      <c r="C106" s="43"/>
      <c r="D106" s="43"/>
      <c r="E106" s="43"/>
    </row>
    <row r="107" spans="1:15">
      <c r="A107" s="12"/>
      <c r="B107" s="43"/>
      <c r="C107" s="43"/>
      <c r="D107" s="43"/>
      <c r="E107" s="43"/>
    </row>
    <row r="108" spans="1:15">
      <c r="A108" s="12"/>
      <c r="B108" s="43"/>
      <c r="C108" s="44">
        <v>178820</v>
      </c>
      <c r="D108" s="45">
        <f>C108-E98</f>
        <v>171123.40000000002</v>
      </c>
      <c r="E108" s="43"/>
    </row>
    <row r="109" spans="1:15">
      <c r="A109" s="12"/>
      <c r="B109" s="43"/>
      <c r="C109" s="44">
        <f>C108/2</f>
        <v>89410</v>
      </c>
      <c r="D109" s="44">
        <f>D108/2</f>
        <v>85561.700000000012</v>
      </c>
      <c r="E109" s="43"/>
    </row>
    <row r="110" spans="1:15">
      <c r="A110" s="12"/>
      <c r="B110" s="43"/>
      <c r="C110" s="43"/>
      <c r="D110" s="43"/>
      <c r="E110" s="43"/>
    </row>
    <row r="111" spans="1:15">
      <c r="A111" s="12"/>
      <c r="B111" s="43"/>
      <c r="C111" s="43"/>
      <c r="D111" s="45">
        <f>D109-D99</f>
        <v>81173.500000000058</v>
      </c>
      <c r="E111" s="43"/>
    </row>
    <row r="112" spans="1:15">
      <c r="A112" s="12"/>
      <c r="B112" s="43"/>
      <c r="C112" s="43"/>
      <c r="D112" s="43"/>
      <c r="E112" s="43"/>
    </row>
    <row r="113" spans="1:5">
      <c r="A113" s="12"/>
      <c r="B113" s="43"/>
      <c r="C113" s="43"/>
      <c r="D113" s="45">
        <f>D99-D111</f>
        <v>-76785.300000000105</v>
      </c>
      <c r="E113" s="43"/>
    </row>
    <row r="114" spans="1:5">
      <c r="A114" s="12"/>
      <c r="B114" s="43"/>
      <c r="C114" s="43"/>
      <c r="D114" s="43"/>
      <c r="E114" s="43"/>
    </row>
    <row r="116" spans="1:5">
      <c r="A116" s="12"/>
    </row>
    <row r="117" spans="1:5">
      <c r="A117" s="12"/>
    </row>
  </sheetData>
  <mergeCells count="7">
    <mergeCell ref="B2:O2"/>
    <mergeCell ref="A4:A5"/>
    <mergeCell ref="B4:B5"/>
    <mergeCell ref="C4:C5"/>
    <mergeCell ref="D4:D5"/>
    <mergeCell ref="E4:E5"/>
    <mergeCell ref="F4:O4"/>
  </mergeCells>
  <printOptions horizontalCentered="1"/>
  <pageMargins left="0.2" right="0.196850393700787" top="0.35433070866141703" bottom="0.23622047244094499" header="0.31496062992126" footer="0.196850393700787"/>
  <pageSetup paperSize="9"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5"/>
  <sheetViews>
    <sheetView zoomScale="90" zoomScaleNormal="90" workbookViewId="0"/>
  </sheetViews>
  <sheetFormatPr defaultColWidth="10" defaultRowHeight="13.8"/>
  <cols>
    <col min="1" max="1" width="7.6640625" style="233" customWidth="1"/>
    <col min="2" max="2" width="52.109375" style="193" customWidth="1"/>
    <col min="3" max="3" width="15.44140625" style="230" customWidth="1"/>
    <col min="4" max="16384" width="10" style="230"/>
  </cols>
  <sheetData>
    <row r="1" spans="1:3" ht="30.6" customHeight="1">
      <c r="A1" s="372" t="s">
        <v>1838</v>
      </c>
      <c r="B1" s="373"/>
      <c r="C1" s="374"/>
    </row>
    <row r="2" spans="1:3" ht="21" customHeight="1">
      <c r="A2" s="1604" t="s">
        <v>1841</v>
      </c>
      <c r="B2" s="1604"/>
      <c r="C2" s="1604"/>
    </row>
    <row r="3" spans="1:3" ht="21" customHeight="1">
      <c r="A3" s="1608" t="s">
        <v>1832</v>
      </c>
      <c r="B3" s="1608"/>
      <c r="C3" s="1608"/>
    </row>
    <row r="4" spans="1:3" ht="21" customHeight="1">
      <c r="A4" s="375"/>
      <c r="B4" s="375"/>
      <c r="C4" s="375"/>
    </row>
    <row r="5" spans="1:3" ht="18.75" customHeight="1">
      <c r="A5" s="376"/>
      <c r="B5" s="1607" t="s">
        <v>1514</v>
      </c>
      <c r="C5" s="1607"/>
    </row>
    <row r="6" spans="1:3" s="231" customFormat="1" ht="35.4" customHeight="1">
      <c r="A6" s="1605" t="s">
        <v>1</v>
      </c>
      <c r="B6" s="1606" t="s">
        <v>1513</v>
      </c>
      <c r="C6" s="1606" t="s">
        <v>1565</v>
      </c>
    </row>
    <row r="7" spans="1:3" s="231" customFormat="1" ht="66" customHeight="1">
      <c r="A7" s="1605"/>
      <c r="B7" s="1606"/>
      <c r="C7" s="1606"/>
    </row>
    <row r="8" spans="1:3" s="232" customFormat="1" ht="33" customHeight="1">
      <c r="A8" s="377"/>
      <c r="B8" s="377" t="s">
        <v>1451</v>
      </c>
      <c r="C8" s="378">
        <f>C9+C10+C11+C12</f>
        <v>2746</v>
      </c>
    </row>
    <row r="9" spans="1:3" s="232" customFormat="1" ht="30" customHeight="1">
      <c r="A9" s="379" t="s">
        <v>18</v>
      </c>
      <c r="B9" s="380" t="s">
        <v>1054</v>
      </c>
      <c r="C9" s="381">
        <v>2149</v>
      </c>
    </row>
    <row r="10" spans="1:3" ht="30" customHeight="1">
      <c r="A10" s="382">
        <v>2</v>
      </c>
      <c r="B10" s="383" t="s">
        <v>1512</v>
      </c>
      <c r="C10" s="381">
        <v>247</v>
      </c>
    </row>
    <row r="11" spans="1:3" ht="30" customHeight="1">
      <c r="A11" s="382">
        <v>3</v>
      </c>
      <c r="B11" s="383" t="s">
        <v>1305</v>
      </c>
      <c r="C11" s="381">
        <v>330</v>
      </c>
    </row>
    <row r="12" spans="1:3" ht="30" customHeight="1">
      <c r="A12" s="382">
        <v>4</v>
      </c>
      <c r="B12" s="384" t="s">
        <v>1873</v>
      </c>
      <c r="C12" s="381">
        <v>20</v>
      </c>
    </row>
    <row r="13" spans="1:3" ht="23.4" customHeight="1">
      <c r="A13" s="385"/>
      <c r="B13" s="386"/>
      <c r="C13" s="386"/>
    </row>
    <row r="14" spans="1:3">
      <c r="A14" s="387"/>
      <c r="B14" s="373"/>
      <c r="C14" s="374"/>
    </row>
    <row r="15" spans="1:3">
      <c r="A15" s="1603" t="s">
        <v>1511</v>
      </c>
      <c r="B15" s="1603"/>
      <c r="C15" s="1603"/>
    </row>
  </sheetData>
  <mergeCells count="7">
    <mergeCell ref="A15:C15"/>
    <mergeCell ref="A2:C2"/>
    <mergeCell ref="A6:A7"/>
    <mergeCell ref="B6:B7"/>
    <mergeCell ref="C6:C7"/>
    <mergeCell ref="B5:C5"/>
    <mergeCell ref="A3:C3"/>
  </mergeCells>
  <printOptions horizontalCentered="1"/>
  <pageMargins left="0" right="0" top="0.51181102362204722" bottom="0.51181102362204722" header="0.55118110236220474" footer="0.5511811023622047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H125"/>
  <sheetViews>
    <sheetView topLeftCell="A9" zoomScale="90" zoomScaleNormal="90" workbookViewId="0">
      <pane xSplit="2" ySplit="4" topLeftCell="C30" activePane="bottomRight" state="frozen"/>
      <selection activeCell="A9" sqref="A9"/>
      <selection pane="topRight" activeCell="C9" sqref="C9"/>
      <selection pane="bottomLeft" activeCell="A13" sqref="A13"/>
      <selection pane="bottomRight" activeCell="A68" sqref="A68:XFD68"/>
    </sheetView>
  </sheetViews>
  <sheetFormatPr defaultColWidth="8" defaultRowHeight="13.8" outlineLevelRow="1" outlineLevelCol="1"/>
  <cols>
    <col min="1" max="1" width="6.5546875" style="1024" customWidth="1"/>
    <col min="2" max="2" width="34.44140625" style="1025" customWidth="1"/>
    <col min="3" max="3" width="10.109375" style="1028" customWidth="1"/>
    <col min="4" max="4" width="8.44140625" style="1028" hidden="1" customWidth="1" outlineLevel="1"/>
    <col min="5" max="5" width="7.33203125" style="1028" hidden="1" customWidth="1" outlineLevel="1"/>
    <col min="6" max="6" width="8.33203125" style="1028" hidden="1" customWidth="1" outlineLevel="1"/>
    <col min="7" max="10" width="7.33203125" style="1028" hidden="1" customWidth="1" outlineLevel="1"/>
    <col min="11" max="11" width="8.44140625" style="1028" hidden="1" customWidth="1" outlineLevel="1"/>
    <col min="12" max="12" width="8.88671875" style="1028" hidden="1" customWidth="1" outlineLevel="1"/>
    <col min="13" max="13" width="9.44140625" style="1028" hidden="1" customWidth="1" outlineLevel="1"/>
    <col min="14" max="14" width="9.44140625" style="1028" customWidth="1" collapsed="1"/>
    <col min="15" max="16" width="9.44140625" style="1028" customWidth="1"/>
    <col min="17" max="17" width="7.5546875" style="1025" customWidth="1"/>
    <col min="18" max="18" width="8.33203125" style="1025" customWidth="1"/>
    <col min="19" max="20" width="9.44140625" style="1028" customWidth="1"/>
    <col min="21" max="21" width="6.44140625" style="1025" customWidth="1"/>
    <col min="22" max="22" width="7.44140625" style="1025" customWidth="1"/>
    <col min="23" max="24" width="8.109375" style="1028" customWidth="1"/>
    <col min="25" max="26" width="7" style="1025" customWidth="1"/>
    <col min="27" max="28" width="8.33203125" style="1028" customWidth="1"/>
    <col min="29" max="29" width="6.109375" style="1025" customWidth="1"/>
    <col min="30" max="30" width="7.6640625" style="1025" customWidth="1"/>
    <col min="31" max="32" width="8.33203125" style="1028" customWidth="1"/>
    <col min="33" max="33" width="6.33203125" style="1025" customWidth="1"/>
    <col min="34" max="34" width="7.88671875" style="1025" customWidth="1"/>
    <col min="35" max="36" width="8.6640625" style="1028" customWidth="1"/>
    <col min="37" max="37" width="6.44140625" style="1025" customWidth="1"/>
    <col min="38" max="38" width="7.88671875" style="1025" customWidth="1"/>
    <col min="39" max="40" width="8.109375" style="1028" customWidth="1"/>
    <col min="41" max="42" width="7" style="1025" customWidth="1"/>
    <col min="43" max="44" width="8.88671875" style="1028" customWidth="1"/>
    <col min="45" max="45" width="5.88671875" style="1025" customWidth="1"/>
    <col min="46" max="46" width="7.6640625" style="1025" customWidth="1"/>
    <col min="47" max="47" width="8.88671875" style="1028" customWidth="1"/>
    <col min="48" max="48" width="9.5546875" style="1028" customWidth="1"/>
    <col min="49" max="49" width="5.88671875" style="1025" customWidth="1"/>
    <col min="50" max="50" width="7.5546875" style="1025" customWidth="1"/>
    <col min="51" max="52" width="10.5546875" style="1028" customWidth="1"/>
    <col min="53" max="53" width="7.5546875" style="1025" customWidth="1"/>
    <col min="54" max="54" width="8.44140625" style="1025" customWidth="1"/>
    <col min="55" max="56" width="9.109375" style="1028" customWidth="1"/>
    <col min="57" max="57" width="6.5546875" style="1025" customWidth="1"/>
    <col min="58" max="16384" width="8" style="1025"/>
  </cols>
  <sheetData>
    <row r="1" spans="1:60" hidden="1" outlineLevel="1">
      <c r="C1" s="1026"/>
      <c r="D1" s="1026"/>
      <c r="E1" s="1026"/>
      <c r="F1" s="1026"/>
      <c r="G1" s="1026"/>
      <c r="H1" s="1026"/>
      <c r="I1" s="1026"/>
      <c r="J1" s="1026"/>
      <c r="K1" s="1026"/>
      <c r="L1" s="1026"/>
      <c r="M1" s="1026"/>
      <c r="N1" s="1026"/>
      <c r="O1" s="510">
        <v>2729881</v>
      </c>
      <c r="P1" s="510"/>
      <c r="Q1" s="1027">
        <v>10416633914528</v>
      </c>
      <c r="R1" s="1027"/>
      <c r="S1" s="510">
        <v>570271</v>
      </c>
      <c r="T1" s="510"/>
      <c r="U1" s="1027">
        <v>106897417873377</v>
      </c>
      <c r="V1" s="1027"/>
      <c r="W1" s="510">
        <v>314741</v>
      </c>
      <c r="X1" s="510"/>
      <c r="Y1" s="1027">
        <v>104345678357474</v>
      </c>
      <c r="Z1" s="1027"/>
      <c r="AA1" s="510">
        <v>230031</v>
      </c>
      <c r="AB1" s="510"/>
      <c r="AC1" s="1027">
        <v>989619005007658</v>
      </c>
      <c r="AD1" s="1027"/>
      <c r="AE1" s="510">
        <v>280785</v>
      </c>
      <c r="AF1" s="510"/>
      <c r="AG1" s="1027">
        <v>106726646597336</v>
      </c>
      <c r="AH1" s="1027"/>
      <c r="AI1" s="510">
        <v>269800</v>
      </c>
      <c r="AJ1" s="510"/>
      <c r="AK1" s="1027">
        <v>101242452784167</v>
      </c>
      <c r="AL1" s="1027"/>
      <c r="AM1" s="510">
        <v>268023</v>
      </c>
      <c r="AN1" s="510"/>
      <c r="AO1" s="1027">
        <v>994722485108278</v>
      </c>
      <c r="AP1" s="1027"/>
      <c r="AQ1" s="510">
        <v>82093</v>
      </c>
      <c r="AR1" s="510"/>
      <c r="AS1" s="1027">
        <v>104116833868124</v>
      </c>
      <c r="AT1" s="1027"/>
      <c r="AU1" s="510">
        <v>182644</v>
      </c>
      <c r="AV1" s="510"/>
      <c r="AW1" s="1027">
        <v>990939375196675</v>
      </c>
      <c r="AX1" s="1027"/>
      <c r="AY1" s="510">
        <v>292307</v>
      </c>
      <c r="AZ1" s="510"/>
      <c r="BA1" s="1027">
        <v>116051946195747</v>
      </c>
      <c r="BB1" s="1027"/>
      <c r="BC1" s="510">
        <v>239186</v>
      </c>
      <c r="BD1" s="510"/>
      <c r="BE1" s="1027">
        <v>100043081273031</v>
      </c>
    </row>
    <row r="2" spans="1:60" hidden="1" outlineLevel="1">
      <c r="C2" s="1026"/>
      <c r="D2" s="1026"/>
      <c r="E2" s="1026"/>
      <c r="F2" s="1026"/>
      <c r="G2" s="1026"/>
      <c r="H2" s="1026"/>
      <c r="I2" s="1026"/>
      <c r="J2" s="1026"/>
      <c r="K2" s="1026"/>
      <c r="L2" s="1026"/>
      <c r="M2" s="1026"/>
      <c r="N2" s="1026"/>
      <c r="O2" s="1028">
        <f t="shared" ref="O2:BE2" si="0">O14-O1</f>
        <v>1297790</v>
      </c>
      <c r="Q2" s="1025">
        <f t="shared" si="0"/>
        <v>-10416633914426.256</v>
      </c>
      <c r="S2" s="1028">
        <f t="shared" si="0"/>
        <v>352918</v>
      </c>
      <c r="U2" s="1025">
        <f t="shared" si="0"/>
        <v>-106897417873272.81</v>
      </c>
      <c r="W2" s="1028">
        <f t="shared" si="0"/>
        <v>135304</v>
      </c>
      <c r="Y2" s="1025">
        <f t="shared" si="0"/>
        <v>-104345678357377.2</v>
      </c>
      <c r="AA2" s="1028">
        <f t="shared" si="0"/>
        <v>126373</v>
      </c>
      <c r="AC2" s="1025">
        <f t="shared" si="0"/>
        <v>-989619005007556.5</v>
      </c>
      <c r="AE2" s="1028">
        <f t="shared" si="0"/>
        <v>57352</v>
      </c>
      <c r="AG2" s="1025">
        <f t="shared" si="0"/>
        <v>-106726646597237.2</v>
      </c>
      <c r="AI2" s="1028">
        <f t="shared" si="0"/>
        <v>156253</v>
      </c>
      <c r="AK2" s="1025">
        <f t="shared" si="0"/>
        <v>-101242452784065.58</v>
      </c>
      <c r="AM2" s="1028">
        <f t="shared" si="0"/>
        <v>124494</v>
      </c>
      <c r="AO2" s="1025">
        <f t="shared" si="0"/>
        <v>-994722485108177.38</v>
      </c>
      <c r="AQ2" s="1028">
        <f t="shared" si="0"/>
        <v>55011</v>
      </c>
      <c r="AS2" s="1025">
        <f t="shared" si="0"/>
        <v>-104116833868018.94</v>
      </c>
      <c r="AU2" s="1028">
        <f t="shared" si="0"/>
        <v>80493</v>
      </c>
      <c r="AW2" s="1025">
        <f t="shared" si="0"/>
        <v>-990939375196571.38</v>
      </c>
      <c r="AY2" s="1028">
        <f t="shared" si="0"/>
        <v>121059</v>
      </c>
      <c r="BA2" s="1025">
        <f t="shared" si="0"/>
        <v>-116051946195642.11</v>
      </c>
      <c r="BC2" s="1028">
        <f t="shared" si="0"/>
        <v>88533</v>
      </c>
      <c r="BE2" s="1025">
        <f t="shared" si="0"/>
        <v>-100043081272930.28</v>
      </c>
    </row>
    <row r="3" spans="1:60" hidden="1" outlineLevel="1">
      <c r="O3" s="1028">
        <f>O14-O34</f>
        <v>0</v>
      </c>
      <c r="Q3" s="1025">
        <f>Q14-Q34</f>
        <v>-5.6544061663998946E-6</v>
      </c>
      <c r="S3" s="1028">
        <f>S14-S34</f>
        <v>0</v>
      </c>
      <c r="U3" s="1025">
        <f>U14-U34</f>
        <v>-6.348609163353558E-5</v>
      </c>
      <c r="W3" s="1028">
        <f>W14-W34</f>
        <v>0</v>
      </c>
      <c r="Y3" s="1025">
        <f>Y14-Y34</f>
        <v>1.2490657226749136E-5</v>
      </c>
      <c r="AA3" s="1028">
        <f>AA14-AA34</f>
        <v>0</v>
      </c>
      <c r="AC3" s="1025">
        <f>AC14-AC34</f>
        <v>-9.8249467498590093E-5</v>
      </c>
      <c r="AE3" s="1028">
        <f>AE14-AE34</f>
        <v>0</v>
      </c>
      <c r="AG3" s="1025">
        <f>AG14-AG34</f>
        <v>6.927088503516643E-5</v>
      </c>
      <c r="AI3" s="1028">
        <f>AI14-AI34</f>
        <v>0</v>
      </c>
      <c r="AK3" s="1025">
        <f>AK14-AK34</f>
        <v>-9.6566140072695816E-5</v>
      </c>
      <c r="AM3" s="1028">
        <f>AM14-AM34</f>
        <v>0</v>
      </c>
      <c r="AO3" s="1025">
        <f>AO14-AO34</f>
        <v>5.1616961741274281E-5</v>
      </c>
      <c r="AQ3" s="1028">
        <f>AQ14-AQ34</f>
        <v>0</v>
      </c>
      <c r="AS3" s="1025">
        <f>AS14-AS34</f>
        <v>3.7034404923019792E-4</v>
      </c>
      <c r="AU3" s="1028">
        <f>AU14-AU34</f>
        <v>0</v>
      </c>
      <c r="AW3" s="1025">
        <f>AW14-AW34</f>
        <v>3.2622877739640899E-5</v>
      </c>
      <c r="AY3" s="1028">
        <f>AY14-AY34</f>
        <v>0</v>
      </c>
      <c r="BA3" s="1025">
        <f>BA14-BA34</f>
        <v>-9.049425528928623E-5</v>
      </c>
      <c r="BC3" s="1028">
        <f>BC14-BC34</f>
        <v>0</v>
      </c>
      <c r="BE3" s="1025">
        <f>BE14-BE34</f>
        <v>1.1144193045709017E-4</v>
      </c>
    </row>
    <row r="4" spans="1:60" ht="12.75" hidden="1" customHeight="1" outlineLevel="1">
      <c r="Q4" s="1028"/>
      <c r="R4" s="1028"/>
      <c r="U4" s="1028"/>
      <c r="V4" s="1028"/>
      <c r="Y4" s="1028"/>
      <c r="Z4" s="1028"/>
      <c r="AC4" s="1028"/>
      <c r="AD4" s="1028"/>
      <c r="AG4" s="1028"/>
      <c r="AH4" s="1028"/>
      <c r="AK4" s="1028"/>
      <c r="AL4" s="1028"/>
      <c r="AO4" s="1028"/>
      <c r="AP4" s="1028"/>
      <c r="AS4" s="1028"/>
      <c r="AT4" s="1028"/>
      <c r="AW4" s="1028"/>
      <c r="AX4" s="1028"/>
      <c r="BA4" s="1028"/>
      <c r="BB4" s="1028"/>
      <c r="BE4" s="1028"/>
    </row>
    <row r="5" spans="1:60" ht="31.5" hidden="1" customHeight="1" outlineLevel="1"/>
    <row r="6" spans="1:60" ht="18" hidden="1" customHeight="1" outlineLevel="1">
      <c r="D6" s="1028">
        <f>D34+S82+S68</f>
        <v>894570.86</v>
      </c>
      <c r="O6" s="1028">
        <f>O32-O9</f>
        <v>0</v>
      </c>
      <c r="S6" s="1028">
        <f>S34-S57-S80+D80+D57</f>
        <v>928002.97433999996</v>
      </c>
    </row>
    <row r="7" spans="1:60" ht="23.25" customHeight="1" collapsed="1">
      <c r="A7" s="1029" t="s">
        <v>1549</v>
      </c>
      <c r="Q7" s="1028"/>
      <c r="R7" s="1028"/>
      <c r="U7" s="1028"/>
      <c r="V7" s="1028"/>
      <c r="Y7" s="1028"/>
      <c r="Z7" s="1028"/>
      <c r="AC7" s="1028"/>
      <c r="AD7" s="1028"/>
      <c r="AG7" s="1028"/>
      <c r="AH7" s="1028"/>
      <c r="AK7" s="1028"/>
      <c r="AL7" s="1028"/>
      <c r="AO7" s="1028"/>
      <c r="AP7" s="1028"/>
      <c r="AS7" s="1028"/>
      <c r="AT7" s="1028"/>
      <c r="AW7" s="1028"/>
      <c r="AX7" s="1028"/>
      <c r="BA7" s="1028"/>
      <c r="BB7" s="1028"/>
      <c r="BE7" s="1028"/>
    </row>
    <row r="8" spans="1:60" s="512" customFormat="1" ht="24" customHeight="1">
      <c r="A8" s="512" t="s">
        <v>1912</v>
      </c>
      <c r="C8" s="1030"/>
      <c r="D8" s="1030"/>
      <c r="E8" s="1030"/>
      <c r="F8" s="1030"/>
      <c r="G8" s="1030"/>
      <c r="H8" s="1030"/>
      <c r="I8" s="1030"/>
      <c r="J8" s="1030"/>
      <c r="K8" s="1030"/>
      <c r="L8" s="1030"/>
      <c r="M8" s="1030"/>
      <c r="N8" s="1030"/>
      <c r="O8" s="1030"/>
      <c r="P8" s="1030"/>
      <c r="Q8" s="1031"/>
      <c r="R8" s="1031"/>
      <c r="S8" s="1031"/>
      <c r="T8" s="1030"/>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c r="AT8" s="1031"/>
      <c r="AU8" s="1031"/>
      <c r="AV8" s="1031"/>
      <c r="AW8" s="1031"/>
      <c r="AX8" s="1031"/>
      <c r="AY8" s="1031"/>
      <c r="AZ8" s="1031"/>
      <c r="BA8" s="1031"/>
      <c r="BB8" s="1031"/>
      <c r="BC8" s="1031"/>
      <c r="BD8" s="1031"/>
      <c r="BE8" s="1031"/>
    </row>
    <row r="9" spans="1:60" ht="17.25" customHeight="1">
      <c r="B9" s="1028"/>
      <c r="N9" s="1028">
        <f>N14-N34</f>
        <v>0</v>
      </c>
      <c r="O9" s="1028">
        <f>O14-O34</f>
        <v>0</v>
      </c>
      <c r="P9" s="1028">
        <f>P14-P34</f>
        <v>0</v>
      </c>
      <c r="Q9" s="1028"/>
      <c r="R9" s="1028">
        <f>R14-R34</f>
        <v>0</v>
      </c>
      <c r="S9" s="1028">
        <f>S14-S34</f>
        <v>0</v>
      </c>
      <c r="T9" s="1028">
        <f>T14-T34</f>
        <v>0</v>
      </c>
      <c r="U9" s="1028"/>
      <c r="V9" s="1028">
        <f>V14-V34</f>
        <v>0</v>
      </c>
      <c r="W9" s="1028">
        <f>W14-W34</f>
        <v>0</v>
      </c>
      <c r="X9" s="1028">
        <f>X14-X34</f>
        <v>0</v>
      </c>
      <c r="Y9" s="1028"/>
      <c r="Z9" s="1028">
        <f>Z14-Z34</f>
        <v>0</v>
      </c>
      <c r="AA9" s="1028">
        <f>AA14-AA34</f>
        <v>0</v>
      </c>
      <c r="AB9" s="1028">
        <f>AB14-AB34</f>
        <v>0</v>
      </c>
      <c r="AC9" s="1028"/>
      <c r="AD9" s="1028">
        <f>AD14-AD34</f>
        <v>0</v>
      </c>
      <c r="AE9" s="1028">
        <f>AE14-AE34</f>
        <v>0</v>
      </c>
      <c r="AF9" s="1028">
        <f>AF14-AF34</f>
        <v>0</v>
      </c>
      <c r="AG9" s="1028"/>
      <c r="AH9" s="1028">
        <f>AH14-AH34</f>
        <v>0</v>
      </c>
      <c r="AI9" s="1028">
        <f>AI14-AI34</f>
        <v>0</v>
      </c>
      <c r="AJ9" s="1028">
        <f>AJ14-AJ34</f>
        <v>0</v>
      </c>
      <c r="AK9" s="1028"/>
      <c r="AL9" s="1028">
        <f>AL14-AL34</f>
        <v>0</v>
      </c>
      <c r="AM9" s="1028">
        <f>AM14-AM34</f>
        <v>0</v>
      </c>
      <c r="AN9" s="1028">
        <f>AN14-AN34</f>
        <v>0</v>
      </c>
      <c r="AO9" s="1028"/>
      <c r="AP9" s="1028">
        <f>AP14-AP34</f>
        <v>0</v>
      </c>
      <c r="AQ9" s="1028">
        <f>AQ14-AQ34</f>
        <v>0</v>
      </c>
      <c r="AR9" s="1028">
        <f>AR14-AR34</f>
        <v>0</v>
      </c>
      <c r="AS9" s="1028"/>
      <c r="AT9" s="1028">
        <f>AT14-AT34</f>
        <v>0</v>
      </c>
      <c r="AU9" s="1028">
        <f>AU14-AU34</f>
        <v>0</v>
      </c>
      <c r="AV9" s="1028">
        <f>AV14-AV34</f>
        <v>0</v>
      </c>
      <c r="AW9" s="1028"/>
      <c r="AX9" s="1028">
        <f>AX14-AX34</f>
        <v>0</v>
      </c>
      <c r="AY9" s="1028">
        <f>AY14-AY34</f>
        <v>0</v>
      </c>
      <c r="AZ9" s="1028">
        <f>AZ14-AZ34</f>
        <v>0</v>
      </c>
      <c r="BA9" s="1028"/>
      <c r="BB9" s="1028">
        <f>BB14-BB34</f>
        <v>0</v>
      </c>
      <c r="BC9" s="1028">
        <f>BC14-BC34</f>
        <v>0</v>
      </c>
      <c r="BD9" s="1028">
        <f>BD14-BD34</f>
        <v>0</v>
      </c>
      <c r="BE9" s="1028"/>
    </row>
    <row r="10" spans="1:60" ht="20.25" customHeight="1">
      <c r="A10" s="1615" t="s">
        <v>1</v>
      </c>
      <c r="B10" s="1615" t="s">
        <v>2</v>
      </c>
      <c r="C10" s="1615" t="s">
        <v>1913</v>
      </c>
      <c r="D10" s="1610" t="s">
        <v>478</v>
      </c>
      <c r="E10" s="1610" t="s">
        <v>479</v>
      </c>
      <c r="F10" s="1610" t="s">
        <v>6</v>
      </c>
      <c r="G10" s="1610" t="s">
        <v>7</v>
      </c>
      <c r="H10" s="1610" t="s">
        <v>8</v>
      </c>
      <c r="I10" s="1610" t="s">
        <v>9</v>
      </c>
      <c r="J10" s="1610" t="s">
        <v>10</v>
      </c>
      <c r="K10" s="1610" t="s">
        <v>11</v>
      </c>
      <c r="L10" s="1610" t="s">
        <v>12</v>
      </c>
      <c r="M10" s="1610" t="s">
        <v>13</v>
      </c>
      <c r="N10" s="1612" t="s">
        <v>1914</v>
      </c>
      <c r="O10" s="1609" t="s">
        <v>65</v>
      </c>
      <c r="P10" s="1609"/>
      <c r="Q10" s="1610" t="s">
        <v>1915</v>
      </c>
      <c r="R10" s="1612" t="s">
        <v>478</v>
      </c>
      <c r="S10" s="1609" t="s">
        <v>65</v>
      </c>
      <c r="T10" s="1609"/>
      <c r="U10" s="1610" t="s">
        <v>1915</v>
      </c>
      <c r="V10" s="1610" t="s">
        <v>479</v>
      </c>
      <c r="W10" s="1609" t="s">
        <v>65</v>
      </c>
      <c r="X10" s="1609"/>
      <c r="Y10" s="1610" t="s">
        <v>1915</v>
      </c>
      <c r="Z10" s="1610" t="s">
        <v>480</v>
      </c>
      <c r="AA10" s="1609" t="s">
        <v>65</v>
      </c>
      <c r="AB10" s="1609"/>
      <c r="AC10" s="1610" t="s">
        <v>1915</v>
      </c>
      <c r="AD10" s="1610" t="s">
        <v>481</v>
      </c>
      <c r="AE10" s="1609" t="s">
        <v>65</v>
      </c>
      <c r="AF10" s="1609"/>
      <c r="AG10" s="1610" t="s">
        <v>1915</v>
      </c>
      <c r="AH10" s="1610" t="s">
        <v>482</v>
      </c>
      <c r="AI10" s="1609" t="s">
        <v>65</v>
      </c>
      <c r="AJ10" s="1609"/>
      <c r="AK10" s="1610" t="s">
        <v>1915</v>
      </c>
      <c r="AL10" s="1610" t="s">
        <v>483</v>
      </c>
      <c r="AM10" s="1609" t="s">
        <v>65</v>
      </c>
      <c r="AN10" s="1609"/>
      <c r="AO10" s="1610" t="s">
        <v>1915</v>
      </c>
      <c r="AP10" s="1610" t="s">
        <v>484</v>
      </c>
      <c r="AQ10" s="1609" t="s">
        <v>65</v>
      </c>
      <c r="AR10" s="1609"/>
      <c r="AS10" s="1610" t="s">
        <v>1915</v>
      </c>
      <c r="AT10" s="1610" t="s">
        <v>485</v>
      </c>
      <c r="AU10" s="1609" t="s">
        <v>65</v>
      </c>
      <c r="AV10" s="1609"/>
      <c r="AW10" s="1610" t="s">
        <v>1915</v>
      </c>
      <c r="AX10" s="1610" t="s">
        <v>1935</v>
      </c>
      <c r="AY10" s="1609" t="s">
        <v>65</v>
      </c>
      <c r="AZ10" s="1609"/>
      <c r="BA10" s="1610" t="s">
        <v>1915</v>
      </c>
      <c r="BB10" s="1610" t="s">
        <v>487</v>
      </c>
      <c r="BC10" s="1609" t="s">
        <v>65</v>
      </c>
      <c r="BD10" s="1609"/>
      <c r="BE10" s="1610" t="s">
        <v>1915</v>
      </c>
    </row>
    <row r="11" spans="1:60" ht="20.25" customHeight="1">
      <c r="A11" s="1616"/>
      <c r="B11" s="1616"/>
      <c r="C11" s="1616"/>
      <c r="D11" s="1611"/>
      <c r="E11" s="1611"/>
      <c r="F11" s="1611"/>
      <c r="G11" s="1611"/>
      <c r="H11" s="1611"/>
      <c r="I11" s="1611"/>
      <c r="J11" s="1611"/>
      <c r="K11" s="1611"/>
      <c r="L11" s="1611"/>
      <c r="M11" s="1611"/>
      <c r="N11" s="1613"/>
      <c r="O11" s="1609" t="s">
        <v>1901</v>
      </c>
      <c r="P11" s="1609" t="s">
        <v>1902</v>
      </c>
      <c r="Q11" s="1611"/>
      <c r="R11" s="1613"/>
      <c r="S11" s="1609" t="s">
        <v>1901</v>
      </c>
      <c r="T11" s="1609" t="s">
        <v>1902</v>
      </c>
      <c r="U11" s="1611"/>
      <c r="V11" s="1611"/>
      <c r="W11" s="1609" t="s">
        <v>1901</v>
      </c>
      <c r="X11" s="1609" t="s">
        <v>1902</v>
      </c>
      <c r="Y11" s="1611"/>
      <c r="Z11" s="1611"/>
      <c r="AA11" s="1609" t="s">
        <v>1901</v>
      </c>
      <c r="AB11" s="1609" t="s">
        <v>1902</v>
      </c>
      <c r="AC11" s="1611"/>
      <c r="AD11" s="1611"/>
      <c r="AE11" s="1609" t="s">
        <v>1901</v>
      </c>
      <c r="AF11" s="1609" t="s">
        <v>1902</v>
      </c>
      <c r="AG11" s="1611"/>
      <c r="AH11" s="1611"/>
      <c r="AI11" s="1609" t="s">
        <v>1901</v>
      </c>
      <c r="AJ11" s="1609" t="s">
        <v>1902</v>
      </c>
      <c r="AK11" s="1611"/>
      <c r="AL11" s="1611"/>
      <c r="AM11" s="1609" t="s">
        <v>1901</v>
      </c>
      <c r="AN11" s="1609" t="s">
        <v>1902</v>
      </c>
      <c r="AO11" s="1611"/>
      <c r="AP11" s="1611"/>
      <c r="AQ11" s="1609" t="s">
        <v>1901</v>
      </c>
      <c r="AR11" s="1609" t="s">
        <v>1902</v>
      </c>
      <c r="AS11" s="1611"/>
      <c r="AT11" s="1611"/>
      <c r="AU11" s="1609" t="s">
        <v>1901</v>
      </c>
      <c r="AV11" s="1609" t="s">
        <v>1902</v>
      </c>
      <c r="AW11" s="1611"/>
      <c r="AX11" s="1611"/>
      <c r="AY11" s="1609" t="s">
        <v>1901</v>
      </c>
      <c r="AZ11" s="1609" t="s">
        <v>1902</v>
      </c>
      <c r="BA11" s="1611"/>
      <c r="BB11" s="1611"/>
      <c r="BC11" s="1609" t="s">
        <v>1901</v>
      </c>
      <c r="BD11" s="1609" t="s">
        <v>1902</v>
      </c>
      <c r="BE11" s="1611"/>
    </row>
    <row r="12" spans="1:60" ht="20.25" customHeight="1">
      <c r="A12" s="1616"/>
      <c r="B12" s="1616"/>
      <c r="C12" s="1616"/>
      <c r="D12" s="1611"/>
      <c r="E12" s="1611"/>
      <c r="F12" s="1611"/>
      <c r="G12" s="1611"/>
      <c r="H12" s="1611"/>
      <c r="I12" s="1611"/>
      <c r="J12" s="1611"/>
      <c r="K12" s="1611"/>
      <c r="L12" s="1611"/>
      <c r="M12" s="1611"/>
      <c r="N12" s="1614"/>
      <c r="O12" s="1609"/>
      <c r="P12" s="1609"/>
      <c r="Q12" s="1611"/>
      <c r="R12" s="1614"/>
      <c r="S12" s="1609"/>
      <c r="T12" s="1609"/>
      <c r="U12" s="1611"/>
      <c r="V12" s="1611"/>
      <c r="W12" s="1609"/>
      <c r="X12" s="1609"/>
      <c r="Y12" s="1611"/>
      <c r="Z12" s="1611"/>
      <c r="AA12" s="1609"/>
      <c r="AB12" s="1609"/>
      <c r="AC12" s="1611"/>
      <c r="AD12" s="1611"/>
      <c r="AE12" s="1609"/>
      <c r="AF12" s="1609"/>
      <c r="AG12" s="1611"/>
      <c r="AH12" s="1611"/>
      <c r="AI12" s="1609"/>
      <c r="AJ12" s="1609"/>
      <c r="AK12" s="1611"/>
      <c r="AL12" s="1611"/>
      <c r="AM12" s="1609"/>
      <c r="AN12" s="1609"/>
      <c r="AO12" s="1611"/>
      <c r="AP12" s="1611"/>
      <c r="AQ12" s="1609"/>
      <c r="AR12" s="1609"/>
      <c r="AS12" s="1611"/>
      <c r="AT12" s="1611"/>
      <c r="AU12" s="1609"/>
      <c r="AV12" s="1609"/>
      <c r="AW12" s="1611"/>
      <c r="AX12" s="1611"/>
      <c r="AY12" s="1609"/>
      <c r="AZ12" s="1609"/>
      <c r="BA12" s="1611"/>
      <c r="BB12" s="1611"/>
      <c r="BC12" s="1609"/>
      <c r="BD12" s="1609"/>
      <c r="BE12" s="1611"/>
    </row>
    <row r="13" spans="1:60" s="512" customFormat="1" ht="20.25" customHeight="1">
      <c r="A13" s="1027" t="s">
        <v>14</v>
      </c>
      <c r="B13" s="509" t="s">
        <v>15</v>
      </c>
      <c r="C13" s="510"/>
      <c r="D13" s="1032"/>
      <c r="E13" s="1032"/>
      <c r="F13" s="1032"/>
      <c r="G13" s="1032"/>
      <c r="H13" s="1032"/>
      <c r="I13" s="1032"/>
      <c r="J13" s="1032"/>
      <c r="K13" s="1032"/>
      <c r="L13" s="1032"/>
      <c r="M13" s="1032"/>
      <c r="N13" s="1032"/>
      <c r="O13" s="1033"/>
      <c r="P13" s="1033"/>
      <c r="Q13" s="1034"/>
      <c r="R13" s="1034"/>
      <c r="S13" s="1032"/>
      <c r="T13" s="1032"/>
      <c r="U13" s="1034"/>
      <c r="V13" s="1034"/>
      <c r="W13" s="1032"/>
      <c r="X13" s="1032"/>
      <c r="Y13" s="1034"/>
      <c r="Z13" s="1034"/>
      <c r="AA13" s="1032"/>
      <c r="AB13" s="1032"/>
      <c r="AC13" s="1034"/>
      <c r="AD13" s="1034"/>
      <c r="AE13" s="1032"/>
      <c r="AF13" s="1032"/>
      <c r="AG13" s="1034"/>
      <c r="AH13" s="1034"/>
      <c r="AI13" s="1032"/>
      <c r="AJ13" s="1032"/>
      <c r="AK13" s="1034"/>
      <c r="AL13" s="1034"/>
      <c r="AM13" s="1032"/>
      <c r="AN13" s="1032"/>
      <c r="AO13" s="1034"/>
      <c r="AP13" s="1034"/>
      <c r="AQ13" s="1032"/>
      <c r="AR13" s="1032"/>
      <c r="AS13" s="1034"/>
      <c r="AT13" s="1034"/>
      <c r="AU13" s="1032"/>
      <c r="AV13" s="1032"/>
      <c r="AW13" s="1034"/>
      <c r="AX13" s="1034"/>
      <c r="AY13" s="1032"/>
      <c r="AZ13" s="1032"/>
      <c r="BA13" s="1034"/>
      <c r="BB13" s="1034"/>
      <c r="BC13" s="1032"/>
      <c r="BD13" s="1032"/>
      <c r="BE13" s="1034"/>
    </row>
    <row r="14" spans="1:60" s="512" customFormat="1" ht="20.25" customHeight="1">
      <c r="A14" s="1027" t="s">
        <v>16</v>
      </c>
      <c r="B14" s="509" t="s">
        <v>17</v>
      </c>
      <c r="C14" s="510">
        <f t="shared" ref="C14:C21" si="1">D14+E14+F14+G14+H14+I14+J14+K14+L14+M14</f>
        <v>3958629.4</v>
      </c>
      <c r="D14" s="510">
        <f t="shared" ref="D14:M14" si="2">D15+D22</f>
        <v>886141.4</v>
      </c>
      <c r="E14" s="510">
        <f t="shared" si="2"/>
        <v>464955</v>
      </c>
      <c r="F14" s="510">
        <f t="shared" si="2"/>
        <v>351193</v>
      </c>
      <c r="G14" s="510">
        <f t="shared" si="2"/>
        <v>342276</v>
      </c>
      <c r="H14" s="510">
        <f t="shared" si="2"/>
        <v>420097</v>
      </c>
      <c r="I14" s="510">
        <f t="shared" si="2"/>
        <v>389985</v>
      </c>
      <c r="J14" s="510">
        <f t="shared" si="2"/>
        <v>130497</v>
      </c>
      <c r="K14" s="510">
        <f t="shared" si="2"/>
        <v>254024</v>
      </c>
      <c r="L14" s="510">
        <f t="shared" si="2"/>
        <v>394091</v>
      </c>
      <c r="M14" s="510">
        <f t="shared" si="2"/>
        <v>325370</v>
      </c>
      <c r="N14" s="510">
        <f>O14+P14</f>
        <v>4396147</v>
      </c>
      <c r="O14" s="510">
        <f>ROUND((O15+O22),0)</f>
        <v>4027671</v>
      </c>
      <c r="P14" s="510">
        <f>ROUND((P15+P22),0)</f>
        <v>368476</v>
      </c>
      <c r="Q14" s="511">
        <f t="shared" ref="Q14:Q19" si="3">O14/C14*100</f>
        <v>101.74407839238499</v>
      </c>
      <c r="R14" s="510">
        <f>S14+T14</f>
        <v>998038</v>
      </c>
      <c r="S14" s="510">
        <f>ROUND((S15+S22),0)</f>
        <v>923189</v>
      </c>
      <c r="T14" s="510">
        <f>ROUND((T15+T22),0)</f>
        <v>74849</v>
      </c>
      <c r="U14" s="511">
        <f t="shared" ref="U14:U19" si="4">S14/D14*100</f>
        <v>104.18077746960022</v>
      </c>
      <c r="V14" s="510">
        <f t="shared" ref="V14:V34" si="5">W14+X14</f>
        <v>504188</v>
      </c>
      <c r="W14" s="510">
        <f>ROUND((W15+W22),0)</f>
        <v>450045</v>
      </c>
      <c r="X14" s="510">
        <f>ROUND((X15+X22),0)</f>
        <v>54143</v>
      </c>
      <c r="Y14" s="511">
        <f t="shared" ref="Y14:Y19" si="6">W14/E14*100</f>
        <v>96.793238055295674</v>
      </c>
      <c r="Z14" s="510">
        <f>AA14+AB14</f>
        <v>393519</v>
      </c>
      <c r="AA14" s="510">
        <f>ROUND((AA15+AA22),0)</f>
        <v>356404</v>
      </c>
      <c r="AB14" s="510">
        <f>ROUND((AB15+AB22),0)</f>
        <v>37115</v>
      </c>
      <c r="AC14" s="511">
        <f t="shared" ref="AC14:AC19" si="7">AA14/F14*100</f>
        <v>101.48379950625439</v>
      </c>
      <c r="AD14" s="510">
        <f>AE14+AF14</f>
        <v>376164</v>
      </c>
      <c r="AE14" s="510">
        <f>ROUND((AE15+AE22),0)</f>
        <v>338137</v>
      </c>
      <c r="AF14" s="510">
        <f>ROUND((AF15+AF22),0)</f>
        <v>38027</v>
      </c>
      <c r="AG14" s="511">
        <f t="shared" ref="AG14:AG19" si="8">AE14/G14*100</f>
        <v>98.790741974313121</v>
      </c>
      <c r="AH14" s="510">
        <f>AI14+AJ14</f>
        <v>465646</v>
      </c>
      <c r="AI14" s="510">
        <f>ROUND((AI15+AI22),0)</f>
        <v>426053</v>
      </c>
      <c r="AJ14" s="510">
        <f>ROUND((AJ15+AJ22),0)</f>
        <v>39593</v>
      </c>
      <c r="AK14" s="511">
        <f t="shared" ref="AK14:AK19" si="9">AI14/H14*100</f>
        <v>101.4177678012459</v>
      </c>
      <c r="AL14" s="510">
        <f>AM14+AN14</f>
        <v>436500</v>
      </c>
      <c r="AM14" s="510">
        <f>ROUND((AM15+AM22),0)</f>
        <v>392517</v>
      </c>
      <c r="AN14" s="510">
        <f>ROUND((AN15+AN22),0)</f>
        <v>43983</v>
      </c>
      <c r="AO14" s="511">
        <f t="shared" ref="AO14:AO19" si="10">AM14/I14*100</f>
        <v>100.64925574060541</v>
      </c>
      <c r="AP14" s="510">
        <f>AQ14+AR14</f>
        <v>142116</v>
      </c>
      <c r="AQ14" s="510">
        <f>ROUND((AQ15+AQ22),0)</f>
        <v>137104</v>
      </c>
      <c r="AR14" s="510">
        <f>ROUND((AR15+AR22),0)</f>
        <v>5012</v>
      </c>
      <c r="AS14" s="511">
        <f t="shared" ref="AS14:AS19" si="11">AQ14/J14*100</f>
        <v>105.06295163873499</v>
      </c>
      <c r="AT14" s="510">
        <f>AU14+AV14</f>
        <v>286587</v>
      </c>
      <c r="AU14" s="510">
        <f>ROUND((AU15+AU22),0)</f>
        <v>263137</v>
      </c>
      <c r="AV14" s="510">
        <f>ROUND((AV15+AV22),0)</f>
        <v>23450</v>
      </c>
      <c r="AW14" s="511">
        <f t="shared" ref="AW14:AW19" si="12">AU14/K14*100</f>
        <v>103.58745630334141</v>
      </c>
      <c r="AX14" s="510">
        <f>AY14+AZ14</f>
        <v>433497</v>
      </c>
      <c r="AY14" s="510">
        <f>ROUND((AY15+AY22),0)</f>
        <v>413366</v>
      </c>
      <c r="AZ14" s="510">
        <f>ROUND((AZ15+AZ22),0)</f>
        <v>20131</v>
      </c>
      <c r="BA14" s="511">
        <f t="shared" ref="BA14:BA19" si="13">AY14/L14*100</f>
        <v>104.8910023319487</v>
      </c>
      <c r="BB14" s="510">
        <f>BC14+BD14</f>
        <v>359892</v>
      </c>
      <c r="BC14" s="510">
        <f>ROUND((BC15+BC22),0)</f>
        <v>327719</v>
      </c>
      <c r="BD14" s="510">
        <f>ROUND((BD15+BD22),0)</f>
        <v>32173</v>
      </c>
      <c r="BE14" s="511">
        <f t="shared" ref="BE14:BE19" si="14">BC14/M14*100</f>
        <v>100.7219473215109</v>
      </c>
      <c r="BF14" s="512">
        <f>O14-C14</f>
        <v>69041.600000000093</v>
      </c>
      <c r="BG14" s="512">
        <f t="shared" ref="BG14:BG26" si="15">S14+W14+AA14+AE14+AI14+AM14+AQ14+AU14+AY14+BC14</f>
        <v>4027671</v>
      </c>
      <c r="BH14" s="512">
        <f t="shared" ref="BH14:BH26" si="16">BG14-O14</f>
        <v>0</v>
      </c>
    </row>
    <row r="15" spans="1:60" s="512" customFormat="1" ht="29.25" customHeight="1">
      <c r="A15" s="508" t="s">
        <v>18</v>
      </c>
      <c r="B15" s="509" t="s">
        <v>19</v>
      </c>
      <c r="C15" s="510">
        <f t="shared" si="1"/>
        <v>1512460</v>
      </c>
      <c r="D15" s="510">
        <f>D17</f>
        <v>612915</v>
      </c>
      <c r="E15" s="510">
        <f t="shared" ref="E15:M15" si="17">E17</f>
        <v>93046</v>
      </c>
      <c r="F15" s="510">
        <f t="shared" si="17"/>
        <v>93743</v>
      </c>
      <c r="G15" s="510">
        <f t="shared" si="17"/>
        <v>100961</v>
      </c>
      <c r="H15" s="510">
        <f t="shared" si="17"/>
        <v>21855</v>
      </c>
      <c r="I15" s="510">
        <f t="shared" si="17"/>
        <v>88703</v>
      </c>
      <c r="J15" s="510">
        <f t="shared" si="17"/>
        <v>35229</v>
      </c>
      <c r="K15" s="510">
        <f t="shared" si="17"/>
        <v>57612</v>
      </c>
      <c r="L15" s="510">
        <f t="shared" si="17"/>
        <v>366539</v>
      </c>
      <c r="M15" s="510">
        <f t="shared" si="17"/>
        <v>41857</v>
      </c>
      <c r="N15" s="510">
        <f t="shared" ref="N15:N92" si="18">O15+P15</f>
        <v>1557040</v>
      </c>
      <c r="O15" s="1032">
        <f>O17</f>
        <v>1557040</v>
      </c>
      <c r="P15" s="1032"/>
      <c r="Q15" s="1235">
        <f t="shared" si="3"/>
        <v>102.94751596736442</v>
      </c>
      <c r="R15" s="1032">
        <f t="shared" ref="R15:R91" si="19">S15+T15</f>
        <v>647230.6</v>
      </c>
      <c r="S15" s="1032">
        <f>S17</f>
        <v>647230.6</v>
      </c>
      <c r="T15" s="1032"/>
      <c r="U15" s="1235">
        <f>S15/D15*100</f>
        <v>105.59875349763017</v>
      </c>
      <c r="V15" s="1032">
        <f t="shared" si="5"/>
        <v>74417</v>
      </c>
      <c r="W15" s="1032">
        <f>W17</f>
        <v>74417</v>
      </c>
      <c r="X15" s="1032"/>
      <c r="Y15" s="1235">
        <f t="shared" si="6"/>
        <v>79.978720202910395</v>
      </c>
      <c r="Z15" s="1032">
        <f t="shared" ref="Z15:Z92" si="20">AA15+AB15</f>
        <v>96379</v>
      </c>
      <c r="AA15" s="1032">
        <f>AA17</f>
        <v>96379</v>
      </c>
      <c r="AB15" s="1032"/>
      <c r="AC15" s="1235">
        <f t="shared" si="7"/>
        <v>102.8119432917658</v>
      </c>
      <c r="AD15" s="1032">
        <f t="shared" ref="AD15:AD92" si="21">AE15+AF15</f>
        <v>94409</v>
      </c>
      <c r="AE15" s="1032">
        <f>AE17</f>
        <v>94409</v>
      </c>
      <c r="AF15" s="1032"/>
      <c r="AG15" s="1235">
        <f t="shared" si="8"/>
        <v>93.510365388615398</v>
      </c>
      <c r="AH15" s="1032">
        <f t="shared" ref="AH15:AH92" si="22">AI15+AJ15</f>
        <v>23829</v>
      </c>
      <c r="AI15" s="1032">
        <f>AI17</f>
        <v>23829</v>
      </c>
      <c r="AJ15" s="1032"/>
      <c r="AK15" s="1235">
        <f t="shared" si="9"/>
        <v>109.03225806451613</v>
      </c>
      <c r="AL15" s="1032">
        <f t="shared" ref="AL15:AL92" si="23">AM15+AN15</f>
        <v>88222</v>
      </c>
      <c r="AM15" s="1032">
        <f>AM17</f>
        <v>88222</v>
      </c>
      <c r="AN15" s="1032"/>
      <c r="AO15" s="1235">
        <f t="shared" si="10"/>
        <v>99.457741000868054</v>
      </c>
      <c r="AP15" s="1032">
        <f t="shared" ref="AP15:AP92" si="24">AQ15+AR15</f>
        <v>40883</v>
      </c>
      <c r="AQ15" s="1032">
        <f>AQ17</f>
        <v>40883</v>
      </c>
      <c r="AR15" s="1032"/>
      <c r="AS15" s="1235">
        <f t="shared" si="11"/>
        <v>116.04927758380879</v>
      </c>
      <c r="AT15" s="1032">
        <f t="shared" ref="AT15:AT92" si="25">AU15+AV15</f>
        <v>64761</v>
      </c>
      <c r="AU15" s="1032">
        <f>AU17</f>
        <v>64761</v>
      </c>
      <c r="AV15" s="1032"/>
      <c r="AW15" s="1235">
        <f t="shared" si="12"/>
        <v>112.40887315142677</v>
      </c>
      <c r="AX15" s="1032">
        <f t="shared" ref="AX15:AX92" si="26">AY15+AZ15</f>
        <v>385538</v>
      </c>
      <c r="AY15" s="1032">
        <f>AY17</f>
        <v>385538</v>
      </c>
      <c r="AZ15" s="1032"/>
      <c r="BA15" s="1235">
        <f t="shared" si="13"/>
        <v>105.18335020284336</v>
      </c>
      <c r="BB15" s="1032">
        <f t="shared" ref="BB15:BB92" si="27">BC15+BD15</f>
        <v>41371</v>
      </c>
      <c r="BC15" s="1032">
        <f>BC17</f>
        <v>41371</v>
      </c>
      <c r="BD15" s="1032"/>
      <c r="BE15" s="1235">
        <f t="shared" si="14"/>
        <v>98.838903887043983</v>
      </c>
      <c r="BF15" s="512">
        <f t="shared" ref="BF15:BF26" si="28">O15-C15</f>
        <v>44580</v>
      </c>
      <c r="BG15" s="512">
        <f t="shared" si="15"/>
        <v>1557039.6</v>
      </c>
      <c r="BH15" s="512">
        <f t="shared" si="16"/>
        <v>-0.39999999990686774</v>
      </c>
    </row>
    <row r="16" spans="1:60">
      <c r="A16" s="1035" t="s">
        <v>20</v>
      </c>
      <c r="B16" s="1036" t="s">
        <v>21</v>
      </c>
      <c r="C16" s="1037">
        <f t="shared" si="1"/>
        <v>4500000</v>
      </c>
      <c r="D16" s="1037">
        <v>2926900</v>
      </c>
      <c r="E16" s="1037">
        <v>168570</v>
      </c>
      <c r="F16" s="1037">
        <v>124580</v>
      </c>
      <c r="G16" s="1037">
        <v>434860</v>
      </c>
      <c r="H16" s="1037">
        <v>28130</v>
      </c>
      <c r="I16" s="1037">
        <v>112630</v>
      </c>
      <c r="J16" s="1037">
        <v>67600</v>
      </c>
      <c r="K16" s="1037">
        <v>76310</v>
      </c>
      <c r="L16" s="1037">
        <v>500260</v>
      </c>
      <c r="M16" s="1037">
        <v>60160</v>
      </c>
      <c r="N16" s="1037">
        <f t="shared" si="18"/>
        <v>4600000</v>
      </c>
      <c r="O16" s="1037">
        <f>S16+W16+AA16+AE16+AI16+AM16+AQ16+AU16+AY16+BC16</f>
        <v>4600000</v>
      </c>
      <c r="P16" s="1037"/>
      <c r="Q16" s="1038">
        <f t="shared" si="3"/>
        <v>102.22222222222221</v>
      </c>
      <c r="R16" s="1039">
        <f t="shared" si="19"/>
        <v>2991580</v>
      </c>
      <c r="S16" s="1039">
        <v>2991580</v>
      </c>
      <c r="T16" s="1039"/>
      <c r="U16" s="1038">
        <f t="shared" si="4"/>
        <v>102.20984659537396</v>
      </c>
      <c r="V16" s="1039">
        <f t="shared" si="5"/>
        <v>133660</v>
      </c>
      <c r="W16" s="1039">
        <v>133660</v>
      </c>
      <c r="X16" s="1039"/>
      <c r="Y16" s="1038">
        <f t="shared" si="6"/>
        <v>79.290502461885268</v>
      </c>
      <c r="Z16" s="1039">
        <f t="shared" si="20"/>
        <v>126600</v>
      </c>
      <c r="AA16" s="1039">
        <v>126600</v>
      </c>
      <c r="AB16" s="1039"/>
      <c r="AC16" s="1038">
        <f t="shared" si="7"/>
        <v>101.62144806550009</v>
      </c>
      <c r="AD16" s="1039">
        <f t="shared" si="21"/>
        <v>430500</v>
      </c>
      <c r="AE16" s="1039">
        <v>430500</v>
      </c>
      <c r="AF16" s="1039"/>
      <c r="AG16" s="1038">
        <f t="shared" si="8"/>
        <v>98.997378466632938</v>
      </c>
      <c r="AH16" s="1039">
        <f t="shared" si="22"/>
        <v>30500</v>
      </c>
      <c r="AI16" s="1039">
        <v>30500</v>
      </c>
      <c r="AJ16" s="1039"/>
      <c r="AK16" s="1038">
        <f t="shared" si="9"/>
        <v>108.42516885886953</v>
      </c>
      <c r="AL16" s="1039">
        <f t="shared" si="23"/>
        <v>114660</v>
      </c>
      <c r="AM16" s="1039">
        <v>114660</v>
      </c>
      <c r="AN16" s="1039"/>
      <c r="AO16" s="1038">
        <f t="shared" si="10"/>
        <v>101.80236171535115</v>
      </c>
      <c r="AP16" s="1039">
        <f t="shared" si="24"/>
        <v>89700</v>
      </c>
      <c r="AQ16" s="1039">
        <v>89700</v>
      </c>
      <c r="AR16" s="1039"/>
      <c r="AS16" s="1038">
        <f t="shared" si="11"/>
        <v>132.69230769230768</v>
      </c>
      <c r="AT16" s="1039">
        <f t="shared" si="25"/>
        <v>83900</v>
      </c>
      <c r="AU16" s="1039">
        <v>83900</v>
      </c>
      <c r="AV16" s="1039"/>
      <c r="AW16" s="1038">
        <f t="shared" si="12"/>
        <v>109.9462717861355</v>
      </c>
      <c r="AX16" s="1039">
        <f t="shared" si="26"/>
        <v>538100</v>
      </c>
      <c r="AY16" s="1039">
        <v>538100</v>
      </c>
      <c r="AZ16" s="1039"/>
      <c r="BA16" s="1038">
        <f t="shared" si="13"/>
        <v>107.56406668532364</v>
      </c>
      <c r="BB16" s="1039">
        <f t="shared" si="27"/>
        <v>60800</v>
      </c>
      <c r="BC16" s="1039">
        <v>60800</v>
      </c>
      <c r="BD16" s="1039"/>
      <c r="BE16" s="1038">
        <f t="shared" si="14"/>
        <v>101.06382978723406</v>
      </c>
      <c r="BF16" s="512">
        <f t="shared" si="28"/>
        <v>100000</v>
      </c>
      <c r="BG16" s="512">
        <f t="shared" si="15"/>
        <v>4600000</v>
      </c>
      <c r="BH16" s="512">
        <f t="shared" si="16"/>
        <v>0</v>
      </c>
    </row>
    <row r="17" spans="1:60">
      <c r="A17" s="1035" t="s">
        <v>20</v>
      </c>
      <c r="B17" s="1036" t="s">
        <v>22</v>
      </c>
      <c r="C17" s="1037">
        <f t="shared" si="1"/>
        <v>1512460</v>
      </c>
      <c r="D17" s="1037">
        <f>D18+D19</f>
        <v>612915</v>
      </c>
      <c r="E17" s="1037">
        <f t="shared" ref="E17:M17" si="29">E18+E19</f>
        <v>93046</v>
      </c>
      <c r="F17" s="1037">
        <f t="shared" si="29"/>
        <v>93743</v>
      </c>
      <c r="G17" s="1037">
        <f t="shared" si="29"/>
        <v>100961</v>
      </c>
      <c r="H17" s="1037">
        <f t="shared" si="29"/>
        <v>21855</v>
      </c>
      <c r="I17" s="1037">
        <f t="shared" si="29"/>
        <v>88703</v>
      </c>
      <c r="J17" s="1037">
        <f t="shared" si="29"/>
        <v>35229</v>
      </c>
      <c r="K17" s="1037">
        <f t="shared" si="29"/>
        <v>57612</v>
      </c>
      <c r="L17" s="1037">
        <f t="shared" si="29"/>
        <v>366539</v>
      </c>
      <c r="M17" s="1037">
        <f t="shared" si="29"/>
        <v>41857</v>
      </c>
      <c r="N17" s="1037">
        <f t="shared" si="18"/>
        <v>1557040</v>
      </c>
      <c r="O17" s="1037">
        <f>ROUND(S17+W17+AA17+AE17+AI17+AM17+AQ17+AU17+AY17+BC17,0)</f>
        <v>1557040</v>
      </c>
      <c r="P17" s="1037"/>
      <c r="Q17" s="1038">
        <f t="shared" si="3"/>
        <v>102.94751596736442</v>
      </c>
      <c r="R17" s="1039">
        <f t="shared" si="19"/>
        <v>647230.6</v>
      </c>
      <c r="S17" s="1039">
        <f>ROUND((S18+S19),0)-0.4</f>
        <v>647230.6</v>
      </c>
      <c r="T17" s="1039"/>
      <c r="U17" s="1038">
        <f t="shared" si="4"/>
        <v>105.59875349763017</v>
      </c>
      <c r="V17" s="1039">
        <f t="shared" si="5"/>
        <v>74417</v>
      </c>
      <c r="W17" s="1039">
        <f>ROUND((W18+W19),0)</f>
        <v>74417</v>
      </c>
      <c r="X17" s="1039"/>
      <c r="Y17" s="1038">
        <f t="shared" si="6"/>
        <v>79.978720202910395</v>
      </c>
      <c r="Z17" s="1039">
        <f t="shared" si="20"/>
        <v>96379</v>
      </c>
      <c r="AA17" s="1039">
        <f>ROUND((AA18+AA19),0)</f>
        <v>96379</v>
      </c>
      <c r="AB17" s="1039"/>
      <c r="AC17" s="1038">
        <f t="shared" si="7"/>
        <v>102.8119432917658</v>
      </c>
      <c r="AD17" s="1039">
        <f t="shared" si="21"/>
        <v>94409</v>
      </c>
      <c r="AE17" s="1039">
        <f>ROUND((AE18+AE19),0)</f>
        <v>94409</v>
      </c>
      <c r="AF17" s="1039"/>
      <c r="AG17" s="1038">
        <f t="shared" si="8"/>
        <v>93.510365388615398</v>
      </c>
      <c r="AH17" s="1039">
        <f t="shared" si="22"/>
        <v>23829</v>
      </c>
      <c r="AI17" s="1039">
        <f>ROUND((AI18+AI19),0)</f>
        <v>23829</v>
      </c>
      <c r="AJ17" s="1039"/>
      <c r="AK17" s="1038">
        <f t="shared" si="9"/>
        <v>109.03225806451613</v>
      </c>
      <c r="AL17" s="1039">
        <f t="shared" si="23"/>
        <v>88222</v>
      </c>
      <c r="AM17" s="1039">
        <f>ROUND((AM18+AM19),0)</f>
        <v>88222</v>
      </c>
      <c r="AN17" s="1039"/>
      <c r="AO17" s="1038">
        <f t="shared" si="10"/>
        <v>99.457741000868054</v>
      </c>
      <c r="AP17" s="1039">
        <f t="shared" si="24"/>
        <v>40883</v>
      </c>
      <c r="AQ17" s="1039">
        <f>ROUND((AQ18+AQ19),0)</f>
        <v>40883</v>
      </c>
      <c r="AR17" s="1039"/>
      <c r="AS17" s="1038">
        <f t="shared" si="11"/>
        <v>116.04927758380879</v>
      </c>
      <c r="AT17" s="1039">
        <f t="shared" si="25"/>
        <v>64761</v>
      </c>
      <c r="AU17" s="1039">
        <f>ROUND((AU18+AU19),0)</f>
        <v>64761</v>
      </c>
      <c r="AV17" s="1039"/>
      <c r="AW17" s="1038">
        <f t="shared" si="12"/>
        <v>112.40887315142677</v>
      </c>
      <c r="AX17" s="1039">
        <f t="shared" si="26"/>
        <v>385538</v>
      </c>
      <c r="AY17" s="1039">
        <f>ROUND((AY18+AY19),0)</f>
        <v>385538</v>
      </c>
      <c r="AZ17" s="1039"/>
      <c r="BA17" s="1038">
        <f t="shared" si="13"/>
        <v>105.18335020284336</v>
      </c>
      <c r="BB17" s="1039">
        <f t="shared" si="27"/>
        <v>41371</v>
      </c>
      <c r="BC17" s="1039">
        <f>ROUND((BC18+BC19),0)</f>
        <v>41371</v>
      </c>
      <c r="BD17" s="1039"/>
      <c r="BE17" s="1038">
        <f t="shared" si="14"/>
        <v>98.838903887043983</v>
      </c>
      <c r="BF17" s="512">
        <f t="shared" si="28"/>
        <v>44580</v>
      </c>
      <c r="BG17" s="512">
        <f t="shared" si="15"/>
        <v>1557039.6</v>
      </c>
      <c r="BH17" s="512">
        <f t="shared" si="16"/>
        <v>-0.39999999990686774</v>
      </c>
    </row>
    <row r="18" spans="1:60" ht="27.6">
      <c r="A18" s="1035" t="s">
        <v>23</v>
      </c>
      <c r="B18" s="1036" t="s">
        <v>24</v>
      </c>
      <c r="C18" s="1037">
        <f t="shared" si="1"/>
        <v>753942</v>
      </c>
      <c r="D18" s="1037">
        <v>339440</v>
      </c>
      <c r="E18" s="1037">
        <v>47715</v>
      </c>
      <c r="F18" s="1037">
        <v>29613</v>
      </c>
      <c r="G18" s="1037">
        <v>46130</v>
      </c>
      <c r="H18" s="1037">
        <v>15203</v>
      </c>
      <c r="I18" s="1037">
        <v>26015</v>
      </c>
      <c r="J18" s="1037">
        <v>17919</v>
      </c>
      <c r="K18" s="1037">
        <v>30134</v>
      </c>
      <c r="L18" s="1037">
        <v>184749</v>
      </c>
      <c r="M18" s="1037">
        <v>17024</v>
      </c>
      <c r="N18" s="1037">
        <f t="shared" si="18"/>
        <v>809015</v>
      </c>
      <c r="O18" s="1037">
        <f>S18+W18+AA18+AE18+AI18+AM18+AQ18+AU18+AY18+BC18</f>
        <v>809015</v>
      </c>
      <c r="P18" s="1037"/>
      <c r="Q18" s="1038">
        <f t="shared" si="3"/>
        <v>107.304673303782</v>
      </c>
      <c r="R18" s="1039">
        <f t="shared" si="19"/>
        <v>378750</v>
      </c>
      <c r="S18" s="1039">
        <v>378750</v>
      </c>
      <c r="T18" s="1039"/>
      <c r="U18" s="1038">
        <f t="shared" si="4"/>
        <v>111.58083902898892</v>
      </c>
      <c r="V18" s="1039">
        <f t="shared" si="5"/>
        <v>44300</v>
      </c>
      <c r="W18" s="1040">
        <v>44300</v>
      </c>
      <c r="X18" s="1040"/>
      <c r="Y18" s="1038">
        <f t="shared" si="6"/>
        <v>92.842921513150998</v>
      </c>
      <c r="Z18" s="1039">
        <f t="shared" si="20"/>
        <v>28748</v>
      </c>
      <c r="AA18" s="1039">
        <v>28748</v>
      </c>
      <c r="AB18" s="1039"/>
      <c r="AC18" s="1038">
        <f t="shared" si="7"/>
        <v>97.078985580657147</v>
      </c>
      <c r="AD18" s="1039">
        <f t="shared" si="21"/>
        <v>45180</v>
      </c>
      <c r="AE18" s="1039">
        <v>45180</v>
      </c>
      <c r="AF18" s="1039"/>
      <c r="AG18" s="1038">
        <f t="shared" si="8"/>
        <v>97.940602644699766</v>
      </c>
      <c r="AH18" s="1039">
        <f t="shared" si="22"/>
        <v>15383</v>
      </c>
      <c r="AI18" s="1039">
        <v>15383</v>
      </c>
      <c r="AJ18" s="1039"/>
      <c r="AK18" s="1038">
        <f t="shared" si="9"/>
        <v>101.18397684667499</v>
      </c>
      <c r="AL18" s="1039">
        <f t="shared" si="23"/>
        <v>32865</v>
      </c>
      <c r="AM18" s="1039">
        <v>32865</v>
      </c>
      <c r="AN18" s="1039"/>
      <c r="AO18" s="1038">
        <f t="shared" si="10"/>
        <v>126.33096290601576</v>
      </c>
      <c r="AP18" s="1039">
        <f t="shared" si="24"/>
        <v>14684</v>
      </c>
      <c r="AQ18" s="1039">
        <v>14684</v>
      </c>
      <c r="AR18" s="1039"/>
      <c r="AS18" s="1038">
        <f t="shared" si="11"/>
        <v>81.946537195155983</v>
      </c>
      <c r="AT18" s="1039">
        <f t="shared" si="25"/>
        <v>21288</v>
      </c>
      <c r="AU18" s="1039">
        <v>21288</v>
      </c>
      <c r="AV18" s="1039"/>
      <c r="AW18" s="1038">
        <f t="shared" si="12"/>
        <v>70.644454768699802</v>
      </c>
      <c r="AX18" s="1039">
        <f t="shared" si="26"/>
        <v>211279</v>
      </c>
      <c r="AY18" s="1039">
        <v>211279</v>
      </c>
      <c r="AZ18" s="1039"/>
      <c r="BA18" s="1038">
        <f t="shared" si="13"/>
        <v>114.36002359958646</v>
      </c>
      <c r="BB18" s="1039">
        <f t="shared" si="27"/>
        <v>16538</v>
      </c>
      <c r="BC18" s="1039">
        <v>16538</v>
      </c>
      <c r="BD18" s="1039"/>
      <c r="BE18" s="1038">
        <f t="shared" si="14"/>
        <v>97.145206766917298</v>
      </c>
      <c r="BF18" s="512">
        <f t="shared" si="28"/>
        <v>55073</v>
      </c>
      <c r="BG18" s="512">
        <f t="shared" si="15"/>
        <v>809015</v>
      </c>
      <c r="BH18" s="512">
        <f t="shared" si="16"/>
        <v>0</v>
      </c>
    </row>
    <row r="19" spans="1:60" ht="21" customHeight="1">
      <c r="A19" s="1035" t="s">
        <v>23</v>
      </c>
      <c r="B19" s="1036" t="s">
        <v>25</v>
      </c>
      <c r="C19" s="1037">
        <f t="shared" si="1"/>
        <v>758518</v>
      </c>
      <c r="D19" s="1037">
        <v>273475</v>
      </c>
      <c r="E19" s="1037">
        <v>45331</v>
      </c>
      <c r="F19" s="1037">
        <v>64130</v>
      </c>
      <c r="G19" s="1037">
        <v>54831</v>
      </c>
      <c r="H19" s="1037">
        <v>6652</v>
      </c>
      <c r="I19" s="1037">
        <v>62688</v>
      </c>
      <c r="J19" s="1037">
        <v>17310</v>
      </c>
      <c r="K19" s="1037">
        <v>27478</v>
      </c>
      <c r="L19" s="1037">
        <v>181790</v>
      </c>
      <c r="M19" s="1037">
        <v>24833</v>
      </c>
      <c r="N19" s="1037">
        <f t="shared" si="18"/>
        <v>748025</v>
      </c>
      <c r="O19" s="1037">
        <f>S19+W19+AA19+AE19+AI19+AM19+AQ19+AU19+AY19+BC19</f>
        <v>748025</v>
      </c>
      <c r="P19" s="1037"/>
      <c r="Q19" s="1038">
        <f t="shared" si="3"/>
        <v>98.616644562159365</v>
      </c>
      <c r="R19" s="1039">
        <f t="shared" si="19"/>
        <v>268481</v>
      </c>
      <c r="S19" s="1039">
        <v>268481</v>
      </c>
      <c r="T19" s="1039"/>
      <c r="U19" s="1038">
        <f t="shared" si="4"/>
        <v>98.17387329737636</v>
      </c>
      <c r="V19" s="1039">
        <f t="shared" si="5"/>
        <v>30117</v>
      </c>
      <c r="W19" s="1039">
        <v>30117</v>
      </c>
      <c r="X19" s="1039"/>
      <c r="Y19" s="1038">
        <f t="shared" si="6"/>
        <v>66.437978425360129</v>
      </c>
      <c r="Z19" s="1039">
        <f t="shared" si="20"/>
        <v>67631</v>
      </c>
      <c r="AA19" s="1039">
        <v>67631</v>
      </c>
      <c r="AB19" s="1039"/>
      <c r="AC19" s="1038">
        <f t="shared" si="7"/>
        <v>105.45922345236238</v>
      </c>
      <c r="AD19" s="1039">
        <f t="shared" si="21"/>
        <v>49229</v>
      </c>
      <c r="AE19" s="1039">
        <v>49229</v>
      </c>
      <c r="AF19" s="1039"/>
      <c r="AG19" s="1038">
        <f t="shared" si="8"/>
        <v>89.783151866644786</v>
      </c>
      <c r="AH19" s="1039">
        <f t="shared" si="22"/>
        <v>8446</v>
      </c>
      <c r="AI19" s="1039">
        <v>8446</v>
      </c>
      <c r="AJ19" s="1039"/>
      <c r="AK19" s="1038">
        <f t="shared" si="9"/>
        <v>126.96933253156945</v>
      </c>
      <c r="AL19" s="1039">
        <f t="shared" si="23"/>
        <v>55357</v>
      </c>
      <c r="AM19" s="1039">
        <v>55357</v>
      </c>
      <c r="AN19" s="1039"/>
      <c r="AO19" s="1038">
        <f t="shared" si="10"/>
        <v>88.305576824910673</v>
      </c>
      <c r="AP19" s="1039">
        <f t="shared" si="24"/>
        <v>26199</v>
      </c>
      <c r="AQ19" s="1039">
        <v>26199</v>
      </c>
      <c r="AR19" s="1039"/>
      <c r="AS19" s="1038">
        <f t="shared" si="11"/>
        <v>151.35181975736569</v>
      </c>
      <c r="AT19" s="1039">
        <f t="shared" si="25"/>
        <v>43473</v>
      </c>
      <c r="AU19" s="1039">
        <v>43473</v>
      </c>
      <c r="AV19" s="1039"/>
      <c r="AW19" s="1038">
        <f t="shared" si="12"/>
        <v>158.21020452725818</v>
      </c>
      <c r="AX19" s="1039">
        <f t="shared" si="26"/>
        <v>174259</v>
      </c>
      <c r="AY19" s="1039">
        <v>174259</v>
      </c>
      <c r="AZ19" s="1039"/>
      <c r="BA19" s="1038">
        <f t="shared" si="13"/>
        <v>95.857307882721827</v>
      </c>
      <c r="BB19" s="1039">
        <f t="shared" si="27"/>
        <v>24833</v>
      </c>
      <c r="BC19" s="1039">
        <v>24833</v>
      </c>
      <c r="BD19" s="1039"/>
      <c r="BE19" s="1038">
        <f t="shared" si="14"/>
        <v>100</v>
      </c>
      <c r="BF19" s="512">
        <f t="shared" si="28"/>
        <v>-10493</v>
      </c>
      <c r="BG19" s="512">
        <f t="shared" si="15"/>
        <v>748025</v>
      </c>
      <c r="BH19" s="512">
        <f t="shared" si="16"/>
        <v>0</v>
      </c>
    </row>
    <row r="20" spans="1:60" hidden="1" outlineLevel="1">
      <c r="A20" s="1035"/>
      <c r="B20" s="1036"/>
      <c r="C20" s="1037">
        <f t="shared" si="1"/>
        <v>0</v>
      </c>
      <c r="D20" s="1037"/>
      <c r="E20" s="1037"/>
      <c r="F20" s="1037"/>
      <c r="G20" s="1037"/>
      <c r="H20" s="1037"/>
      <c r="I20" s="1037"/>
      <c r="J20" s="1037"/>
      <c r="K20" s="1037"/>
      <c r="L20" s="1037"/>
      <c r="M20" s="1037"/>
      <c r="N20" s="1037">
        <f t="shared" si="18"/>
        <v>0</v>
      </c>
      <c r="O20" s="1037"/>
      <c r="P20" s="1037"/>
      <c r="Q20" s="1038"/>
      <c r="R20" s="1039">
        <f t="shared" si="19"/>
        <v>0</v>
      </c>
      <c r="S20" s="1039"/>
      <c r="T20" s="1039"/>
      <c r="U20" s="1038"/>
      <c r="V20" s="1039">
        <f t="shared" si="5"/>
        <v>0</v>
      </c>
      <c r="W20" s="1039"/>
      <c r="X20" s="1039"/>
      <c r="Y20" s="1038"/>
      <c r="Z20" s="1039">
        <f t="shared" si="20"/>
        <v>0</v>
      </c>
      <c r="AA20" s="1039"/>
      <c r="AB20" s="1039"/>
      <c r="AC20" s="1038"/>
      <c r="AD20" s="1039">
        <f t="shared" si="21"/>
        <v>0</v>
      </c>
      <c r="AE20" s="1039"/>
      <c r="AF20" s="1039"/>
      <c r="AG20" s="1038"/>
      <c r="AH20" s="1039">
        <f t="shared" si="22"/>
        <v>0</v>
      </c>
      <c r="AI20" s="1039"/>
      <c r="AJ20" s="1039"/>
      <c r="AK20" s="1038"/>
      <c r="AL20" s="1039">
        <f t="shared" si="23"/>
        <v>0</v>
      </c>
      <c r="AM20" s="1039"/>
      <c r="AN20" s="1039"/>
      <c r="AO20" s="1038"/>
      <c r="AP20" s="1039">
        <f t="shared" si="24"/>
        <v>0</v>
      </c>
      <c r="AQ20" s="1039"/>
      <c r="AR20" s="1039"/>
      <c r="AS20" s="1038"/>
      <c r="AT20" s="1039">
        <f t="shared" si="25"/>
        <v>0</v>
      </c>
      <c r="AU20" s="1039"/>
      <c r="AV20" s="1039"/>
      <c r="AW20" s="1038"/>
      <c r="AX20" s="1039">
        <f t="shared" si="26"/>
        <v>0</v>
      </c>
      <c r="AY20" s="1039"/>
      <c r="AZ20" s="1039"/>
      <c r="BA20" s="1038"/>
      <c r="BB20" s="1039">
        <f t="shared" si="27"/>
        <v>0</v>
      </c>
      <c r="BC20" s="1039"/>
      <c r="BD20" s="1039"/>
      <c r="BE20" s="1038"/>
      <c r="BF20" s="512">
        <f t="shared" si="28"/>
        <v>0</v>
      </c>
      <c r="BG20" s="512">
        <f t="shared" si="15"/>
        <v>0</v>
      </c>
      <c r="BH20" s="512">
        <f t="shared" si="16"/>
        <v>0</v>
      </c>
    </row>
    <row r="21" spans="1:60" hidden="1" outlineLevel="1">
      <c r="A21" s="1035"/>
      <c r="B21" s="1036"/>
      <c r="C21" s="1037">
        <f t="shared" si="1"/>
        <v>0</v>
      </c>
      <c r="D21" s="1037"/>
      <c r="E21" s="1037"/>
      <c r="F21" s="1037"/>
      <c r="G21" s="1037"/>
      <c r="H21" s="1037"/>
      <c r="I21" s="1037"/>
      <c r="J21" s="1037"/>
      <c r="K21" s="1037"/>
      <c r="L21" s="1037"/>
      <c r="M21" s="1037"/>
      <c r="N21" s="1037">
        <f t="shared" si="18"/>
        <v>0</v>
      </c>
      <c r="O21" s="1037"/>
      <c r="P21" s="1037"/>
      <c r="Q21" s="1038"/>
      <c r="R21" s="1039">
        <f t="shared" si="19"/>
        <v>0</v>
      </c>
      <c r="S21" s="1039"/>
      <c r="T21" s="1039"/>
      <c r="U21" s="1038"/>
      <c r="V21" s="1039">
        <f t="shared" si="5"/>
        <v>0</v>
      </c>
      <c r="W21" s="1039"/>
      <c r="X21" s="1039"/>
      <c r="Y21" s="1038"/>
      <c r="Z21" s="1039">
        <f t="shared" si="20"/>
        <v>0</v>
      </c>
      <c r="AA21" s="1039"/>
      <c r="AB21" s="1039"/>
      <c r="AC21" s="1038"/>
      <c r="AD21" s="1039">
        <f t="shared" si="21"/>
        <v>0</v>
      </c>
      <c r="AE21" s="1039"/>
      <c r="AF21" s="1039"/>
      <c r="AG21" s="1038"/>
      <c r="AH21" s="1039">
        <f t="shared" si="22"/>
        <v>0</v>
      </c>
      <c r="AI21" s="1039"/>
      <c r="AJ21" s="1039"/>
      <c r="AK21" s="1038"/>
      <c r="AL21" s="1039">
        <f t="shared" si="23"/>
        <v>0</v>
      </c>
      <c r="AM21" s="1039"/>
      <c r="AN21" s="1039"/>
      <c r="AO21" s="1038"/>
      <c r="AP21" s="1039">
        <f t="shared" si="24"/>
        <v>0</v>
      </c>
      <c r="AQ21" s="1039"/>
      <c r="AR21" s="1039"/>
      <c r="AS21" s="1038"/>
      <c r="AT21" s="1039">
        <f t="shared" si="25"/>
        <v>0</v>
      </c>
      <c r="AU21" s="1039"/>
      <c r="AV21" s="1039"/>
      <c r="AW21" s="1038"/>
      <c r="AX21" s="1039">
        <f t="shared" si="26"/>
        <v>0</v>
      </c>
      <c r="AY21" s="1039"/>
      <c r="AZ21" s="1039"/>
      <c r="BA21" s="1038"/>
      <c r="BB21" s="1039">
        <f t="shared" si="27"/>
        <v>0</v>
      </c>
      <c r="BC21" s="1039"/>
      <c r="BD21" s="1039"/>
      <c r="BE21" s="1038"/>
      <c r="BF21" s="512">
        <f t="shared" si="28"/>
        <v>0</v>
      </c>
      <c r="BG21" s="512">
        <f t="shared" si="15"/>
        <v>0</v>
      </c>
      <c r="BH21" s="512">
        <f t="shared" si="16"/>
        <v>0</v>
      </c>
    </row>
    <row r="22" spans="1:60" s="512" customFormat="1" ht="23.25" customHeight="1" collapsed="1">
      <c r="A22" s="508" t="s">
        <v>26</v>
      </c>
      <c r="B22" s="509" t="s">
        <v>27</v>
      </c>
      <c r="C22" s="510">
        <f>C23</f>
        <v>2446169.4</v>
      </c>
      <c r="D22" s="510">
        <f>D23</f>
        <v>273226.40000000002</v>
      </c>
      <c r="E22" s="510">
        <f t="shared" ref="E22:M22" si="30">E23</f>
        <v>371909</v>
      </c>
      <c r="F22" s="510">
        <f t="shared" si="30"/>
        <v>257450</v>
      </c>
      <c r="G22" s="510">
        <f t="shared" si="30"/>
        <v>241315</v>
      </c>
      <c r="H22" s="510">
        <f t="shared" si="30"/>
        <v>398242</v>
      </c>
      <c r="I22" s="510">
        <f t="shared" si="30"/>
        <v>301282</v>
      </c>
      <c r="J22" s="510">
        <f t="shared" si="30"/>
        <v>95268</v>
      </c>
      <c r="K22" s="510">
        <f t="shared" si="30"/>
        <v>196412</v>
      </c>
      <c r="L22" s="510">
        <f t="shared" si="30"/>
        <v>27552</v>
      </c>
      <c r="M22" s="510">
        <f t="shared" si="30"/>
        <v>283513</v>
      </c>
      <c r="N22" s="510">
        <f t="shared" si="18"/>
        <v>2839107</v>
      </c>
      <c r="O22" s="510">
        <f>O23+O26</f>
        <v>2470631</v>
      </c>
      <c r="P22" s="510">
        <f>P23+P26</f>
        <v>368476</v>
      </c>
      <c r="Q22" s="511">
        <f>O22/C22*100</f>
        <v>100.99999615725714</v>
      </c>
      <c r="R22" s="510">
        <f t="shared" si="19"/>
        <v>350807.66400000005</v>
      </c>
      <c r="S22" s="510">
        <f>S23+S26</f>
        <v>275958.66400000005</v>
      </c>
      <c r="T22" s="510">
        <f>T23+T26</f>
        <v>74849</v>
      </c>
      <c r="U22" s="511">
        <f>S22/D22*100</f>
        <v>101</v>
      </c>
      <c r="V22" s="510">
        <f t="shared" si="5"/>
        <v>429771.17680000002</v>
      </c>
      <c r="W22" s="510">
        <f>W23+W26</f>
        <v>375628.09</v>
      </c>
      <c r="X22" s="510">
        <f>X23+X26</f>
        <v>54143.086800000005</v>
      </c>
      <c r="Y22" s="511">
        <f>W22/E22*100</f>
        <v>101</v>
      </c>
      <c r="Z22" s="510">
        <f t="shared" si="20"/>
        <v>297139.60399999999</v>
      </c>
      <c r="AA22" s="510">
        <f>AA23+AA26</f>
        <v>260024.5</v>
      </c>
      <c r="AB22" s="510">
        <f>AB23+AB26</f>
        <v>37115.103999999999</v>
      </c>
      <c r="AC22" s="511">
        <f>AA22/F22*100</f>
        <v>101</v>
      </c>
      <c r="AD22" s="510">
        <f t="shared" si="21"/>
        <v>281755.34999999998</v>
      </c>
      <c r="AE22" s="510">
        <f>AE23+AE26</f>
        <v>243728.15</v>
      </c>
      <c r="AF22" s="510">
        <f>AF23+AF26</f>
        <v>38027.199999999997</v>
      </c>
      <c r="AG22" s="511">
        <f>AE22/G22*100</f>
        <v>101</v>
      </c>
      <c r="AH22" s="510">
        <f t="shared" si="22"/>
        <v>441817.00599999999</v>
      </c>
      <c r="AI22" s="510">
        <f>AI23+AI26</f>
        <v>402224.42</v>
      </c>
      <c r="AJ22" s="510">
        <f>AJ23+AJ26</f>
        <v>39592.586000000003</v>
      </c>
      <c r="AK22" s="511">
        <f>AI22/H22*100</f>
        <v>101</v>
      </c>
      <c r="AL22" s="510">
        <f t="shared" si="23"/>
        <v>348277.82</v>
      </c>
      <c r="AM22" s="510">
        <f>AM23+AM26</f>
        <v>304294.82</v>
      </c>
      <c r="AN22" s="510">
        <f>AN23+AN26</f>
        <v>43983</v>
      </c>
      <c r="AO22" s="511">
        <f>AM22/I22*100</f>
        <v>101</v>
      </c>
      <c r="AP22" s="510">
        <f t="shared" si="24"/>
        <v>101232.87999999999</v>
      </c>
      <c r="AQ22" s="510">
        <f>AQ23+AQ26</f>
        <v>96220.68</v>
      </c>
      <c r="AR22" s="510">
        <f>AR23+AR26</f>
        <v>5012.2000000000007</v>
      </c>
      <c r="AS22" s="511">
        <f>AQ22/J22*100</f>
        <v>101</v>
      </c>
      <c r="AT22" s="510">
        <f t="shared" si="25"/>
        <v>221826.11599999998</v>
      </c>
      <c r="AU22" s="510">
        <f>AU23+AU26</f>
        <v>198376.12</v>
      </c>
      <c r="AV22" s="510">
        <f>AV23+AV26</f>
        <v>23449.995999999999</v>
      </c>
      <c r="AW22" s="511">
        <f>AU22/K22*100</f>
        <v>101</v>
      </c>
      <c r="AX22" s="510">
        <f t="shared" si="26"/>
        <v>47958.520000000004</v>
      </c>
      <c r="AY22" s="510">
        <f>AY23+AY26</f>
        <v>27827.52</v>
      </c>
      <c r="AZ22" s="510">
        <f>AZ23+AZ26</f>
        <v>20131</v>
      </c>
      <c r="BA22" s="511">
        <f>AY22/L22*100</f>
        <v>101</v>
      </c>
      <c r="BB22" s="510">
        <f t="shared" si="27"/>
        <v>318521.04457999999</v>
      </c>
      <c r="BC22" s="510">
        <f>BC23+BC26</f>
        <v>286348.13</v>
      </c>
      <c r="BD22" s="510">
        <f>BD23+BD26</f>
        <v>32172.914580000001</v>
      </c>
      <c r="BE22" s="511">
        <f>BC22/M22*100</f>
        <v>101</v>
      </c>
      <c r="BF22" s="512">
        <f t="shared" si="28"/>
        <v>24461.600000000093</v>
      </c>
      <c r="BG22" s="512">
        <f t="shared" si="15"/>
        <v>2470631.094</v>
      </c>
      <c r="BH22" s="512">
        <f t="shared" si="16"/>
        <v>9.4000000040978193E-2</v>
      </c>
    </row>
    <row r="23" spans="1:60" s="512" customFormat="1" ht="27.6" outlineLevel="1">
      <c r="A23" s="508" t="s">
        <v>42</v>
      </c>
      <c r="B23" s="509" t="s">
        <v>1550</v>
      </c>
      <c r="C23" s="510">
        <f>C24+C25</f>
        <v>2446169.4</v>
      </c>
      <c r="D23" s="510">
        <f t="shared" ref="D23:M23" si="31">D24+D25</f>
        <v>273226.40000000002</v>
      </c>
      <c r="E23" s="510">
        <f t="shared" si="31"/>
        <v>371909</v>
      </c>
      <c r="F23" s="510">
        <f t="shared" si="31"/>
        <v>257450</v>
      </c>
      <c r="G23" s="510">
        <f t="shared" si="31"/>
        <v>241315</v>
      </c>
      <c r="H23" s="510">
        <f t="shared" si="31"/>
        <v>398242</v>
      </c>
      <c r="I23" s="510">
        <f t="shared" si="31"/>
        <v>301282</v>
      </c>
      <c r="J23" s="510">
        <f t="shared" si="31"/>
        <v>95268</v>
      </c>
      <c r="K23" s="510">
        <f t="shared" si="31"/>
        <v>196412</v>
      </c>
      <c r="L23" s="510">
        <f t="shared" si="31"/>
        <v>27552</v>
      </c>
      <c r="M23" s="510">
        <f t="shared" si="31"/>
        <v>283513</v>
      </c>
      <c r="N23" s="510">
        <f t="shared" si="18"/>
        <v>2470631</v>
      </c>
      <c r="O23" s="510">
        <f>O24+O25</f>
        <v>2470631</v>
      </c>
      <c r="P23" s="510"/>
      <c r="Q23" s="511">
        <f>O23/C23*100</f>
        <v>100.99999615725714</v>
      </c>
      <c r="R23" s="510">
        <f t="shared" si="19"/>
        <v>275958.66400000005</v>
      </c>
      <c r="S23" s="510">
        <f>S24+S25</f>
        <v>275958.66400000005</v>
      </c>
      <c r="T23" s="510"/>
      <c r="U23" s="511">
        <f>S23/D23*100</f>
        <v>101</v>
      </c>
      <c r="V23" s="510">
        <f t="shared" si="5"/>
        <v>375628.09</v>
      </c>
      <c r="W23" s="510">
        <f>W24+W25</f>
        <v>375628.09</v>
      </c>
      <c r="X23" s="510"/>
      <c r="Y23" s="511">
        <f>W23/E23*100</f>
        <v>101</v>
      </c>
      <c r="Z23" s="510">
        <f t="shared" si="20"/>
        <v>260024.5</v>
      </c>
      <c r="AA23" s="510">
        <f>AA24+AA25</f>
        <v>260024.5</v>
      </c>
      <c r="AB23" s="510"/>
      <c r="AC23" s="511">
        <f>AA23/F23*100</f>
        <v>101</v>
      </c>
      <c r="AD23" s="510">
        <f t="shared" si="21"/>
        <v>243728.15</v>
      </c>
      <c r="AE23" s="510">
        <f>AE24+AE25</f>
        <v>243728.15</v>
      </c>
      <c r="AF23" s="510"/>
      <c r="AG23" s="511">
        <f>AE23/G23*100</f>
        <v>101</v>
      </c>
      <c r="AH23" s="510">
        <f t="shared" si="22"/>
        <v>402224.42</v>
      </c>
      <c r="AI23" s="510">
        <f>AI24+AI25</f>
        <v>402224.42</v>
      </c>
      <c r="AJ23" s="510"/>
      <c r="AK23" s="511">
        <f>AI23/H23*100</f>
        <v>101</v>
      </c>
      <c r="AL23" s="510">
        <f t="shared" si="23"/>
        <v>304294.82</v>
      </c>
      <c r="AM23" s="510">
        <f>AM24+AM25</f>
        <v>304294.82</v>
      </c>
      <c r="AN23" s="510"/>
      <c r="AO23" s="511">
        <f>AM23/I23*100</f>
        <v>101</v>
      </c>
      <c r="AP23" s="510">
        <f t="shared" si="24"/>
        <v>96220.68</v>
      </c>
      <c r="AQ23" s="510">
        <f>AQ24+AQ25</f>
        <v>96220.68</v>
      </c>
      <c r="AR23" s="510"/>
      <c r="AS23" s="511">
        <f>AQ23/J23*100</f>
        <v>101</v>
      </c>
      <c r="AT23" s="510">
        <f t="shared" si="25"/>
        <v>198376.12</v>
      </c>
      <c r="AU23" s="510">
        <f>AU24+AU25</f>
        <v>198376.12</v>
      </c>
      <c r="AV23" s="510"/>
      <c r="AW23" s="511">
        <f>AU23/K23*100</f>
        <v>101</v>
      </c>
      <c r="AX23" s="510">
        <f t="shared" si="26"/>
        <v>27827.52</v>
      </c>
      <c r="AY23" s="510">
        <f>AY24+AY25</f>
        <v>27827.52</v>
      </c>
      <c r="AZ23" s="510"/>
      <c r="BA23" s="511">
        <f>AY23/L23*100</f>
        <v>101</v>
      </c>
      <c r="BB23" s="510">
        <f t="shared" si="27"/>
        <v>286348.13</v>
      </c>
      <c r="BC23" s="510">
        <f>BC24+BC25</f>
        <v>286348.13</v>
      </c>
      <c r="BD23" s="510"/>
      <c r="BE23" s="511">
        <f>BC23/M23*100</f>
        <v>101</v>
      </c>
      <c r="BF23" s="512">
        <f t="shared" si="28"/>
        <v>24461.600000000093</v>
      </c>
      <c r="BG23" s="512">
        <f t="shared" si="15"/>
        <v>2470631.094</v>
      </c>
      <c r="BH23" s="512">
        <f t="shared" si="16"/>
        <v>9.4000000040978193E-2</v>
      </c>
    </row>
    <row r="24" spans="1:60" outlineLevel="1">
      <c r="A24" s="1035" t="s">
        <v>45</v>
      </c>
      <c r="B24" s="1036" t="s">
        <v>1929</v>
      </c>
      <c r="C24" s="1037">
        <f>D24+E24+F24+G24+H24+I24+J24+K24+L24+M24</f>
        <v>2446169.4</v>
      </c>
      <c r="D24" s="1037">
        <v>273226.40000000002</v>
      </c>
      <c r="E24" s="1037">
        <v>371909</v>
      </c>
      <c r="F24" s="1037">
        <v>257450</v>
      </c>
      <c r="G24" s="1037">
        <v>241315</v>
      </c>
      <c r="H24" s="1037">
        <v>398242</v>
      </c>
      <c r="I24" s="1037">
        <v>301282</v>
      </c>
      <c r="J24" s="1037">
        <v>95268</v>
      </c>
      <c r="K24" s="1037">
        <v>196412</v>
      </c>
      <c r="L24" s="1037">
        <v>27552</v>
      </c>
      <c r="M24" s="1037">
        <v>283513</v>
      </c>
      <c r="N24" s="1037">
        <f t="shared" si="18"/>
        <v>2446169</v>
      </c>
      <c r="O24" s="1037">
        <f t="shared" ref="O24:P31" si="32">ROUND(S24+W24+AA24+AE24+AI24+AM24+AQ24+AU24+AY24+BC24,0)</f>
        <v>2446169</v>
      </c>
      <c r="P24" s="1037"/>
      <c r="Q24" s="1038">
        <f>O24/C24*100</f>
        <v>99.999983647902724</v>
      </c>
      <c r="R24" s="1039">
        <f t="shared" si="19"/>
        <v>273226.40000000002</v>
      </c>
      <c r="S24" s="1039">
        <f>D24</f>
        <v>273226.40000000002</v>
      </c>
      <c r="T24" s="1039"/>
      <c r="U24" s="1038">
        <f>S24/D24*100</f>
        <v>100</v>
      </c>
      <c r="V24" s="1039">
        <f t="shared" si="5"/>
        <v>371909</v>
      </c>
      <c r="W24" s="1039">
        <f>E24</f>
        <v>371909</v>
      </c>
      <c r="X24" s="1039"/>
      <c r="Y24" s="1038">
        <f>W24/E24*100</f>
        <v>100</v>
      </c>
      <c r="Z24" s="1039">
        <f t="shared" si="20"/>
        <v>257450</v>
      </c>
      <c r="AA24" s="1039">
        <f>F24</f>
        <v>257450</v>
      </c>
      <c r="AB24" s="1039"/>
      <c r="AC24" s="1038">
        <f>AA24/F24*100</f>
        <v>100</v>
      </c>
      <c r="AD24" s="1039">
        <f t="shared" si="21"/>
        <v>241315</v>
      </c>
      <c r="AE24" s="1039">
        <f>G24</f>
        <v>241315</v>
      </c>
      <c r="AF24" s="1039"/>
      <c r="AG24" s="1038">
        <f>AE24/G24*100</f>
        <v>100</v>
      </c>
      <c r="AH24" s="1039">
        <f t="shared" si="22"/>
        <v>398242</v>
      </c>
      <c r="AI24" s="1039">
        <f>H24</f>
        <v>398242</v>
      </c>
      <c r="AJ24" s="1039"/>
      <c r="AK24" s="1038">
        <f>AI24/H24*100</f>
        <v>100</v>
      </c>
      <c r="AL24" s="1039">
        <f t="shared" si="23"/>
        <v>301282</v>
      </c>
      <c r="AM24" s="1039">
        <f>I24</f>
        <v>301282</v>
      </c>
      <c r="AN24" s="1039"/>
      <c r="AO24" s="1038">
        <f>AM24/I24*100</f>
        <v>100</v>
      </c>
      <c r="AP24" s="1039">
        <f t="shared" si="24"/>
        <v>95268</v>
      </c>
      <c r="AQ24" s="1039">
        <f>J24</f>
        <v>95268</v>
      </c>
      <c r="AR24" s="1039"/>
      <c r="AS24" s="1038">
        <f>AQ24/J24*100</f>
        <v>100</v>
      </c>
      <c r="AT24" s="1039">
        <f t="shared" si="25"/>
        <v>196412</v>
      </c>
      <c r="AU24" s="1039">
        <f>K24</f>
        <v>196412</v>
      </c>
      <c r="AV24" s="1039"/>
      <c r="AW24" s="1038">
        <f>AU24/K24*100</f>
        <v>100</v>
      </c>
      <c r="AX24" s="1039">
        <f t="shared" si="26"/>
        <v>27552</v>
      </c>
      <c r="AY24" s="1039">
        <f>L24</f>
        <v>27552</v>
      </c>
      <c r="AZ24" s="1039"/>
      <c r="BA24" s="1038">
        <f>AY24/L24*100</f>
        <v>100</v>
      </c>
      <c r="BB24" s="1039">
        <f t="shared" si="27"/>
        <v>283513</v>
      </c>
      <c r="BC24" s="1039">
        <f>M24</f>
        <v>283513</v>
      </c>
      <c r="BD24" s="1039"/>
      <c r="BE24" s="1038">
        <f>BC24/M24*100</f>
        <v>100</v>
      </c>
      <c r="BF24" s="512">
        <f t="shared" si="28"/>
        <v>-0.39999999990686774</v>
      </c>
      <c r="BG24" s="512">
        <f t="shared" si="15"/>
        <v>2446169.4</v>
      </c>
      <c r="BH24" s="512">
        <f t="shared" si="16"/>
        <v>0.39999999990686774</v>
      </c>
    </row>
    <row r="25" spans="1:60" ht="27.6" outlineLevel="1">
      <c r="A25" s="1035" t="s">
        <v>47</v>
      </c>
      <c r="B25" s="1036" t="s">
        <v>1930</v>
      </c>
      <c r="C25" s="1037">
        <f>D25+E25+F25+G25+H25+I25+J25+K25+L25+M25</f>
        <v>0</v>
      </c>
      <c r="D25" s="1037"/>
      <c r="E25" s="1037"/>
      <c r="F25" s="1037"/>
      <c r="G25" s="1037"/>
      <c r="H25" s="1037"/>
      <c r="I25" s="1037"/>
      <c r="J25" s="1037"/>
      <c r="K25" s="1037"/>
      <c r="L25" s="1037"/>
      <c r="M25" s="1037"/>
      <c r="N25" s="1037">
        <f t="shared" si="18"/>
        <v>24462</v>
      </c>
      <c r="O25" s="1037">
        <f t="shared" si="32"/>
        <v>24462</v>
      </c>
      <c r="P25" s="1037"/>
      <c r="Q25" s="1041"/>
      <c r="R25" s="1037">
        <f t="shared" si="19"/>
        <v>2732.2640000000001</v>
      </c>
      <c r="S25" s="1037">
        <f>S24*1%</f>
        <v>2732.2640000000001</v>
      </c>
      <c r="T25" s="1037"/>
      <c r="U25" s="1037"/>
      <c r="V25" s="1037">
        <f t="shared" si="5"/>
        <v>3719.09</v>
      </c>
      <c r="W25" s="1037">
        <f>W24*1%</f>
        <v>3719.09</v>
      </c>
      <c r="X25" s="1037"/>
      <c r="Y25" s="1037"/>
      <c r="Z25" s="1037">
        <f t="shared" si="20"/>
        <v>2574.5</v>
      </c>
      <c r="AA25" s="1037">
        <f>AA24*1%</f>
        <v>2574.5</v>
      </c>
      <c r="AB25" s="1037"/>
      <c r="AC25" s="1037"/>
      <c r="AD25" s="1037">
        <f t="shared" si="21"/>
        <v>2413.15</v>
      </c>
      <c r="AE25" s="1037">
        <f>AE24*1%</f>
        <v>2413.15</v>
      </c>
      <c r="AF25" s="1037"/>
      <c r="AG25" s="1037"/>
      <c r="AH25" s="1037">
        <f t="shared" si="22"/>
        <v>3982.42</v>
      </c>
      <c r="AI25" s="1037">
        <f>AI24*1%</f>
        <v>3982.42</v>
      </c>
      <c r="AJ25" s="1037"/>
      <c r="AK25" s="1037"/>
      <c r="AL25" s="1037">
        <f t="shared" si="23"/>
        <v>3012.82</v>
      </c>
      <c r="AM25" s="1037">
        <f>AM24*1%</f>
        <v>3012.82</v>
      </c>
      <c r="AN25" s="1037"/>
      <c r="AO25" s="1037"/>
      <c r="AP25" s="1037">
        <f t="shared" si="24"/>
        <v>952.68000000000006</v>
      </c>
      <c r="AQ25" s="1037">
        <f>AQ24*1%</f>
        <v>952.68000000000006</v>
      </c>
      <c r="AR25" s="1037"/>
      <c r="AS25" s="1037"/>
      <c r="AT25" s="1037">
        <f t="shared" si="25"/>
        <v>1964.1200000000001</v>
      </c>
      <c r="AU25" s="1037">
        <f>AU24*1%</f>
        <v>1964.1200000000001</v>
      </c>
      <c r="AV25" s="1037"/>
      <c r="AW25" s="1037"/>
      <c r="AX25" s="1037">
        <f t="shared" si="26"/>
        <v>275.52</v>
      </c>
      <c r="AY25" s="1037">
        <f>AY24*1%</f>
        <v>275.52</v>
      </c>
      <c r="AZ25" s="1037"/>
      <c r="BA25" s="1037"/>
      <c r="BB25" s="1037">
        <f t="shared" si="27"/>
        <v>2835.13</v>
      </c>
      <c r="BC25" s="1037">
        <f>BC24*1%</f>
        <v>2835.13</v>
      </c>
      <c r="BD25" s="1037"/>
      <c r="BE25" s="1037"/>
      <c r="BF25" s="1025">
        <f t="shared" si="28"/>
        <v>24462</v>
      </c>
      <c r="BG25" s="512">
        <f t="shared" si="15"/>
        <v>24461.694</v>
      </c>
      <c r="BH25" s="512">
        <f t="shared" si="16"/>
        <v>-0.30600000000049477</v>
      </c>
    </row>
    <row r="26" spans="1:60" s="512" customFormat="1" ht="18.75" customHeight="1">
      <c r="A26" s="508" t="s">
        <v>52</v>
      </c>
      <c r="B26" s="1042" t="s">
        <v>1906</v>
      </c>
      <c r="C26" s="510"/>
      <c r="D26" s="510"/>
      <c r="E26" s="510"/>
      <c r="F26" s="510"/>
      <c r="G26" s="510"/>
      <c r="H26" s="510"/>
      <c r="I26" s="510"/>
      <c r="J26" s="510"/>
      <c r="K26" s="510"/>
      <c r="L26" s="510"/>
      <c r="M26" s="510"/>
      <c r="N26" s="510">
        <f>O26+P26</f>
        <v>368476</v>
      </c>
      <c r="O26" s="510">
        <f t="shared" si="32"/>
        <v>0</v>
      </c>
      <c r="P26" s="510">
        <f>ROUND(T26+X26+AB26+AF26+AJ26+AN26+AR26+AV26+AZ26+BD26,0)</f>
        <v>368476</v>
      </c>
      <c r="Q26" s="511"/>
      <c r="R26" s="510">
        <f t="shared" si="19"/>
        <v>74849</v>
      </c>
      <c r="S26" s="510">
        <f>S27+S31</f>
        <v>0</v>
      </c>
      <c r="T26" s="510">
        <f>T27+T31</f>
        <v>74849</v>
      </c>
      <c r="U26" s="510"/>
      <c r="V26" s="510">
        <f t="shared" si="5"/>
        <v>54143.086800000005</v>
      </c>
      <c r="W26" s="510">
        <f>W27+W31</f>
        <v>0</v>
      </c>
      <c r="X26" s="510">
        <f>X27+X31</f>
        <v>54143.086800000005</v>
      </c>
      <c r="Y26" s="510"/>
      <c r="Z26" s="510">
        <f t="shared" si="20"/>
        <v>37115.103999999999</v>
      </c>
      <c r="AA26" s="510">
        <f>AA27+AA31</f>
        <v>0</v>
      </c>
      <c r="AB26" s="510">
        <f>AB27+AB31</f>
        <v>37115.103999999999</v>
      </c>
      <c r="AC26" s="510"/>
      <c r="AD26" s="510">
        <f t="shared" si="21"/>
        <v>38027.199999999997</v>
      </c>
      <c r="AE26" s="510">
        <f>AE27+AE31</f>
        <v>0</v>
      </c>
      <c r="AF26" s="510">
        <f>AF27+AF31</f>
        <v>38027.199999999997</v>
      </c>
      <c r="AG26" s="510"/>
      <c r="AH26" s="510">
        <f t="shared" si="22"/>
        <v>39592.586000000003</v>
      </c>
      <c r="AI26" s="510">
        <f>AI27+AI31</f>
        <v>0</v>
      </c>
      <c r="AJ26" s="510">
        <f>AJ27+AJ31</f>
        <v>39592.586000000003</v>
      </c>
      <c r="AK26" s="510"/>
      <c r="AL26" s="510">
        <f t="shared" si="23"/>
        <v>43983</v>
      </c>
      <c r="AM26" s="510">
        <f>AM27+AM31</f>
        <v>0</v>
      </c>
      <c r="AN26" s="510">
        <f>AN27+AN31</f>
        <v>43983</v>
      </c>
      <c r="AO26" s="510"/>
      <c r="AP26" s="510">
        <f t="shared" si="24"/>
        <v>5012.2000000000007</v>
      </c>
      <c r="AQ26" s="510">
        <f>AQ27+AQ31</f>
        <v>0</v>
      </c>
      <c r="AR26" s="510">
        <f>AR27+AR31</f>
        <v>5012.2000000000007</v>
      </c>
      <c r="AS26" s="510"/>
      <c r="AT26" s="510">
        <f t="shared" si="25"/>
        <v>23449.995999999999</v>
      </c>
      <c r="AU26" s="510">
        <f>AU27+AU31</f>
        <v>0</v>
      </c>
      <c r="AV26" s="510">
        <f>AV27+AV31</f>
        <v>23449.995999999999</v>
      </c>
      <c r="AW26" s="510"/>
      <c r="AX26" s="510">
        <f t="shared" si="26"/>
        <v>20131</v>
      </c>
      <c r="AY26" s="510">
        <f>AY27+AY31</f>
        <v>0</v>
      </c>
      <c r="AZ26" s="510">
        <f>AZ27+AZ31</f>
        <v>20131</v>
      </c>
      <c r="BA26" s="510"/>
      <c r="BB26" s="510">
        <f t="shared" si="27"/>
        <v>32172.914580000001</v>
      </c>
      <c r="BC26" s="510">
        <f>BC27+BC31</f>
        <v>0</v>
      </c>
      <c r="BD26" s="510">
        <f>BD27+BD31</f>
        <v>32172.914580000001</v>
      </c>
      <c r="BE26" s="510"/>
      <c r="BF26" s="512">
        <f t="shared" si="28"/>
        <v>0</v>
      </c>
      <c r="BG26" s="512">
        <f t="shared" si="15"/>
        <v>0</v>
      </c>
      <c r="BH26" s="512">
        <f t="shared" si="16"/>
        <v>0</v>
      </c>
    </row>
    <row r="27" spans="1:60" s="512" customFormat="1" ht="27.6">
      <c r="A27" s="508" t="s">
        <v>45</v>
      </c>
      <c r="B27" s="1042" t="s">
        <v>1907</v>
      </c>
      <c r="C27" s="510"/>
      <c r="D27" s="510"/>
      <c r="E27" s="510"/>
      <c r="F27" s="510"/>
      <c r="G27" s="510"/>
      <c r="H27" s="510"/>
      <c r="I27" s="510"/>
      <c r="J27" s="510"/>
      <c r="K27" s="510"/>
      <c r="L27" s="510"/>
      <c r="M27" s="510"/>
      <c r="N27" s="510">
        <f t="shared" si="18"/>
        <v>350490</v>
      </c>
      <c r="O27" s="510">
        <f t="shared" si="32"/>
        <v>0</v>
      </c>
      <c r="P27" s="510">
        <f t="shared" si="32"/>
        <v>350490</v>
      </c>
      <c r="Q27" s="511"/>
      <c r="R27" s="510">
        <f>S27+T27</f>
        <v>70095</v>
      </c>
      <c r="S27" s="510">
        <f>S28-S29-S30</f>
        <v>0</v>
      </c>
      <c r="T27" s="510">
        <f>T28-T29-T30</f>
        <v>70095</v>
      </c>
      <c r="U27" s="510"/>
      <c r="V27" s="510">
        <f t="shared" si="5"/>
        <v>46238.086800000005</v>
      </c>
      <c r="W27" s="510">
        <f>W28-W29-W30</f>
        <v>0</v>
      </c>
      <c r="X27" s="510">
        <f>X28-X29-X30</f>
        <v>46238.086800000005</v>
      </c>
      <c r="Y27" s="510"/>
      <c r="Z27" s="510">
        <f>AA27+AB27</f>
        <v>37115.103999999999</v>
      </c>
      <c r="AA27" s="510">
        <f>AA28-AA29-AA30</f>
        <v>0</v>
      </c>
      <c r="AB27" s="510">
        <f>AB28-AB29-AB30</f>
        <v>37115.103999999999</v>
      </c>
      <c r="AC27" s="510"/>
      <c r="AD27" s="510">
        <f>AE27+AF27</f>
        <v>35191.199999999997</v>
      </c>
      <c r="AE27" s="510">
        <f>AE28-AE29-AE30</f>
        <v>0</v>
      </c>
      <c r="AF27" s="510">
        <f>AF28-AF29-AF30</f>
        <v>35191.199999999997</v>
      </c>
      <c r="AG27" s="510"/>
      <c r="AH27" s="510">
        <f>AI27+AJ27</f>
        <v>39592.586000000003</v>
      </c>
      <c r="AI27" s="510">
        <f>AI28-AI29-AI30</f>
        <v>0</v>
      </c>
      <c r="AJ27" s="510">
        <f>AJ28-AJ29-AJ30</f>
        <v>39592.586000000003</v>
      </c>
      <c r="AK27" s="510"/>
      <c r="AL27" s="510">
        <f>AM27+AN27</f>
        <v>41492</v>
      </c>
      <c r="AM27" s="510">
        <f>AM28-AM29-AM30</f>
        <v>0</v>
      </c>
      <c r="AN27" s="510">
        <f>AN28-AN29-AN30</f>
        <v>41492</v>
      </c>
      <c r="AO27" s="510"/>
      <c r="AP27" s="510">
        <f>AQ27+AR27</f>
        <v>5012.2000000000007</v>
      </c>
      <c r="AQ27" s="510">
        <f>AQ28-AQ29-AQ30</f>
        <v>0</v>
      </c>
      <c r="AR27" s="510">
        <f>AR28-AR29-AR30</f>
        <v>5012.2000000000007</v>
      </c>
      <c r="AS27" s="510"/>
      <c r="AT27" s="510">
        <f>AU27+AV27</f>
        <v>23449.995999999999</v>
      </c>
      <c r="AU27" s="510">
        <f>AU28-AU29-AU30</f>
        <v>0</v>
      </c>
      <c r="AV27" s="510">
        <f>AV28-AV29-AV30</f>
        <v>23449.995999999999</v>
      </c>
      <c r="AW27" s="510"/>
      <c r="AX27" s="510">
        <f>AY27+AZ27</f>
        <v>20131</v>
      </c>
      <c r="AY27" s="510">
        <f>AY28-AY29-AY30</f>
        <v>0</v>
      </c>
      <c r="AZ27" s="510">
        <f>AZ28-AZ29-AZ30</f>
        <v>20131</v>
      </c>
      <c r="BA27" s="510"/>
      <c r="BB27" s="510">
        <f>BC27+BD27</f>
        <v>32172.914580000001</v>
      </c>
      <c r="BC27" s="510">
        <f>BC28-BC29-BC30</f>
        <v>0</v>
      </c>
      <c r="BD27" s="510">
        <f>BD28-BD29-BD30</f>
        <v>32172.914580000001</v>
      </c>
      <c r="BE27" s="510"/>
    </row>
    <row r="28" spans="1:60" s="1047" customFormat="1" ht="27.6">
      <c r="A28" s="1043" t="s">
        <v>23</v>
      </c>
      <c r="B28" s="1044" t="s">
        <v>1908</v>
      </c>
      <c r="C28" s="1045"/>
      <c r="D28" s="1045"/>
      <c r="E28" s="1045"/>
      <c r="F28" s="1045"/>
      <c r="G28" s="1045"/>
      <c r="H28" s="1045"/>
      <c r="I28" s="1045"/>
      <c r="J28" s="1045"/>
      <c r="K28" s="1045"/>
      <c r="L28" s="1045"/>
      <c r="M28" s="1045"/>
      <c r="N28" s="1045">
        <f t="shared" si="18"/>
        <v>437864</v>
      </c>
      <c r="O28" s="1045">
        <f t="shared" si="32"/>
        <v>0</v>
      </c>
      <c r="P28" s="1045">
        <f t="shared" si="32"/>
        <v>437864</v>
      </c>
      <c r="Q28" s="1046"/>
      <c r="R28" s="1045">
        <f t="shared" si="19"/>
        <v>80970</v>
      </c>
      <c r="S28" s="1045"/>
      <c r="T28" s="1045">
        <v>80970</v>
      </c>
      <c r="U28" s="1045"/>
      <c r="V28" s="1045">
        <f t="shared" si="5"/>
        <v>55047</v>
      </c>
      <c r="W28" s="1045"/>
      <c r="X28" s="1045">
        <v>55047</v>
      </c>
      <c r="Y28" s="1045"/>
      <c r="Z28" s="1045">
        <f>AA28+AB28</f>
        <v>45410</v>
      </c>
      <c r="AA28" s="1045"/>
      <c r="AB28" s="1045">
        <v>45410</v>
      </c>
      <c r="AC28" s="1045"/>
      <c r="AD28" s="1045">
        <f>AE28+AF28</f>
        <v>40510</v>
      </c>
      <c r="AE28" s="1045"/>
      <c r="AF28" s="1045">
        <v>40510</v>
      </c>
      <c r="AG28" s="1045"/>
      <c r="AH28" s="1045">
        <f>AI28+AJ28</f>
        <v>48477</v>
      </c>
      <c r="AI28" s="1045"/>
      <c r="AJ28" s="1045">
        <v>48477</v>
      </c>
      <c r="AK28" s="1045"/>
      <c r="AL28" s="1045">
        <f>AM28+AN28</f>
        <v>47958</v>
      </c>
      <c r="AM28" s="1045"/>
      <c r="AN28" s="1045">
        <v>47958</v>
      </c>
      <c r="AO28" s="1045"/>
      <c r="AP28" s="1045">
        <f>AQ28+AR28</f>
        <v>12241</v>
      </c>
      <c r="AQ28" s="1045"/>
      <c r="AR28" s="1045">
        <v>12241</v>
      </c>
      <c r="AS28" s="1045"/>
      <c r="AT28" s="1045">
        <f>AU28+AV28</f>
        <v>31356</v>
      </c>
      <c r="AU28" s="1045"/>
      <c r="AV28" s="1045">
        <v>31356</v>
      </c>
      <c r="AW28" s="1045"/>
      <c r="AX28" s="1045">
        <f>AY28+AZ28</f>
        <v>37734</v>
      </c>
      <c r="AY28" s="1045"/>
      <c r="AZ28" s="1045">
        <v>37734</v>
      </c>
      <c r="BA28" s="1045"/>
      <c r="BB28" s="1045">
        <f>BC28+BD28</f>
        <v>38161</v>
      </c>
      <c r="BC28" s="1045"/>
      <c r="BD28" s="1045">
        <v>38161</v>
      </c>
      <c r="BE28" s="1045"/>
    </row>
    <row r="29" spans="1:60" ht="32.25" customHeight="1">
      <c r="A29" s="1035" t="s">
        <v>23</v>
      </c>
      <c r="B29" s="1048" t="s">
        <v>1909</v>
      </c>
      <c r="C29" s="1037"/>
      <c r="D29" s="1037"/>
      <c r="E29" s="1037"/>
      <c r="F29" s="1037"/>
      <c r="G29" s="1037"/>
      <c r="H29" s="1037"/>
      <c r="I29" s="1037"/>
      <c r="J29" s="1037"/>
      <c r="K29" s="1037"/>
      <c r="L29" s="1037"/>
      <c r="M29" s="1037"/>
      <c r="N29" s="1037">
        <f t="shared" si="18"/>
        <v>66518</v>
      </c>
      <c r="O29" s="1037">
        <f t="shared" si="32"/>
        <v>0</v>
      </c>
      <c r="P29" s="1037">
        <f>ROUND(T29+X29+AB29+AF29+AJ29+AN29+AR29+AV29+AZ29+BD29,0)</f>
        <v>66518</v>
      </c>
      <c r="Q29" s="1041"/>
      <c r="R29" s="1037">
        <f t="shared" si="19"/>
        <v>10875</v>
      </c>
      <c r="S29" s="1037"/>
      <c r="T29" s="1037">
        <v>10875</v>
      </c>
      <c r="U29" s="1037"/>
      <c r="V29" s="1037">
        <f t="shared" si="5"/>
        <v>8808.9131999999991</v>
      </c>
      <c r="W29" s="1037"/>
      <c r="X29" s="1037">
        <v>8808.9131999999991</v>
      </c>
      <c r="Y29" s="1037"/>
      <c r="Z29" s="1037">
        <f>AA29+AB29</f>
        <v>6973.8960000000006</v>
      </c>
      <c r="AA29" s="1037"/>
      <c r="AB29" s="1037">
        <v>6973.8960000000006</v>
      </c>
      <c r="AC29" s="1037"/>
      <c r="AD29" s="1037">
        <f>AE29+AF29</f>
        <v>5318.8</v>
      </c>
      <c r="AE29" s="1037"/>
      <c r="AF29" s="1037">
        <v>5318.8</v>
      </c>
      <c r="AG29" s="1037"/>
      <c r="AH29" s="1037">
        <f>AI29+AJ29</f>
        <v>8032.4139999999998</v>
      </c>
      <c r="AI29" s="1037"/>
      <c r="AJ29" s="1037">
        <v>8032.4139999999998</v>
      </c>
      <c r="AK29" s="1037"/>
      <c r="AL29" s="1037">
        <f>AM29+AN29</f>
        <v>6466</v>
      </c>
      <c r="AM29" s="1037"/>
      <c r="AN29" s="1037">
        <v>6466</v>
      </c>
      <c r="AO29" s="1037"/>
      <c r="AP29" s="1037">
        <f>AQ29+AR29</f>
        <v>2226.8000000000002</v>
      </c>
      <c r="AQ29" s="1037"/>
      <c r="AR29" s="1037">
        <v>2226.8000000000002</v>
      </c>
      <c r="AS29" s="1037"/>
      <c r="AT29" s="1037">
        <f>AU29+AV29</f>
        <v>4281.0040000000008</v>
      </c>
      <c r="AU29" s="1037"/>
      <c r="AV29" s="1037">
        <v>4281.0040000000008</v>
      </c>
      <c r="AW29" s="1037"/>
      <c r="AX29" s="1037">
        <f>AY29+AZ29</f>
        <v>7766</v>
      </c>
      <c r="AY29" s="1037"/>
      <c r="AZ29" s="1037">
        <v>7766</v>
      </c>
      <c r="BA29" s="1037"/>
      <c r="BB29" s="1037">
        <f>BC29+BD29</f>
        <v>5769.0854200000003</v>
      </c>
      <c r="BC29" s="1037"/>
      <c r="BD29" s="1037">
        <v>5769.0854200000003</v>
      </c>
      <c r="BE29" s="1037"/>
    </row>
    <row r="30" spans="1:60" ht="27.6">
      <c r="A30" s="1035" t="s">
        <v>23</v>
      </c>
      <c r="B30" s="1048" t="s">
        <v>1910</v>
      </c>
      <c r="C30" s="1037"/>
      <c r="D30" s="1037"/>
      <c r="E30" s="1037"/>
      <c r="F30" s="1037"/>
      <c r="G30" s="1037"/>
      <c r="H30" s="1037"/>
      <c r="I30" s="1037"/>
      <c r="J30" s="1037"/>
      <c r="K30" s="1037"/>
      <c r="L30" s="1037"/>
      <c r="M30" s="1037"/>
      <c r="N30" s="1037">
        <f>O30+P30</f>
        <v>20856</v>
      </c>
      <c r="O30" s="1037">
        <f t="shared" si="32"/>
        <v>0</v>
      </c>
      <c r="P30" s="1037">
        <f t="shared" si="32"/>
        <v>20856</v>
      </c>
      <c r="Q30" s="1041"/>
      <c r="R30" s="1037">
        <f t="shared" si="19"/>
        <v>0</v>
      </c>
      <c r="S30" s="1037"/>
      <c r="T30" s="1037">
        <f>IF(T92&lt;0,-T92,0)</f>
        <v>0</v>
      </c>
      <c r="U30" s="1037"/>
      <c r="V30" s="1037">
        <f t="shared" si="5"/>
        <v>0</v>
      </c>
      <c r="W30" s="1037"/>
      <c r="X30" s="1037">
        <f>IF(X92&lt;0,-X92,0)</f>
        <v>0</v>
      </c>
      <c r="Y30" s="1037"/>
      <c r="Z30" s="1037">
        <f>AA30+AB30</f>
        <v>1321</v>
      </c>
      <c r="AA30" s="1037"/>
      <c r="AB30" s="1037">
        <f>AA95</f>
        <v>1321</v>
      </c>
      <c r="AC30" s="1037"/>
      <c r="AD30" s="1037">
        <f>AE30+AF30</f>
        <v>0</v>
      </c>
      <c r="AE30" s="1037"/>
      <c r="AF30" s="1037">
        <f>IF(AF92&lt;0,-AF92,0)</f>
        <v>0</v>
      </c>
      <c r="AG30" s="1037"/>
      <c r="AH30" s="1037">
        <f>AI30+AJ30</f>
        <v>852</v>
      </c>
      <c r="AI30" s="1037"/>
      <c r="AJ30" s="1037">
        <f>AI95</f>
        <v>852</v>
      </c>
      <c r="AK30" s="1037"/>
      <c r="AL30" s="1037">
        <f>AM30+AN30</f>
        <v>0</v>
      </c>
      <c r="AM30" s="1037"/>
      <c r="AN30" s="1037"/>
      <c r="AO30" s="1037"/>
      <c r="AP30" s="1037">
        <f>AQ30+AR30</f>
        <v>5002</v>
      </c>
      <c r="AQ30" s="1037"/>
      <c r="AR30" s="1037">
        <f>AQ95</f>
        <v>5002</v>
      </c>
      <c r="AS30" s="1037"/>
      <c r="AT30" s="1037">
        <f>AU30+AV30</f>
        <v>3625</v>
      </c>
      <c r="AU30" s="1037"/>
      <c r="AV30" s="1037">
        <f>AU95</f>
        <v>3625</v>
      </c>
      <c r="AW30" s="1037"/>
      <c r="AX30" s="1037">
        <f>AY30+AZ30</f>
        <v>9837</v>
      </c>
      <c r="AY30" s="1037"/>
      <c r="AZ30" s="1037">
        <f>AY95</f>
        <v>9837</v>
      </c>
      <c r="BA30" s="1037"/>
      <c r="BB30" s="1037">
        <f>BC30+BD30</f>
        <v>219</v>
      </c>
      <c r="BC30" s="1037"/>
      <c r="BD30" s="1037">
        <f>BC95</f>
        <v>219</v>
      </c>
      <c r="BE30" s="1037"/>
    </row>
    <row r="31" spans="1:60" s="512" customFormat="1" ht="41.4">
      <c r="A31" s="508" t="s">
        <v>47</v>
      </c>
      <c r="B31" s="1042" t="s">
        <v>1911</v>
      </c>
      <c r="C31" s="510"/>
      <c r="D31" s="510"/>
      <c r="E31" s="510"/>
      <c r="F31" s="510"/>
      <c r="G31" s="510"/>
      <c r="H31" s="510"/>
      <c r="I31" s="510"/>
      <c r="J31" s="510"/>
      <c r="K31" s="510"/>
      <c r="L31" s="510"/>
      <c r="M31" s="510"/>
      <c r="N31" s="510">
        <f>O31+P31</f>
        <v>17986</v>
      </c>
      <c r="O31" s="510">
        <f t="shared" si="32"/>
        <v>0</v>
      </c>
      <c r="P31" s="510">
        <f t="shared" si="32"/>
        <v>17986</v>
      </c>
      <c r="Q31" s="510"/>
      <c r="R31" s="510">
        <f t="shared" si="19"/>
        <v>4754</v>
      </c>
      <c r="S31" s="510"/>
      <c r="T31" s="510">
        <f>-S98</f>
        <v>4754</v>
      </c>
      <c r="U31" s="510"/>
      <c r="V31" s="510">
        <f t="shared" si="5"/>
        <v>7905</v>
      </c>
      <c r="W31" s="510"/>
      <c r="X31" s="510">
        <f>-W98</f>
        <v>7905</v>
      </c>
      <c r="Y31" s="510"/>
      <c r="Z31" s="510">
        <f t="shared" si="20"/>
        <v>0</v>
      </c>
      <c r="AA31" s="510"/>
      <c r="AB31" s="510"/>
      <c r="AC31" s="510"/>
      <c r="AD31" s="510">
        <f t="shared" si="21"/>
        <v>2836</v>
      </c>
      <c r="AE31" s="510"/>
      <c r="AF31" s="510">
        <f>-AE98</f>
        <v>2836</v>
      </c>
      <c r="AG31" s="510"/>
      <c r="AH31" s="510">
        <f t="shared" si="22"/>
        <v>0</v>
      </c>
      <c r="AI31" s="510"/>
      <c r="AJ31" s="510"/>
      <c r="AK31" s="510"/>
      <c r="AL31" s="510">
        <f t="shared" si="23"/>
        <v>2491</v>
      </c>
      <c r="AM31" s="510"/>
      <c r="AN31" s="510">
        <f>-AM98</f>
        <v>2491</v>
      </c>
      <c r="AO31" s="510"/>
      <c r="AP31" s="510">
        <f t="shared" si="24"/>
        <v>0</v>
      </c>
      <c r="AQ31" s="510"/>
      <c r="AR31" s="510">
        <f>IF(AR92&gt;0,AR92,0)</f>
        <v>0</v>
      </c>
      <c r="AS31" s="510"/>
      <c r="AT31" s="510">
        <f t="shared" si="25"/>
        <v>0</v>
      </c>
      <c r="AU31" s="510"/>
      <c r="AV31" s="510">
        <f>IF(AV92&gt;0,AV92,0)</f>
        <v>0</v>
      </c>
      <c r="AW31" s="510"/>
      <c r="AX31" s="510">
        <f t="shared" si="26"/>
        <v>0</v>
      </c>
      <c r="AY31" s="510"/>
      <c r="AZ31" s="510">
        <f>IF(AZ92&gt;0,AZ92,0)</f>
        <v>0</v>
      </c>
      <c r="BA31" s="510"/>
      <c r="BB31" s="510">
        <f t="shared" si="27"/>
        <v>0</v>
      </c>
      <c r="BC31" s="510"/>
      <c r="BD31" s="510">
        <f>IF(BD92&gt;0,BD92,0)</f>
        <v>0</v>
      </c>
      <c r="BE31" s="510"/>
      <c r="BF31" s="512">
        <f>O31-C31</f>
        <v>0</v>
      </c>
      <c r="BG31" s="512">
        <f>S31+W31+AA31+AE31+AI31+AM31+AQ31+AU31+AY31+BC31</f>
        <v>0</v>
      </c>
      <c r="BH31" s="512">
        <f>BG31-O31</f>
        <v>0</v>
      </c>
    </row>
    <row r="32" spans="1:60" s="1054" customFormat="1" ht="29.25" hidden="1" customHeight="1">
      <c r="A32" s="1049"/>
      <c r="B32" s="1050"/>
      <c r="C32" s="1051"/>
      <c r="D32" s="1051"/>
      <c r="E32" s="1051"/>
      <c r="F32" s="1051"/>
      <c r="G32" s="1051"/>
      <c r="H32" s="1051"/>
      <c r="I32" s="1051"/>
      <c r="J32" s="1051"/>
      <c r="K32" s="1051"/>
      <c r="L32" s="1051"/>
      <c r="M32" s="1051"/>
      <c r="N32" s="1051">
        <f t="shared" si="18"/>
        <v>0</v>
      </c>
      <c r="O32" s="1051"/>
      <c r="P32" s="1051"/>
      <c r="Q32" s="1052"/>
      <c r="R32" s="1051">
        <f t="shared" si="19"/>
        <v>0</v>
      </c>
      <c r="S32" s="1051"/>
      <c r="T32" s="1051"/>
      <c r="U32" s="1052"/>
      <c r="V32" s="1051">
        <f t="shared" si="5"/>
        <v>0</v>
      </c>
      <c r="W32" s="1051"/>
      <c r="X32" s="1051"/>
      <c r="Y32" s="1052"/>
      <c r="Z32" s="1051">
        <f t="shared" si="20"/>
        <v>0</v>
      </c>
      <c r="AA32" s="1051"/>
      <c r="AB32" s="1051"/>
      <c r="AC32" s="1052"/>
      <c r="AD32" s="1051">
        <f t="shared" si="21"/>
        <v>0</v>
      </c>
      <c r="AE32" s="1051"/>
      <c r="AF32" s="1051"/>
      <c r="AG32" s="1052"/>
      <c r="AH32" s="1051">
        <f t="shared" si="22"/>
        <v>0</v>
      </c>
      <c r="AI32" s="1051"/>
      <c r="AJ32" s="1051"/>
      <c r="AK32" s="1052"/>
      <c r="AL32" s="1051">
        <f t="shared" si="23"/>
        <v>0</v>
      </c>
      <c r="AM32" s="1051"/>
      <c r="AN32" s="1051"/>
      <c r="AO32" s="1052"/>
      <c r="AP32" s="1051">
        <f t="shared" si="24"/>
        <v>0</v>
      </c>
      <c r="AQ32" s="1051"/>
      <c r="AR32" s="1051"/>
      <c r="AS32" s="1052"/>
      <c r="AT32" s="1051">
        <f t="shared" si="25"/>
        <v>0</v>
      </c>
      <c r="AU32" s="1051"/>
      <c r="AV32" s="1051"/>
      <c r="AW32" s="1052"/>
      <c r="AX32" s="1051">
        <f t="shared" si="26"/>
        <v>0</v>
      </c>
      <c r="AY32" s="1051"/>
      <c r="AZ32" s="1051"/>
      <c r="BA32" s="1052"/>
      <c r="BB32" s="1051">
        <f t="shared" si="27"/>
        <v>0</v>
      </c>
      <c r="BC32" s="1051"/>
      <c r="BD32" s="1051"/>
      <c r="BE32" s="1052"/>
      <c r="BF32" s="1053"/>
      <c r="BG32" s="1053">
        <f>S32+W32+AA32+AE32+AI32+AM32+AQ32+AU32+AY32+BC32</f>
        <v>0</v>
      </c>
      <c r="BH32" s="1053">
        <f>BG32-O32</f>
        <v>0</v>
      </c>
    </row>
    <row r="33" spans="1:60" hidden="1">
      <c r="A33" s="1035"/>
      <c r="B33" s="1048"/>
      <c r="C33" s="1037"/>
      <c r="D33" s="1037"/>
      <c r="E33" s="1037"/>
      <c r="F33" s="1037"/>
      <c r="G33" s="1037"/>
      <c r="H33" s="1037"/>
      <c r="I33" s="1037"/>
      <c r="J33" s="1037"/>
      <c r="K33" s="1037"/>
      <c r="L33" s="1037"/>
      <c r="M33" s="1037"/>
      <c r="N33" s="1037">
        <f t="shared" si="18"/>
        <v>0</v>
      </c>
      <c r="O33" s="1037"/>
      <c r="P33" s="1037"/>
      <c r="Q33" s="1055"/>
      <c r="R33" s="1039">
        <f t="shared" si="19"/>
        <v>0</v>
      </c>
      <c r="S33" s="1039"/>
      <c r="T33" s="1039"/>
      <c r="U33" s="1055"/>
      <c r="V33" s="1039">
        <f t="shared" si="5"/>
        <v>0</v>
      </c>
      <c r="W33" s="1056"/>
      <c r="X33" s="1056"/>
      <c r="Y33" s="1055"/>
      <c r="Z33" s="1039">
        <f t="shared" si="20"/>
        <v>0</v>
      </c>
      <c r="AA33" s="1056"/>
      <c r="AB33" s="1056"/>
      <c r="AC33" s="1055"/>
      <c r="AD33" s="1039">
        <f t="shared" si="21"/>
        <v>0</v>
      </c>
      <c r="AE33" s="1056"/>
      <c r="AF33" s="1056"/>
      <c r="AG33" s="1055"/>
      <c r="AH33" s="1039">
        <f t="shared" si="22"/>
        <v>0</v>
      </c>
      <c r="AI33" s="1056"/>
      <c r="AJ33" s="1056"/>
      <c r="AK33" s="1055"/>
      <c r="AL33" s="1039">
        <f t="shared" si="23"/>
        <v>0</v>
      </c>
      <c r="AM33" s="1056"/>
      <c r="AN33" s="1056"/>
      <c r="AO33" s="1055"/>
      <c r="AP33" s="1039">
        <f t="shared" si="24"/>
        <v>0</v>
      </c>
      <c r="AQ33" s="1056"/>
      <c r="AR33" s="1056"/>
      <c r="AS33" s="1055"/>
      <c r="AT33" s="1039">
        <f t="shared" si="25"/>
        <v>0</v>
      </c>
      <c r="AU33" s="1056"/>
      <c r="AV33" s="1056"/>
      <c r="AW33" s="1055"/>
      <c r="AX33" s="1039">
        <f t="shared" si="26"/>
        <v>0</v>
      </c>
      <c r="AY33" s="1056"/>
      <c r="AZ33" s="1056"/>
      <c r="BA33" s="1055"/>
      <c r="BB33" s="1039">
        <f t="shared" si="27"/>
        <v>0</v>
      </c>
      <c r="BC33" s="1056"/>
      <c r="BD33" s="1056"/>
      <c r="BE33" s="1055"/>
      <c r="BF33" s="512">
        <f>O33-C33</f>
        <v>0</v>
      </c>
      <c r="BG33" s="512">
        <f>S33+W33+AA33+AE33+AI33+AM33+AQ33+AU33+AY33+BC33</f>
        <v>0</v>
      </c>
      <c r="BH33" s="512">
        <f>BG33-O33</f>
        <v>0</v>
      </c>
    </row>
    <row r="34" spans="1:60" s="512" customFormat="1">
      <c r="A34" s="1027" t="s">
        <v>28</v>
      </c>
      <c r="B34" s="1057" t="s">
        <v>29</v>
      </c>
      <c r="C34" s="510">
        <f>D34+E34+F34+G34+H34+I34+J34+K34+L34+M34</f>
        <v>3958629.18</v>
      </c>
      <c r="D34" s="510">
        <f t="shared" ref="D34:M34" si="33">D47+D53+D88+D92+D90</f>
        <v>886140.86</v>
      </c>
      <c r="E34" s="510">
        <f t="shared" si="33"/>
        <v>464955.06</v>
      </c>
      <c r="F34" s="510">
        <f t="shared" si="33"/>
        <v>351192.66000000003</v>
      </c>
      <c r="G34" s="510">
        <f t="shared" si="33"/>
        <v>342276.24</v>
      </c>
      <c r="H34" s="510">
        <f t="shared" si="33"/>
        <v>420096.6</v>
      </c>
      <c r="I34" s="510">
        <f t="shared" si="33"/>
        <v>389985.2</v>
      </c>
      <c r="J34" s="510">
        <f t="shared" si="33"/>
        <v>130497.45999999999</v>
      </c>
      <c r="K34" s="510">
        <f t="shared" si="33"/>
        <v>254024.08000000002</v>
      </c>
      <c r="L34" s="510">
        <f t="shared" si="33"/>
        <v>394090.66000000003</v>
      </c>
      <c r="M34" s="510">
        <f t="shared" si="33"/>
        <v>325370.36</v>
      </c>
      <c r="N34" s="510">
        <f t="shared" si="18"/>
        <v>4396147</v>
      </c>
      <c r="O34" s="510">
        <f>ROUND((O47+O53+O88+O92+O90),0)</f>
        <v>4027671</v>
      </c>
      <c r="P34" s="1058">
        <f>ROUND(T34+X34+AB34+AF34+AJ34+AN34+AR34+AV34+AZ34+BD34,0)</f>
        <v>368476</v>
      </c>
      <c r="Q34" s="511">
        <f t="shared" ref="Q34:Q73" si="34">O34/C34*100</f>
        <v>101.74408404679116</v>
      </c>
      <c r="R34" s="510">
        <f t="shared" si="19"/>
        <v>998038</v>
      </c>
      <c r="S34" s="510">
        <f>ROUND((S47+S53+S88+S92+S90),0)</f>
        <v>923189</v>
      </c>
      <c r="T34" s="510">
        <f>ROUND((T47+T53+T88+T92+T90),0)</f>
        <v>74849</v>
      </c>
      <c r="U34" s="511">
        <f>S34/D34*100</f>
        <v>104.18084095569185</v>
      </c>
      <c r="V34" s="510">
        <f t="shared" si="5"/>
        <v>504188</v>
      </c>
      <c r="W34" s="510">
        <f>ROUND((W47+W53+W88+W92),0)</f>
        <v>450045</v>
      </c>
      <c r="X34" s="510">
        <f>ROUND((X47+X53+X88+X92+X90),0)</f>
        <v>54143</v>
      </c>
      <c r="Y34" s="511">
        <f>W34/E34*100</f>
        <v>96.793225564638448</v>
      </c>
      <c r="Z34" s="510">
        <f t="shared" si="20"/>
        <v>393519</v>
      </c>
      <c r="AA34" s="510">
        <f>ROUND((AA47+AA53+AA88+AA92),0)</f>
        <v>356404</v>
      </c>
      <c r="AB34" s="510">
        <f>ROUND((AB47+AB53+AB88+AB92+AB90),0)</f>
        <v>37115</v>
      </c>
      <c r="AC34" s="511">
        <f>AA34/F34*100</f>
        <v>101.48389775572188</v>
      </c>
      <c r="AD34" s="510">
        <f t="shared" si="21"/>
        <v>376164</v>
      </c>
      <c r="AE34" s="510">
        <f>ROUND((AE47+AE53+AE88+AE92),0)</f>
        <v>338137</v>
      </c>
      <c r="AF34" s="510">
        <f>ROUND((AF47+AF53+AF88+AF92+AF90),0)</f>
        <v>38027</v>
      </c>
      <c r="AG34" s="511">
        <f>AE34/G34*100</f>
        <v>98.790672703428086</v>
      </c>
      <c r="AH34" s="510">
        <f t="shared" si="22"/>
        <v>465646</v>
      </c>
      <c r="AI34" s="510">
        <f>ROUND((AI47+AI53+AI88+AI92),0)</f>
        <v>426053</v>
      </c>
      <c r="AJ34" s="510">
        <f>ROUND((AJ47+AJ53+AJ88+AJ92+AJ90),0)</f>
        <v>39593</v>
      </c>
      <c r="AK34" s="511">
        <f>AI34/H34*100</f>
        <v>101.41786436738597</v>
      </c>
      <c r="AL34" s="510">
        <f t="shared" si="23"/>
        <v>436500</v>
      </c>
      <c r="AM34" s="510">
        <f>ROUND((AM47+AM53+AM88+AM92),0)</f>
        <v>392517</v>
      </c>
      <c r="AN34" s="510">
        <f>ROUND((AN47+AN53+AN88+AN92+AN90),0)</f>
        <v>43983</v>
      </c>
      <c r="AO34" s="511">
        <f>AM34/I34*100</f>
        <v>100.64920412364367</v>
      </c>
      <c r="AP34" s="510">
        <f t="shared" si="24"/>
        <v>142116</v>
      </c>
      <c r="AQ34" s="510">
        <f>ROUND((AQ47+AQ53+AQ88+AQ92),0)</f>
        <v>137104</v>
      </c>
      <c r="AR34" s="510">
        <f>ROUND((AR47+AR53+AR88+AR92+AR90),0)</f>
        <v>5012</v>
      </c>
      <c r="AS34" s="511">
        <f>AQ34/J34*100</f>
        <v>105.06258129468576</v>
      </c>
      <c r="AT34" s="510">
        <f t="shared" si="25"/>
        <v>286587</v>
      </c>
      <c r="AU34" s="510">
        <f>ROUND((AU47+AU53+AU88+AU92),0)</f>
        <v>263137</v>
      </c>
      <c r="AV34" s="510">
        <f>ROUND((AV47+AV53+AV88+AV92+AV90),0)</f>
        <v>23450</v>
      </c>
      <c r="AW34" s="511">
        <f>AU34/K34*100</f>
        <v>103.58742368046367</v>
      </c>
      <c r="AX34" s="510">
        <f t="shared" si="26"/>
        <v>433497</v>
      </c>
      <c r="AY34" s="510">
        <f>ROUND((AY47+AY53+AY88+AY92),0)</f>
        <v>413366</v>
      </c>
      <c r="AZ34" s="510">
        <f>ROUND((AZ47+AZ53+AZ88+AZ92+AZ90),0)</f>
        <v>20131</v>
      </c>
      <c r="BA34" s="511">
        <f>AY34/L34*100</f>
        <v>104.89109282620399</v>
      </c>
      <c r="BB34" s="510">
        <f t="shared" si="27"/>
        <v>359892</v>
      </c>
      <c r="BC34" s="510">
        <f>ROUND((BC47+BC53+BC88+BC92),0)</f>
        <v>327719</v>
      </c>
      <c r="BD34" s="510">
        <f>ROUND((BD47+BD53+BD88+BD92+BD90),0)</f>
        <v>32173</v>
      </c>
      <c r="BE34" s="511">
        <f>BC34/M34*100</f>
        <v>100.72183587958044</v>
      </c>
      <c r="BF34" s="512">
        <f>O34-C34</f>
        <v>69041.819999999832</v>
      </c>
      <c r="BG34" s="512">
        <f>S34+W34+AA34+AE34+AI34+AM34+AQ34+AU34+AY34+BC34</f>
        <v>4027671</v>
      </c>
      <c r="BH34" s="512">
        <f>BG34-O34</f>
        <v>0</v>
      </c>
    </row>
    <row r="35" spans="1:60" s="1063" customFormat="1" hidden="1">
      <c r="A35" s="1059"/>
      <c r="B35" s="1060"/>
      <c r="C35" s="1061">
        <v>3958629.18</v>
      </c>
      <c r="D35" s="1061">
        <v>886140.86</v>
      </c>
      <c r="E35" s="1061">
        <v>464955.06</v>
      </c>
      <c r="F35" s="1061">
        <v>351192.66000000003</v>
      </c>
      <c r="G35" s="1061">
        <v>342276.24</v>
      </c>
      <c r="H35" s="1061">
        <v>420096.6</v>
      </c>
      <c r="I35" s="1061">
        <v>389985.2</v>
      </c>
      <c r="J35" s="1061">
        <v>130497.45999999999</v>
      </c>
      <c r="K35" s="1061">
        <v>254024.08000000002</v>
      </c>
      <c r="L35" s="1061">
        <v>394090.66000000003</v>
      </c>
      <c r="M35" s="1061">
        <v>325370.36</v>
      </c>
      <c r="N35" s="1061">
        <v>3941172</v>
      </c>
      <c r="O35" s="1061">
        <v>3941172</v>
      </c>
      <c r="P35" s="1061"/>
      <c r="Q35" s="1062">
        <v>99.559009464988577</v>
      </c>
      <c r="R35" s="1061">
        <v>836327</v>
      </c>
      <c r="S35" s="1061">
        <v>836327</v>
      </c>
      <c r="T35" s="1061"/>
      <c r="U35" s="1062">
        <v>94.378561891390504</v>
      </c>
      <c r="V35" s="510">
        <v>449495</v>
      </c>
      <c r="W35" s="510">
        <v>449495</v>
      </c>
      <c r="X35" s="510"/>
      <c r="Y35" s="1062">
        <v>96.674934562492993</v>
      </c>
      <c r="Z35" s="1061">
        <v>356706</v>
      </c>
      <c r="AA35" s="1061">
        <v>356706</v>
      </c>
      <c r="AB35" s="1061"/>
      <c r="AC35" s="1062">
        <v>101.56989044133211</v>
      </c>
      <c r="AD35" s="1061">
        <v>338137</v>
      </c>
      <c r="AE35" s="1061">
        <v>338137</v>
      </c>
      <c r="AF35" s="1061"/>
      <c r="AG35" s="1062">
        <v>98.790672703428086</v>
      </c>
      <c r="AH35" s="1061">
        <v>426124</v>
      </c>
      <c r="AI35" s="1061">
        <v>426124</v>
      </c>
      <c r="AJ35" s="1061"/>
      <c r="AK35" s="1062">
        <v>101.43476524208957</v>
      </c>
      <c r="AL35" s="1061">
        <v>392582</v>
      </c>
      <c r="AM35" s="1061">
        <v>392582</v>
      </c>
      <c r="AN35" s="1061"/>
      <c r="AO35" s="1062">
        <v>100.66587142281296</v>
      </c>
      <c r="AP35" s="1061">
        <v>137129</v>
      </c>
      <c r="AQ35" s="1061">
        <v>137129</v>
      </c>
      <c r="AR35" s="1061"/>
      <c r="AS35" s="1062">
        <v>105.08173875568154</v>
      </c>
      <c r="AT35" s="1061">
        <v>263199</v>
      </c>
      <c r="AU35" s="1061">
        <v>263199</v>
      </c>
      <c r="AV35" s="1061"/>
      <c r="AW35" s="1062">
        <v>103.61183081540931</v>
      </c>
      <c r="AX35" s="1061">
        <v>413719</v>
      </c>
      <c r="AY35" s="1061">
        <v>413719</v>
      </c>
      <c r="AZ35" s="1061"/>
      <c r="BA35" s="1062">
        <v>104.98066612388124</v>
      </c>
      <c r="BB35" s="1061">
        <v>327754</v>
      </c>
      <c r="BC35" s="1061">
        <v>327754</v>
      </c>
      <c r="BD35" s="1061"/>
      <c r="BE35" s="1062">
        <v>100.73259285203484</v>
      </c>
    </row>
    <row r="36" spans="1:60" s="1053" customFormat="1" hidden="1" outlineLevel="1">
      <c r="A36" s="1064"/>
      <c r="B36" s="1065" t="s">
        <v>1551</v>
      </c>
      <c r="C36" s="1066"/>
      <c r="D36" s="1066"/>
      <c r="E36" s="1066"/>
      <c r="F36" s="1066"/>
      <c r="G36" s="1066"/>
      <c r="H36" s="1066"/>
      <c r="I36" s="1066"/>
      <c r="J36" s="1066"/>
      <c r="K36" s="1066"/>
      <c r="L36" s="1066"/>
      <c r="M36" s="1066"/>
      <c r="N36" s="1066">
        <f t="shared" si="18"/>
        <v>3882957</v>
      </c>
      <c r="O36" s="1066">
        <v>3882957</v>
      </c>
      <c r="P36" s="1066"/>
      <c r="Q36" s="1067">
        <v>103.95020507838382</v>
      </c>
      <c r="R36" s="1066">
        <f t="shared" si="19"/>
        <v>873644</v>
      </c>
      <c r="S36" s="1066">
        <v>873644</v>
      </c>
      <c r="T36" s="1066"/>
      <c r="U36" s="1067">
        <v>97.950827483599994</v>
      </c>
      <c r="V36" s="1066">
        <f>W36+X36</f>
        <v>456700</v>
      </c>
      <c r="W36" s="1066">
        <v>456700</v>
      </c>
      <c r="X36" s="1066"/>
      <c r="Y36" s="1067">
        <v>106.14339468283647</v>
      </c>
      <c r="Z36" s="1066">
        <f t="shared" si="20"/>
        <v>345030</v>
      </c>
      <c r="AA36" s="1066">
        <v>345030</v>
      </c>
      <c r="AB36" s="1066"/>
      <c r="AC36" s="1067">
        <v>107.82187500000001</v>
      </c>
      <c r="AD36" s="1066">
        <f t="shared" si="21"/>
        <v>336278</v>
      </c>
      <c r="AE36" s="1066">
        <v>336278</v>
      </c>
      <c r="AF36" s="1066"/>
      <c r="AG36" s="1067">
        <v>101.92002861100251</v>
      </c>
      <c r="AH36" s="1066">
        <f t="shared" si="22"/>
        <v>408992</v>
      </c>
      <c r="AI36" s="1066">
        <v>408992</v>
      </c>
      <c r="AJ36" s="1066"/>
      <c r="AK36" s="1067">
        <v>105.05803992283606</v>
      </c>
      <c r="AL36" s="1066">
        <f t="shared" si="23"/>
        <v>383314</v>
      </c>
      <c r="AM36" s="1066">
        <v>383314</v>
      </c>
      <c r="AN36" s="1066"/>
      <c r="AO36" s="1067">
        <v>108.54848255726692</v>
      </c>
      <c r="AP36" s="1066">
        <f t="shared" si="24"/>
        <v>127332</v>
      </c>
      <c r="AQ36" s="1066">
        <v>127332</v>
      </c>
      <c r="AR36" s="1066"/>
      <c r="AS36" s="1067">
        <v>109.05166876493411</v>
      </c>
      <c r="AT36" s="1066">
        <f t="shared" si="25"/>
        <v>249398</v>
      </c>
      <c r="AU36" s="1066">
        <v>249398</v>
      </c>
      <c r="AV36" s="1066"/>
      <c r="AW36" s="1067">
        <v>104.59263484128549</v>
      </c>
      <c r="AX36" s="1066">
        <f t="shared" si="26"/>
        <v>385630</v>
      </c>
      <c r="AY36" s="1066">
        <v>385630</v>
      </c>
      <c r="AZ36" s="1066"/>
      <c r="BA36" s="1067">
        <v>105.72852693454993</v>
      </c>
      <c r="BB36" s="1066">
        <f t="shared" si="27"/>
        <v>316639</v>
      </c>
      <c r="BC36" s="1066">
        <v>316639</v>
      </c>
      <c r="BD36" s="1066"/>
      <c r="BE36" s="1067">
        <v>105.23204030628523</v>
      </c>
      <c r="BG36" s="512">
        <f>S36+W36+AA36+AE36+AI36+AM36+AQ36+AU36+AY36+BC36</f>
        <v>3882957</v>
      </c>
      <c r="BH36" s="512">
        <f>BG36-O36</f>
        <v>0</v>
      </c>
    </row>
    <row r="37" spans="1:60" s="1054" customFormat="1" ht="41.4" hidden="1" collapsed="1">
      <c r="A37" s="1068"/>
      <c r="B37" s="1069" t="s">
        <v>30</v>
      </c>
      <c r="C37" s="1037">
        <f>D37+E37+F37+G37+H37+I37+J37+K37+L37+M37</f>
        <v>3958629.4</v>
      </c>
      <c r="D37" s="1037">
        <f t="shared" ref="D37:M37" si="35">D14</f>
        <v>886141.4</v>
      </c>
      <c r="E37" s="1037">
        <f t="shared" si="35"/>
        <v>464955</v>
      </c>
      <c r="F37" s="1037">
        <f t="shared" si="35"/>
        <v>351193</v>
      </c>
      <c r="G37" s="1037">
        <f t="shared" si="35"/>
        <v>342276</v>
      </c>
      <c r="H37" s="1037">
        <f t="shared" si="35"/>
        <v>420097</v>
      </c>
      <c r="I37" s="1037">
        <f t="shared" si="35"/>
        <v>389985</v>
      </c>
      <c r="J37" s="1037">
        <f t="shared" si="35"/>
        <v>130497</v>
      </c>
      <c r="K37" s="1037">
        <f t="shared" si="35"/>
        <v>254024</v>
      </c>
      <c r="L37" s="1037">
        <f t="shared" si="35"/>
        <v>394091</v>
      </c>
      <c r="M37" s="1037">
        <f t="shared" si="35"/>
        <v>325370</v>
      </c>
      <c r="N37" s="1037">
        <f t="shared" si="18"/>
        <v>4027671</v>
      </c>
      <c r="O37" s="1037">
        <f>O14</f>
        <v>4027671</v>
      </c>
      <c r="P37" s="1037"/>
      <c r="Q37" s="1041">
        <f t="shared" si="34"/>
        <v>101.74407839238499</v>
      </c>
      <c r="R37" s="1037">
        <f t="shared" si="19"/>
        <v>923189</v>
      </c>
      <c r="S37" s="1037">
        <f>S14</f>
        <v>923189</v>
      </c>
      <c r="T37" s="1037"/>
      <c r="U37" s="1041">
        <f>S37/D37*100</f>
        <v>104.18077746960022</v>
      </c>
      <c r="V37" s="1037">
        <f>W37+X37</f>
        <v>450045</v>
      </c>
      <c r="W37" s="1037">
        <f>W14</f>
        <v>450045</v>
      </c>
      <c r="X37" s="1037"/>
      <c r="Y37" s="1041">
        <f>W37/E37*100</f>
        <v>96.793238055295674</v>
      </c>
      <c r="Z37" s="1037">
        <f t="shared" si="20"/>
        <v>356404</v>
      </c>
      <c r="AA37" s="1037">
        <f>AA14</f>
        <v>356404</v>
      </c>
      <c r="AB37" s="1037"/>
      <c r="AC37" s="1041">
        <f>AA37/F37*100</f>
        <v>101.48379950625439</v>
      </c>
      <c r="AD37" s="1037">
        <f t="shared" si="21"/>
        <v>338137</v>
      </c>
      <c r="AE37" s="1037">
        <f>AE14</f>
        <v>338137</v>
      </c>
      <c r="AF37" s="1037"/>
      <c r="AG37" s="1041">
        <f>AE37/G37*100</f>
        <v>98.790741974313121</v>
      </c>
      <c r="AH37" s="1037">
        <f t="shared" si="22"/>
        <v>426053</v>
      </c>
      <c r="AI37" s="1037">
        <f>AI14</f>
        <v>426053</v>
      </c>
      <c r="AJ37" s="1037"/>
      <c r="AK37" s="1041">
        <f>AI37/H37*100</f>
        <v>101.4177678012459</v>
      </c>
      <c r="AL37" s="1037">
        <f t="shared" si="23"/>
        <v>392517</v>
      </c>
      <c r="AM37" s="1037">
        <f>AM14</f>
        <v>392517</v>
      </c>
      <c r="AN37" s="1037"/>
      <c r="AO37" s="1041">
        <f>AM37/I37*100</f>
        <v>100.64925574060541</v>
      </c>
      <c r="AP37" s="1037">
        <f t="shared" si="24"/>
        <v>137104</v>
      </c>
      <c r="AQ37" s="1037">
        <f>AQ14</f>
        <v>137104</v>
      </c>
      <c r="AR37" s="1037"/>
      <c r="AS37" s="1041">
        <f>AQ37/J37*100</f>
        <v>105.06295163873499</v>
      </c>
      <c r="AT37" s="1037">
        <f t="shared" si="25"/>
        <v>263137</v>
      </c>
      <c r="AU37" s="1037">
        <f>AU14</f>
        <v>263137</v>
      </c>
      <c r="AV37" s="1037"/>
      <c r="AW37" s="1041">
        <f>AU37/K37*100</f>
        <v>103.58745630334141</v>
      </c>
      <c r="AX37" s="1037">
        <f t="shared" si="26"/>
        <v>413366</v>
      </c>
      <c r="AY37" s="1037">
        <f>AY14</f>
        <v>413366</v>
      </c>
      <c r="AZ37" s="1037"/>
      <c r="BA37" s="1041">
        <f>AY37/L37*100</f>
        <v>104.8910023319487</v>
      </c>
      <c r="BB37" s="1037">
        <f t="shared" si="27"/>
        <v>327719</v>
      </c>
      <c r="BC37" s="1037">
        <f>BC14</f>
        <v>327719</v>
      </c>
      <c r="BD37" s="1037"/>
      <c r="BE37" s="1041">
        <f>BC37/M37*100</f>
        <v>100.7219473215109</v>
      </c>
      <c r="BF37" s="512">
        <f>O37-C37</f>
        <v>69041.600000000093</v>
      </c>
      <c r="BG37" s="512">
        <f>S37+W37+AA37+AE37+AI37+AM37+AQ37+AU37+AY37+BC37</f>
        <v>4027671</v>
      </c>
      <c r="BH37" s="512">
        <f>BG37-O37</f>
        <v>0</v>
      </c>
    </row>
    <row r="38" spans="1:60" s="1054" customFormat="1">
      <c r="A38" s="1068"/>
      <c r="B38" s="1069" t="s">
        <v>1936</v>
      </c>
      <c r="C38" s="1037">
        <f>C34-C90</f>
        <v>3909683.18</v>
      </c>
      <c r="D38" s="1037"/>
      <c r="E38" s="1037"/>
      <c r="F38" s="1037"/>
      <c r="G38" s="1037"/>
      <c r="H38" s="1037"/>
      <c r="I38" s="1037"/>
      <c r="J38" s="1037"/>
      <c r="K38" s="1037"/>
      <c r="L38" s="1037"/>
      <c r="M38" s="1037"/>
      <c r="N38" s="1037"/>
      <c r="O38" s="1037">
        <f>ROUND(S38+W38+AA38+AE38+AI38+AM38+AQ38+AU38+AY38+BC38,0)</f>
        <v>3958629</v>
      </c>
      <c r="P38" s="1037"/>
      <c r="Q38" s="1041"/>
      <c r="R38" s="1037"/>
      <c r="S38" s="1037">
        <f>886140.86</f>
        <v>886140.86</v>
      </c>
      <c r="T38" s="1037"/>
      <c r="U38" s="1041"/>
      <c r="V38" s="1037"/>
      <c r="W38" s="1037">
        <v>464955.06</v>
      </c>
      <c r="X38" s="1037"/>
      <c r="Y38" s="1041"/>
      <c r="Z38" s="1037"/>
      <c r="AA38" s="1037">
        <v>351192.66000000003</v>
      </c>
      <c r="AB38" s="1037"/>
      <c r="AC38" s="1041"/>
      <c r="AD38" s="1037"/>
      <c r="AE38" s="1037">
        <v>342276.24</v>
      </c>
      <c r="AF38" s="1037"/>
      <c r="AG38" s="1041"/>
      <c r="AH38" s="1037"/>
      <c r="AI38" s="1037">
        <v>420096.6</v>
      </c>
      <c r="AJ38" s="1037"/>
      <c r="AK38" s="1041"/>
      <c r="AL38" s="1037"/>
      <c r="AM38" s="1037">
        <v>389985.2</v>
      </c>
      <c r="AN38" s="1037"/>
      <c r="AO38" s="1041"/>
      <c r="AP38" s="1037"/>
      <c r="AQ38" s="1037">
        <v>130497.45999999999</v>
      </c>
      <c r="AR38" s="1037"/>
      <c r="AS38" s="1041"/>
      <c r="AT38" s="1037"/>
      <c r="AU38" s="1037">
        <v>254024.08000000002</v>
      </c>
      <c r="AV38" s="1037"/>
      <c r="AW38" s="1041"/>
      <c r="AX38" s="1037"/>
      <c r="AY38" s="1037">
        <v>394090.66000000003</v>
      </c>
      <c r="AZ38" s="1037"/>
      <c r="BA38" s="1041"/>
      <c r="BB38" s="1037"/>
      <c r="BC38" s="1037">
        <v>325370.36</v>
      </c>
      <c r="BD38" s="1037"/>
      <c r="BE38" s="1041"/>
      <c r="BF38" s="512"/>
      <c r="BG38" s="512"/>
      <c r="BH38" s="512"/>
    </row>
    <row r="39" spans="1:60" s="1054" customFormat="1">
      <c r="A39" s="1068"/>
      <c r="B39" s="1069" t="s">
        <v>1937</v>
      </c>
      <c r="C39" s="1037"/>
      <c r="D39" s="1037">
        <f>D34-D51-D90</f>
        <v>666167.26</v>
      </c>
      <c r="E39" s="1037">
        <f t="shared" ref="E39:M39" si="36">E34-E51-E90</f>
        <v>444715.06</v>
      </c>
      <c r="F39" s="1037">
        <f t="shared" si="36"/>
        <v>337992.66000000003</v>
      </c>
      <c r="G39" s="1037">
        <f t="shared" si="36"/>
        <v>318516.24</v>
      </c>
      <c r="H39" s="1037">
        <f t="shared" si="36"/>
        <v>412176.6</v>
      </c>
      <c r="I39" s="1037">
        <f t="shared" si="36"/>
        <v>372385.2</v>
      </c>
      <c r="J39" s="1037">
        <f t="shared" si="36"/>
        <v>121697.45999999999</v>
      </c>
      <c r="K39" s="1037">
        <f t="shared" si="36"/>
        <v>253584.08000000002</v>
      </c>
      <c r="L39" s="1037">
        <f t="shared" si="36"/>
        <v>306090.66000000003</v>
      </c>
      <c r="M39" s="1037">
        <f t="shared" si="36"/>
        <v>324358.36</v>
      </c>
      <c r="N39" s="1037"/>
      <c r="O39" s="1037">
        <f>ROUND(S39+W39+AA39+AE39+AI39+AM39+AQ39+AU39+AY39+BC39,0)</f>
        <v>3557684</v>
      </c>
      <c r="P39" s="1037"/>
      <c r="Q39" s="1041"/>
      <c r="R39" s="1037"/>
      <c r="S39" s="1037">
        <v>666167.26</v>
      </c>
      <c r="T39" s="1037"/>
      <c r="U39" s="1041"/>
      <c r="V39" s="1037"/>
      <c r="W39" s="1037">
        <v>444715.06</v>
      </c>
      <c r="X39" s="1037"/>
      <c r="Y39" s="1041"/>
      <c r="Z39" s="1037"/>
      <c r="AA39" s="1037">
        <v>337992.66</v>
      </c>
      <c r="AB39" s="1037"/>
      <c r="AC39" s="1041"/>
      <c r="AD39" s="1037"/>
      <c r="AE39" s="1037">
        <v>318516.24</v>
      </c>
      <c r="AF39" s="1037"/>
      <c r="AG39" s="1041"/>
      <c r="AH39" s="1037"/>
      <c r="AI39" s="1037">
        <v>412176.6</v>
      </c>
      <c r="AJ39" s="1037"/>
      <c r="AK39" s="1041"/>
      <c r="AL39" s="1037"/>
      <c r="AM39" s="1037">
        <v>372385.2</v>
      </c>
      <c r="AN39" s="1037"/>
      <c r="AO39" s="1041"/>
      <c r="AP39" s="1037"/>
      <c r="AQ39" s="1037">
        <v>121697.45999999999</v>
      </c>
      <c r="AR39" s="1037"/>
      <c r="AS39" s="1041"/>
      <c r="AT39" s="1037"/>
      <c r="AU39" s="1037">
        <v>253584.08000000002</v>
      </c>
      <c r="AV39" s="1037"/>
      <c r="AW39" s="1041"/>
      <c r="AX39" s="1037"/>
      <c r="AY39" s="1037">
        <v>306090.66000000003</v>
      </c>
      <c r="AZ39" s="1037"/>
      <c r="BA39" s="1041"/>
      <c r="BB39" s="1037"/>
      <c r="BC39" s="1037">
        <v>324358.36</v>
      </c>
      <c r="BD39" s="1037"/>
      <c r="BE39" s="1041"/>
      <c r="BF39" s="512"/>
      <c r="BG39" s="512"/>
      <c r="BH39" s="512"/>
    </row>
    <row r="40" spans="1:60" s="1054" customFormat="1">
      <c r="A40" s="1068"/>
      <c r="B40" s="1069" t="s">
        <v>1938</v>
      </c>
      <c r="C40" s="1037"/>
      <c r="D40" s="1037"/>
      <c r="E40" s="1037"/>
      <c r="F40" s="1037"/>
      <c r="G40" s="1037"/>
      <c r="H40" s="1037"/>
      <c r="I40" s="1037"/>
      <c r="J40" s="1037"/>
      <c r="K40" s="1037"/>
      <c r="L40" s="1037"/>
      <c r="M40" s="1037"/>
      <c r="N40" s="1037"/>
      <c r="O40" s="1037">
        <f>ROUND(S40+W40+AA40+AE40+AI40+AM40+AQ40+AU40+AY40+BC40,0)</f>
        <v>3589172</v>
      </c>
      <c r="P40" s="1037"/>
      <c r="Q40" s="1041"/>
      <c r="R40" s="1037"/>
      <c r="S40" s="1037">
        <v>660327</v>
      </c>
      <c r="T40" s="1037"/>
      <c r="U40" s="1041"/>
      <c r="V40" s="1037"/>
      <c r="W40" s="1037">
        <v>431895</v>
      </c>
      <c r="X40" s="1037"/>
      <c r="Y40" s="1041"/>
      <c r="Z40" s="1037"/>
      <c r="AA40" s="1037">
        <v>343506</v>
      </c>
      <c r="AB40" s="1037"/>
      <c r="AC40" s="1041"/>
      <c r="AD40" s="1037"/>
      <c r="AE40" s="1037">
        <v>316137</v>
      </c>
      <c r="AF40" s="1037"/>
      <c r="AG40" s="1041"/>
      <c r="AH40" s="1037"/>
      <c r="AI40" s="1037">
        <v>418204</v>
      </c>
      <c r="AJ40" s="1037"/>
      <c r="AK40" s="1041"/>
      <c r="AL40" s="1037"/>
      <c r="AM40" s="1037">
        <v>370582</v>
      </c>
      <c r="AN40" s="1037"/>
      <c r="AO40" s="1041"/>
      <c r="AP40" s="1037"/>
      <c r="AQ40" s="1037">
        <v>132729</v>
      </c>
      <c r="AR40" s="1037"/>
      <c r="AS40" s="1041"/>
      <c r="AT40" s="1037"/>
      <c r="AU40" s="1037">
        <v>262759</v>
      </c>
      <c r="AV40" s="1037"/>
      <c r="AW40" s="1041"/>
      <c r="AX40" s="1037"/>
      <c r="AY40" s="1037">
        <v>325367</v>
      </c>
      <c r="AZ40" s="1037"/>
      <c r="BA40" s="1041"/>
      <c r="BB40" s="1037"/>
      <c r="BC40" s="1037">
        <v>327666</v>
      </c>
      <c r="BD40" s="1037"/>
      <c r="BE40" s="1041"/>
      <c r="BF40" s="512"/>
      <c r="BG40" s="512"/>
      <c r="BH40" s="512"/>
    </row>
    <row r="41" spans="1:60" s="1054" customFormat="1">
      <c r="A41" s="1068"/>
      <c r="B41" s="1069" t="s">
        <v>1939</v>
      </c>
      <c r="C41" s="1037"/>
      <c r="D41" s="1037"/>
      <c r="E41" s="1037"/>
      <c r="F41" s="1037"/>
      <c r="G41" s="1037"/>
      <c r="H41" s="1037"/>
      <c r="I41" s="1037"/>
      <c r="J41" s="1037"/>
      <c r="K41" s="1037"/>
      <c r="L41" s="1037"/>
      <c r="M41" s="1037"/>
      <c r="N41" s="1037"/>
      <c r="O41" s="1037">
        <f>ROUND(S41+W41+AA41+AE41+AI41+AM41+AQ41+AU41+AY41+BC41,0)</f>
        <v>31488</v>
      </c>
      <c r="P41" s="1037"/>
      <c r="Q41" s="1041"/>
      <c r="R41" s="1037"/>
      <c r="S41" s="1037">
        <f>S40-S39</f>
        <v>-5840.2600000000093</v>
      </c>
      <c r="T41" s="1037"/>
      <c r="U41" s="1041"/>
      <c r="V41" s="1037"/>
      <c r="W41" s="1037">
        <f>W40-W39</f>
        <v>-12820.059999999998</v>
      </c>
      <c r="X41" s="1037"/>
      <c r="Y41" s="1041"/>
      <c r="Z41" s="1037"/>
      <c r="AA41" s="1037">
        <f>AA40-AA39</f>
        <v>5513.3400000000256</v>
      </c>
      <c r="AB41" s="1037"/>
      <c r="AC41" s="1041"/>
      <c r="AD41" s="1037"/>
      <c r="AE41" s="1037">
        <f>AE40-AE39</f>
        <v>-2379.2399999999907</v>
      </c>
      <c r="AF41" s="1037"/>
      <c r="AG41" s="1041"/>
      <c r="AH41" s="1037"/>
      <c r="AI41" s="1037">
        <f>AI40-AI39</f>
        <v>6027.4000000000233</v>
      </c>
      <c r="AJ41" s="1037"/>
      <c r="AK41" s="1041"/>
      <c r="AL41" s="1037"/>
      <c r="AM41" s="1037">
        <f>AM40-AM39</f>
        <v>-1803.2000000000116</v>
      </c>
      <c r="AN41" s="1037"/>
      <c r="AO41" s="1041"/>
      <c r="AP41" s="1037"/>
      <c r="AQ41" s="1037">
        <f>AQ40-AQ39</f>
        <v>11031.540000000008</v>
      </c>
      <c r="AR41" s="1037"/>
      <c r="AS41" s="1041"/>
      <c r="AT41" s="1037"/>
      <c r="AU41" s="1037">
        <f>AU40-AU39</f>
        <v>9174.9199999999837</v>
      </c>
      <c r="AV41" s="1037"/>
      <c r="AW41" s="1041"/>
      <c r="AX41" s="1037"/>
      <c r="AY41" s="1037">
        <f>AY40-AY39</f>
        <v>19276.339999999967</v>
      </c>
      <c r="AZ41" s="1037"/>
      <c r="BA41" s="1041"/>
      <c r="BB41" s="1037"/>
      <c r="BC41" s="1037">
        <f>BC40-BC39</f>
        <v>3307.640000000014</v>
      </c>
      <c r="BD41" s="1037"/>
      <c r="BE41" s="1041"/>
      <c r="BF41" s="512"/>
      <c r="BG41" s="512"/>
      <c r="BH41" s="512"/>
    </row>
    <row r="42" spans="1:60" s="1076" customFormat="1" hidden="1">
      <c r="A42" s="1070"/>
      <c r="B42" s="1071" t="s">
        <v>1940</v>
      </c>
      <c r="C42" s="1072"/>
      <c r="D42" s="1072"/>
      <c r="E42" s="1072"/>
      <c r="F42" s="1072"/>
      <c r="G42" s="1072"/>
      <c r="H42" s="1072"/>
      <c r="I42" s="1072"/>
      <c r="J42" s="1072"/>
      <c r="K42" s="1072"/>
      <c r="L42" s="1072"/>
      <c r="M42" s="1072"/>
      <c r="N42" s="1072"/>
      <c r="O42" s="1072">
        <f>ROUND(S42+W42+AA42+AE42+AI42+AM42+AQ42+AU42+AY42+BC42,0)</f>
        <v>117988</v>
      </c>
      <c r="P42" s="1072"/>
      <c r="Q42" s="1073"/>
      <c r="R42" s="1072"/>
      <c r="S42" s="1072">
        <f>S34-S38+C90</f>
        <v>85994.140000000014</v>
      </c>
      <c r="T42" s="1072"/>
      <c r="U42" s="1073"/>
      <c r="V42" s="1074"/>
      <c r="W42" s="1074">
        <f>W34-W38</f>
        <v>-14910.059999999998</v>
      </c>
      <c r="X42" s="1074"/>
      <c r="Y42" s="1073"/>
      <c r="Z42" s="1072"/>
      <c r="AA42" s="1072">
        <f>AA34-AA38</f>
        <v>5211.3399999999674</v>
      </c>
      <c r="AB42" s="1072"/>
      <c r="AC42" s="1073"/>
      <c r="AD42" s="1072"/>
      <c r="AE42" s="1072">
        <f>AE34-AE38</f>
        <v>-4139.2399999999907</v>
      </c>
      <c r="AF42" s="1072"/>
      <c r="AG42" s="1073"/>
      <c r="AH42" s="1072"/>
      <c r="AI42" s="1072">
        <f>AI34-AI38</f>
        <v>5956.4000000000233</v>
      </c>
      <c r="AJ42" s="1072"/>
      <c r="AK42" s="1073"/>
      <c r="AL42" s="1072"/>
      <c r="AM42" s="1072">
        <f>AM34-AM38</f>
        <v>2531.7999999999884</v>
      </c>
      <c r="AN42" s="1072"/>
      <c r="AO42" s="1073"/>
      <c r="AP42" s="1072"/>
      <c r="AQ42" s="1072">
        <f>AQ34-AQ38</f>
        <v>6606.5400000000081</v>
      </c>
      <c r="AR42" s="1072"/>
      <c r="AS42" s="1073"/>
      <c r="AT42" s="1072"/>
      <c r="AU42" s="1072">
        <f>AU34-AU38</f>
        <v>9112.9199999999837</v>
      </c>
      <c r="AV42" s="1072"/>
      <c r="AW42" s="1073"/>
      <c r="AX42" s="1072"/>
      <c r="AY42" s="1072">
        <f>AY34-AY38</f>
        <v>19275.339999999967</v>
      </c>
      <c r="AZ42" s="1072"/>
      <c r="BA42" s="1073"/>
      <c r="BB42" s="1072"/>
      <c r="BC42" s="1072">
        <f>BC34-BC38</f>
        <v>2348.640000000014</v>
      </c>
      <c r="BD42" s="1072"/>
      <c r="BE42" s="1073"/>
      <c r="BF42" s="1075"/>
      <c r="BG42" s="1075"/>
      <c r="BH42" s="1075"/>
    </row>
    <row r="43" spans="1:60" s="1054" customFormat="1">
      <c r="A43" s="1068"/>
      <c r="B43" s="1069" t="s">
        <v>1941</v>
      </c>
      <c r="C43" s="1037"/>
      <c r="D43" s="1037"/>
      <c r="E43" s="1037"/>
      <c r="F43" s="1037"/>
      <c r="G43" s="1037"/>
      <c r="H43" s="1037"/>
      <c r="I43" s="1037"/>
      <c r="J43" s="1037"/>
      <c r="K43" s="1037"/>
      <c r="L43" s="1037"/>
      <c r="M43" s="1037"/>
      <c r="N43" s="1037"/>
      <c r="O43" s="1077">
        <f>IF(O41&lt;0, 100+O41/O39%,O41/O39%)</f>
        <v>0.88507017486657058</v>
      </c>
      <c r="P43" s="1037"/>
      <c r="Q43" s="1041"/>
      <c r="R43" s="1037"/>
      <c r="S43" s="1077">
        <f>IF(S41&lt;0, 100+S41/S39%,S41/S39%)</f>
        <v>99.123304258453047</v>
      </c>
      <c r="T43" s="1037"/>
      <c r="U43" s="1041"/>
      <c r="V43" s="1037"/>
      <c r="W43" s="1077">
        <f>IF(W41&lt;0, 100+W41/W39%,W41/W39%)</f>
        <v>97.117241768245947</v>
      </c>
      <c r="X43" s="1037"/>
      <c r="Y43" s="1041"/>
      <c r="Z43" s="1037"/>
      <c r="AA43" s="1077">
        <f>IF(AA41&lt;0, 100+AA41/AA39%,AA41/AA39%)</f>
        <v>1.6312011035979379</v>
      </c>
      <c r="AB43" s="1077"/>
      <c r="AC43" s="1041"/>
      <c r="AD43" s="1037"/>
      <c r="AE43" s="1077">
        <f>IF(AE41&lt;0, 100+AE41/AE39%,AE41/AE39%)</f>
        <v>99.253023958841155</v>
      </c>
      <c r="AF43" s="1037"/>
      <c r="AG43" s="1041"/>
      <c r="AH43" s="1037"/>
      <c r="AI43" s="1077">
        <f>IF(AI41&lt;0, 100+AI41/AI39%,AI41/AI39%)</f>
        <v>1.4623343489174359</v>
      </c>
      <c r="AJ43" s="1037"/>
      <c r="AK43" s="1041"/>
      <c r="AL43" s="1037"/>
      <c r="AM43" s="1077">
        <f>IF(AM41&lt;0, 100+AM41/AM39%,AM41/AM39%)</f>
        <v>99.515770229321674</v>
      </c>
      <c r="AN43" s="1037"/>
      <c r="AO43" s="1041"/>
      <c r="AP43" s="1037"/>
      <c r="AQ43" s="1077">
        <f>IF(AQ41&lt;0, 100+AQ41/AQ39%,AQ41/AQ39%)</f>
        <v>9.0647249334538351</v>
      </c>
      <c r="AR43" s="1037"/>
      <c r="AS43" s="1041"/>
      <c r="AT43" s="1037"/>
      <c r="AU43" s="1077">
        <f>IF(AU41&lt;0, 100+AU41/AU39%,AU41/AU39%)</f>
        <v>3.6180977922588768</v>
      </c>
      <c r="AV43" s="1037"/>
      <c r="AW43" s="1041"/>
      <c r="AX43" s="1037"/>
      <c r="AY43" s="1077">
        <f>IF(AY41&lt;0, 100+AY41/AY39%,AY41/AY39%)</f>
        <v>6.2975917004458637</v>
      </c>
      <c r="AZ43" s="1037"/>
      <c r="BA43" s="1041"/>
      <c r="BB43" s="1037"/>
      <c r="BC43" s="1077">
        <f>IF(BC41&lt;0, 100+BC41/BC39%,BC41/BC39%)</f>
        <v>1.0197486508440892</v>
      </c>
      <c r="BD43" s="1037"/>
      <c r="BE43" s="1041"/>
      <c r="BF43" s="512"/>
      <c r="BG43" s="512"/>
      <c r="BH43" s="512"/>
    </row>
    <row r="44" spans="1:60" s="1054" customFormat="1" hidden="1">
      <c r="A44" s="1068"/>
      <c r="B44" s="1069"/>
      <c r="C44" s="1037"/>
      <c r="D44" s="1037"/>
      <c r="E44" s="1037"/>
      <c r="F44" s="1037"/>
      <c r="G44" s="1037"/>
      <c r="H44" s="1037"/>
      <c r="I44" s="1037"/>
      <c r="J44" s="1037"/>
      <c r="K44" s="1037"/>
      <c r="L44" s="1037"/>
      <c r="M44" s="1037"/>
      <c r="N44" s="1037"/>
      <c r="O44" s="1078">
        <f>O42/O45%</f>
        <v>3.2887073536007065</v>
      </c>
      <c r="P44" s="1037"/>
      <c r="Q44" s="1041"/>
      <c r="R44" s="1037"/>
      <c r="S44" s="1037"/>
      <c r="T44" s="1037"/>
      <c r="U44" s="1041"/>
      <c r="V44" s="1037"/>
      <c r="W44" s="1037"/>
      <c r="X44" s="1037"/>
      <c r="Y44" s="1041"/>
      <c r="Z44" s="1037"/>
      <c r="AA44" s="1037"/>
      <c r="AB44" s="1037"/>
      <c r="AC44" s="1041"/>
      <c r="AD44" s="1037"/>
      <c r="AE44" s="1037"/>
      <c r="AF44" s="1037"/>
      <c r="AG44" s="1041"/>
      <c r="AH44" s="1037"/>
      <c r="AI44" s="1037"/>
      <c r="AJ44" s="1037"/>
      <c r="AK44" s="1041"/>
      <c r="AL44" s="1037"/>
      <c r="AM44" s="1037"/>
      <c r="AN44" s="1037"/>
      <c r="AO44" s="1041"/>
      <c r="AP44" s="1037"/>
      <c r="AQ44" s="1037"/>
      <c r="AR44" s="1037"/>
      <c r="AS44" s="1041"/>
      <c r="AT44" s="1037"/>
      <c r="AU44" s="1037"/>
      <c r="AV44" s="1037"/>
      <c r="AW44" s="1041"/>
      <c r="AX44" s="1037"/>
      <c r="AY44" s="1037"/>
      <c r="AZ44" s="1079">
        <f>AY42/AY38%</f>
        <v>4.8910928262039919</v>
      </c>
      <c r="BA44" s="1041"/>
      <c r="BB44" s="1037"/>
      <c r="BC44" s="1037"/>
      <c r="BD44" s="1037"/>
      <c r="BE44" s="1041"/>
      <c r="BF44" s="512"/>
      <c r="BG44" s="512"/>
      <c r="BH44" s="512"/>
    </row>
    <row r="45" spans="1:60" s="1054" customFormat="1" hidden="1">
      <c r="A45" s="1068"/>
      <c r="B45" s="1069"/>
      <c r="C45" s="1037">
        <f>C34-C51-C90</f>
        <v>3557683.58</v>
      </c>
      <c r="D45" s="1037"/>
      <c r="E45" s="1037"/>
      <c r="F45" s="1037"/>
      <c r="G45" s="1037"/>
      <c r="H45" s="1037"/>
      <c r="I45" s="1037"/>
      <c r="J45" s="1037"/>
      <c r="K45" s="1037"/>
      <c r="L45" s="1037"/>
      <c r="M45" s="1037"/>
      <c r="N45" s="1037"/>
      <c r="O45" s="1037">
        <f>O34-O51-O90</f>
        <v>3587671</v>
      </c>
      <c r="P45" s="1037">
        <f>O45-C45</f>
        <v>29987.419999999925</v>
      </c>
      <c r="Q45" s="1041"/>
      <c r="R45" s="1037"/>
      <c r="S45" s="1037">
        <f>S34-S51-S90</f>
        <v>658837</v>
      </c>
      <c r="T45" s="1078">
        <f>IF(S42&lt;0, 100+S42/S45%,S42/S45%)</f>
        <v>13.052415089012914</v>
      </c>
      <c r="U45" s="1041"/>
      <c r="V45" s="1037"/>
      <c r="W45" s="1037">
        <f>W34-W51-W90</f>
        <v>432445</v>
      </c>
      <c r="X45" s="1037"/>
      <c r="Y45" s="1041"/>
      <c r="Z45" s="1037"/>
      <c r="AA45" s="1037">
        <f>AA34-AA51-AA90</f>
        <v>343204</v>
      </c>
      <c r="AB45" s="1078">
        <f>IF(AA42&lt;0, 100+AA42/AA45%,AA42/AA45%)</f>
        <v>1.5184380135429563</v>
      </c>
      <c r="AC45" s="1041"/>
      <c r="AD45" s="1037"/>
      <c r="AE45" s="1037">
        <f>AE34-AE51-AE90</f>
        <v>316137</v>
      </c>
      <c r="AF45" s="1078">
        <f>IF(AE42&lt;0, 100+AE42/AE45%,AE42/AE45%)</f>
        <v>98.690681571597125</v>
      </c>
      <c r="AG45" s="1041"/>
      <c r="AH45" s="1037"/>
      <c r="AI45" s="1037">
        <f>AI34-AI51-AI90</f>
        <v>418133</v>
      </c>
      <c r="AJ45" s="1078">
        <f>IF(AI42&lt;0, 100+AI42/AI45%,AI42/AI45%)</f>
        <v>1.4245228192943449</v>
      </c>
      <c r="AK45" s="1041"/>
      <c r="AL45" s="1037"/>
      <c r="AM45" s="1037">
        <f>AM34-AM51-AM90</f>
        <v>370517</v>
      </c>
      <c r="AN45" s="1078">
        <f>IF(AM42&lt;0, 100+AM42/AM45%,AM42/AM45%)</f>
        <v>0.68331547540328463</v>
      </c>
      <c r="AO45" s="1041"/>
      <c r="AP45" s="1037"/>
      <c r="AQ45" s="1037">
        <f>AQ34-AQ51-AQ90</f>
        <v>132704</v>
      </c>
      <c r="AR45" s="1078">
        <f>IF(AQ42&lt;0, 100+AQ42/AQ45%,AQ42/AQ45%)</f>
        <v>4.9784030624547926</v>
      </c>
      <c r="AS45" s="1041"/>
      <c r="AT45" s="1037"/>
      <c r="AU45" s="1037">
        <f>AU34-AU51-AU90</f>
        <v>262697</v>
      </c>
      <c r="AV45" s="1078">
        <f>IF(AU42&lt;0, 100+AU42/AU45%,AU42/AU45%)</f>
        <v>3.4689851806453764</v>
      </c>
      <c r="AW45" s="1041"/>
      <c r="AX45" s="1037"/>
      <c r="AY45" s="1037">
        <f>AY34-AY51-AY90</f>
        <v>325366</v>
      </c>
      <c r="AZ45" s="1078">
        <f>IF(AY42&lt;0, 100+AY42/AY45%,AY42/AY45%)</f>
        <v>5.924202282967479</v>
      </c>
      <c r="BA45" s="1041"/>
      <c r="BB45" s="1037"/>
      <c r="BC45" s="1037">
        <f>BC34-BC51-BC90</f>
        <v>327631</v>
      </c>
      <c r="BD45" s="1078">
        <f>IF(BC42&lt;0, 100+BC42/BC45%,BC42/BC45%)</f>
        <v>0.71685524263577438</v>
      </c>
      <c r="BE45" s="1041"/>
      <c r="BF45" s="512"/>
      <c r="BG45" s="512"/>
      <c r="BH45" s="512"/>
    </row>
    <row r="46" spans="1:60" s="1054" customFormat="1" hidden="1">
      <c r="A46" s="1068"/>
      <c r="B46" s="1069"/>
      <c r="C46" s="1037"/>
      <c r="D46" s="1037"/>
      <c r="E46" s="1037"/>
      <c r="F46" s="1037"/>
      <c r="G46" s="1037"/>
      <c r="H46" s="1037"/>
      <c r="I46" s="1037"/>
      <c r="J46" s="1037"/>
      <c r="K46" s="1037"/>
      <c r="L46" s="1037"/>
      <c r="M46" s="1037"/>
      <c r="N46" s="1037"/>
      <c r="O46" s="1037"/>
      <c r="P46" s="1037"/>
      <c r="Q46" s="1041"/>
      <c r="R46" s="1037"/>
      <c r="S46" s="1037"/>
      <c r="T46" s="1078"/>
      <c r="U46" s="1041"/>
      <c r="V46" s="1037"/>
      <c r="W46" s="1037"/>
      <c r="X46" s="1037"/>
      <c r="Y46" s="1041"/>
      <c r="Z46" s="1037"/>
      <c r="AA46" s="1037"/>
      <c r="AB46" s="1037"/>
      <c r="AC46" s="1041"/>
      <c r="AD46" s="1037"/>
      <c r="AE46" s="1037"/>
      <c r="AF46" s="1037"/>
      <c r="AG46" s="1041"/>
      <c r="AH46" s="1037"/>
      <c r="AI46" s="1037"/>
      <c r="AJ46" s="1037"/>
      <c r="AK46" s="1041"/>
      <c r="AL46" s="1037"/>
      <c r="AM46" s="1037"/>
      <c r="AN46" s="1037"/>
      <c r="AO46" s="1041"/>
      <c r="AP46" s="1037"/>
      <c r="AQ46" s="1037"/>
      <c r="AR46" s="1037"/>
      <c r="AS46" s="1041"/>
      <c r="AT46" s="1037"/>
      <c r="AU46" s="1037"/>
      <c r="AV46" s="1037"/>
      <c r="AW46" s="1041"/>
      <c r="AX46" s="1037"/>
      <c r="AY46" s="1037"/>
      <c r="AZ46" s="1037"/>
      <c r="BA46" s="1041"/>
      <c r="BB46" s="1037"/>
      <c r="BC46" s="1037"/>
      <c r="BD46" s="1037"/>
      <c r="BE46" s="1041"/>
      <c r="BF46" s="512"/>
      <c r="BG46" s="512"/>
      <c r="BH46" s="512"/>
    </row>
    <row r="47" spans="1:60" s="512" customFormat="1">
      <c r="A47" s="508" t="s">
        <v>18</v>
      </c>
      <c r="B47" s="1057" t="s">
        <v>31</v>
      </c>
      <c r="C47" s="510">
        <f>D47+E47+F47+G47+H47+I47+J47+K47+L47+M47</f>
        <v>433790.6</v>
      </c>
      <c r="D47" s="510">
        <f t="shared" ref="D47:M47" si="37">D50+D51</f>
        <v>187437.6</v>
      </c>
      <c r="E47" s="510">
        <f t="shared" si="37"/>
        <v>27265</v>
      </c>
      <c r="F47" s="510">
        <f t="shared" si="37"/>
        <v>20571</v>
      </c>
      <c r="G47" s="510">
        <f t="shared" si="37"/>
        <v>31156</v>
      </c>
      <c r="H47" s="510">
        <f t="shared" si="37"/>
        <v>15950</v>
      </c>
      <c r="I47" s="510">
        <f t="shared" si="37"/>
        <v>25432</v>
      </c>
      <c r="J47" s="510">
        <f t="shared" si="37"/>
        <v>14726</v>
      </c>
      <c r="K47" s="510">
        <f t="shared" si="37"/>
        <v>7028</v>
      </c>
      <c r="L47" s="510">
        <f t="shared" si="37"/>
        <v>95623</v>
      </c>
      <c r="M47" s="510">
        <f t="shared" si="37"/>
        <v>8602</v>
      </c>
      <c r="N47" s="510">
        <f t="shared" si="18"/>
        <v>433791</v>
      </c>
      <c r="O47" s="510">
        <f>ROUND(S47+W47+AA47+AE47+AI47+AM47+AQ47+AU47+AY47+BC47,0)</f>
        <v>433791</v>
      </c>
      <c r="P47" s="510"/>
      <c r="Q47" s="511">
        <f t="shared" si="34"/>
        <v>100.00009221038908</v>
      </c>
      <c r="R47" s="510">
        <f t="shared" si="19"/>
        <v>192762</v>
      </c>
      <c r="S47" s="510">
        <f>S50+S51+S52</f>
        <v>192762</v>
      </c>
      <c r="T47" s="510"/>
      <c r="U47" s="511">
        <f>S47/D47*100</f>
        <v>102.84062536011984</v>
      </c>
      <c r="V47" s="510">
        <f t="shared" ref="V47:V92" si="38">W47+X47</f>
        <v>24625</v>
      </c>
      <c r="W47" s="510">
        <f>W50+W51+W52</f>
        <v>24625</v>
      </c>
      <c r="X47" s="510"/>
      <c r="Y47" s="511">
        <f t="shared" ref="Y47:Y53" si="39">W47/E47*100</f>
        <v>90.317256556024205</v>
      </c>
      <c r="Z47" s="510">
        <f t="shared" si="20"/>
        <v>20571</v>
      </c>
      <c r="AA47" s="510">
        <f>AA50+AA51+AA52</f>
        <v>20571</v>
      </c>
      <c r="AB47" s="510"/>
      <c r="AC47" s="511">
        <f t="shared" ref="AC47:AC53" si="40">AA47/F47*100</f>
        <v>100</v>
      </c>
      <c r="AD47" s="510">
        <f t="shared" si="21"/>
        <v>29396</v>
      </c>
      <c r="AE47" s="510">
        <f>AE50+AE51+AE52</f>
        <v>29396</v>
      </c>
      <c r="AF47" s="510"/>
      <c r="AG47" s="511">
        <f t="shared" ref="AG47:AG53" si="41">AE47/G47*100</f>
        <v>94.351007831557325</v>
      </c>
      <c r="AH47" s="510">
        <f t="shared" si="22"/>
        <v>15950</v>
      </c>
      <c r="AI47" s="510">
        <f>AI50+AI51+AI52</f>
        <v>15950</v>
      </c>
      <c r="AJ47" s="510"/>
      <c r="AK47" s="511">
        <f t="shared" ref="AK47:AK53" si="42">AI47/H47*100</f>
        <v>100</v>
      </c>
      <c r="AL47" s="510">
        <f t="shared" si="23"/>
        <v>29832</v>
      </c>
      <c r="AM47" s="510">
        <f>AM50+AM51+AM52</f>
        <v>29832</v>
      </c>
      <c r="AN47" s="510"/>
      <c r="AO47" s="511">
        <f t="shared" ref="AO47:AO53" si="43">AM47/I47*100</f>
        <v>117.30103806228374</v>
      </c>
      <c r="AP47" s="510">
        <f t="shared" si="24"/>
        <v>10326</v>
      </c>
      <c r="AQ47" s="510">
        <f>AQ50+AQ51+AQ52</f>
        <v>10326</v>
      </c>
      <c r="AR47" s="510"/>
      <c r="AS47" s="511">
        <f t="shared" ref="AS47:AS53" si="44">AQ47/J47*100</f>
        <v>70.12087464348771</v>
      </c>
      <c r="AT47" s="510">
        <f t="shared" si="25"/>
        <v>7028</v>
      </c>
      <c r="AU47" s="510">
        <f>AU50+AU51+AU52</f>
        <v>7028</v>
      </c>
      <c r="AV47" s="510"/>
      <c r="AW47" s="511">
        <f t="shared" ref="AW47:AW53" si="45">AU47/K47*100</f>
        <v>100</v>
      </c>
      <c r="AX47" s="510">
        <f t="shared" si="26"/>
        <v>95623</v>
      </c>
      <c r="AY47" s="510">
        <f>AY50+AY51+AY52</f>
        <v>95623</v>
      </c>
      <c r="AZ47" s="510"/>
      <c r="BA47" s="511">
        <f t="shared" ref="BA47:BA53" si="46">AY47/L47*100</f>
        <v>100</v>
      </c>
      <c r="BB47" s="510">
        <f t="shared" si="27"/>
        <v>7678.0000000000009</v>
      </c>
      <c r="BC47" s="510">
        <f>BC50+BC51+BC52</f>
        <v>7678.0000000000009</v>
      </c>
      <c r="BD47" s="510"/>
      <c r="BE47" s="511">
        <f t="shared" ref="BE47:BE53" si="47">BC47/M47*100</f>
        <v>89.25831202046038</v>
      </c>
      <c r="BF47" s="512">
        <f t="shared" ref="BF47:BF53" si="48">O47-C47</f>
        <v>0.40000000002328306</v>
      </c>
      <c r="BG47" s="512">
        <f t="shared" ref="BG47:BG101" si="49">S47+W47+AA47+AE47+AI47+AM47+AQ47+AU47+AY47+BC47</f>
        <v>433791</v>
      </c>
      <c r="BH47" s="512">
        <f t="shared" ref="BH47:BH101" si="50">BG47-O47</f>
        <v>0</v>
      </c>
    </row>
    <row r="48" spans="1:60" hidden="1" outlineLevel="1">
      <c r="A48" s="1035"/>
      <c r="B48" s="1080" t="s">
        <v>32</v>
      </c>
      <c r="C48" s="1037">
        <v>0</v>
      </c>
      <c r="D48" s="1037">
        <v>0</v>
      </c>
      <c r="E48" s="1037">
        <v>0</v>
      </c>
      <c r="F48" s="1037">
        <v>0</v>
      </c>
      <c r="G48" s="1037">
        <v>0</v>
      </c>
      <c r="H48" s="1037">
        <v>0</v>
      </c>
      <c r="I48" s="1037">
        <v>0</v>
      </c>
      <c r="J48" s="1037">
        <v>0</v>
      </c>
      <c r="K48" s="1037">
        <v>0</v>
      </c>
      <c r="L48" s="1037">
        <v>0</v>
      </c>
      <c r="M48" s="1037">
        <v>0</v>
      </c>
      <c r="N48" s="1037">
        <f t="shared" si="18"/>
        <v>0</v>
      </c>
      <c r="O48" s="1037">
        <f>S48+W48+AA48+AE48+AI48+AM48+AQ48+AU48+AY48+BC48</f>
        <v>0</v>
      </c>
      <c r="P48" s="1037"/>
      <c r="Q48" s="1041" t="e">
        <f t="shared" si="34"/>
        <v>#DIV/0!</v>
      </c>
      <c r="R48" s="1037">
        <f t="shared" si="19"/>
        <v>0</v>
      </c>
      <c r="S48" s="1037"/>
      <c r="T48" s="1037"/>
      <c r="U48" s="1041" t="e">
        <f t="shared" ref="U48:U91" si="51">S48/D48*100</f>
        <v>#DIV/0!</v>
      </c>
      <c r="V48" s="1037">
        <f t="shared" si="38"/>
        <v>0</v>
      </c>
      <c r="W48" s="1037"/>
      <c r="X48" s="1037"/>
      <c r="Y48" s="1041" t="e">
        <f t="shared" si="39"/>
        <v>#DIV/0!</v>
      </c>
      <c r="Z48" s="1037">
        <f t="shared" si="20"/>
        <v>0</v>
      </c>
      <c r="AA48" s="1037"/>
      <c r="AB48" s="1037"/>
      <c r="AC48" s="1041" t="e">
        <f t="shared" si="40"/>
        <v>#DIV/0!</v>
      </c>
      <c r="AD48" s="1037">
        <f t="shared" si="21"/>
        <v>0</v>
      </c>
      <c r="AE48" s="1037"/>
      <c r="AF48" s="1037"/>
      <c r="AG48" s="1041" t="e">
        <f t="shared" si="41"/>
        <v>#DIV/0!</v>
      </c>
      <c r="AH48" s="1037">
        <f t="shared" si="22"/>
        <v>0</v>
      </c>
      <c r="AI48" s="1037"/>
      <c r="AJ48" s="1037"/>
      <c r="AK48" s="1041" t="e">
        <f t="shared" si="42"/>
        <v>#DIV/0!</v>
      </c>
      <c r="AL48" s="1037">
        <f t="shared" si="23"/>
        <v>0</v>
      </c>
      <c r="AM48" s="1037"/>
      <c r="AN48" s="1037"/>
      <c r="AO48" s="1041" t="e">
        <f t="shared" si="43"/>
        <v>#DIV/0!</v>
      </c>
      <c r="AP48" s="1037">
        <f t="shared" si="24"/>
        <v>0</v>
      </c>
      <c r="AQ48" s="1037"/>
      <c r="AR48" s="1037"/>
      <c r="AS48" s="1041" t="e">
        <f t="shared" si="44"/>
        <v>#DIV/0!</v>
      </c>
      <c r="AT48" s="1037">
        <f t="shared" si="25"/>
        <v>0</v>
      </c>
      <c r="AU48" s="1037"/>
      <c r="AV48" s="1037"/>
      <c r="AW48" s="1041" t="e">
        <f t="shared" si="45"/>
        <v>#DIV/0!</v>
      </c>
      <c r="AX48" s="1037">
        <f t="shared" si="26"/>
        <v>0</v>
      </c>
      <c r="AY48" s="1037"/>
      <c r="AZ48" s="1037"/>
      <c r="BA48" s="1041" t="e">
        <f t="shared" si="46"/>
        <v>#DIV/0!</v>
      </c>
      <c r="BB48" s="1037">
        <f t="shared" si="27"/>
        <v>0</v>
      </c>
      <c r="BC48" s="1037"/>
      <c r="BD48" s="1037"/>
      <c r="BE48" s="1041" t="e">
        <f t="shared" si="47"/>
        <v>#DIV/0!</v>
      </c>
      <c r="BF48" s="512">
        <f t="shared" si="48"/>
        <v>0</v>
      </c>
      <c r="BG48" s="512">
        <f t="shared" si="49"/>
        <v>0</v>
      </c>
      <c r="BH48" s="512">
        <f t="shared" si="50"/>
        <v>0</v>
      </c>
    </row>
    <row r="49" spans="1:60" hidden="1" outlineLevel="1">
      <c r="A49" s="1035"/>
      <c r="B49" s="1080" t="s">
        <v>33</v>
      </c>
      <c r="C49" s="1037">
        <v>0</v>
      </c>
      <c r="D49" s="1037">
        <v>0</v>
      </c>
      <c r="E49" s="1037">
        <v>0</v>
      </c>
      <c r="F49" s="1037">
        <v>0</v>
      </c>
      <c r="G49" s="1037">
        <v>0</v>
      </c>
      <c r="H49" s="1037">
        <v>0</v>
      </c>
      <c r="I49" s="1037">
        <v>0</v>
      </c>
      <c r="J49" s="1037">
        <v>0</v>
      </c>
      <c r="K49" s="1037">
        <v>0</v>
      </c>
      <c r="L49" s="1037">
        <v>0</v>
      </c>
      <c r="M49" s="1037">
        <v>0</v>
      </c>
      <c r="N49" s="1037">
        <f t="shared" si="18"/>
        <v>0</v>
      </c>
      <c r="O49" s="1037">
        <f>S49+W49+AA49+AE49+AI49+AM49+AQ49+AU49+AY49+BC49</f>
        <v>0</v>
      </c>
      <c r="P49" s="1037"/>
      <c r="Q49" s="1041" t="e">
        <f t="shared" si="34"/>
        <v>#DIV/0!</v>
      </c>
      <c r="R49" s="1037">
        <f t="shared" si="19"/>
        <v>0</v>
      </c>
      <c r="S49" s="1037"/>
      <c r="T49" s="1037"/>
      <c r="U49" s="1041" t="e">
        <f t="shared" si="51"/>
        <v>#DIV/0!</v>
      </c>
      <c r="V49" s="1037">
        <f t="shared" si="38"/>
        <v>0</v>
      </c>
      <c r="W49" s="1037"/>
      <c r="X49" s="1037"/>
      <c r="Y49" s="1041" t="e">
        <f t="shared" si="39"/>
        <v>#DIV/0!</v>
      </c>
      <c r="Z49" s="1037">
        <f t="shared" si="20"/>
        <v>0</v>
      </c>
      <c r="AA49" s="1037"/>
      <c r="AB49" s="1037"/>
      <c r="AC49" s="1041" t="e">
        <f t="shared" si="40"/>
        <v>#DIV/0!</v>
      </c>
      <c r="AD49" s="1037">
        <f t="shared" si="21"/>
        <v>0</v>
      </c>
      <c r="AE49" s="1037"/>
      <c r="AF49" s="1037"/>
      <c r="AG49" s="1041" t="e">
        <f t="shared" si="41"/>
        <v>#DIV/0!</v>
      </c>
      <c r="AH49" s="1037">
        <f t="shared" si="22"/>
        <v>0</v>
      </c>
      <c r="AI49" s="1037"/>
      <c r="AJ49" s="1037"/>
      <c r="AK49" s="1041" t="e">
        <f t="shared" si="42"/>
        <v>#DIV/0!</v>
      </c>
      <c r="AL49" s="1037">
        <f t="shared" si="23"/>
        <v>0</v>
      </c>
      <c r="AM49" s="1037"/>
      <c r="AN49" s="1037"/>
      <c r="AO49" s="1041" t="e">
        <f t="shared" si="43"/>
        <v>#DIV/0!</v>
      </c>
      <c r="AP49" s="1037">
        <f t="shared" si="24"/>
        <v>0</v>
      </c>
      <c r="AQ49" s="1037"/>
      <c r="AR49" s="1037"/>
      <c r="AS49" s="1041" t="e">
        <f t="shared" si="44"/>
        <v>#DIV/0!</v>
      </c>
      <c r="AT49" s="1037">
        <f t="shared" si="25"/>
        <v>0</v>
      </c>
      <c r="AU49" s="1037"/>
      <c r="AV49" s="1037"/>
      <c r="AW49" s="1041" t="e">
        <f t="shared" si="45"/>
        <v>#DIV/0!</v>
      </c>
      <c r="AX49" s="1037">
        <f t="shared" si="26"/>
        <v>0</v>
      </c>
      <c r="AY49" s="1037"/>
      <c r="AZ49" s="1037"/>
      <c r="BA49" s="1041" t="e">
        <f t="shared" si="46"/>
        <v>#DIV/0!</v>
      </c>
      <c r="BB49" s="1037">
        <f t="shared" si="27"/>
        <v>0</v>
      </c>
      <c r="BC49" s="1037"/>
      <c r="BD49" s="1037"/>
      <c r="BE49" s="1041" t="e">
        <f t="shared" si="47"/>
        <v>#DIV/0!</v>
      </c>
      <c r="BF49" s="512">
        <f t="shared" si="48"/>
        <v>0</v>
      </c>
      <c r="BG49" s="512">
        <f t="shared" si="49"/>
        <v>0</v>
      </c>
      <c r="BH49" s="512">
        <f t="shared" si="50"/>
        <v>0</v>
      </c>
    </row>
    <row r="50" spans="1:60" collapsed="1">
      <c r="A50" s="1035" t="s">
        <v>34</v>
      </c>
      <c r="B50" s="1080" t="s">
        <v>35</v>
      </c>
      <c r="C50" s="1037">
        <f>SUM(D50:M50)</f>
        <v>81791</v>
      </c>
      <c r="D50" s="1037">
        <v>16410</v>
      </c>
      <c r="E50" s="1037">
        <v>7025</v>
      </c>
      <c r="F50" s="1037">
        <v>7371</v>
      </c>
      <c r="G50" s="1037">
        <v>7396</v>
      </c>
      <c r="H50" s="1037">
        <v>8030</v>
      </c>
      <c r="I50" s="1037">
        <v>7832</v>
      </c>
      <c r="J50" s="1037">
        <v>5926</v>
      </c>
      <c r="K50" s="1037">
        <v>6588</v>
      </c>
      <c r="L50" s="1037">
        <v>7623</v>
      </c>
      <c r="M50" s="1037">
        <v>7590.0000000000009</v>
      </c>
      <c r="N50" s="1037">
        <f t="shared" si="18"/>
        <v>81791</v>
      </c>
      <c r="O50" s="1037">
        <f>ROUND(S50+W50+AA50+AE50+AI50+AM50+AQ50+AU50+AY50+BC50,0)</f>
        <v>81791</v>
      </c>
      <c r="P50" s="1037"/>
      <c r="Q50" s="1041">
        <f>O50/C50*100</f>
        <v>100</v>
      </c>
      <c r="R50" s="1037">
        <f t="shared" si="19"/>
        <v>16410</v>
      </c>
      <c r="S50" s="1037">
        <f>D50</f>
        <v>16410</v>
      </c>
      <c r="T50" s="1037"/>
      <c r="U50" s="1041">
        <f t="shared" si="51"/>
        <v>100</v>
      </c>
      <c r="V50" s="1037">
        <f t="shared" si="38"/>
        <v>7025</v>
      </c>
      <c r="W50" s="1037">
        <f>E50</f>
        <v>7025</v>
      </c>
      <c r="X50" s="1037"/>
      <c r="Y50" s="1041">
        <f t="shared" si="39"/>
        <v>100</v>
      </c>
      <c r="Z50" s="1037">
        <f t="shared" si="20"/>
        <v>7371</v>
      </c>
      <c r="AA50" s="1037">
        <f>F50</f>
        <v>7371</v>
      </c>
      <c r="AB50" s="1037"/>
      <c r="AC50" s="1041">
        <f t="shared" si="40"/>
        <v>100</v>
      </c>
      <c r="AD50" s="1037">
        <f t="shared" si="21"/>
        <v>7396</v>
      </c>
      <c r="AE50" s="1037">
        <f>G50</f>
        <v>7396</v>
      </c>
      <c r="AF50" s="1037"/>
      <c r="AG50" s="1041">
        <f t="shared" si="41"/>
        <v>100</v>
      </c>
      <c r="AH50" s="1037">
        <f t="shared" si="22"/>
        <v>8030</v>
      </c>
      <c r="AI50" s="1037">
        <f>H50</f>
        <v>8030</v>
      </c>
      <c r="AJ50" s="1037"/>
      <c r="AK50" s="1041">
        <f t="shared" si="42"/>
        <v>100</v>
      </c>
      <c r="AL50" s="1037">
        <f t="shared" si="23"/>
        <v>7832</v>
      </c>
      <c r="AM50" s="1037">
        <f>I50</f>
        <v>7832</v>
      </c>
      <c r="AN50" s="1037"/>
      <c r="AO50" s="1041">
        <f t="shared" si="43"/>
        <v>100</v>
      </c>
      <c r="AP50" s="1037">
        <f t="shared" si="24"/>
        <v>5926</v>
      </c>
      <c r="AQ50" s="1037">
        <f>J50</f>
        <v>5926</v>
      </c>
      <c r="AR50" s="1037"/>
      <c r="AS50" s="1041">
        <f t="shared" si="44"/>
        <v>100</v>
      </c>
      <c r="AT50" s="1037">
        <f t="shared" si="25"/>
        <v>6588</v>
      </c>
      <c r="AU50" s="1037">
        <f>K50</f>
        <v>6588</v>
      </c>
      <c r="AV50" s="1037"/>
      <c r="AW50" s="1041">
        <f t="shared" si="45"/>
        <v>100</v>
      </c>
      <c r="AX50" s="1037">
        <f t="shared" si="26"/>
        <v>7623</v>
      </c>
      <c r="AY50" s="1037">
        <f>L50</f>
        <v>7623</v>
      </c>
      <c r="AZ50" s="1037"/>
      <c r="BA50" s="1041">
        <f t="shared" si="46"/>
        <v>100</v>
      </c>
      <c r="BB50" s="1037">
        <f t="shared" si="27"/>
        <v>7590.0000000000009</v>
      </c>
      <c r="BC50" s="1037">
        <f>M50</f>
        <v>7590.0000000000009</v>
      </c>
      <c r="BD50" s="1037"/>
      <c r="BE50" s="1041">
        <f t="shared" si="47"/>
        <v>100</v>
      </c>
      <c r="BF50" s="512">
        <f t="shared" si="48"/>
        <v>0</v>
      </c>
      <c r="BG50" s="512">
        <f t="shared" si="49"/>
        <v>81791</v>
      </c>
      <c r="BH50" s="512">
        <f t="shared" si="50"/>
        <v>0</v>
      </c>
    </row>
    <row r="51" spans="1:60">
      <c r="A51" s="1035" t="s">
        <v>36</v>
      </c>
      <c r="B51" s="1080" t="s">
        <v>37</v>
      </c>
      <c r="C51" s="1037">
        <f>SUM(D51:M51)</f>
        <v>351999.6</v>
      </c>
      <c r="D51" s="1037">
        <v>171027.6</v>
      </c>
      <c r="E51" s="1037">
        <v>20240</v>
      </c>
      <c r="F51" s="1037">
        <v>13200</v>
      </c>
      <c r="G51" s="1037">
        <v>23760</v>
      </c>
      <c r="H51" s="1037">
        <v>7920</v>
      </c>
      <c r="I51" s="1037">
        <v>17600</v>
      </c>
      <c r="J51" s="1037">
        <v>8800</v>
      </c>
      <c r="K51" s="1037">
        <v>440</v>
      </c>
      <c r="L51" s="1037">
        <v>88000</v>
      </c>
      <c r="M51" s="1037">
        <v>1012</v>
      </c>
      <c r="N51" s="1037">
        <f t="shared" si="18"/>
        <v>352000</v>
      </c>
      <c r="O51" s="1037">
        <f>ROUND(S51+W51+AA51+AE51+AI51+AM51+AQ51+AU51+AY51+BC51,0)</f>
        <v>352000</v>
      </c>
      <c r="P51" s="1037"/>
      <c r="Q51" s="1041">
        <f t="shared" si="34"/>
        <v>100.00011363649277</v>
      </c>
      <c r="R51" s="1037">
        <f t="shared" si="19"/>
        <v>176352</v>
      </c>
      <c r="S51" s="1037">
        <v>176352</v>
      </c>
      <c r="T51" s="1037"/>
      <c r="U51" s="1041">
        <f t="shared" si="51"/>
        <v>103.11318173207131</v>
      </c>
      <c r="V51" s="1037">
        <f t="shared" si="38"/>
        <v>17600</v>
      </c>
      <c r="W51" s="1037">
        <v>17600</v>
      </c>
      <c r="X51" s="1037"/>
      <c r="Y51" s="1041">
        <f t="shared" si="39"/>
        <v>86.956521739130437</v>
      </c>
      <c r="Z51" s="1037">
        <f t="shared" si="20"/>
        <v>13200</v>
      </c>
      <c r="AA51" s="1037">
        <v>13200</v>
      </c>
      <c r="AB51" s="1037"/>
      <c r="AC51" s="1041">
        <f t="shared" si="40"/>
        <v>100</v>
      </c>
      <c r="AD51" s="1037">
        <f t="shared" si="21"/>
        <v>22000</v>
      </c>
      <c r="AE51" s="1037">
        <v>22000</v>
      </c>
      <c r="AF51" s="1037"/>
      <c r="AG51" s="1041">
        <f t="shared" si="41"/>
        <v>92.592592592592595</v>
      </c>
      <c r="AH51" s="1037">
        <f t="shared" si="22"/>
        <v>7920</v>
      </c>
      <c r="AI51" s="1037">
        <v>7920</v>
      </c>
      <c r="AJ51" s="1037"/>
      <c r="AK51" s="1041">
        <f t="shared" si="42"/>
        <v>100</v>
      </c>
      <c r="AL51" s="1037">
        <f t="shared" si="23"/>
        <v>22000</v>
      </c>
      <c r="AM51" s="1037">
        <v>22000</v>
      </c>
      <c r="AN51" s="1037"/>
      <c r="AO51" s="1041">
        <f t="shared" si="43"/>
        <v>125</v>
      </c>
      <c r="AP51" s="1037">
        <f t="shared" si="24"/>
        <v>4400</v>
      </c>
      <c r="AQ51" s="1037">
        <v>4400</v>
      </c>
      <c r="AR51" s="1037"/>
      <c r="AS51" s="1041">
        <f t="shared" si="44"/>
        <v>50</v>
      </c>
      <c r="AT51" s="1037">
        <f t="shared" si="25"/>
        <v>440</v>
      </c>
      <c r="AU51" s="1037">
        <v>440</v>
      </c>
      <c r="AV51" s="1037"/>
      <c r="AW51" s="1041">
        <f t="shared" si="45"/>
        <v>100</v>
      </c>
      <c r="AX51" s="1037">
        <f t="shared" si="26"/>
        <v>88000</v>
      </c>
      <c r="AY51" s="1037">
        <v>88000</v>
      </c>
      <c r="AZ51" s="1037"/>
      <c r="BA51" s="1041">
        <f t="shared" si="46"/>
        <v>100</v>
      </c>
      <c r="BB51" s="1037">
        <f t="shared" si="27"/>
        <v>88</v>
      </c>
      <c r="BC51" s="1037">
        <v>88</v>
      </c>
      <c r="BD51" s="1037"/>
      <c r="BE51" s="1041">
        <f>BC51/M51*100</f>
        <v>8.695652173913043</v>
      </c>
      <c r="BF51" s="512">
        <f t="shared" si="48"/>
        <v>0.40000000002328306</v>
      </c>
      <c r="BG51" s="512">
        <f t="shared" si="49"/>
        <v>352000</v>
      </c>
      <c r="BH51" s="512">
        <f t="shared" si="50"/>
        <v>0</v>
      </c>
    </row>
    <row r="52" spans="1:60" hidden="1" outlineLevel="1">
      <c r="A52" s="1035" t="s">
        <v>38</v>
      </c>
      <c r="B52" s="1080" t="s">
        <v>39</v>
      </c>
      <c r="C52" s="1037">
        <f t="shared" ref="C52:C93" si="52">SUM(D52:M52)</f>
        <v>0</v>
      </c>
      <c r="D52" s="1037">
        <v>0</v>
      </c>
      <c r="E52" s="1037">
        <v>0</v>
      </c>
      <c r="F52" s="1037">
        <v>0</v>
      </c>
      <c r="G52" s="1037">
        <v>0</v>
      </c>
      <c r="H52" s="1037">
        <v>0</v>
      </c>
      <c r="I52" s="1037">
        <v>0</v>
      </c>
      <c r="J52" s="1037">
        <v>0</v>
      </c>
      <c r="K52" s="1037">
        <v>0</v>
      </c>
      <c r="L52" s="1037">
        <v>0</v>
      </c>
      <c r="M52" s="1037">
        <v>0</v>
      </c>
      <c r="N52" s="1037">
        <f t="shared" si="18"/>
        <v>0</v>
      </c>
      <c r="O52" s="1037">
        <f>S52+W52+AA52+AE52+AI52+AM52+AQ52+AU52+AY52+BC52</f>
        <v>0</v>
      </c>
      <c r="P52" s="1037"/>
      <c r="Q52" s="1041" t="e">
        <f t="shared" si="34"/>
        <v>#DIV/0!</v>
      </c>
      <c r="R52" s="1037">
        <f t="shared" si="19"/>
        <v>0</v>
      </c>
      <c r="S52" s="1037"/>
      <c r="T52" s="1037"/>
      <c r="U52" s="1041" t="e">
        <f t="shared" si="51"/>
        <v>#DIV/0!</v>
      </c>
      <c r="V52" s="1037">
        <f t="shared" si="38"/>
        <v>0</v>
      </c>
      <c r="W52" s="1037"/>
      <c r="X52" s="1037"/>
      <c r="Y52" s="1041" t="e">
        <f t="shared" si="39"/>
        <v>#DIV/0!</v>
      </c>
      <c r="Z52" s="1037">
        <f t="shared" si="20"/>
        <v>0</v>
      </c>
      <c r="AA52" s="1037"/>
      <c r="AB52" s="1037"/>
      <c r="AC52" s="1041" t="e">
        <f t="shared" si="40"/>
        <v>#DIV/0!</v>
      </c>
      <c r="AD52" s="1037">
        <f t="shared" si="21"/>
        <v>0</v>
      </c>
      <c r="AE52" s="1037"/>
      <c r="AF52" s="1037"/>
      <c r="AG52" s="1041" t="e">
        <f t="shared" si="41"/>
        <v>#DIV/0!</v>
      </c>
      <c r="AH52" s="1037">
        <f t="shared" si="22"/>
        <v>0</v>
      </c>
      <c r="AI52" s="1037"/>
      <c r="AJ52" s="1037"/>
      <c r="AK52" s="1041" t="e">
        <f t="shared" si="42"/>
        <v>#DIV/0!</v>
      </c>
      <c r="AL52" s="1037">
        <f t="shared" si="23"/>
        <v>0</v>
      </c>
      <c r="AM52" s="1037"/>
      <c r="AN52" s="1037"/>
      <c r="AO52" s="1041" t="e">
        <f t="shared" si="43"/>
        <v>#DIV/0!</v>
      </c>
      <c r="AP52" s="1037">
        <f t="shared" si="24"/>
        <v>0</v>
      </c>
      <c r="AQ52" s="1037"/>
      <c r="AR52" s="1037"/>
      <c r="AS52" s="1041" t="e">
        <f t="shared" si="44"/>
        <v>#DIV/0!</v>
      </c>
      <c r="AT52" s="1037">
        <f t="shared" si="25"/>
        <v>0</v>
      </c>
      <c r="AU52" s="1037"/>
      <c r="AV52" s="1037"/>
      <c r="AW52" s="1041" t="e">
        <f t="shared" si="45"/>
        <v>#DIV/0!</v>
      </c>
      <c r="AX52" s="1037">
        <f t="shared" si="26"/>
        <v>0</v>
      </c>
      <c r="AY52" s="1037"/>
      <c r="AZ52" s="1037"/>
      <c r="BA52" s="1041" t="e">
        <f t="shared" si="46"/>
        <v>#DIV/0!</v>
      </c>
      <c r="BB52" s="1037">
        <f t="shared" si="27"/>
        <v>0</v>
      </c>
      <c r="BC52" s="1037"/>
      <c r="BD52" s="1037"/>
      <c r="BE52" s="1041" t="e">
        <f t="shared" si="47"/>
        <v>#DIV/0!</v>
      </c>
      <c r="BF52" s="512">
        <f t="shared" si="48"/>
        <v>0</v>
      </c>
      <c r="BG52" s="512">
        <f t="shared" si="49"/>
        <v>0</v>
      </c>
      <c r="BH52" s="512">
        <f t="shared" si="50"/>
        <v>0</v>
      </c>
    </row>
    <row r="53" spans="1:60" s="512" customFormat="1" collapsed="1">
      <c r="A53" s="508" t="s">
        <v>26</v>
      </c>
      <c r="B53" s="1057" t="s">
        <v>40</v>
      </c>
      <c r="C53" s="510">
        <f t="shared" si="52"/>
        <v>3396719.58</v>
      </c>
      <c r="D53" s="510">
        <f t="shared" ref="D53:M53" si="53">D55+D76+D78</f>
        <v>632034.26</v>
      </c>
      <c r="E53" s="510">
        <f t="shared" si="53"/>
        <v>428391.06</v>
      </c>
      <c r="F53" s="510">
        <f t="shared" si="53"/>
        <v>323597.66000000003</v>
      </c>
      <c r="G53" s="510">
        <f t="shared" si="53"/>
        <v>304274.24</v>
      </c>
      <c r="H53" s="510">
        <f t="shared" si="53"/>
        <v>395744.6</v>
      </c>
      <c r="I53" s="510">
        <f t="shared" si="53"/>
        <v>356753.2</v>
      </c>
      <c r="J53" s="510">
        <f t="shared" si="53"/>
        <v>113161.45999999999</v>
      </c>
      <c r="K53" s="510">
        <f t="shared" si="53"/>
        <v>241916.08000000002</v>
      </c>
      <c r="L53" s="510">
        <f t="shared" si="53"/>
        <v>290585.66000000003</v>
      </c>
      <c r="M53" s="510">
        <f t="shared" si="53"/>
        <v>310261.36</v>
      </c>
      <c r="N53" s="510">
        <f>O53+P53</f>
        <v>3786433</v>
      </c>
      <c r="O53" s="510">
        <f>ROUND(S53+W53+AA53+AE53+AI53+AM53+AQ53+AU53+AY53+BC53,0)</f>
        <v>3415087</v>
      </c>
      <c r="P53" s="1058">
        <f>ROUND(T53+X53+AB53+AF53+AJ53+AN53+AR53+AV53+AZ53+BD53,0)</f>
        <v>371346</v>
      </c>
      <c r="Q53" s="511">
        <f t="shared" si="34"/>
        <v>100.54073995710885</v>
      </c>
      <c r="R53" s="510">
        <f>S53+T53</f>
        <v>697315.28566000005</v>
      </c>
      <c r="S53" s="510">
        <f>S55+S76+S78</f>
        <v>627220.28566000005</v>
      </c>
      <c r="T53" s="1061">
        <f>T55+T78</f>
        <v>70095</v>
      </c>
      <c r="U53" s="511">
        <f t="shared" si="51"/>
        <v>99.23833648827835</v>
      </c>
      <c r="V53" s="510">
        <f t="shared" si="38"/>
        <v>469478.70426000003</v>
      </c>
      <c r="W53" s="510">
        <f>W55+W76+W78</f>
        <v>423240.70426000003</v>
      </c>
      <c r="X53" s="1061">
        <f>X55+X78</f>
        <v>46238</v>
      </c>
      <c r="Y53" s="511">
        <f t="shared" si="39"/>
        <v>98.797744346018803</v>
      </c>
      <c r="Z53" s="510">
        <f t="shared" si="20"/>
        <v>365078.34660000005</v>
      </c>
      <c r="AA53" s="510">
        <f>AA55+AA76+AA78</f>
        <v>326642.34660000005</v>
      </c>
      <c r="AB53" s="1061">
        <f>AB55+AB78</f>
        <v>38436</v>
      </c>
      <c r="AC53" s="511">
        <f t="shared" si="40"/>
        <v>100.94088646994544</v>
      </c>
      <c r="AD53" s="510">
        <f t="shared" si="21"/>
        <v>339244.80331999995</v>
      </c>
      <c r="AE53" s="510">
        <f>AE55+AE76+AE78</f>
        <v>304053.80331999995</v>
      </c>
      <c r="AF53" s="1061">
        <f>AF55+AF78</f>
        <v>35191</v>
      </c>
      <c r="AG53" s="511">
        <f t="shared" si="41"/>
        <v>99.927553288770014</v>
      </c>
      <c r="AH53" s="510">
        <f t="shared" si="22"/>
        <v>440383.08600000001</v>
      </c>
      <c r="AI53" s="510">
        <f>AI55+AI76+AI78</f>
        <v>399938.08600000001</v>
      </c>
      <c r="AJ53" s="1061">
        <f>AJ55+AJ78</f>
        <v>40445</v>
      </c>
      <c r="AK53" s="511">
        <f t="shared" si="42"/>
        <v>101.05964452831448</v>
      </c>
      <c r="AL53" s="510">
        <f t="shared" si="23"/>
        <v>397937.77399999998</v>
      </c>
      <c r="AM53" s="510">
        <f>AM55+AM76+AM78</f>
        <v>356445.77399999998</v>
      </c>
      <c r="AN53" s="1061">
        <f>AN55+AN78</f>
        <v>41492</v>
      </c>
      <c r="AO53" s="511">
        <f t="shared" si="43"/>
        <v>99.913826701484382</v>
      </c>
      <c r="AP53" s="510">
        <f t="shared" si="24"/>
        <v>128948.10459999999</v>
      </c>
      <c r="AQ53" s="510">
        <f>AQ55+AQ76+AQ78</f>
        <v>118934.10459999999</v>
      </c>
      <c r="AR53" s="1061">
        <f>AR55+AR78</f>
        <v>10014</v>
      </c>
      <c r="AS53" s="511">
        <f t="shared" si="44"/>
        <v>105.10124613097074</v>
      </c>
      <c r="AT53" s="510">
        <f t="shared" si="25"/>
        <v>273827.2108</v>
      </c>
      <c r="AU53" s="510">
        <f>AU55+AU76+AU78</f>
        <v>246752.2108</v>
      </c>
      <c r="AV53" s="1061">
        <f>AV55+AV78</f>
        <v>27075</v>
      </c>
      <c r="AW53" s="511">
        <f t="shared" si="45"/>
        <v>101.99909439670152</v>
      </c>
      <c r="AX53" s="510">
        <f t="shared" si="26"/>
        <v>329203.51659999997</v>
      </c>
      <c r="AY53" s="510">
        <f>AY55+AY76+AY78</f>
        <v>299235.51659999997</v>
      </c>
      <c r="AZ53" s="1061">
        <f>AZ55+AZ78</f>
        <v>29968</v>
      </c>
      <c r="BA53" s="511">
        <f t="shared" si="46"/>
        <v>102.97669768012638</v>
      </c>
      <c r="BB53" s="510">
        <f t="shared" si="27"/>
        <v>345016.46360000002</v>
      </c>
      <c r="BC53" s="510">
        <f>BC55+BC76+BC78</f>
        <v>312624.46360000002</v>
      </c>
      <c r="BD53" s="1061">
        <f>BD55+BD78</f>
        <v>32392</v>
      </c>
      <c r="BE53" s="511">
        <f t="shared" si="47"/>
        <v>100.76164933976955</v>
      </c>
      <c r="BF53" s="512">
        <f t="shared" si="48"/>
        <v>18367.419999999925</v>
      </c>
      <c r="BG53" s="512">
        <f t="shared" si="49"/>
        <v>3415087.29544</v>
      </c>
      <c r="BH53" s="512">
        <f t="shared" si="50"/>
        <v>0.29544000001624227</v>
      </c>
    </row>
    <row r="54" spans="1:60" s="1053" customFormat="1" hidden="1" outlineLevel="1">
      <c r="A54" s="1081"/>
      <c r="B54" s="1065" t="s">
        <v>1552</v>
      </c>
      <c r="C54" s="1066"/>
      <c r="D54" s="1066"/>
      <c r="E54" s="1066"/>
      <c r="F54" s="1066"/>
      <c r="G54" s="1066"/>
      <c r="H54" s="1066"/>
      <c r="I54" s="1066"/>
      <c r="J54" s="1066"/>
      <c r="K54" s="1066"/>
      <c r="L54" s="1066"/>
      <c r="M54" s="1066"/>
      <c r="N54" s="1066">
        <f t="shared" si="18"/>
        <v>3322527</v>
      </c>
      <c r="O54" s="1066">
        <v>3322527</v>
      </c>
      <c r="P54" s="1066"/>
      <c r="Q54" s="1067">
        <v>103.75225692503605</v>
      </c>
      <c r="R54" s="1066">
        <f t="shared" si="19"/>
        <v>619807</v>
      </c>
      <c r="S54" s="1066">
        <v>619807</v>
      </c>
      <c r="T54" s="1066"/>
      <c r="U54" s="1067">
        <v>101.37885461834514</v>
      </c>
      <c r="V54" s="1066">
        <f t="shared" si="38"/>
        <v>420292</v>
      </c>
      <c r="W54" s="1066">
        <v>420292</v>
      </c>
      <c r="X54" s="1066"/>
      <c r="Y54" s="1067">
        <v>103.78682181071078</v>
      </c>
      <c r="Z54" s="1066">
        <f t="shared" si="20"/>
        <v>317552</v>
      </c>
      <c r="AA54" s="1066">
        <v>317552</v>
      </c>
      <c r="AB54" s="1066"/>
      <c r="AC54" s="1067">
        <v>105.05609242098926</v>
      </c>
      <c r="AD54" s="1066">
        <f t="shared" si="21"/>
        <v>298395</v>
      </c>
      <c r="AE54" s="1066">
        <v>298395</v>
      </c>
      <c r="AF54" s="1066"/>
      <c r="AG54" s="1067">
        <v>101.51285261338741</v>
      </c>
      <c r="AH54" s="1066">
        <f t="shared" si="22"/>
        <v>384851</v>
      </c>
      <c r="AI54" s="1066">
        <v>384851</v>
      </c>
      <c r="AJ54" s="1066"/>
      <c r="AK54" s="1067">
        <v>105.2756691696415</v>
      </c>
      <c r="AL54" s="1066">
        <f t="shared" si="23"/>
        <v>350200</v>
      </c>
      <c r="AM54" s="1066">
        <v>350200</v>
      </c>
      <c r="AN54" s="1066"/>
      <c r="AO54" s="1067">
        <v>106.8751678507776</v>
      </c>
      <c r="AP54" s="1066">
        <f t="shared" si="24"/>
        <v>110059</v>
      </c>
      <c r="AQ54" s="1066">
        <v>110059</v>
      </c>
      <c r="AR54" s="1066"/>
      <c r="AS54" s="1067">
        <v>105.72227238669767</v>
      </c>
      <c r="AT54" s="1066">
        <f t="shared" si="25"/>
        <v>237376</v>
      </c>
      <c r="AU54" s="1066">
        <v>237376</v>
      </c>
      <c r="AV54" s="1066"/>
      <c r="AW54" s="1067">
        <v>104.57000378851286</v>
      </c>
      <c r="AX54" s="1066">
        <f t="shared" si="26"/>
        <v>282293</v>
      </c>
      <c r="AY54" s="1066">
        <v>282293</v>
      </c>
      <c r="AZ54" s="1066"/>
      <c r="BA54" s="1067">
        <v>101.44425997398247</v>
      </c>
      <c r="BB54" s="1066">
        <f t="shared" si="27"/>
        <v>301702</v>
      </c>
      <c r="BC54" s="1066">
        <v>301702</v>
      </c>
      <c r="BD54" s="1066"/>
      <c r="BE54" s="1067">
        <v>105.04944289693594</v>
      </c>
      <c r="BG54" s="512">
        <f t="shared" si="49"/>
        <v>3322527</v>
      </c>
      <c r="BH54" s="512">
        <f t="shared" si="50"/>
        <v>0</v>
      </c>
    </row>
    <row r="55" spans="1:60" s="1063" customFormat="1" collapsed="1">
      <c r="A55" s="1082" t="s">
        <v>42</v>
      </c>
      <c r="B55" s="1083" t="s">
        <v>43</v>
      </c>
      <c r="C55" s="1061">
        <f t="shared" si="52"/>
        <v>1983629.58</v>
      </c>
      <c r="D55" s="1061">
        <f>D56+D73</f>
        <v>360239.26</v>
      </c>
      <c r="E55" s="1061">
        <f t="shared" ref="E55:M55" si="54">E56+E73</f>
        <v>271743.06</v>
      </c>
      <c r="F55" s="1061">
        <f t="shared" si="54"/>
        <v>205785.66</v>
      </c>
      <c r="G55" s="1061">
        <f t="shared" si="54"/>
        <v>166228.24</v>
      </c>
      <c r="H55" s="1061">
        <f t="shared" si="54"/>
        <v>228074.6</v>
      </c>
      <c r="I55" s="1061">
        <f t="shared" si="54"/>
        <v>214737.2</v>
      </c>
      <c r="J55" s="1061">
        <f t="shared" si="54"/>
        <v>47355.46</v>
      </c>
      <c r="K55" s="1061">
        <f t="shared" si="54"/>
        <v>141728.08000000002</v>
      </c>
      <c r="L55" s="1061">
        <f t="shared" si="54"/>
        <v>160527.66</v>
      </c>
      <c r="M55" s="1061">
        <f t="shared" si="54"/>
        <v>187210.36000000002</v>
      </c>
      <c r="N55" s="1061">
        <f t="shared" si="18"/>
        <v>2185722</v>
      </c>
      <c r="O55" s="1061">
        <f>ROUND(S55+W55+AA55+AE55+AI55+AM55+AQ55+AU55+AY55+BC55,0)</f>
        <v>1979526</v>
      </c>
      <c r="P55" s="1084">
        <f>ROUND(T55+X55+AB55+AF55+AJ55+AN55+AR55+AV55+AZ55+BD55,0)</f>
        <v>206196</v>
      </c>
      <c r="Q55" s="1062">
        <f t="shared" si="34"/>
        <v>99.793127706837282</v>
      </c>
      <c r="R55" s="1061">
        <f t="shared" si="19"/>
        <v>399497.28565999999</v>
      </c>
      <c r="S55" s="1061">
        <f>S56+S73</f>
        <v>357097.28565999999</v>
      </c>
      <c r="T55" s="1061">
        <f>T56+T73</f>
        <v>42400</v>
      </c>
      <c r="U55" s="1062">
        <f t="shared" si="51"/>
        <v>99.127809017817768</v>
      </c>
      <c r="V55" s="1061">
        <f t="shared" si="38"/>
        <v>292237.70426000003</v>
      </c>
      <c r="W55" s="1061">
        <f>W56+W73</f>
        <v>264683.70426000003</v>
      </c>
      <c r="X55" s="1061">
        <f>X56+X73</f>
        <v>27554</v>
      </c>
      <c r="Y55" s="1062">
        <f t="shared" ref="Y55:Y67" si="55">W55/E55*100</f>
        <v>97.40219465402356</v>
      </c>
      <c r="Z55" s="1061">
        <f t="shared" si="20"/>
        <v>229403.34660000002</v>
      </c>
      <c r="AA55" s="1061">
        <f>AA56+AA73</f>
        <v>207614.34660000002</v>
      </c>
      <c r="AB55" s="1061">
        <f>AB56+AB73</f>
        <v>21789</v>
      </c>
      <c r="AC55" s="1062">
        <f t="shared" ref="AC55:AC67" si="56">AA55/F55*100</f>
        <v>100.88863655514189</v>
      </c>
      <c r="AD55" s="1061">
        <f t="shared" si="21"/>
        <v>184138.80331999998</v>
      </c>
      <c r="AE55" s="1061">
        <f>AE56+AE73</f>
        <v>165141.80331999998</v>
      </c>
      <c r="AF55" s="1061">
        <f>AF56+AF73</f>
        <v>18997</v>
      </c>
      <c r="AG55" s="1062">
        <f t="shared" ref="AG55:AG67" si="57">AE55/G55*100</f>
        <v>99.346418707194388</v>
      </c>
      <c r="AH55" s="1061">
        <f t="shared" si="22"/>
        <v>251193.08600000001</v>
      </c>
      <c r="AI55" s="1061">
        <f>AI56+AI73</f>
        <v>229920.08600000001</v>
      </c>
      <c r="AJ55" s="1061">
        <f>AJ56+AJ73</f>
        <v>21273</v>
      </c>
      <c r="AK55" s="1062">
        <f t="shared" ref="AK55:AK67" si="58">AI55/H55*100</f>
        <v>100.80915893308593</v>
      </c>
      <c r="AL55" s="1061">
        <f t="shared" si="23"/>
        <v>236940.774</v>
      </c>
      <c r="AM55" s="1061">
        <f>AM56+AM73</f>
        <v>213812.774</v>
      </c>
      <c r="AN55" s="1061">
        <f>AN56+AN73</f>
        <v>23128</v>
      </c>
      <c r="AO55" s="1062">
        <f t="shared" ref="AO55:AO67" si="59">AM55/I55*100</f>
        <v>99.569508217486302</v>
      </c>
      <c r="AP55" s="1061">
        <f t="shared" si="24"/>
        <v>51708.104599999999</v>
      </c>
      <c r="AQ55" s="1061">
        <f>AQ56+AQ73</f>
        <v>47708.104599999999</v>
      </c>
      <c r="AR55" s="1061">
        <f>AR56+AR73</f>
        <v>4000</v>
      </c>
      <c r="AS55" s="1062">
        <f t="shared" ref="AS55:AS67" si="60">AQ55/J55*100</f>
        <v>100.74467569315134</v>
      </c>
      <c r="AT55" s="1061">
        <f t="shared" si="25"/>
        <v>158030.2108</v>
      </c>
      <c r="AU55" s="1061">
        <f>AU56+AU73</f>
        <v>142931.2108</v>
      </c>
      <c r="AV55" s="1061">
        <f>AV56+AV73</f>
        <v>15099</v>
      </c>
      <c r="AW55" s="1062">
        <f t="shared" ref="AW55:AW67" si="61">AU55/K55*100</f>
        <v>100.84890079651116</v>
      </c>
      <c r="AX55" s="1061">
        <f t="shared" si="26"/>
        <v>177564.5166</v>
      </c>
      <c r="AY55" s="1061">
        <f>AY56+AY73</f>
        <v>161931.5166</v>
      </c>
      <c r="AZ55" s="1061">
        <f>AZ56+AZ73</f>
        <v>15633</v>
      </c>
      <c r="BA55" s="1062">
        <f t="shared" ref="BA55:BA67" si="62">AY55/L55*100</f>
        <v>100.87452629658964</v>
      </c>
      <c r="BB55" s="1061">
        <f t="shared" si="27"/>
        <v>205008.46360000002</v>
      </c>
      <c r="BC55" s="1061">
        <f>BC56+BC73</f>
        <v>188685.46360000002</v>
      </c>
      <c r="BD55" s="1061">
        <f>BD56+BD73</f>
        <v>16323</v>
      </c>
      <c r="BE55" s="1062">
        <f t="shared" ref="BE55:BE67" si="63">BC55/M55*100</f>
        <v>100.78793908627705</v>
      </c>
      <c r="BF55" s="1063">
        <f t="shared" ref="BF55:BF68" si="64">O55-C55</f>
        <v>-4103.5800000000745</v>
      </c>
      <c r="BG55" s="1063">
        <f t="shared" si="49"/>
        <v>1979526.29544</v>
      </c>
      <c r="BH55" s="1063">
        <f t="shared" si="50"/>
        <v>0.29544000001624227</v>
      </c>
    </row>
    <row r="56" spans="1:60" s="1063" customFormat="1">
      <c r="A56" s="1085" t="s">
        <v>44</v>
      </c>
      <c r="B56" s="1083" t="s">
        <v>1553</v>
      </c>
      <c r="C56" s="1061">
        <f>SUM(D56:M56)</f>
        <v>1977271.58</v>
      </c>
      <c r="D56" s="1061">
        <f>D57+D63+D68</f>
        <v>359767.26</v>
      </c>
      <c r="E56" s="1061">
        <f t="shared" ref="E56:M56" si="65">E57+E63+E68</f>
        <v>270965.06</v>
      </c>
      <c r="F56" s="1061">
        <f t="shared" si="65"/>
        <v>205307.66</v>
      </c>
      <c r="G56" s="1061">
        <f t="shared" si="65"/>
        <v>165935.24</v>
      </c>
      <c r="H56" s="1061">
        <f t="shared" si="65"/>
        <v>227227.6</v>
      </c>
      <c r="I56" s="1061">
        <f t="shared" si="65"/>
        <v>213840.2</v>
      </c>
      <c r="J56" s="1061">
        <f t="shared" si="65"/>
        <v>46937.46</v>
      </c>
      <c r="K56" s="1061">
        <f t="shared" si="65"/>
        <v>140938.08000000002</v>
      </c>
      <c r="L56" s="1061">
        <f t="shared" si="65"/>
        <v>159857.66</v>
      </c>
      <c r="M56" s="1061">
        <f t="shared" si="65"/>
        <v>186495.36000000002</v>
      </c>
      <c r="N56" s="1061">
        <f t="shared" si="18"/>
        <v>2178004</v>
      </c>
      <c r="O56" s="1061">
        <f>ROUND(O57+O63+O68,0)</f>
        <v>1973167</v>
      </c>
      <c r="P56" s="1084">
        <f>ROUND(T56+X56+AB56+AF56+AJ56+AN56+AR56+AV56+AZ56+BD56,0)</f>
        <v>204837</v>
      </c>
      <c r="Q56" s="1062">
        <f t="shared" si="34"/>
        <v>99.792411925528199</v>
      </c>
      <c r="R56" s="1061">
        <f t="shared" si="19"/>
        <v>398907.28565999999</v>
      </c>
      <c r="S56" s="1061">
        <f>S57+S63+S68</f>
        <v>356625.28565999999</v>
      </c>
      <c r="T56" s="1061">
        <v>42282</v>
      </c>
      <c r="U56" s="1062">
        <f t="shared" si="51"/>
        <v>99.126664738753604</v>
      </c>
      <c r="V56" s="1061">
        <f t="shared" si="38"/>
        <v>291266.70426000003</v>
      </c>
      <c r="W56" s="1061">
        <f>W57+W63+W68</f>
        <v>263905.70426000003</v>
      </c>
      <c r="X56" s="1061">
        <v>27361</v>
      </c>
      <c r="Y56" s="1062">
        <f t="shared" si="55"/>
        <v>97.394735786230157</v>
      </c>
      <c r="Z56" s="1061">
        <f t="shared" si="20"/>
        <v>228823.34660000002</v>
      </c>
      <c r="AA56" s="1061">
        <f>AA57+AA63+AA68</f>
        <v>207136.34660000002</v>
      </c>
      <c r="AB56" s="1061">
        <v>21687</v>
      </c>
      <c r="AC56" s="1062">
        <f t="shared" si="56"/>
        <v>100.89070549048196</v>
      </c>
      <c r="AD56" s="1061">
        <f t="shared" si="21"/>
        <v>183773.80331999998</v>
      </c>
      <c r="AE56" s="1061">
        <f>AE57+AE63+AE68</f>
        <v>164848.80331999998</v>
      </c>
      <c r="AF56" s="1061">
        <v>18925</v>
      </c>
      <c r="AG56" s="1062">
        <f t="shared" si="57"/>
        <v>99.345264646617551</v>
      </c>
      <c r="AH56" s="1061">
        <f t="shared" si="22"/>
        <v>250162.08600000001</v>
      </c>
      <c r="AI56" s="1061">
        <f>AI57+AI63+AI68</f>
        <v>229073.08600000001</v>
      </c>
      <c r="AJ56" s="1061">
        <v>21089</v>
      </c>
      <c r="AK56" s="1062">
        <f t="shared" si="58"/>
        <v>100.81217510548895</v>
      </c>
      <c r="AL56" s="1061">
        <f t="shared" si="23"/>
        <v>235815.774</v>
      </c>
      <c r="AM56" s="1061">
        <f>AM57+AM63+AM68</f>
        <v>212915.774</v>
      </c>
      <c r="AN56" s="1061">
        <v>22900</v>
      </c>
      <c r="AO56" s="1062">
        <f t="shared" si="59"/>
        <v>99.567702424520732</v>
      </c>
      <c r="AP56" s="1061">
        <f t="shared" si="24"/>
        <v>51245.104599999999</v>
      </c>
      <c r="AQ56" s="1061">
        <f>AQ57+AQ63+AQ68</f>
        <v>47290.104599999999</v>
      </c>
      <c r="AR56" s="1061">
        <v>3955</v>
      </c>
      <c r="AS56" s="1062">
        <f t="shared" si="60"/>
        <v>100.75130737794504</v>
      </c>
      <c r="AT56" s="1061">
        <f t="shared" si="25"/>
        <v>157082.2108</v>
      </c>
      <c r="AU56" s="1061">
        <f>AU57+AU63+AU68</f>
        <v>142141.2108</v>
      </c>
      <c r="AV56" s="1061">
        <v>14941</v>
      </c>
      <c r="AW56" s="1062">
        <f t="shared" si="61"/>
        <v>100.85365913882181</v>
      </c>
      <c r="AX56" s="1061">
        <f t="shared" si="26"/>
        <v>176797.5166</v>
      </c>
      <c r="AY56" s="1061">
        <f>AY57+AY63+AY68</f>
        <v>161261.5166</v>
      </c>
      <c r="AZ56" s="1061">
        <v>15536</v>
      </c>
      <c r="BA56" s="1062">
        <f t="shared" si="62"/>
        <v>100.87819163623439</v>
      </c>
      <c r="BB56" s="1061">
        <f t="shared" si="27"/>
        <v>204131.46360000002</v>
      </c>
      <c r="BC56" s="1061">
        <f>BC57+BC63+BC68</f>
        <v>187970.46360000002</v>
      </c>
      <c r="BD56" s="1061">
        <v>16161</v>
      </c>
      <c r="BE56" s="1062">
        <f t="shared" si="63"/>
        <v>100.79095994667107</v>
      </c>
      <c r="BF56" s="1063">
        <f t="shared" si="64"/>
        <v>-4104.5800000000745</v>
      </c>
      <c r="BG56" s="1063">
        <f t="shared" si="49"/>
        <v>1973168.29544</v>
      </c>
      <c r="BH56" s="1063">
        <f t="shared" si="50"/>
        <v>1.2954400000162423</v>
      </c>
    </row>
    <row r="57" spans="1:60">
      <c r="A57" s="1086" t="s">
        <v>45</v>
      </c>
      <c r="B57" s="1036" t="s">
        <v>694</v>
      </c>
      <c r="C57" s="1037">
        <f t="shared" si="52"/>
        <v>1743515.58</v>
      </c>
      <c r="D57" s="1037">
        <v>349108.26</v>
      </c>
      <c r="E57" s="1037">
        <v>243426.06</v>
      </c>
      <c r="F57" s="1037">
        <v>182868.66</v>
      </c>
      <c r="G57" s="1037">
        <v>155205.24</v>
      </c>
      <c r="H57" s="1037">
        <v>184548.6</v>
      </c>
      <c r="I57" s="1037">
        <v>184885.2</v>
      </c>
      <c r="J57" s="1037">
        <v>35264.46</v>
      </c>
      <c r="K57" s="1037">
        <v>120313.08</v>
      </c>
      <c r="L57" s="1037">
        <v>140385.66</v>
      </c>
      <c r="M57" s="1037">
        <v>147510.36000000002</v>
      </c>
      <c r="N57" s="1037">
        <f t="shared" si="18"/>
        <v>1739411</v>
      </c>
      <c r="O57" s="1037">
        <f>ROUND(S57+W57+AA57+AE57+AI57+AM57+AQ57+AU57+AY57+BC57,0)-1</f>
        <v>1739411</v>
      </c>
      <c r="P57" s="1037"/>
      <c r="Q57" s="1041">
        <f t="shared" si="34"/>
        <v>99.764580251126858</v>
      </c>
      <c r="R57" s="1037">
        <f t="shared" si="19"/>
        <v>345966.28565999999</v>
      </c>
      <c r="S57" s="1037">
        <f>D57*99.1%</f>
        <v>345966.28565999999</v>
      </c>
      <c r="T57" s="1037"/>
      <c r="U57" s="1041">
        <f t="shared" si="51"/>
        <v>99.1</v>
      </c>
      <c r="V57" s="1037">
        <f t="shared" si="38"/>
        <v>236366.70426</v>
      </c>
      <c r="W57" s="1037">
        <f>E57*97.1%</f>
        <v>236366.70426</v>
      </c>
      <c r="X57" s="1037"/>
      <c r="Y57" s="1041">
        <f t="shared" si="55"/>
        <v>97.1</v>
      </c>
      <c r="Z57" s="1037">
        <f t="shared" si="20"/>
        <v>184697.34660000002</v>
      </c>
      <c r="AA57" s="1037">
        <f>F57*101%</f>
        <v>184697.34660000002</v>
      </c>
      <c r="AB57" s="1037"/>
      <c r="AC57" s="1041">
        <f t="shared" si="56"/>
        <v>101</v>
      </c>
      <c r="AD57" s="1037">
        <f t="shared" si="21"/>
        <v>154118.80331999998</v>
      </c>
      <c r="AE57" s="1037">
        <f>G57*99.3%</f>
        <v>154118.80331999998</v>
      </c>
      <c r="AF57" s="1037"/>
      <c r="AG57" s="1041">
        <f t="shared" si="57"/>
        <v>99.299999999999983</v>
      </c>
      <c r="AH57" s="1037">
        <f t="shared" si="22"/>
        <v>186394.08600000001</v>
      </c>
      <c r="AI57" s="1037">
        <f>H57*101%</f>
        <v>186394.08600000001</v>
      </c>
      <c r="AJ57" s="1037"/>
      <c r="AK57" s="1041">
        <f t="shared" si="58"/>
        <v>101</v>
      </c>
      <c r="AL57" s="1037">
        <f t="shared" si="23"/>
        <v>183960.774</v>
      </c>
      <c r="AM57" s="1037">
        <f>I57*99.5%</f>
        <v>183960.774</v>
      </c>
      <c r="AN57" s="1037"/>
      <c r="AO57" s="1041">
        <f t="shared" si="59"/>
        <v>99.5</v>
      </c>
      <c r="AP57" s="1037">
        <f t="shared" si="24"/>
        <v>35617.104599999999</v>
      </c>
      <c r="AQ57" s="1037">
        <f>J57*101%</f>
        <v>35617.104599999999</v>
      </c>
      <c r="AR57" s="1037"/>
      <c r="AS57" s="1041">
        <f t="shared" si="60"/>
        <v>101</v>
      </c>
      <c r="AT57" s="1037">
        <f t="shared" si="25"/>
        <v>121516.2108</v>
      </c>
      <c r="AU57" s="1037">
        <f>K57*101%</f>
        <v>121516.2108</v>
      </c>
      <c r="AV57" s="1037"/>
      <c r="AW57" s="1041">
        <f t="shared" si="61"/>
        <v>101</v>
      </c>
      <c r="AX57" s="1037">
        <f t="shared" si="26"/>
        <v>141789.5166</v>
      </c>
      <c r="AY57" s="1037">
        <f>L57*101%</f>
        <v>141789.5166</v>
      </c>
      <c r="AZ57" s="1037"/>
      <c r="BA57" s="1041">
        <f t="shared" si="62"/>
        <v>101</v>
      </c>
      <c r="BB57" s="1037">
        <f t="shared" si="27"/>
        <v>148985.46360000002</v>
      </c>
      <c r="BC57" s="1037">
        <f>M57*101%</f>
        <v>148985.46360000002</v>
      </c>
      <c r="BD57" s="1037"/>
      <c r="BE57" s="1041">
        <f t="shared" si="63"/>
        <v>101</v>
      </c>
      <c r="BF57" s="512">
        <f t="shared" si="64"/>
        <v>-4104.5800000000745</v>
      </c>
      <c r="BG57" s="512">
        <f t="shared" si="49"/>
        <v>1739412.29544</v>
      </c>
      <c r="BH57" s="512">
        <f t="shared" si="50"/>
        <v>1.2954400000162423</v>
      </c>
    </row>
    <row r="58" spans="1:60" hidden="1" outlineLevel="1">
      <c r="A58" s="1035" t="s">
        <v>23</v>
      </c>
      <c r="B58" s="1036" t="s">
        <v>46</v>
      </c>
      <c r="C58" s="1037">
        <f t="shared" si="52"/>
        <v>902323</v>
      </c>
      <c r="D58" s="1037">
        <v>138055</v>
      </c>
      <c r="E58" s="1037">
        <v>136169</v>
      </c>
      <c r="F58" s="1037">
        <v>85558</v>
      </c>
      <c r="G58" s="1037">
        <v>59085</v>
      </c>
      <c r="H58" s="1037">
        <v>109883</v>
      </c>
      <c r="I58" s="1037">
        <v>105966</v>
      </c>
      <c r="J58" s="1037">
        <v>26315</v>
      </c>
      <c r="K58" s="1037">
        <v>75539</v>
      </c>
      <c r="L58" s="1037">
        <v>68522</v>
      </c>
      <c r="M58" s="1037">
        <v>97231</v>
      </c>
      <c r="N58" s="1037">
        <f t="shared" si="18"/>
        <v>902323</v>
      </c>
      <c r="O58" s="1037">
        <f>S58+W58+AA58+AE58+AI58+AM58+AQ58+AU58+AY58+BC58</f>
        <v>902323</v>
      </c>
      <c r="P58" s="1037"/>
      <c r="Q58" s="1041">
        <f t="shared" si="34"/>
        <v>100</v>
      </c>
      <c r="R58" s="1037">
        <f t="shared" si="19"/>
        <v>138055</v>
      </c>
      <c r="S58" s="1037">
        <f t="shared" ref="S58:S67" si="66">D58</f>
        <v>138055</v>
      </c>
      <c r="T58" s="1037"/>
      <c r="U58" s="1041">
        <f t="shared" si="51"/>
        <v>100</v>
      </c>
      <c r="V58" s="1037">
        <f t="shared" si="38"/>
        <v>136169</v>
      </c>
      <c r="W58" s="1037">
        <f t="shared" ref="W58:W67" si="67">E58</f>
        <v>136169</v>
      </c>
      <c r="X58" s="1037"/>
      <c r="Y58" s="1041">
        <f t="shared" si="55"/>
        <v>100</v>
      </c>
      <c r="Z58" s="1037">
        <f t="shared" si="20"/>
        <v>85558</v>
      </c>
      <c r="AA58" s="1037">
        <f t="shared" ref="AA58:AA67" si="68">F58</f>
        <v>85558</v>
      </c>
      <c r="AB58" s="1037"/>
      <c r="AC58" s="1041">
        <f t="shared" si="56"/>
        <v>100</v>
      </c>
      <c r="AD58" s="1037">
        <f t="shared" si="21"/>
        <v>59085</v>
      </c>
      <c r="AE58" s="1037">
        <f t="shared" ref="AE58:AE67" si="69">G58</f>
        <v>59085</v>
      </c>
      <c r="AF58" s="1037"/>
      <c r="AG58" s="1041">
        <f t="shared" si="57"/>
        <v>100</v>
      </c>
      <c r="AH58" s="1037">
        <f t="shared" si="22"/>
        <v>109883</v>
      </c>
      <c r="AI58" s="1037">
        <f t="shared" ref="AI58:AI67" si="70">H58</f>
        <v>109883</v>
      </c>
      <c r="AJ58" s="1037"/>
      <c r="AK58" s="1041">
        <f t="shared" si="58"/>
        <v>100</v>
      </c>
      <c r="AL58" s="1037">
        <f t="shared" si="23"/>
        <v>105966</v>
      </c>
      <c r="AM58" s="1037">
        <f t="shared" ref="AM58:AM67" si="71">I58</f>
        <v>105966</v>
      </c>
      <c r="AN58" s="1037"/>
      <c r="AO58" s="1041">
        <f t="shared" si="59"/>
        <v>100</v>
      </c>
      <c r="AP58" s="1037">
        <f t="shared" si="24"/>
        <v>26315</v>
      </c>
      <c r="AQ58" s="1037">
        <f t="shared" ref="AQ58:AQ67" si="72">J58</f>
        <v>26315</v>
      </c>
      <c r="AR58" s="1037"/>
      <c r="AS58" s="1041">
        <f t="shared" si="60"/>
        <v>100</v>
      </c>
      <c r="AT58" s="1037">
        <f t="shared" si="25"/>
        <v>75539</v>
      </c>
      <c r="AU58" s="1037">
        <f t="shared" ref="AU58:AU67" si="73">K58</f>
        <v>75539</v>
      </c>
      <c r="AV58" s="1037"/>
      <c r="AW58" s="1041">
        <f t="shared" si="61"/>
        <v>100</v>
      </c>
      <c r="AX58" s="1037">
        <f t="shared" si="26"/>
        <v>68522</v>
      </c>
      <c r="AY58" s="1037">
        <f>L58</f>
        <v>68522</v>
      </c>
      <c r="AZ58" s="1037"/>
      <c r="BA58" s="1041">
        <f t="shared" si="62"/>
        <v>100</v>
      </c>
      <c r="BB58" s="1037">
        <f t="shared" si="27"/>
        <v>97231</v>
      </c>
      <c r="BC58" s="1037">
        <f t="shared" ref="BC58:BC67" si="74">M58</f>
        <v>97231</v>
      </c>
      <c r="BD58" s="1037"/>
      <c r="BE58" s="1041">
        <f t="shared" si="63"/>
        <v>100</v>
      </c>
      <c r="BF58" s="512">
        <f t="shared" si="64"/>
        <v>0</v>
      </c>
      <c r="BG58" s="512">
        <f t="shared" si="49"/>
        <v>902323</v>
      </c>
      <c r="BH58" s="512">
        <f t="shared" si="50"/>
        <v>0</v>
      </c>
    </row>
    <row r="59" spans="1:60" s="512" customFormat="1" hidden="1" outlineLevel="1">
      <c r="A59" s="1035" t="s">
        <v>23</v>
      </c>
      <c r="B59" s="1087" t="s">
        <v>48</v>
      </c>
      <c r="C59" s="1037">
        <f t="shared" si="52"/>
        <v>807006</v>
      </c>
      <c r="D59" s="1037">
        <v>204208</v>
      </c>
      <c r="E59" s="1037">
        <v>102484</v>
      </c>
      <c r="F59" s="1037">
        <v>93725</v>
      </c>
      <c r="G59" s="1037">
        <v>93077</v>
      </c>
      <c r="H59" s="1037">
        <v>71047</v>
      </c>
      <c r="I59" s="1037">
        <v>75294</v>
      </c>
      <c r="J59" s="1037">
        <v>8258</v>
      </c>
      <c r="K59" s="1037">
        <v>42415</v>
      </c>
      <c r="L59" s="1037">
        <v>69111</v>
      </c>
      <c r="M59" s="1037">
        <v>47387</v>
      </c>
      <c r="N59" s="1037">
        <f t="shared" si="18"/>
        <v>807006</v>
      </c>
      <c r="O59" s="1037">
        <f>S59+W59+AA59+AE59+AI59+AM59+AQ59+AU59+AY59+BC59</f>
        <v>807006</v>
      </c>
      <c r="P59" s="1037"/>
      <c r="Q59" s="511">
        <f t="shared" si="34"/>
        <v>100</v>
      </c>
      <c r="R59" s="1037">
        <f t="shared" si="19"/>
        <v>204208</v>
      </c>
      <c r="S59" s="1037">
        <f t="shared" si="66"/>
        <v>204208</v>
      </c>
      <c r="T59" s="1037"/>
      <c r="U59" s="511">
        <f t="shared" si="51"/>
        <v>100</v>
      </c>
      <c r="V59" s="1037">
        <f t="shared" si="38"/>
        <v>102484</v>
      </c>
      <c r="W59" s="1037">
        <f t="shared" si="67"/>
        <v>102484</v>
      </c>
      <c r="X59" s="1037"/>
      <c r="Y59" s="511">
        <f t="shared" si="55"/>
        <v>100</v>
      </c>
      <c r="Z59" s="1037">
        <f t="shared" si="20"/>
        <v>93725</v>
      </c>
      <c r="AA59" s="1037">
        <f t="shared" si="68"/>
        <v>93725</v>
      </c>
      <c r="AB59" s="1037"/>
      <c r="AC59" s="511">
        <f t="shared" si="56"/>
        <v>100</v>
      </c>
      <c r="AD59" s="1037">
        <f t="shared" si="21"/>
        <v>93077</v>
      </c>
      <c r="AE59" s="1037">
        <f t="shared" si="69"/>
        <v>93077</v>
      </c>
      <c r="AF59" s="1037"/>
      <c r="AG59" s="511">
        <f t="shared" si="57"/>
        <v>100</v>
      </c>
      <c r="AH59" s="1037">
        <f t="shared" si="22"/>
        <v>71047</v>
      </c>
      <c r="AI59" s="1037">
        <f t="shared" si="70"/>
        <v>71047</v>
      </c>
      <c r="AJ59" s="1037"/>
      <c r="AK59" s="511">
        <f t="shared" si="58"/>
        <v>100</v>
      </c>
      <c r="AL59" s="1037">
        <f t="shared" si="23"/>
        <v>75294</v>
      </c>
      <c r="AM59" s="1037">
        <f t="shared" si="71"/>
        <v>75294</v>
      </c>
      <c r="AN59" s="1037"/>
      <c r="AO59" s="511">
        <f t="shared" si="59"/>
        <v>100</v>
      </c>
      <c r="AP59" s="1037">
        <f t="shared" si="24"/>
        <v>8258</v>
      </c>
      <c r="AQ59" s="1037">
        <f t="shared" si="72"/>
        <v>8258</v>
      </c>
      <c r="AR59" s="1037"/>
      <c r="AS59" s="511">
        <f t="shared" si="60"/>
        <v>100</v>
      </c>
      <c r="AT59" s="1037">
        <f t="shared" si="25"/>
        <v>42415</v>
      </c>
      <c r="AU59" s="1037">
        <f t="shared" si="73"/>
        <v>42415</v>
      </c>
      <c r="AV59" s="1037"/>
      <c r="AW59" s="511">
        <f t="shared" si="61"/>
        <v>100</v>
      </c>
      <c r="AX59" s="1037">
        <f t="shared" si="26"/>
        <v>69111</v>
      </c>
      <c r="AY59" s="1037">
        <f>L59</f>
        <v>69111</v>
      </c>
      <c r="AZ59" s="1037"/>
      <c r="BA59" s="511">
        <f t="shared" si="62"/>
        <v>100</v>
      </c>
      <c r="BB59" s="1037">
        <f t="shared" si="27"/>
        <v>47387</v>
      </c>
      <c r="BC59" s="1037">
        <f t="shared" si="74"/>
        <v>47387</v>
      </c>
      <c r="BD59" s="1037"/>
      <c r="BE59" s="511">
        <f t="shared" si="63"/>
        <v>100</v>
      </c>
      <c r="BF59" s="512">
        <f t="shared" si="64"/>
        <v>0</v>
      </c>
      <c r="BG59" s="512">
        <f t="shared" si="49"/>
        <v>807006</v>
      </c>
      <c r="BH59" s="512">
        <f t="shared" si="50"/>
        <v>0</v>
      </c>
    </row>
    <row r="60" spans="1:60" collapsed="1">
      <c r="A60" s="1049"/>
      <c r="B60" s="1088" t="s">
        <v>1526</v>
      </c>
      <c r="C60" s="1037">
        <f t="shared" si="52"/>
        <v>50342</v>
      </c>
      <c r="D60" s="1037">
        <v>10632</v>
      </c>
      <c r="E60" s="1037">
        <v>6891</v>
      </c>
      <c r="F60" s="1037">
        <v>5023</v>
      </c>
      <c r="G60" s="1037">
        <v>5044</v>
      </c>
      <c r="H60" s="1037">
        <v>5787</v>
      </c>
      <c r="I60" s="1037">
        <v>5000</v>
      </c>
      <c r="J60" s="1037">
        <v>1160</v>
      </c>
      <c r="K60" s="1037">
        <v>3259</v>
      </c>
      <c r="L60" s="1037">
        <v>3850</v>
      </c>
      <c r="M60" s="1037">
        <v>3696</v>
      </c>
      <c r="N60" s="1037">
        <f t="shared" si="18"/>
        <v>50419</v>
      </c>
      <c r="O60" s="1037">
        <f t="shared" ref="O60:O81" si="75">ROUND(S60+W60+AA60+AE60+AI60+AM60+AQ60+AU60+AY60+BC60,0)</f>
        <v>50419</v>
      </c>
      <c r="P60" s="1037"/>
      <c r="Q60" s="1041">
        <f t="shared" si="34"/>
        <v>100.15295379603512</v>
      </c>
      <c r="R60" s="1037">
        <f t="shared" si="19"/>
        <v>10632</v>
      </c>
      <c r="S60" s="1037">
        <f>D60</f>
        <v>10632</v>
      </c>
      <c r="T60" s="1037"/>
      <c r="U60" s="1041">
        <f t="shared" si="51"/>
        <v>100</v>
      </c>
      <c r="V60" s="1037">
        <f t="shared" si="38"/>
        <v>6891</v>
      </c>
      <c r="W60" s="1037">
        <f t="shared" si="67"/>
        <v>6891</v>
      </c>
      <c r="X60" s="1037"/>
      <c r="Y60" s="1041">
        <f t="shared" si="55"/>
        <v>100</v>
      </c>
      <c r="Z60" s="1037">
        <f t="shared" si="20"/>
        <v>5023</v>
      </c>
      <c r="AA60" s="1037">
        <f t="shared" si="68"/>
        <v>5023</v>
      </c>
      <c r="AB60" s="1037"/>
      <c r="AC60" s="1041">
        <f t="shared" si="56"/>
        <v>100</v>
      </c>
      <c r="AD60" s="1037">
        <f t="shared" si="21"/>
        <v>5044</v>
      </c>
      <c r="AE60" s="1037">
        <f t="shared" si="69"/>
        <v>5044</v>
      </c>
      <c r="AF60" s="1037"/>
      <c r="AG60" s="1041">
        <f t="shared" si="57"/>
        <v>100</v>
      </c>
      <c r="AH60" s="1037">
        <f t="shared" si="22"/>
        <v>5787</v>
      </c>
      <c r="AI60" s="1037">
        <f t="shared" si="70"/>
        <v>5787</v>
      </c>
      <c r="AJ60" s="1037"/>
      <c r="AK60" s="1041">
        <f t="shared" si="58"/>
        <v>100</v>
      </c>
      <c r="AL60" s="1037">
        <f t="shared" si="23"/>
        <v>5000</v>
      </c>
      <c r="AM60" s="1037">
        <f t="shared" si="71"/>
        <v>5000</v>
      </c>
      <c r="AN60" s="1037"/>
      <c r="AO60" s="1041">
        <f t="shared" si="59"/>
        <v>100</v>
      </c>
      <c r="AP60" s="1037">
        <f t="shared" si="24"/>
        <v>1160</v>
      </c>
      <c r="AQ60" s="1037">
        <f t="shared" si="72"/>
        <v>1160</v>
      </c>
      <c r="AR60" s="1037"/>
      <c r="AS60" s="1041">
        <f t="shared" si="60"/>
        <v>100</v>
      </c>
      <c r="AT60" s="1037">
        <f t="shared" si="25"/>
        <v>3259</v>
      </c>
      <c r="AU60" s="1037">
        <f t="shared" si="73"/>
        <v>3259</v>
      </c>
      <c r="AV60" s="1037"/>
      <c r="AW60" s="1041">
        <f t="shared" si="61"/>
        <v>100</v>
      </c>
      <c r="AX60" s="1037">
        <f t="shared" si="26"/>
        <v>3927</v>
      </c>
      <c r="AY60" s="1037">
        <f>L60*102%</f>
        <v>3927</v>
      </c>
      <c r="AZ60" s="1037"/>
      <c r="BA60" s="1041">
        <f t="shared" si="62"/>
        <v>102</v>
      </c>
      <c r="BB60" s="1037">
        <f t="shared" si="27"/>
        <v>3696</v>
      </c>
      <c r="BC60" s="1037">
        <f t="shared" si="74"/>
        <v>3696</v>
      </c>
      <c r="BD60" s="1037"/>
      <c r="BE60" s="1041">
        <f t="shared" si="63"/>
        <v>100</v>
      </c>
      <c r="BF60" s="512">
        <f t="shared" si="64"/>
        <v>77</v>
      </c>
      <c r="BG60" s="512">
        <f t="shared" si="49"/>
        <v>50419</v>
      </c>
      <c r="BH60" s="512">
        <f t="shared" si="50"/>
        <v>0</v>
      </c>
    </row>
    <row r="61" spans="1:60" ht="27.6">
      <c r="A61" s="1049"/>
      <c r="B61" s="1088" t="s">
        <v>1533</v>
      </c>
      <c r="C61" s="1051">
        <f t="shared" si="52"/>
        <v>25433</v>
      </c>
      <c r="D61" s="1051">
        <v>4520</v>
      </c>
      <c r="E61" s="1051">
        <v>3102</v>
      </c>
      <c r="F61" s="1051">
        <v>2367</v>
      </c>
      <c r="G61" s="1051">
        <v>2312</v>
      </c>
      <c r="H61" s="1051">
        <v>3322</v>
      </c>
      <c r="I61" s="1051">
        <v>2524</v>
      </c>
      <c r="J61" s="1051">
        <v>677</v>
      </c>
      <c r="K61" s="1051">
        <v>1782</v>
      </c>
      <c r="L61" s="1051">
        <v>2580</v>
      </c>
      <c r="M61" s="1051">
        <v>2247</v>
      </c>
      <c r="N61" s="1051">
        <f t="shared" si="18"/>
        <v>25433</v>
      </c>
      <c r="O61" s="1037">
        <f t="shared" si="75"/>
        <v>25433</v>
      </c>
      <c r="P61" s="1037"/>
      <c r="Q61" s="1041">
        <f t="shared" si="34"/>
        <v>100</v>
      </c>
      <c r="R61" s="1037">
        <f t="shared" si="19"/>
        <v>4520</v>
      </c>
      <c r="S61" s="1037">
        <f t="shared" si="66"/>
        <v>4520</v>
      </c>
      <c r="T61" s="1037"/>
      <c r="U61" s="1041">
        <f t="shared" si="51"/>
        <v>100</v>
      </c>
      <c r="V61" s="1037">
        <f t="shared" si="38"/>
        <v>3102</v>
      </c>
      <c r="W61" s="1037">
        <f t="shared" si="67"/>
        <v>3102</v>
      </c>
      <c r="X61" s="1037"/>
      <c r="Y61" s="1041">
        <f t="shared" si="55"/>
        <v>100</v>
      </c>
      <c r="Z61" s="1037">
        <f t="shared" si="20"/>
        <v>2367</v>
      </c>
      <c r="AA61" s="1037">
        <f t="shared" si="68"/>
        <v>2367</v>
      </c>
      <c r="AB61" s="1037"/>
      <c r="AC61" s="1041">
        <f t="shared" si="56"/>
        <v>100</v>
      </c>
      <c r="AD61" s="1037">
        <f t="shared" si="21"/>
        <v>2312</v>
      </c>
      <c r="AE61" s="1037">
        <f t="shared" si="69"/>
        <v>2312</v>
      </c>
      <c r="AF61" s="1037"/>
      <c r="AG61" s="1041">
        <f t="shared" si="57"/>
        <v>100</v>
      </c>
      <c r="AH61" s="1037">
        <f t="shared" si="22"/>
        <v>3322</v>
      </c>
      <c r="AI61" s="1037">
        <f t="shared" si="70"/>
        <v>3322</v>
      </c>
      <c r="AJ61" s="1037"/>
      <c r="AK61" s="1041">
        <f t="shared" si="58"/>
        <v>100</v>
      </c>
      <c r="AL61" s="1037">
        <f t="shared" si="23"/>
        <v>2524</v>
      </c>
      <c r="AM61" s="1037">
        <f t="shared" si="71"/>
        <v>2524</v>
      </c>
      <c r="AN61" s="1037"/>
      <c r="AO61" s="1041">
        <f t="shared" si="59"/>
        <v>100</v>
      </c>
      <c r="AP61" s="1037">
        <f t="shared" si="24"/>
        <v>677</v>
      </c>
      <c r="AQ61" s="1037">
        <f t="shared" si="72"/>
        <v>677</v>
      </c>
      <c r="AR61" s="1037"/>
      <c r="AS61" s="1041">
        <f t="shared" si="60"/>
        <v>100</v>
      </c>
      <c r="AT61" s="1037">
        <f t="shared" si="25"/>
        <v>1782</v>
      </c>
      <c r="AU61" s="1037">
        <f t="shared" si="73"/>
        <v>1782</v>
      </c>
      <c r="AV61" s="1037"/>
      <c r="AW61" s="1041">
        <f t="shared" si="61"/>
        <v>100</v>
      </c>
      <c r="AX61" s="1037">
        <f t="shared" si="26"/>
        <v>2580</v>
      </c>
      <c r="AY61" s="1037">
        <f t="shared" ref="AY61:AY67" si="76">L61</f>
        <v>2580</v>
      </c>
      <c r="AZ61" s="1037"/>
      <c r="BA61" s="1041">
        <f t="shared" si="62"/>
        <v>100</v>
      </c>
      <c r="BB61" s="1037">
        <f t="shared" si="27"/>
        <v>2247</v>
      </c>
      <c r="BC61" s="1037">
        <f t="shared" si="74"/>
        <v>2247</v>
      </c>
      <c r="BD61" s="1037"/>
      <c r="BE61" s="1041">
        <f t="shared" si="63"/>
        <v>100</v>
      </c>
      <c r="BF61" s="512">
        <f t="shared" si="64"/>
        <v>0</v>
      </c>
      <c r="BG61" s="512">
        <f t="shared" si="49"/>
        <v>25433</v>
      </c>
      <c r="BH61" s="512">
        <f t="shared" si="50"/>
        <v>0</v>
      </c>
    </row>
    <row r="62" spans="1:60" ht="41.4">
      <c r="A62" s="1049"/>
      <c r="B62" s="1088" t="s">
        <v>1534</v>
      </c>
      <c r="C62" s="1051">
        <f t="shared" si="52"/>
        <v>24909</v>
      </c>
      <c r="D62" s="1051">
        <v>6112</v>
      </c>
      <c r="E62" s="1051">
        <v>3789</v>
      </c>
      <c r="F62" s="1051">
        <v>2656</v>
      </c>
      <c r="G62" s="1051">
        <v>2732</v>
      </c>
      <c r="H62" s="1051">
        <v>2465</v>
      </c>
      <c r="I62" s="1051">
        <v>2476</v>
      </c>
      <c r="J62" s="1051">
        <v>483</v>
      </c>
      <c r="K62" s="1051">
        <v>1477</v>
      </c>
      <c r="L62" s="1051">
        <v>1270</v>
      </c>
      <c r="M62" s="1051">
        <v>1449</v>
      </c>
      <c r="N62" s="1051">
        <f t="shared" si="18"/>
        <v>24909</v>
      </c>
      <c r="O62" s="1037">
        <f t="shared" si="75"/>
        <v>24909</v>
      </c>
      <c r="P62" s="1037"/>
      <c r="Q62" s="1041">
        <f t="shared" si="34"/>
        <v>100</v>
      </c>
      <c r="R62" s="1037">
        <f t="shared" si="19"/>
        <v>6112</v>
      </c>
      <c r="S62" s="1037">
        <f t="shared" si="66"/>
        <v>6112</v>
      </c>
      <c r="T62" s="1037"/>
      <c r="U62" s="1041">
        <f t="shared" si="51"/>
        <v>100</v>
      </c>
      <c r="V62" s="1037">
        <f t="shared" si="38"/>
        <v>3789</v>
      </c>
      <c r="W62" s="1037">
        <f t="shared" si="67"/>
        <v>3789</v>
      </c>
      <c r="X62" s="1037"/>
      <c r="Y62" s="1041">
        <f t="shared" si="55"/>
        <v>100</v>
      </c>
      <c r="Z62" s="1037">
        <f t="shared" si="20"/>
        <v>2656</v>
      </c>
      <c r="AA62" s="1037">
        <f t="shared" si="68"/>
        <v>2656</v>
      </c>
      <c r="AB62" s="1037"/>
      <c r="AC62" s="1041">
        <f t="shared" si="56"/>
        <v>100</v>
      </c>
      <c r="AD62" s="1037">
        <f t="shared" si="21"/>
        <v>2732</v>
      </c>
      <c r="AE62" s="1037">
        <f t="shared" si="69"/>
        <v>2732</v>
      </c>
      <c r="AF62" s="1037"/>
      <c r="AG62" s="1041">
        <f t="shared" si="57"/>
        <v>100</v>
      </c>
      <c r="AH62" s="1037">
        <f t="shared" si="22"/>
        <v>2465</v>
      </c>
      <c r="AI62" s="1037">
        <f t="shared" si="70"/>
        <v>2465</v>
      </c>
      <c r="AJ62" s="1037"/>
      <c r="AK62" s="1041">
        <f t="shared" si="58"/>
        <v>100</v>
      </c>
      <c r="AL62" s="1037">
        <f t="shared" si="23"/>
        <v>2476</v>
      </c>
      <c r="AM62" s="1037">
        <f t="shared" si="71"/>
        <v>2476</v>
      </c>
      <c r="AN62" s="1037"/>
      <c r="AO62" s="1041">
        <f t="shared" si="59"/>
        <v>100</v>
      </c>
      <c r="AP62" s="1037">
        <f t="shared" si="24"/>
        <v>483</v>
      </c>
      <c r="AQ62" s="1037">
        <f t="shared" si="72"/>
        <v>483</v>
      </c>
      <c r="AR62" s="1037"/>
      <c r="AS62" s="1041">
        <f t="shared" si="60"/>
        <v>100</v>
      </c>
      <c r="AT62" s="1037">
        <f t="shared" si="25"/>
        <v>1477</v>
      </c>
      <c r="AU62" s="1037">
        <f t="shared" si="73"/>
        <v>1477</v>
      </c>
      <c r="AV62" s="1037"/>
      <c r="AW62" s="1041">
        <f t="shared" si="61"/>
        <v>100</v>
      </c>
      <c r="AX62" s="1037">
        <f t="shared" si="26"/>
        <v>1270</v>
      </c>
      <c r="AY62" s="1037">
        <f t="shared" si="76"/>
        <v>1270</v>
      </c>
      <c r="AZ62" s="1037"/>
      <c r="BA62" s="1041">
        <f t="shared" si="62"/>
        <v>100</v>
      </c>
      <c r="BB62" s="1037">
        <f t="shared" si="27"/>
        <v>1449</v>
      </c>
      <c r="BC62" s="1037">
        <f t="shared" si="74"/>
        <v>1449</v>
      </c>
      <c r="BD62" s="1037"/>
      <c r="BE62" s="1041">
        <f t="shared" si="63"/>
        <v>100</v>
      </c>
      <c r="BF62" s="512">
        <f t="shared" si="64"/>
        <v>0</v>
      </c>
      <c r="BG62" s="512">
        <f t="shared" si="49"/>
        <v>24909</v>
      </c>
      <c r="BH62" s="512">
        <f t="shared" si="50"/>
        <v>0</v>
      </c>
    </row>
    <row r="63" spans="1:60">
      <c r="A63" s="1035" t="s">
        <v>47</v>
      </c>
      <c r="B63" s="1089" t="s">
        <v>50</v>
      </c>
      <c r="C63" s="1051">
        <f t="shared" si="52"/>
        <v>148911</v>
      </c>
      <c r="D63" s="1051">
        <f>D64+D65+D66+D67</f>
        <v>5892</v>
      </c>
      <c r="E63" s="1051">
        <f t="shared" ref="E63:M63" si="77">E64+E65+E66+E67</f>
        <v>17401</v>
      </c>
      <c r="F63" s="1051">
        <f t="shared" si="77"/>
        <v>11010</v>
      </c>
      <c r="G63" s="1051">
        <f t="shared" si="77"/>
        <v>7525</v>
      </c>
      <c r="H63" s="1051">
        <f t="shared" si="77"/>
        <v>28543</v>
      </c>
      <c r="I63" s="1051">
        <f t="shared" si="77"/>
        <v>14793</v>
      </c>
      <c r="J63" s="1051">
        <f t="shared" si="77"/>
        <v>6418</v>
      </c>
      <c r="K63" s="1051">
        <f t="shared" si="77"/>
        <v>13735</v>
      </c>
      <c r="L63" s="1051">
        <f t="shared" si="77"/>
        <v>17359</v>
      </c>
      <c r="M63" s="1051">
        <f t="shared" si="77"/>
        <v>26235</v>
      </c>
      <c r="N63" s="1051">
        <f t="shared" si="18"/>
        <v>148911</v>
      </c>
      <c r="O63" s="1037">
        <f t="shared" si="75"/>
        <v>148911</v>
      </c>
      <c r="P63" s="1037"/>
      <c r="Q63" s="1041">
        <f t="shared" si="34"/>
        <v>100</v>
      </c>
      <c r="R63" s="1037">
        <f t="shared" si="19"/>
        <v>5892</v>
      </c>
      <c r="S63" s="1037">
        <f t="shared" si="66"/>
        <v>5892</v>
      </c>
      <c r="T63" s="1037"/>
      <c r="U63" s="1041">
        <f t="shared" si="51"/>
        <v>100</v>
      </c>
      <c r="V63" s="1037">
        <f t="shared" si="38"/>
        <v>17401</v>
      </c>
      <c r="W63" s="1037">
        <f t="shared" si="67"/>
        <v>17401</v>
      </c>
      <c r="X63" s="1037"/>
      <c r="Y63" s="1041">
        <f t="shared" si="55"/>
        <v>100</v>
      </c>
      <c r="Z63" s="1037">
        <f t="shared" si="20"/>
        <v>11010</v>
      </c>
      <c r="AA63" s="1037">
        <f t="shared" si="68"/>
        <v>11010</v>
      </c>
      <c r="AB63" s="1037"/>
      <c r="AC63" s="1041">
        <f t="shared" si="56"/>
        <v>100</v>
      </c>
      <c r="AD63" s="1037">
        <f t="shared" si="21"/>
        <v>7525</v>
      </c>
      <c r="AE63" s="1037">
        <f t="shared" si="69"/>
        <v>7525</v>
      </c>
      <c r="AF63" s="1037"/>
      <c r="AG63" s="1041">
        <f t="shared" si="57"/>
        <v>100</v>
      </c>
      <c r="AH63" s="1037">
        <f t="shared" si="22"/>
        <v>28543</v>
      </c>
      <c r="AI63" s="1037">
        <f t="shared" si="70"/>
        <v>28543</v>
      </c>
      <c r="AJ63" s="1037"/>
      <c r="AK63" s="1041">
        <f t="shared" si="58"/>
        <v>100</v>
      </c>
      <c r="AL63" s="1037">
        <f t="shared" si="23"/>
        <v>14793</v>
      </c>
      <c r="AM63" s="1037">
        <f t="shared" si="71"/>
        <v>14793</v>
      </c>
      <c r="AN63" s="1037"/>
      <c r="AO63" s="1041">
        <f t="shared" si="59"/>
        <v>100</v>
      </c>
      <c r="AP63" s="1037">
        <f t="shared" si="24"/>
        <v>6418</v>
      </c>
      <c r="AQ63" s="1037">
        <f t="shared" si="72"/>
        <v>6418</v>
      </c>
      <c r="AR63" s="1037"/>
      <c r="AS63" s="1041">
        <f t="shared" si="60"/>
        <v>100</v>
      </c>
      <c r="AT63" s="1037">
        <f t="shared" si="25"/>
        <v>13735</v>
      </c>
      <c r="AU63" s="1037">
        <f t="shared" si="73"/>
        <v>13735</v>
      </c>
      <c r="AV63" s="1037"/>
      <c r="AW63" s="1041">
        <f t="shared" si="61"/>
        <v>100</v>
      </c>
      <c r="AX63" s="1037">
        <f t="shared" si="26"/>
        <v>17359</v>
      </c>
      <c r="AY63" s="1037">
        <f t="shared" si="76"/>
        <v>17359</v>
      </c>
      <c r="AZ63" s="1037"/>
      <c r="BA63" s="1041">
        <f t="shared" si="62"/>
        <v>100</v>
      </c>
      <c r="BB63" s="1037">
        <f t="shared" si="27"/>
        <v>26235</v>
      </c>
      <c r="BC63" s="1037">
        <f t="shared" si="74"/>
        <v>26235</v>
      </c>
      <c r="BD63" s="1037"/>
      <c r="BE63" s="1041">
        <f t="shared" si="63"/>
        <v>100</v>
      </c>
      <c r="BF63" s="512">
        <f t="shared" si="64"/>
        <v>0</v>
      </c>
      <c r="BG63" s="512">
        <f t="shared" si="49"/>
        <v>148911</v>
      </c>
      <c r="BH63" s="512">
        <f t="shared" si="50"/>
        <v>0</v>
      </c>
    </row>
    <row r="64" spans="1:60" ht="41.4">
      <c r="A64" s="1090" t="s">
        <v>23</v>
      </c>
      <c r="B64" s="1089" t="s">
        <v>1529</v>
      </c>
      <c r="C64" s="1037">
        <f>SUM(D64:M64)</f>
        <v>27994</v>
      </c>
      <c r="D64" s="1037">
        <v>1466</v>
      </c>
      <c r="E64" s="1037">
        <v>3563</v>
      </c>
      <c r="F64" s="1037">
        <v>3230</v>
      </c>
      <c r="G64" s="1037">
        <v>1045</v>
      </c>
      <c r="H64" s="1037">
        <v>4626</v>
      </c>
      <c r="I64" s="1037">
        <v>3890</v>
      </c>
      <c r="J64" s="1037">
        <v>874</v>
      </c>
      <c r="K64" s="1037">
        <v>2755</v>
      </c>
      <c r="L64" s="1037">
        <v>2897</v>
      </c>
      <c r="M64" s="1037">
        <v>3648</v>
      </c>
      <c r="N64" s="1037">
        <f t="shared" si="18"/>
        <v>27994</v>
      </c>
      <c r="O64" s="1037">
        <f t="shared" si="75"/>
        <v>27994</v>
      </c>
      <c r="P64" s="1037"/>
      <c r="Q64" s="1041">
        <f t="shared" si="34"/>
        <v>100</v>
      </c>
      <c r="R64" s="1037">
        <f t="shared" si="19"/>
        <v>1466</v>
      </c>
      <c r="S64" s="1037">
        <f t="shared" si="66"/>
        <v>1466</v>
      </c>
      <c r="T64" s="1037"/>
      <c r="U64" s="1041">
        <f t="shared" si="51"/>
        <v>100</v>
      </c>
      <c r="V64" s="1037">
        <f t="shared" si="38"/>
        <v>3563</v>
      </c>
      <c r="W64" s="1037">
        <f t="shared" si="67"/>
        <v>3563</v>
      </c>
      <c r="X64" s="1037"/>
      <c r="Y64" s="1041">
        <f t="shared" si="55"/>
        <v>100</v>
      </c>
      <c r="Z64" s="1037">
        <f t="shared" si="20"/>
        <v>3230</v>
      </c>
      <c r="AA64" s="1037">
        <f t="shared" si="68"/>
        <v>3230</v>
      </c>
      <c r="AB64" s="1037"/>
      <c r="AC64" s="1041">
        <f t="shared" si="56"/>
        <v>100</v>
      </c>
      <c r="AD64" s="1037">
        <f t="shared" si="21"/>
        <v>1045</v>
      </c>
      <c r="AE64" s="1037">
        <f t="shared" si="69"/>
        <v>1045</v>
      </c>
      <c r="AF64" s="1037"/>
      <c r="AG64" s="1041">
        <f t="shared" si="57"/>
        <v>100</v>
      </c>
      <c r="AH64" s="1037">
        <f t="shared" si="22"/>
        <v>4626</v>
      </c>
      <c r="AI64" s="1037">
        <f t="shared" si="70"/>
        <v>4626</v>
      </c>
      <c r="AJ64" s="1037"/>
      <c r="AK64" s="1041">
        <f t="shared" si="58"/>
        <v>100</v>
      </c>
      <c r="AL64" s="1037">
        <f t="shared" si="23"/>
        <v>3890</v>
      </c>
      <c r="AM64" s="1037">
        <f t="shared" si="71"/>
        <v>3890</v>
      </c>
      <c r="AN64" s="1037"/>
      <c r="AO64" s="1041">
        <f t="shared" si="59"/>
        <v>100</v>
      </c>
      <c r="AP64" s="1037">
        <f t="shared" si="24"/>
        <v>874</v>
      </c>
      <c r="AQ64" s="1037">
        <f t="shared" si="72"/>
        <v>874</v>
      </c>
      <c r="AR64" s="1037"/>
      <c r="AS64" s="1041">
        <f t="shared" si="60"/>
        <v>100</v>
      </c>
      <c r="AT64" s="1037">
        <f t="shared" si="25"/>
        <v>2755</v>
      </c>
      <c r="AU64" s="1037">
        <f t="shared" si="73"/>
        <v>2755</v>
      </c>
      <c r="AV64" s="1037"/>
      <c r="AW64" s="1041">
        <f t="shared" si="61"/>
        <v>100</v>
      </c>
      <c r="AX64" s="1037">
        <f t="shared" si="26"/>
        <v>2897</v>
      </c>
      <c r="AY64" s="1037">
        <f t="shared" si="76"/>
        <v>2897</v>
      </c>
      <c r="AZ64" s="1037"/>
      <c r="BA64" s="1041">
        <f t="shared" si="62"/>
        <v>100</v>
      </c>
      <c r="BB64" s="1037">
        <f t="shared" si="27"/>
        <v>3648</v>
      </c>
      <c r="BC64" s="1037">
        <f t="shared" si="74"/>
        <v>3648</v>
      </c>
      <c r="BD64" s="1037"/>
      <c r="BE64" s="1041">
        <f t="shared" si="63"/>
        <v>100</v>
      </c>
      <c r="BF64" s="512">
        <f t="shared" si="64"/>
        <v>0</v>
      </c>
      <c r="BG64" s="512">
        <f t="shared" si="49"/>
        <v>27994</v>
      </c>
      <c r="BH64" s="512">
        <f t="shared" si="50"/>
        <v>0</v>
      </c>
    </row>
    <row r="65" spans="1:60" ht="41.4">
      <c r="A65" s="1090" t="s">
        <v>23</v>
      </c>
      <c r="B65" s="1089" t="s">
        <v>1532</v>
      </c>
      <c r="C65" s="1037">
        <f t="shared" si="52"/>
        <v>6256</v>
      </c>
      <c r="D65" s="1037">
        <v>573</v>
      </c>
      <c r="E65" s="1037">
        <v>700</v>
      </c>
      <c r="F65" s="1037">
        <v>192</v>
      </c>
      <c r="G65" s="1037">
        <v>486</v>
      </c>
      <c r="H65" s="1037">
        <v>1440</v>
      </c>
      <c r="I65" s="1037">
        <v>790</v>
      </c>
      <c r="J65" s="1037">
        <v>184</v>
      </c>
      <c r="K65" s="1037">
        <v>1054</v>
      </c>
      <c r="L65" s="1037">
        <v>503</v>
      </c>
      <c r="M65" s="1037">
        <v>334</v>
      </c>
      <c r="N65" s="1037">
        <f t="shared" si="18"/>
        <v>6256</v>
      </c>
      <c r="O65" s="1037">
        <f t="shared" si="75"/>
        <v>6256</v>
      </c>
      <c r="P65" s="1037"/>
      <c r="Q65" s="1041">
        <f t="shared" si="34"/>
        <v>100</v>
      </c>
      <c r="R65" s="1037">
        <f t="shared" si="19"/>
        <v>573</v>
      </c>
      <c r="S65" s="1037">
        <f t="shared" si="66"/>
        <v>573</v>
      </c>
      <c r="T65" s="1037"/>
      <c r="U65" s="1041">
        <f t="shared" si="51"/>
        <v>100</v>
      </c>
      <c r="V65" s="1037">
        <f t="shared" si="38"/>
        <v>700</v>
      </c>
      <c r="W65" s="1037">
        <f t="shared" si="67"/>
        <v>700</v>
      </c>
      <c r="X65" s="1037"/>
      <c r="Y65" s="1041">
        <f t="shared" si="55"/>
        <v>100</v>
      </c>
      <c r="Z65" s="1037">
        <f t="shared" si="20"/>
        <v>192</v>
      </c>
      <c r="AA65" s="1037">
        <f t="shared" si="68"/>
        <v>192</v>
      </c>
      <c r="AB65" s="1037"/>
      <c r="AC65" s="1041">
        <f t="shared" si="56"/>
        <v>100</v>
      </c>
      <c r="AD65" s="1037">
        <f t="shared" si="21"/>
        <v>486</v>
      </c>
      <c r="AE65" s="1037">
        <f t="shared" si="69"/>
        <v>486</v>
      </c>
      <c r="AF65" s="1037"/>
      <c r="AG65" s="1041">
        <f t="shared" si="57"/>
        <v>100</v>
      </c>
      <c r="AH65" s="1037">
        <f t="shared" si="22"/>
        <v>1440</v>
      </c>
      <c r="AI65" s="1037">
        <f t="shared" si="70"/>
        <v>1440</v>
      </c>
      <c r="AJ65" s="1037"/>
      <c r="AK65" s="1041">
        <f t="shared" si="58"/>
        <v>100</v>
      </c>
      <c r="AL65" s="1037">
        <f t="shared" si="23"/>
        <v>790</v>
      </c>
      <c r="AM65" s="1037">
        <f t="shared" si="71"/>
        <v>790</v>
      </c>
      <c r="AN65" s="1037"/>
      <c r="AO65" s="1041">
        <f t="shared" si="59"/>
        <v>100</v>
      </c>
      <c r="AP65" s="1037">
        <f t="shared" si="24"/>
        <v>184</v>
      </c>
      <c r="AQ65" s="1037">
        <f t="shared" si="72"/>
        <v>184</v>
      </c>
      <c r="AR65" s="1037"/>
      <c r="AS65" s="1041">
        <f t="shared" si="60"/>
        <v>100</v>
      </c>
      <c r="AT65" s="1037">
        <f t="shared" si="25"/>
        <v>1054</v>
      </c>
      <c r="AU65" s="1037">
        <f t="shared" si="73"/>
        <v>1054</v>
      </c>
      <c r="AV65" s="1037"/>
      <c r="AW65" s="1041">
        <f t="shared" si="61"/>
        <v>100</v>
      </c>
      <c r="AX65" s="1037">
        <f t="shared" si="26"/>
        <v>503</v>
      </c>
      <c r="AY65" s="1037">
        <f t="shared" si="76"/>
        <v>503</v>
      </c>
      <c r="AZ65" s="1037"/>
      <c r="BA65" s="1041">
        <f t="shared" si="62"/>
        <v>100</v>
      </c>
      <c r="BB65" s="1037">
        <f t="shared" si="27"/>
        <v>334</v>
      </c>
      <c r="BC65" s="1037">
        <f t="shared" si="74"/>
        <v>334</v>
      </c>
      <c r="BD65" s="1037"/>
      <c r="BE65" s="1041">
        <f t="shared" si="63"/>
        <v>100</v>
      </c>
      <c r="BF65" s="512">
        <f t="shared" si="64"/>
        <v>0</v>
      </c>
      <c r="BG65" s="512">
        <f t="shared" si="49"/>
        <v>6256</v>
      </c>
      <c r="BH65" s="512">
        <f t="shared" si="50"/>
        <v>0</v>
      </c>
    </row>
    <row r="66" spans="1:60" ht="41.4">
      <c r="A66" s="1090" t="s">
        <v>23</v>
      </c>
      <c r="B66" s="1089" t="s">
        <v>1530</v>
      </c>
      <c r="C66" s="1037">
        <f t="shared" si="52"/>
        <v>87485</v>
      </c>
      <c r="D66" s="1037">
        <v>2200</v>
      </c>
      <c r="E66" s="1037">
        <v>8500</v>
      </c>
      <c r="F66" s="1037">
        <v>5200</v>
      </c>
      <c r="G66" s="1037">
        <v>5000</v>
      </c>
      <c r="H66" s="1037">
        <v>18200</v>
      </c>
      <c r="I66" s="1037">
        <v>6100</v>
      </c>
      <c r="J66" s="1037">
        <v>4300</v>
      </c>
      <c r="K66" s="1037">
        <v>7200</v>
      </c>
      <c r="L66" s="1037">
        <v>11950</v>
      </c>
      <c r="M66" s="1037">
        <v>18835</v>
      </c>
      <c r="N66" s="1037">
        <f t="shared" si="18"/>
        <v>87485</v>
      </c>
      <c r="O66" s="1037">
        <f t="shared" si="75"/>
        <v>87485</v>
      </c>
      <c r="P66" s="1037"/>
      <c r="Q66" s="1041">
        <f t="shared" si="34"/>
        <v>100</v>
      </c>
      <c r="R66" s="1037">
        <f t="shared" si="19"/>
        <v>2200</v>
      </c>
      <c r="S66" s="1037">
        <f t="shared" si="66"/>
        <v>2200</v>
      </c>
      <c r="T66" s="1037"/>
      <c r="U66" s="1041">
        <f t="shared" si="51"/>
        <v>100</v>
      </c>
      <c r="V66" s="1037">
        <f t="shared" si="38"/>
        <v>8500</v>
      </c>
      <c r="W66" s="1037">
        <f t="shared" si="67"/>
        <v>8500</v>
      </c>
      <c r="X66" s="1037"/>
      <c r="Y66" s="1041">
        <f t="shared" si="55"/>
        <v>100</v>
      </c>
      <c r="Z66" s="1037">
        <f t="shared" si="20"/>
        <v>5200</v>
      </c>
      <c r="AA66" s="1037">
        <f t="shared" si="68"/>
        <v>5200</v>
      </c>
      <c r="AB66" s="1037"/>
      <c r="AC66" s="1041">
        <f t="shared" si="56"/>
        <v>100</v>
      </c>
      <c r="AD66" s="1037">
        <f t="shared" si="21"/>
        <v>5000</v>
      </c>
      <c r="AE66" s="1037">
        <f t="shared" si="69"/>
        <v>5000</v>
      </c>
      <c r="AF66" s="1037"/>
      <c r="AG66" s="1041">
        <f t="shared" si="57"/>
        <v>100</v>
      </c>
      <c r="AH66" s="1037">
        <f t="shared" si="22"/>
        <v>18200</v>
      </c>
      <c r="AI66" s="1037">
        <f t="shared" si="70"/>
        <v>18200</v>
      </c>
      <c r="AJ66" s="1037"/>
      <c r="AK66" s="1041">
        <f t="shared" si="58"/>
        <v>100</v>
      </c>
      <c r="AL66" s="1037">
        <f t="shared" si="23"/>
        <v>6100</v>
      </c>
      <c r="AM66" s="1037">
        <f t="shared" si="71"/>
        <v>6100</v>
      </c>
      <c r="AN66" s="1037"/>
      <c r="AO66" s="1041">
        <f t="shared" si="59"/>
        <v>100</v>
      </c>
      <c r="AP66" s="1037">
        <f t="shared" si="24"/>
        <v>4300</v>
      </c>
      <c r="AQ66" s="1037">
        <f t="shared" si="72"/>
        <v>4300</v>
      </c>
      <c r="AR66" s="1037"/>
      <c r="AS66" s="1041">
        <f t="shared" si="60"/>
        <v>100</v>
      </c>
      <c r="AT66" s="1037">
        <f t="shared" si="25"/>
        <v>7200</v>
      </c>
      <c r="AU66" s="1037">
        <f t="shared" si="73"/>
        <v>7200</v>
      </c>
      <c r="AV66" s="1037"/>
      <c r="AW66" s="1041">
        <f t="shared" si="61"/>
        <v>100</v>
      </c>
      <c r="AX66" s="1037">
        <f t="shared" si="26"/>
        <v>11950</v>
      </c>
      <c r="AY66" s="1037">
        <f t="shared" si="76"/>
        <v>11950</v>
      </c>
      <c r="AZ66" s="1037"/>
      <c r="BA66" s="1041">
        <f t="shared" si="62"/>
        <v>100</v>
      </c>
      <c r="BB66" s="1037">
        <f t="shared" si="27"/>
        <v>18835</v>
      </c>
      <c r="BC66" s="1037">
        <f t="shared" si="74"/>
        <v>18835</v>
      </c>
      <c r="BD66" s="1037"/>
      <c r="BE66" s="1041">
        <f t="shared" si="63"/>
        <v>100</v>
      </c>
      <c r="BF66" s="512">
        <f t="shared" si="64"/>
        <v>0</v>
      </c>
      <c r="BG66" s="512">
        <f t="shared" si="49"/>
        <v>87485</v>
      </c>
      <c r="BH66" s="512">
        <f t="shared" si="50"/>
        <v>0</v>
      </c>
    </row>
    <row r="67" spans="1:60" ht="41.4">
      <c r="A67" s="1090" t="s">
        <v>23</v>
      </c>
      <c r="B67" s="1089" t="s">
        <v>1531</v>
      </c>
      <c r="C67" s="1037">
        <f t="shared" si="52"/>
        <v>27176</v>
      </c>
      <c r="D67" s="1037">
        <v>1653</v>
      </c>
      <c r="E67" s="1037">
        <v>4638</v>
      </c>
      <c r="F67" s="1037">
        <v>2388</v>
      </c>
      <c r="G67" s="1037">
        <v>994</v>
      </c>
      <c r="H67" s="1037">
        <v>4277</v>
      </c>
      <c r="I67" s="1037">
        <v>4013</v>
      </c>
      <c r="J67" s="1037">
        <v>1060</v>
      </c>
      <c r="K67" s="1037">
        <v>2726</v>
      </c>
      <c r="L67" s="1037">
        <v>2009</v>
      </c>
      <c r="M67" s="1037">
        <v>3418</v>
      </c>
      <c r="N67" s="1037">
        <f t="shared" si="18"/>
        <v>27176</v>
      </c>
      <c r="O67" s="1037">
        <f t="shared" si="75"/>
        <v>27176</v>
      </c>
      <c r="P67" s="1037"/>
      <c r="Q67" s="1041">
        <f t="shared" si="34"/>
        <v>100</v>
      </c>
      <c r="R67" s="1037">
        <f t="shared" si="19"/>
        <v>1653</v>
      </c>
      <c r="S67" s="1037">
        <f t="shared" si="66"/>
        <v>1653</v>
      </c>
      <c r="T67" s="1037"/>
      <c r="U67" s="1041">
        <f t="shared" si="51"/>
        <v>100</v>
      </c>
      <c r="V67" s="1037">
        <f t="shared" si="38"/>
        <v>4638</v>
      </c>
      <c r="W67" s="1037">
        <f t="shared" si="67"/>
        <v>4638</v>
      </c>
      <c r="X67" s="1037"/>
      <c r="Y67" s="1041">
        <f t="shared" si="55"/>
        <v>100</v>
      </c>
      <c r="Z67" s="1037">
        <f t="shared" si="20"/>
        <v>2388</v>
      </c>
      <c r="AA67" s="1037">
        <f t="shared" si="68"/>
        <v>2388</v>
      </c>
      <c r="AB67" s="1037"/>
      <c r="AC67" s="1041">
        <f t="shared" si="56"/>
        <v>100</v>
      </c>
      <c r="AD67" s="1037">
        <f t="shared" si="21"/>
        <v>994</v>
      </c>
      <c r="AE67" s="1037">
        <f t="shared" si="69"/>
        <v>994</v>
      </c>
      <c r="AF67" s="1037"/>
      <c r="AG67" s="1041">
        <f t="shared" si="57"/>
        <v>100</v>
      </c>
      <c r="AH67" s="1037">
        <f t="shared" si="22"/>
        <v>4277</v>
      </c>
      <c r="AI67" s="1037">
        <f t="shared" si="70"/>
        <v>4277</v>
      </c>
      <c r="AJ67" s="1037"/>
      <c r="AK67" s="1041">
        <f t="shared" si="58"/>
        <v>100</v>
      </c>
      <c r="AL67" s="1037">
        <f t="shared" si="23"/>
        <v>4013</v>
      </c>
      <c r="AM67" s="1037">
        <f t="shared" si="71"/>
        <v>4013</v>
      </c>
      <c r="AN67" s="1037"/>
      <c r="AO67" s="1041">
        <f t="shared" si="59"/>
        <v>100</v>
      </c>
      <c r="AP67" s="1037">
        <f t="shared" si="24"/>
        <v>1060</v>
      </c>
      <c r="AQ67" s="1037">
        <f t="shared" si="72"/>
        <v>1060</v>
      </c>
      <c r="AR67" s="1037"/>
      <c r="AS67" s="1041">
        <f t="shared" si="60"/>
        <v>100</v>
      </c>
      <c r="AT67" s="1037">
        <f t="shared" si="25"/>
        <v>2726</v>
      </c>
      <c r="AU67" s="1037">
        <f t="shared" si="73"/>
        <v>2726</v>
      </c>
      <c r="AV67" s="1037"/>
      <c r="AW67" s="1041">
        <f t="shared" si="61"/>
        <v>100</v>
      </c>
      <c r="AX67" s="1037">
        <f t="shared" si="26"/>
        <v>2009</v>
      </c>
      <c r="AY67" s="1037">
        <f t="shared" si="76"/>
        <v>2009</v>
      </c>
      <c r="AZ67" s="1037"/>
      <c r="BA67" s="1041">
        <f t="shared" si="62"/>
        <v>100</v>
      </c>
      <c r="BB67" s="1037">
        <f t="shared" si="27"/>
        <v>3418</v>
      </c>
      <c r="BC67" s="1037">
        <f t="shared" si="74"/>
        <v>3418</v>
      </c>
      <c r="BD67" s="1037"/>
      <c r="BE67" s="1041">
        <f t="shared" si="63"/>
        <v>100</v>
      </c>
      <c r="BF67" s="512">
        <f t="shared" si="64"/>
        <v>0</v>
      </c>
      <c r="BG67" s="512">
        <f t="shared" si="49"/>
        <v>27176</v>
      </c>
      <c r="BH67" s="512">
        <f t="shared" si="50"/>
        <v>0</v>
      </c>
    </row>
    <row r="68" spans="1:60" ht="27.75" customHeight="1">
      <c r="A68" s="1090" t="s">
        <v>49</v>
      </c>
      <c r="B68" s="1089" t="s">
        <v>1544</v>
      </c>
      <c r="C68" s="1037">
        <f t="shared" si="52"/>
        <v>84845</v>
      </c>
      <c r="D68" s="1037">
        <v>4767</v>
      </c>
      <c r="E68" s="1037">
        <v>10138</v>
      </c>
      <c r="F68" s="1037">
        <v>11429</v>
      </c>
      <c r="G68" s="1037">
        <v>3205</v>
      </c>
      <c r="H68" s="1037">
        <v>14136</v>
      </c>
      <c r="I68" s="1037">
        <v>14162</v>
      </c>
      <c r="J68" s="1037">
        <v>5255</v>
      </c>
      <c r="K68" s="1037">
        <v>6890</v>
      </c>
      <c r="L68" s="1037">
        <v>2113</v>
      </c>
      <c r="M68" s="1037">
        <v>12750</v>
      </c>
      <c r="N68" s="1037">
        <f t="shared" si="18"/>
        <v>84845</v>
      </c>
      <c r="O68" s="1037">
        <f t="shared" si="75"/>
        <v>84845</v>
      </c>
      <c r="P68" s="1037"/>
      <c r="Q68" s="1041"/>
      <c r="R68" s="1037">
        <f t="shared" si="19"/>
        <v>4767</v>
      </c>
      <c r="S68" s="1037">
        <v>4767</v>
      </c>
      <c r="T68" s="1037"/>
      <c r="U68" s="1041"/>
      <c r="V68" s="1037">
        <f t="shared" si="38"/>
        <v>10138</v>
      </c>
      <c r="W68" s="1037">
        <v>10138</v>
      </c>
      <c r="X68" s="1037"/>
      <c r="Y68" s="1041"/>
      <c r="Z68" s="1037">
        <f t="shared" si="20"/>
        <v>11429</v>
      </c>
      <c r="AA68" s="1037">
        <v>11429</v>
      </c>
      <c r="AB68" s="1037"/>
      <c r="AC68" s="1041"/>
      <c r="AD68" s="1037">
        <f t="shared" si="21"/>
        <v>3205</v>
      </c>
      <c r="AE68" s="1037">
        <v>3205</v>
      </c>
      <c r="AF68" s="1037"/>
      <c r="AG68" s="1041"/>
      <c r="AH68" s="1037">
        <f t="shared" si="22"/>
        <v>14136</v>
      </c>
      <c r="AI68" s="1037">
        <v>14136</v>
      </c>
      <c r="AJ68" s="1037"/>
      <c r="AK68" s="1041"/>
      <c r="AL68" s="1037">
        <f t="shared" si="23"/>
        <v>14162</v>
      </c>
      <c r="AM68" s="1037">
        <v>14162</v>
      </c>
      <c r="AN68" s="1037"/>
      <c r="AO68" s="1041"/>
      <c r="AP68" s="1037">
        <f t="shared" si="24"/>
        <v>5255</v>
      </c>
      <c r="AQ68" s="1037">
        <v>5255</v>
      </c>
      <c r="AR68" s="1037"/>
      <c r="AS68" s="1041"/>
      <c r="AT68" s="1037">
        <f t="shared" si="25"/>
        <v>6890</v>
      </c>
      <c r="AU68" s="1037">
        <v>6890</v>
      </c>
      <c r="AV68" s="1037"/>
      <c r="AW68" s="1041"/>
      <c r="AX68" s="1037">
        <f t="shared" si="26"/>
        <v>2113</v>
      </c>
      <c r="AY68" s="1037">
        <v>2113</v>
      </c>
      <c r="AZ68" s="1037"/>
      <c r="BA68" s="1041"/>
      <c r="BB68" s="1037">
        <f t="shared" si="27"/>
        <v>12750</v>
      </c>
      <c r="BC68" s="1037">
        <v>12750</v>
      </c>
      <c r="BD68" s="1037"/>
      <c r="BE68" s="1041"/>
      <c r="BF68" s="512">
        <f t="shared" si="64"/>
        <v>0</v>
      </c>
      <c r="BG68" s="512">
        <f t="shared" si="49"/>
        <v>84845</v>
      </c>
      <c r="BH68" s="512">
        <f t="shared" si="50"/>
        <v>0</v>
      </c>
    </row>
    <row r="69" spans="1:60" ht="41.4">
      <c r="A69" s="1090" t="s">
        <v>23</v>
      </c>
      <c r="B69" s="1089" t="s">
        <v>1529</v>
      </c>
      <c r="C69" s="1037"/>
      <c r="D69" s="1037"/>
      <c r="E69" s="1037"/>
      <c r="F69" s="1037"/>
      <c r="G69" s="1037"/>
      <c r="H69" s="1037"/>
      <c r="I69" s="1037"/>
      <c r="J69" s="1037"/>
      <c r="K69" s="1037"/>
      <c r="L69" s="1037"/>
      <c r="M69" s="1037"/>
      <c r="N69" s="1037">
        <f t="shared" si="18"/>
        <v>5411</v>
      </c>
      <c r="O69" s="1091">
        <f t="shared" si="75"/>
        <v>5411</v>
      </c>
      <c r="P69" s="1091"/>
      <c r="Q69" s="1092"/>
      <c r="R69" s="1091">
        <f t="shared" si="19"/>
        <v>87</v>
      </c>
      <c r="S69" s="1091">
        <v>87</v>
      </c>
      <c r="T69" s="1091"/>
      <c r="U69" s="1092"/>
      <c r="V69" s="1091">
        <f t="shared" si="38"/>
        <v>1054</v>
      </c>
      <c r="W69" s="1091">
        <v>1054</v>
      </c>
      <c r="X69" s="1091"/>
      <c r="Y69" s="1092"/>
      <c r="Z69" s="1091">
        <f t="shared" si="20"/>
        <v>688</v>
      </c>
      <c r="AA69" s="1091">
        <v>688</v>
      </c>
      <c r="AB69" s="1091"/>
      <c r="AC69" s="1092"/>
      <c r="AD69" s="1091">
        <f t="shared" si="21"/>
        <v>226</v>
      </c>
      <c r="AE69" s="1091">
        <v>226</v>
      </c>
      <c r="AF69" s="1091"/>
      <c r="AG69" s="1092"/>
      <c r="AH69" s="1091">
        <f t="shared" si="22"/>
        <v>536</v>
      </c>
      <c r="AI69" s="1091">
        <v>536</v>
      </c>
      <c r="AJ69" s="1091"/>
      <c r="AK69" s="1092"/>
      <c r="AL69" s="1091">
        <f t="shared" si="23"/>
        <v>808</v>
      </c>
      <c r="AM69" s="1091">
        <v>808</v>
      </c>
      <c r="AN69" s="1091"/>
      <c r="AO69" s="1092"/>
      <c r="AP69" s="1091">
        <f t="shared" si="24"/>
        <v>411</v>
      </c>
      <c r="AQ69" s="1091">
        <v>411</v>
      </c>
      <c r="AR69" s="1091"/>
      <c r="AS69" s="1092"/>
      <c r="AT69" s="1091">
        <f t="shared" si="25"/>
        <v>842</v>
      </c>
      <c r="AU69" s="1091">
        <v>842</v>
      </c>
      <c r="AV69" s="1091"/>
      <c r="AW69" s="1092"/>
      <c r="AX69" s="1091">
        <f t="shared" si="26"/>
        <v>-310</v>
      </c>
      <c r="AY69" s="1091">
        <v>-310</v>
      </c>
      <c r="AZ69" s="1091"/>
      <c r="BA69" s="1092"/>
      <c r="BB69" s="1091">
        <f t="shared" si="27"/>
        <v>1069</v>
      </c>
      <c r="BC69" s="1091">
        <v>1069</v>
      </c>
      <c r="BD69" s="1091"/>
      <c r="BE69" s="1092"/>
      <c r="BF69" s="512"/>
      <c r="BG69" s="512">
        <f t="shared" si="49"/>
        <v>5411</v>
      </c>
      <c r="BH69" s="512">
        <f t="shared" si="50"/>
        <v>0</v>
      </c>
    </row>
    <row r="70" spans="1:60" ht="41.4">
      <c r="A70" s="1090" t="s">
        <v>23</v>
      </c>
      <c r="B70" s="1089" t="s">
        <v>1532</v>
      </c>
      <c r="C70" s="1037"/>
      <c r="D70" s="1037"/>
      <c r="E70" s="1037"/>
      <c r="F70" s="1037"/>
      <c r="G70" s="1037"/>
      <c r="H70" s="1037"/>
      <c r="I70" s="1037"/>
      <c r="J70" s="1037"/>
      <c r="K70" s="1037"/>
      <c r="L70" s="1037"/>
      <c r="M70" s="1037"/>
      <c r="N70" s="1037">
        <f t="shared" si="18"/>
        <v>841</v>
      </c>
      <c r="O70" s="1091">
        <f t="shared" si="75"/>
        <v>841</v>
      </c>
      <c r="P70" s="1091"/>
      <c r="Q70" s="1092"/>
      <c r="R70" s="1091">
        <f t="shared" si="19"/>
        <v>-82</v>
      </c>
      <c r="S70" s="1091">
        <v>-82</v>
      </c>
      <c r="T70" s="1091"/>
      <c r="U70" s="1092"/>
      <c r="V70" s="1091">
        <f t="shared" si="38"/>
        <v>186</v>
      </c>
      <c r="W70" s="1091">
        <v>186</v>
      </c>
      <c r="X70" s="1091"/>
      <c r="Y70" s="1092"/>
      <c r="Z70" s="1091">
        <f t="shared" si="20"/>
        <v>44</v>
      </c>
      <c r="AA70" s="1091">
        <v>44</v>
      </c>
      <c r="AB70" s="1091"/>
      <c r="AC70" s="1092"/>
      <c r="AD70" s="1091">
        <f t="shared" si="21"/>
        <v>117</v>
      </c>
      <c r="AE70" s="1091">
        <v>117</v>
      </c>
      <c r="AF70" s="1091"/>
      <c r="AG70" s="1092"/>
      <c r="AH70" s="1091">
        <f t="shared" si="22"/>
        <v>393</v>
      </c>
      <c r="AI70" s="1091">
        <v>393</v>
      </c>
      <c r="AJ70" s="1091"/>
      <c r="AK70" s="1092"/>
      <c r="AL70" s="1091">
        <f t="shared" si="23"/>
        <v>125</v>
      </c>
      <c r="AM70" s="1091">
        <v>125</v>
      </c>
      <c r="AN70" s="1091"/>
      <c r="AO70" s="1092"/>
      <c r="AP70" s="1091">
        <f t="shared" si="24"/>
        <v>39</v>
      </c>
      <c r="AQ70" s="1091">
        <v>39</v>
      </c>
      <c r="AR70" s="1091"/>
      <c r="AS70" s="1092"/>
      <c r="AT70" s="1091">
        <f t="shared" si="25"/>
        <v>15</v>
      </c>
      <c r="AU70" s="1091">
        <v>15</v>
      </c>
      <c r="AV70" s="1091"/>
      <c r="AW70" s="1092"/>
      <c r="AX70" s="1091">
        <f t="shared" si="26"/>
        <v>-44</v>
      </c>
      <c r="AY70" s="1091">
        <v>-44</v>
      </c>
      <c r="AZ70" s="1091"/>
      <c r="BA70" s="1092"/>
      <c r="BB70" s="1091">
        <f t="shared" si="27"/>
        <v>48</v>
      </c>
      <c r="BC70" s="1091">
        <v>48</v>
      </c>
      <c r="BD70" s="1091"/>
      <c r="BE70" s="1092"/>
      <c r="BF70" s="512"/>
      <c r="BG70" s="512">
        <f t="shared" si="49"/>
        <v>841</v>
      </c>
      <c r="BH70" s="512">
        <f t="shared" si="50"/>
        <v>0</v>
      </c>
    </row>
    <row r="71" spans="1:60" ht="41.4">
      <c r="A71" s="1090" t="s">
        <v>23</v>
      </c>
      <c r="B71" s="1089" t="s">
        <v>1530</v>
      </c>
      <c r="C71" s="1037"/>
      <c r="D71" s="1037"/>
      <c r="E71" s="1037"/>
      <c r="F71" s="1037"/>
      <c r="G71" s="1037"/>
      <c r="H71" s="1037"/>
      <c r="I71" s="1037"/>
      <c r="J71" s="1037"/>
      <c r="K71" s="1037"/>
      <c r="L71" s="1037"/>
      <c r="M71" s="1037"/>
      <c r="N71" s="1037">
        <f t="shared" si="18"/>
        <v>4573</v>
      </c>
      <c r="O71" s="1091">
        <f t="shared" si="75"/>
        <v>4573</v>
      </c>
      <c r="P71" s="1091"/>
      <c r="Q71" s="1092"/>
      <c r="R71" s="1091">
        <f t="shared" si="19"/>
        <v>0</v>
      </c>
      <c r="S71" s="1091">
        <v>0</v>
      </c>
      <c r="T71" s="1091"/>
      <c r="U71" s="1092"/>
      <c r="V71" s="1091">
        <f t="shared" si="38"/>
        <v>-1480</v>
      </c>
      <c r="W71" s="1091">
        <v>-1480</v>
      </c>
      <c r="X71" s="1091"/>
      <c r="Y71" s="1092"/>
      <c r="Z71" s="1091">
        <f t="shared" si="20"/>
        <v>1038</v>
      </c>
      <c r="AA71" s="1091">
        <v>1038</v>
      </c>
      <c r="AB71" s="1091"/>
      <c r="AC71" s="1092"/>
      <c r="AD71" s="1091">
        <f t="shared" si="21"/>
        <v>33</v>
      </c>
      <c r="AE71" s="1091">
        <v>33</v>
      </c>
      <c r="AF71" s="1091"/>
      <c r="AG71" s="1092"/>
      <c r="AH71" s="1091">
        <f t="shared" si="22"/>
        <v>1475</v>
      </c>
      <c r="AI71" s="1091">
        <v>1475</v>
      </c>
      <c r="AJ71" s="1091"/>
      <c r="AK71" s="1092"/>
      <c r="AL71" s="1091">
        <f t="shared" si="23"/>
        <v>1517</v>
      </c>
      <c r="AM71" s="1091">
        <v>1517</v>
      </c>
      <c r="AN71" s="1091"/>
      <c r="AO71" s="1092"/>
      <c r="AP71" s="1091">
        <f t="shared" si="24"/>
        <v>1840</v>
      </c>
      <c r="AQ71" s="1091">
        <v>1840</v>
      </c>
      <c r="AR71" s="1091"/>
      <c r="AS71" s="1092"/>
      <c r="AT71" s="1091">
        <f t="shared" si="25"/>
        <v>-1389</v>
      </c>
      <c r="AU71" s="1091">
        <v>-1389</v>
      </c>
      <c r="AV71" s="1091"/>
      <c r="AW71" s="1092"/>
      <c r="AX71" s="1091">
        <f t="shared" si="26"/>
        <v>-1738</v>
      </c>
      <c r="AY71" s="1091">
        <v>-1738</v>
      </c>
      <c r="AZ71" s="1091"/>
      <c r="BA71" s="1092"/>
      <c r="BB71" s="1091">
        <f t="shared" si="27"/>
        <v>3277</v>
      </c>
      <c r="BC71" s="1091">
        <v>3277</v>
      </c>
      <c r="BD71" s="1091"/>
      <c r="BE71" s="1092"/>
      <c r="BF71" s="512"/>
      <c r="BG71" s="512">
        <f t="shared" si="49"/>
        <v>4573</v>
      </c>
      <c r="BH71" s="512">
        <f t="shared" si="50"/>
        <v>0</v>
      </c>
    </row>
    <row r="72" spans="1:60" ht="41.4">
      <c r="A72" s="1090" t="s">
        <v>23</v>
      </c>
      <c r="B72" s="1089" t="s">
        <v>1531</v>
      </c>
      <c r="C72" s="1037"/>
      <c r="D72" s="1037"/>
      <c r="E72" s="1037"/>
      <c r="F72" s="1037"/>
      <c r="G72" s="1037"/>
      <c r="H72" s="1037"/>
      <c r="I72" s="1037"/>
      <c r="J72" s="1037"/>
      <c r="K72" s="1037"/>
      <c r="L72" s="1037"/>
      <c r="M72" s="1037"/>
      <c r="N72" s="1037">
        <f t="shared" si="18"/>
        <v>74020</v>
      </c>
      <c r="O72" s="1091">
        <f t="shared" si="75"/>
        <v>74020</v>
      </c>
      <c r="P72" s="1091"/>
      <c r="Q72" s="1092"/>
      <c r="R72" s="1091">
        <f t="shared" si="19"/>
        <v>4762</v>
      </c>
      <c r="S72" s="1091">
        <v>4762</v>
      </c>
      <c r="T72" s="1091"/>
      <c r="U72" s="1092"/>
      <c r="V72" s="1091">
        <f t="shared" si="38"/>
        <v>10378</v>
      </c>
      <c r="W72" s="1091">
        <v>10378</v>
      </c>
      <c r="X72" s="1091"/>
      <c r="Y72" s="1092"/>
      <c r="Z72" s="1091">
        <f t="shared" si="20"/>
        <v>9659</v>
      </c>
      <c r="AA72" s="1091">
        <v>9659</v>
      </c>
      <c r="AB72" s="1091"/>
      <c r="AC72" s="1092"/>
      <c r="AD72" s="1091">
        <f t="shared" si="21"/>
        <v>2829</v>
      </c>
      <c r="AE72" s="1091">
        <v>2829</v>
      </c>
      <c r="AF72" s="1091"/>
      <c r="AG72" s="1092"/>
      <c r="AH72" s="1091">
        <f t="shared" si="22"/>
        <v>11732</v>
      </c>
      <c r="AI72" s="1091">
        <v>11732</v>
      </c>
      <c r="AJ72" s="1091"/>
      <c r="AK72" s="1092"/>
      <c r="AL72" s="1091">
        <f t="shared" si="23"/>
        <v>11712</v>
      </c>
      <c r="AM72" s="1091">
        <v>11712</v>
      </c>
      <c r="AN72" s="1091"/>
      <c r="AO72" s="1092"/>
      <c r="AP72" s="1091">
        <f t="shared" si="24"/>
        <v>2965</v>
      </c>
      <c r="AQ72" s="1091">
        <v>2965</v>
      </c>
      <c r="AR72" s="1091"/>
      <c r="AS72" s="1092"/>
      <c r="AT72" s="1091">
        <f t="shared" si="25"/>
        <v>7422</v>
      </c>
      <c r="AU72" s="1091">
        <v>7422</v>
      </c>
      <c r="AV72" s="1091"/>
      <c r="AW72" s="1092"/>
      <c r="AX72" s="1091">
        <f t="shared" si="26"/>
        <v>4205</v>
      </c>
      <c r="AY72" s="1091">
        <v>4205</v>
      </c>
      <c r="AZ72" s="1091"/>
      <c r="BA72" s="1092"/>
      <c r="BB72" s="1091">
        <f t="shared" si="27"/>
        <v>8356</v>
      </c>
      <c r="BC72" s="1091">
        <v>8356</v>
      </c>
      <c r="BD72" s="1091"/>
      <c r="BE72" s="1092"/>
      <c r="BF72" s="512"/>
      <c r="BG72" s="512">
        <f t="shared" si="49"/>
        <v>74020</v>
      </c>
      <c r="BH72" s="512">
        <f t="shared" si="50"/>
        <v>0</v>
      </c>
    </row>
    <row r="73" spans="1:60" s="512" customFormat="1">
      <c r="A73" s="1093" t="s">
        <v>51</v>
      </c>
      <c r="B73" s="1094" t="s">
        <v>1554</v>
      </c>
      <c r="C73" s="510">
        <f t="shared" si="52"/>
        <v>6358</v>
      </c>
      <c r="D73" s="510">
        <v>472</v>
      </c>
      <c r="E73" s="510">
        <v>778</v>
      </c>
      <c r="F73" s="510">
        <v>478</v>
      </c>
      <c r="G73" s="510">
        <v>293</v>
      </c>
      <c r="H73" s="510">
        <v>847</v>
      </c>
      <c r="I73" s="510">
        <v>897</v>
      </c>
      <c r="J73" s="510">
        <v>418</v>
      </c>
      <c r="K73" s="510">
        <v>790</v>
      </c>
      <c r="L73" s="510">
        <v>670</v>
      </c>
      <c r="M73" s="510">
        <v>715</v>
      </c>
      <c r="N73" s="510">
        <f t="shared" si="18"/>
        <v>7717</v>
      </c>
      <c r="O73" s="510">
        <f t="shared" si="75"/>
        <v>6358</v>
      </c>
      <c r="P73" s="1084">
        <f>ROUND(T73+X73+AB73+AF73+AJ73+AN73+AR73+AV73+AZ73+BD73,0)</f>
        <v>1359</v>
      </c>
      <c r="Q73" s="511">
        <f t="shared" si="34"/>
        <v>100</v>
      </c>
      <c r="R73" s="510">
        <f t="shared" si="19"/>
        <v>590</v>
      </c>
      <c r="S73" s="510">
        <f>D73</f>
        <v>472</v>
      </c>
      <c r="T73" s="1061">
        <v>118</v>
      </c>
      <c r="U73" s="511">
        <f t="shared" si="51"/>
        <v>100</v>
      </c>
      <c r="V73" s="510">
        <f t="shared" si="38"/>
        <v>971</v>
      </c>
      <c r="W73" s="510">
        <f>E73</f>
        <v>778</v>
      </c>
      <c r="X73" s="1061">
        <v>193</v>
      </c>
      <c r="Y73" s="511">
        <f>W73/E73*100</f>
        <v>100</v>
      </c>
      <c r="Z73" s="510">
        <f t="shared" si="20"/>
        <v>580</v>
      </c>
      <c r="AA73" s="510">
        <f>F73</f>
        <v>478</v>
      </c>
      <c r="AB73" s="1061">
        <v>102</v>
      </c>
      <c r="AC73" s="511">
        <f>AA73/F73*100</f>
        <v>100</v>
      </c>
      <c r="AD73" s="510">
        <f t="shared" si="21"/>
        <v>365</v>
      </c>
      <c r="AE73" s="510">
        <f>G73</f>
        <v>293</v>
      </c>
      <c r="AF73" s="1061">
        <v>72</v>
      </c>
      <c r="AG73" s="511">
        <f>AE73/G73*100</f>
        <v>100</v>
      </c>
      <c r="AH73" s="510">
        <f t="shared" si="22"/>
        <v>1031</v>
      </c>
      <c r="AI73" s="510">
        <f>H73</f>
        <v>847</v>
      </c>
      <c r="AJ73" s="1061">
        <v>184</v>
      </c>
      <c r="AK73" s="511">
        <f>AI73/H73*100</f>
        <v>100</v>
      </c>
      <c r="AL73" s="510">
        <f t="shared" si="23"/>
        <v>1125</v>
      </c>
      <c r="AM73" s="510">
        <f>I73</f>
        <v>897</v>
      </c>
      <c r="AN73" s="1061">
        <v>228</v>
      </c>
      <c r="AO73" s="511">
        <f>AM73/I73*100</f>
        <v>100</v>
      </c>
      <c r="AP73" s="510">
        <f t="shared" si="24"/>
        <v>463</v>
      </c>
      <c r="AQ73" s="510">
        <f>J73</f>
        <v>418</v>
      </c>
      <c r="AR73" s="1061">
        <v>45</v>
      </c>
      <c r="AS73" s="511">
        <f>AQ73/J73*100</f>
        <v>100</v>
      </c>
      <c r="AT73" s="510">
        <f t="shared" si="25"/>
        <v>948</v>
      </c>
      <c r="AU73" s="510">
        <f>K73</f>
        <v>790</v>
      </c>
      <c r="AV73" s="1061">
        <v>158</v>
      </c>
      <c r="AW73" s="511">
        <f>AU73/K73*100</f>
        <v>100</v>
      </c>
      <c r="AX73" s="510">
        <f t="shared" si="26"/>
        <v>767</v>
      </c>
      <c r="AY73" s="510">
        <f>L73</f>
        <v>670</v>
      </c>
      <c r="AZ73" s="1061">
        <v>97</v>
      </c>
      <c r="BA73" s="511">
        <f>AY73/L73*100</f>
        <v>100</v>
      </c>
      <c r="BB73" s="510">
        <f t="shared" si="27"/>
        <v>877</v>
      </c>
      <c r="BC73" s="510">
        <f>M73</f>
        <v>715</v>
      </c>
      <c r="BD73" s="1061">
        <v>162</v>
      </c>
      <c r="BE73" s="511">
        <f>BC73/M73*100</f>
        <v>100</v>
      </c>
      <c r="BF73" s="512">
        <f>O73-C73</f>
        <v>0</v>
      </c>
      <c r="BG73" s="512">
        <f t="shared" si="49"/>
        <v>6358</v>
      </c>
      <c r="BH73" s="512">
        <f t="shared" si="50"/>
        <v>0</v>
      </c>
    </row>
    <row r="74" spans="1:60" s="1054" customFormat="1" hidden="1" outlineLevel="1">
      <c r="A74" s="1049"/>
      <c r="B74" s="1069"/>
      <c r="C74" s="1051"/>
      <c r="D74" s="1051"/>
      <c r="E74" s="1051"/>
      <c r="F74" s="1051"/>
      <c r="G74" s="1051"/>
      <c r="H74" s="1051"/>
      <c r="I74" s="1051"/>
      <c r="J74" s="1051"/>
      <c r="K74" s="1051"/>
      <c r="L74" s="1051"/>
      <c r="M74" s="1051"/>
      <c r="N74" s="1051">
        <f t="shared" si="18"/>
        <v>0</v>
      </c>
      <c r="O74" s="510">
        <f t="shared" si="75"/>
        <v>0</v>
      </c>
      <c r="P74" s="510"/>
      <c r="Q74" s="1095"/>
      <c r="R74" s="1051">
        <f t="shared" si="19"/>
        <v>0</v>
      </c>
      <c r="S74" s="1051"/>
      <c r="T74" s="1051"/>
      <c r="U74" s="1095"/>
      <c r="V74" s="1051">
        <f t="shared" si="38"/>
        <v>0</v>
      </c>
      <c r="W74" s="1051"/>
      <c r="X74" s="1051"/>
      <c r="Y74" s="1095"/>
      <c r="Z74" s="1051">
        <f t="shared" si="20"/>
        <v>0</v>
      </c>
      <c r="AA74" s="1051"/>
      <c r="AB74" s="1051"/>
      <c r="AC74" s="1095"/>
      <c r="AD74" s="1051">
        <f t="shared" si="21"/>
        <v>0</v>
      </c>
      <c r="AE74" s="1051"/>
      <c r="AF74" s="1051"/>
      <c r="AG74" s="1095"/>
      <c r="AH74" s="1051">
        <f t="shared" si="22"/>
        <v>0</v>
      </c>
      <c r="AI74" s="510"/>
      <c r="AJ74" s="510"/>
      <c r="AK74" s="1095"/>
      <c r="AL74" s="1051">
        <f t="shared" si="23"/>
        <v>0</v>
      </c>
      <c r="AM74" s="1051"/>
      <c r="AN74" s="1051"/>
      <c r="AO74" s="1095"/>
      <c r="AP74" s="1051">
        <f t="shared" si="24"/>
        <v>0</v>
      </c>
      <c r="AQ74" s="1051"/>
      <c r="AR74" s="1051"/>
      <c r="AS74" s="1095"/>
      <c r="AT74" s="1051">
        <f t="shared" si="25"/>
        <v>0</v>
      </c>
      <c r="AU74" s="1051"/>
      <c r="AV74" s="1051"/>
      <c r="AW74" s="1095"/>
      <c r="AX74" s="1051">
        <f t="shared" si="26"/>
        <v>0</v>
      </c>
      <c r="AY74" s="1051"/>
      <c r="AZ74" s="1051"/>
      <c r="BA74" s="1095"/>
      <c r="BB74" s="1051">
        <f t="shared" si="27"/>
        <v>0</v>
      </c>
      <c r="BC74" s="1051"/>
      <c r="BD74" s="1051"/>
      <c r="BE74" s="1095"/>
      <c r="BF74" s="512"/>
      <c r="BG74" s="512">
        <f t="shared" si="49"/>
        <v>0</v>
      </c>
      <c r="BH74" s="512">
        <f t="shared" si="50"/>
        <v>0</v>
      </c>
    </row>
    <row r="75" spans="1:60" s="512" customFormat="1" hidden="1" outlineLevel="1">
      <c r="A75" s="508"/>
      <c r="B75" s="1096"/>
      <c r="C75" s="510"/>
      <c r="D75" s="510"/>
      <c r="E75" s="510"/>
      <c r="F75" s="510"/>
      <c r="G75" s="510"/>
      <c r="H75" s="510"/>
      <c r="I75" s="510"/>
      <c r="J75" s="510"/>
      <c r="K75" s="510"/>
      <c r="L75" s="510"/>
      <c r="M75" s="510"/>
      <c r="N75" s="510">
        <f t="shared" si="18"/>
        <v>0</v>
      </c>
      <c r="O75" s="510">
        <f t="shared" si="75"/>
        <v>0</v>
      </c>
      <c r="P75" s="510"/>
      <c r="Q75" s="511"/>
      <c r="R75" s="510">
        <f t="shared" si="19"/>
        <v>0</v>
      </c>
      <c r="S75" s="510"/>
      <c r="T75" s="510"/>
      <c r="U75" s="511"/>
      <c r="V75" s="510">
        <f t="shared" si="38"/>
        <v>0</v>
      </c>
      <c r="W75" s="510"/>
      <c r="X75" s="510"/>
      <c r="Y75" s="511"/>
      <c r="Z75" s="510">
        <f t="shared" si="20"/>
        <v>0</v>
      </c>
      <c r="AA75" s="510"/>
      <c r="AB75" s="510"/>
      <c r="AC75" s="511"/>
      <c r="AD75" s="510">
        <f t="shared" si="21"/>
        <v>0</v>
      </c>
      <c r="AE75" s="510"/>
      <c r="AF75" s="510"/>
      <c r="AG75" s="511"/>
      <c r="AH75" s="510">
        <f t="shared" si="22"/>
        <v>0</v>
      </c>
      <c r="AI75" s="510"/>
      <c r="AJ75" s="510"/>
      <c r="AK75" s="511"/>
      <c r="AL75" s="510">
        <f t="shared" si="23"/>
        <v>0</v>
      </c>
      <c r="AM75" s="510"/>
      <c r="AN75" s="510"/>
      <c r="AO75" s="511"/>
      <c r="AP75" s="510">
        <f t="shared" si="24"/>
        <v>0</v>
      </c>
      <c r="AQ75" s="510"/>
      <c r="AR75" s="510"/>
      <c r="AS75" s="511"/>
      <c r="AT75" s="510">
        <f t="shared" si="25"/>
        <v>0</v>
      </c>
      <c r="AU75" s="510"/>
      <c r="AV75" s="510"/>
      <c r="AW75" s="511"/>
      <c r="AX75" s="510">
        <f t="shared" si="26"/>
        <v>0</v>
      </c>
      <c r="AY75" s="510"/>
      <c r="AZ75" s="510"/>
      <c r="BA75" s="511"/>
      <c r="BB75" s="510">
        <f t="shared" si="27"/>
        <v>0</v>
      </c>
      <c r="BC75" s="510"/>
      <c r="BD75" s="510"/>
      <c r="BE75" s="511"/>
      <c r="BG75" s="512">
        <f t="shared" si="49"/>
        <v>0</v>
      </c>
      <c r="BH75" s="512">
        <f t="shared" si="50"/>
        <v>0</v>
      </c>
    </row>
    <row r="76" spans="1:60" s="512" customFormat="1" collapsed="1">
      <c r="A76" s="508" t="s">
        <v>52</v>
      </c>
      <c r="B76" s="1096" t="s">
        <v>54</v>
      </c>
      <c r="C76" s="510">
        <f t="shared" si="52"/>
        <v>2000</v>
      </c>
      <c r="D76" s="510">
        <f>D77</f>
        <v>200</v>
      </c>
      <c r="E76" s="510">
        <f t="shared" ref="E76:M76" si="78">E77</f>
        <v>200</v>
      </c>
      <c r="F76" s="510">
        <f t="shared" si="78"/>
        <v>200</v>
      </c>
      <c r="G76" s="510">
        <f t="shared" si="78"/>
        <v>200</v>
      </c>
      <c r="H76" s="510">
        <f t="shared" si="78"/>
        <v>200</v>
      </c>
      <c r="I76" s="510">
        <f t="shared" si="78"/>
        <v>200</v>
      </c>
      <c r="J76" s="510">
        <f t="shared" si="78"/>
        <v>200</v>
      </c>
      <c r="K76" s="510">
        <f t="shared" si="78"/>
        <v>200</v>
      </c>
      <c r="L76" s="510">
        <f t="shared" si="78"/>
        <v>200</v>
      </c>
      <c r="M76" s="510">
        <f t="shared" si="78"/>
        <v>200</v>
      </c>
      <c r="N76" s="510">
        <f t="shared" si="18"/>
        <v>2000</v>
      </c>
      <c r="O76" s="510">
        <f t="shared" si="75"/>
        <v>2000</v>
      </c>
      <c r="P76" s="510"/>
      <c r="Q76" s="511">
        <f t="shared" ref="Q76:Q91" si="79">O76/C76*100</f>
        <v>100</v>
      </c>
      <c r="R76" s="510">
        <f t="shared" si="19"/>
        <v>200</v>
      </c>
      <c r="S76" s="510">
        <v>200</v>
      </c>
      <c r="T76" s="510"/>
      <c r="U76" s="511">
        <f t="shared" si="51"/>
        <v>100</v>
      </c>
      <c r="V76" s="510">
        <f t="shared" si="38"/>
        <v>200</v>
      </c>
      <c r="W76" s="510">
        <v>200</v>
      </c>
      <c r="X76" s="510"/>
      <c r="Y76" s="511">
        <f>W76/E76*100</f>
        <v>100</v>
      </c>
      <c r="Z76" s="510">
        <f t="shared" si="20"/>
        <v>200</v>
      </c>
      <c r="AA76" s="510">
        <v>200</v>
      </c>
      <c r="AB76" s="510"/>
      <c r="AC76" s="511">
        <f>AA76/F76*100</f>
        <v>100</v>
      </c>
      <c r="AD76" s="510">
        <f t="shared" si="21"/>
        <v>200</v>
      </c>
      <c r="AE76" s="510">
        <v>200</v>
      </c>
      <c r="AF76" s="510"/>
      <c r="AG76" s="511">
        <f>AE76/G76*100</f>
        <v>100</v>
      </c>
      <c r="AH76" s="510">
        <f t="shared" si="22"/>
        <v>200</v>
      </c>
      <c r="AI76" s="510">
        <v>200</v>
      </c>
      <c r="AJ76" s="510"/>
      <c r="AK76" s="511">
        <f>AI76/H76*100</f>
        <v>100</v>
      </c>
      <c r="AL76" s="510">
        <f t="shared" si="23"/>
        <v>200</v>
      </c>
      <c r="AM76" s="510">
        <v>200</v>
      </c>
      <c r="AN76" s="510"/>
      <c r="AO76" s="511">
        <f>AM76/I76*100</f>
        <v>100</v>
      </c>
      <c r="AP76" s="510">
        <f t="shared" si="24"/>
        <v>200</v>
      </c>
      <c r="AQ76" s="510">
        <v>200</v>
      </c>
      <c r="AR76" s="510"/>
      <c r="AS76" s="511">
        <f>AQ76/J76*100</f>
        <v>100</v>
      </c>
      <c r="AT76" s="510">
        <f t="shared" si="25"/>
        <v>200</v>
      </c>
      <c r="AU76" s="510">
        <v>200</v>
      </c>
      <c r="AV76" s="510"/>
      <c r="AW76" s="511">
        <f>AU76/K76*100</f>
        <v>100</v>
      </c>
      <c r="AX76" s="510">
        <f t="shared" si="26"/>
        <v>200</v>
      </c>
      <c r="AY76" s="510">
        <v>200</v>
      </c>
      <c r="AZ76" s="510"/>
      <c r="BA76" s="511">
        <f t="shared" ref="BA76:BA81" si="80">AY76/L76*100</f>
        <v>100</v>
      </c>
      <c r="BB76" s="510">
        <f t="shared" si="27"/>
        <v>200</v>
      </c>
      <c r="BC76" s="510">
        <v>200</v>
      </c>
      <c r="BD76" s="510"/>
      <c r="BE76" s="511">
        <f>BC76/M76*100</f>
        <v>100</v>
      </c>
      <c r="BF76" s="512">
        <f t="shared" ref="BF76:BF83" si="81">O76-C76</f>
        <v>0</v>
      </c>
      <c r="BG76" s="512">
        <f t="shared" si="49"/>
        <v>2000</v>
      </c>
      <c r="BH76" s="512">
        <f t="shared" si="50"/>
        <v>0</v>
      </c>
    </row>
    <row r="77" spans="1:60" ht="27.6" hidden="1" outlineLevel="1">
      <c r="A77" s="1035"/>
      <c r="B77" s="1097" t="s">
        <v>55</v>
      </c>
      <c r="C77" s="1037">
        <f t="shared" si="52"/>
        <v>2000</v>
      </c>
      <c r="D77" s="1037">
        <v>200</v>
      </c>
      <c r="E77" s="1037">
        <v>200</v>
      </c>
      <c r="F77" s="1037">
        <v>200</v>
      </c>
      <c r="G77" s="1037">
        <v>200</v>
      </c>
      <c r="H77" s="1037">
        <v>200</v>
      </c>
      <c r="I77" s="1037">
        <v>200</v>
      </c>
      <c r="J77" s="1037">
        <v>200</v>
      </c>
      <c r="K77" s="1037">
        <v>200</v>
      </c>
      <c r="L77" s="1037">
        <v>200</v>
      </c>
      <c r="M77" s="1037">
        <v>200</v>
      </c>
      <c r="N77" s="1037" t="e">
        <f t="shared" si="18"/>
        <v>#REF!</v>
      </c>
      <c r="O77" s="510" t="e">
        <f t="shared" si="75"/>
        <v>#REF!</v>
      </c>
      <c r="P77" s="510"/>
      <c r="Q77" s="1041" t="e">
        <f t="shared" si="79"/>
        <v>#REF!</v>
      </c>
      <c r="R77" s="1037" t="e">
        <f t="shared" si="19"/>
        <v>#REF!</v>
      </c>
      <c r="S77" s="1037" t="e">
        <f>#REF!</f>
        <v>#REF!</v>
      </c>
      <c r="T77" s="1037"/>
      <c r="U77" s="1041" t="e">
        <f t="shared" si="51"/>
        <v>#REF!</v>
      </c>
      <c r="V77" s="1037" t="e">
        <f t="shared" si="38"/>
        <v>#REF!</v>
      </c>
      <c r="W77" s="1037" t="e">
        <f>#REF!</f>
        <v>#REF!</v>
      </c>
      <c r="X77" s="1037"/>
      <c r="Y77" s="1041" t="e">
        <f>W77/E77*100</f>
        <v>#REF!</v>
      </c>
      <c r="Z77" s="1037" t="e">
        <f t="shared" si="20"/>
        <v>#REF!</v>
      </c>
      <c r="AA77" s="1037" t="e">
        <f>#REF!</f>
        <v>#REF!</v>
      </c>
      <c r="AB77" s="1037"/>
      <c r="AC77" s="1041" t="e">
        <f>AA77/F77*100</f>
        <v>#REF!</v>
      </c>
      <c r="AD77" s="1037" t="e">
        <f t="shared" si="21"/>
        <v>#REF!</v>
      </c>
      <c r="AE77" s="1037" t="e">
        <f>#REF!</f>
        <v>#REF!</v>
      </c>
      <c r="AF77" s="1037"/>
      <c r="AG77" s="1041" t="e">
        <f>AE77/G77*100</f>
        <v>#REF!</v>
      </c>
      <c r="AH77" s="1037">
        <f t="shared" si="22"/>
        <v>200</v>
      </c>
      <c r="AI77" s="510">
        <f>H77</f>
        <v>200</v>
      </c>
      <c r="AJ77" s="510"/>
      <c r="AK77" s="1041">
        <f>AI77/H77*100</f>
        <v>100</v>
      </c>
      <c r="AL77" s="1037" t="e">
        <f t="shared" si="23"/>
        <v>#REF!</v>
      </c>
      <c r="AM77" s="1037" t="e">
        <f>#REF!</f>
        <v>#REF!</v>
      </c>
      <c r="AN77" s="1037"/>
      <c r="AO77" s="1041" t="e">
        <f>AM77/I77*100</f>
        <v>#REF!</v>
      </c>
      <c r="AP77" s="1037" t="e">
        <f t="shared" si="24"/>
        <v>#REF!</v>
      </c>
      <c r="AQ77" s="1037" t="e">
        <f>#REF!</f>
        <v>#REF!</v>
      </c>
      <c r="AR77" s="1037"/>
      <c r="AS77" s="1041" t="e">
        <f>AQ77/J77*100</f>
        <v>#REF!</v>
      </c>
      <c r="AT77" s="1037" t="e">
        <f t="shared" si="25"/>
        <v>#REF!</v>
      </c>
      <c r="AU77" s="1037" t="e">
        <f>#REF!</f>
        <v>#REF!</v>
      </c>
      <c r="AV77" s="1037"/>
      <c r="AW77" s="1041" t="e">
        <f>AU77/K77*100</f>
        <v>#REF!</v>
      </c>
      <c r="AX77" s="1037" t="e">
        <f t="shared" si="26"/>
        <v>#REF!</v>
      </c>
      <c r="AY77" s="1037" t="e">
        <f>#REF!</f>
        <v>#REF!</v>
      </c>
      <c r="AZ77" s="1037"/>
      <c r="BA77" s="1041" t="e">
        <f t="shared" si="80"/>
        <v>#REF!</v>
      </c>
      <c r="BB77" s="1037" t="e">
        <f t="shared" si="27"/>
        <v>#REF!</v>
      </c>
      <c r="BC77" s="1037" t="e">
        <f>#REF!</f>
        <v>#REF!</v>
      </c>
      <c r="BD77" s="1037"/>
      <c r="BE77" s="1041" t="e">
        <f>BC77/M77*100</f>
        <v>#REF!</v>
      </c>
      <c r="BF77" s="512" t="e">
        <f t="shared" si="81"/>
        <v>#REF!</v>
      </c>
      <c r="BG77" s="512" t="e">
        <f t="shared" si="49"/>
        <v>#REF!</v>
      </c>
      <c r="BH77" s="512" t="e">
        <f t="shared" si="50"/>
        <v>#REF!</v>
      </c>
    </row>
    <row r="78" spans="1:60" s="1063" customFormat="1" ht="27.6" collapsed="1">
      <c r="A78" s="1082" t="s">
        <v>53</v>
      </c>
      <c r="B78" s="1083" t="s">
        <v>1555</v>
      </c>
      <c r="C78" s="1061">
        <f>C80+C81+C82</f>
        <v>1411090</v>
      </c>
      <c r="D78" s="1061">
        <f t="shared" ref="D78:M78" si="82">D80+D81+D82</f>
        <v>271595</v>
      </c>
      <c r="E78" s="1061">
        <f t="shared" si="82"/>
        <v>156448</v>
      </c>
      <c r="F78" s="1061">
        <f t="shared" si="82"/>
        <v>117612</v>
      </c>
      <c r="G78" s="1061">
        <f t="shared" si="82"/>
        <v>137846</v>
      </c>
      <c r="H78" s="1061">
        <f t="shared" si="82"/>
        <v>167470</v>
      </c>
      <c r="I78" s="1061">
        <f t="shared" si="82"/>
        <v>141816</v>
      </c>
      <c r="J78" s="1061">
        <f t="shared" si="82"/>
        <v>65606</v>
      </c>
      <c r="K78" s="1061">
        <f t="shared" si="82"/>
        <v>99988</v>
      </c>
      <c r="L78" s="1061">
        <f t="shared" si="82"/>
        <v>129858</v>
      </c>
      <c r="M78" s="1061">
        <f t="shared" si="82"/>
        <v>122851</v>
      </c>
      <c r="N78" s="1061">
        <f t="shared" si="18"/>
        <v>1598711</v>
      </c>
      <c r="O78" s="1061">
        <f t="shared" si="75"/>
        <v>1433561</v>
      </c>
      <c r="P78" s="1084">
        <f>ROUND(T78+X78+AB78+AF78+AJ78+AN78+AR78+AV78+AZ78+BD78,0)</f>
        <v>165150</v>
      </c>
      <c r="Q78" s="1062">
        <f t="shared" si="79"/>
        <v>101.59245689502441</v>
      </c>
      <c r="R78" s="1061">
        <f>S78+T78</f>
        <v>297618</v>
      </c>
      <c r="S78" s="1061">
        <f>S80+S81+S82</f>
        <v>269923</v>
      </c>
      <c r="T78" s="1061">
        <v>27695</v>
      </c>
      <c r="U78" s="1062">
        <f t="shared" si="51"/>
        <v>99.384377473812108</v>
      </c>
      <c r="V78" s="1061">
        <f t="shared" si="38"/>
        <v>177041</v>
      </c>
      <c r="W78" s="1061">
        <f>W80+W81+W82</f>
        <v>158357</v>
      </c>
      <c r="X78" s="1061">
        <v>18684</v>
      </c>
      <c r="Y78" s="1062">
        <f>W78/E78*100</f>
        <v>101.22021374514216</v>
      </c>
      <c r="Z78" s="1061">
        <f t="shared" si="20"/>
        <v>135475</v>
      </c>
      <c r="AA78" s="1061">
        <f>AA80+AA81+AA82</f>
        <v>118828</v>
      </c>
      <c r="AB78" s="1061">
        <v>16647</v>
      </c>
      <c r="AC78" s="1062">
        <f>AA78/F78*100</f>
        <v>101.03390810461516</v>
      </c>
      <c r="AD78" s="1061">
        <f t="shared" si="21"/>
        <v>154906</v>
      </c>
      <c r="AE78" s="1061">
        <f>AE80+AE81+AE82</f>
        <v>138712</v>
      </c>
      <c r="AF78" s="1061">
        <v>16194</v>
      </c>
      <c r="AG78" s="1062">
        <f>AE78/G78*100</f>
        <v>100.62823730830057</v>
      </c>
      <c r="AH78" s="1061">
        <f t="shared" si="22"/>
        <v>188990</v>
      </c>
      <c r="AI78" s="1061">
        <f>AI80+AI81+AI82</f>
        <v>169818</v>
      </c>
      <c r="AJ78" s="1061">
        <v>19172</v>
      </c>
      <c r="AK78" s="1062">
        <f>AI78/H78*100</f>
        <v>101.4020421568042</v>
      </c>
      <c r="AL78" s="1061">
        <f t="shared" si="23"/>
        <v>160797</v>
      </c>
      <c r="AM78" s="1061">
        <f>AM80+AM81+AM82</f>
        <v>142433</v>
      </c>
      <c r="AN78" s="1061">
        <v>18364</v>
      </c>
      <c r="AO78" s="1062">
        <f>AM78/I78*100</f>
        <v>100.43507079596097</v>
      </c>
      <c r="AP78" s="1061">
        <f t="shared" si="24"/>
        <v>77040</v>
      </c>
      <c r="AQ78" s="1061">
        <f>AQ80+AQ81+AQ82</f>
        <v>71026</v>
      </c>
      <c r="AR78" s="1061">
        <v>6014</v>
      </c>
      <c r="AS78" s="1062">
        <f>AQ78/J78*100</f>
        <v>108.26143950248452</v>
      </c>
      <c r="AT78" s="1061">
        <f t="shared" si="25"/>
        <v>115597</v>
      </c>
      <c r="AU78" s="1061">
        <f>AU80+AU81+AU82</f>
        <v>103621</v>
      </c>
      <c r="AV78" s="1061">
        <v>11976</v>
      </c>
      <c r="AW78" s="1062">
        <f>AU78/K78*100</f>
        <v>103.63343601232148</v>
      </c>
      <c r="AX78" s="1061">
        <f t="shared" si="26"/>
        <v>151439</v>
      </c>
      <c r="AY78" s="1061">
        <f>AY80+AY81+AY82</f>
        <v>137104</v>
      </c>
      <c r="AZ78" s="1061">
        <v>14335</v>
      </c>
      <c r="BA78" s="1062">
        <f t="shared" si="80"/>
        <v>105.57994116650495</v>
      </c>
      <c r="BB78" s="1061">
        <f t="shared" si="27"/>
        <v>139808</v>
      </c>
      <c r="BC78" s="1061">
        <f>BC80+BC81+BC82</f>
        <v>123739</v>
      </c>
      <c r="BD78" s="1061">
        <v>16069</v>
      </c>
      <c r="BE78" s="1062">
        <f>BC78/M78*100</f>
        <v>100.72282683901636</v>
      </c>
      <c r="BF78" s="1063">
        <f t="shared" si="81"/>
        <v>22471</v>
      </c>
      <c r="BG78" s="1063">
        <f t="shared" si="49"/>
        <v>1433561</v>
      </c>
      <c r="BH78" s="1063">
        <f t="shared" si="50"/>
        <v>0</v>
      </c>
    </row>
    <row r="79" spans="1:60" s="1054" customFormat="1" ht="27.6">
      <c r="A79" s="1049"/>
      <c r="B79" s="1069" t="s">
        <v>1352</v>
      </c>
      <c r="C79" s="1051">
        <f t="shared" si="52"/>
        <v>11700</v>
      </c>
      <c r="D79" s="1051">
        <v>1500</v>
      </c>
      <c r="E79" s="1051">
        <v>1500</v>
      </c>
      <c r="F79" s="1051">
        <v>1500</v>
      </c>
      <c r="G79" s="1051">
        <v>1500</v>
      </c>
      <c r="H79" s="1051">
        <v>1000</v>
      </c>
      <c r="I79" s="1051">
        <v>1000</v>
      </c>
      <c r="J79" s="1051">
        <v>700</v>
      </c>
      <c r="K79" s="1051">
        <v>1000</v>
      </c>
      <c r="L79" s="1051">
        <v>1000</v>
      </c>
      <c r="M79" s="1051">
        <v>1000</v>
      </c>
      <c r="N79" s="1051">
        <f t="shared" si="18"/>
        <v>11700</v>
      </c>
      <c r="O79" s="1051">
        <f t="shared" si="75"/>
        <v>11700</v>
      </c>
      <c r="P79" s="1051"/>
      <c r="Q79" s="1095">
        <f t="shared" si="79"/>
        <v>100</v>
      </c>
      <c r="R79" s="1051">
        <f t="shared" si="19"/>
        <v>1500</v>
      </c>
      <c r="S79" s="1051">
        <f>D79</f>
        <v>1500</v>
      </c>
      <c r="T79" s="1051"/>
      <c r="U79" s="1095">
        <f t="shared" si="51"/>
        <v>100</v>
      </c>
      <c r="V79" s="1051">
        <f t="shared" si="38"/>
        <v>1500</v>
      </c>
      <c r="W79" s="1051">
        <f>E79</f>
        <v>1500</v>
      </c>
      <c r="X79" s="1051"/>
      <c r="Y79" s="1095">
        <f>W79/E79*100</f>
        <v>100</v>
      </c>
      <c r="Z79" s="1051">
        <f t="shared" si="20"/>
        <v>1500</v>
      </c>
      <c r="AA79" s="1051">
        <f>F79</f>
        <v>1500</v>
      </c>
      <c r="AB79" s="1051"/>
      <c r="AC79" s="1095">
        <f>AA79/F79*100</f>
        <v>100</v>
      </c>
      <c r="AD79" s="1051">
        <f t="shared" si="21"/>
        <v>1500</v>
      </c>
      <c r="AE79" s="1051">
        <f>G79</f>
        <v>1500</v>
      </c>
      <c r="AF79" s="1051"/>
      <c r="AG79" s="1095">
        <f>AE79/G79*100</f>
        <v>100</v>
      </c>
      <c r="AH79" s="1051">
        <f t="shared" si="22"/>
        <v>1000</v>
      </c>
      <c r="AI79" s="1051">
        <f>H79</f>
        <v>1000</v>
      </c>
      <c r="AJ79" s="1051"/>
      <c r="AK79" s="1095">
        <f>AI79/H79*100</f>
        <v>100</v>
      </c>
      <c r="AL79" s="1051">
        <f t="shared" si="23"/>
        <v>1000</v>
      </c>
      <c r="AM79" s="1051">
        <f>I79</f>
        <v>1000</v>
      </c>
      <c r="AN79" s="1051"/>
      <c r="AO79" s="1095">
        <f>AM79/I79*100</f>
        <v>100</v>
      </c>
      <c r="AP79" s="1051">
        <f t="shared" si="24"/>
        <v>700</v>
      </c>
      <c r="AQ79" s="1051">
        <f>J79</f>
        <v>700</v>
      </c>
      <c r="AR79" s="1051"/>
      <c r="AS79" s="1095">
        <f>AQ79/J79*100</f>
        <v>100</v>
      </c>
      <c r="AT79" s="1051">
        <f t="shared" si="25"/>
        <v>1000</v>
      </c>
      <c r="AU79" s="1051">
        <f>K79</f>
        <v>1000</v>
      </c>
      <c r="AV79" s="1051"/>
      <c r="AW79" s="1095">
        <f>AU79/K79*100</f>
        <v>100</v>
      </c>
      <c r="AX79" s="1051">
        <f t="shared" si="26"/>
        <v>1000</v>
      </c>
      <c r="AY79" s="1051">
        <f>L79</f>
        <v>1000</v>
      </c>
      <c r="AZ79" s="1051"/>
      <c r="BA79" s="1095">
        <f t="shared" si="80"/>
        <v>100</v>
      </c>
      <c r="BB79" s="1051">
        <f t="shared" si="27"/>
        <v>1000</v>
      </c>
      <c r="BC79" s="1051">
        <f>M79</f>
        <v>1000</v>
      </c>
      <c r="BD79" s="1051"/>
      <c r="BE79" s="1095">
        <f>BC79/M79*100</f>
        <v>100</v>
      </c>
      <c r="BF79" s="512">
        <f t="shared" si="81"/>
        <v>0</v>
      </c>
      <c r="BG79" s="512">
        <f t="shared" si="49"/>
        <v>11700</v>
      </c>
      <c r="BH79" s="512">
        <f t="shared" si="50"/>
        <v>0</v>
      </c>
    </row>
    <row r="80" spans="1:60">
      <c r="A80" s="1035" t="s">
        <v>45</v>
      </c>
      <c r="B80" s="1080" t="s">
        <v>57</v>
      </c>
      <c r="C80" s="1037">
        <f t="shared" si="52"/>
        <v>1375774</v>
      </c>
      <c r="D80" s="1037">
        <v>267932</v>
      </c>
      <c r="E80" s="1037">
        <v>151251</v>
      </c>
      <c r="F80" s="1037">
        <v>113758</v>
      </c>
      <c r="G80" s="1037">
        <v>136604</v>
      </c>
      <c r="H80" s="1037">
        <v>162320</v>
      </c>
      <c r="I80" s="1037">
        <v>133450</v>
      </c>
      <c r="J80" s="1037">
        <v>64904</v>
      </c>
      <c r="K80" s="1037">
        <v>96504</v>
      </c>
      <c r="L80" s="1037">
        <v>127952</v>
      </c>
      <c r="M80" s="1037">
        <v>121099</v>
      </c>
      <c r="N80" s="1037">
        <f t="shared" si="18"/>
        <v>1398245</v>
      </c>
      <c r="O80" s="1037">
        <f t="shared" si="75"/>
        <v>1398245</v>
      </c>
      <c r="P80" s="1037"/>
      <c r="Q80" s="1041">
        <f t="shared" si="79"/>
        <v>101.63333512626347</v>
      </c>
      <c r="R80" s="1037">
        <f t="shared" si="19"/>
        <v>266260</v>
      </c>
      <c r="S80" s="1037">
        <f>D80-938+19-1+3357-69+1-1515+31-1+82-2-1796+37-1-757+15+4-1+10-54+1+54-150+2</f>
        <v>266260</v>
      </c>
      <c r="T80" s="1037"/>
      <c r="U80" s="1041">
        <f t="shared" si="51"/>
        <v>99.37596106474777</v>
      </c>
      <c r="V80" s="1037">
        <f t="shared" si="38"/>
        <v>153160</v>
      </c>
      <c r="W80" s="1037">
        <f>E80-4546+93-2+7411-151+3-1114+23-1+168-4+1+235-5+2-208+4</f>
        <v>153160</v>
      </c>
      <c r="X80" s="1037"/>
      <c r="Y80" s="1041">
        <f>W80/E80*100</f>
        <v>101.26214041560056</v>
      </c>
      <c r="Z80" s="1037">
        <f t="shared" si="20"/>
        <v>114974</v>
      </c>
      <c r="AA80" s="1037">
        <f>F80+4044+82-166+3-1985+40-1-756+15-30+1-153+3-1+2+120-2</f>
        <v>114974</v>
      </c>
      <c r="AB80" s="1037"/>
      <c r="AC80" s="1041">
        <f>AA80/F80*100</f>
        <v>101.06893581110779</v>
      </c>
      <c r="AD80" s="1037">
        <f t="shared" si="21"/>
        <v>137470</v>
      </c>
      <c r="AE80" s="1037">
        <f>G80+343-7+1+1161-24+1-775+16-1+55-1+150-3+2-53+1</f>
        <v>137470</v>
      </c>
      <c r="AF80" s="1037"/>
      <c r="AG80" s="1041">
        <f>AE80/G80*100</f>
        <v>100.63394922549853</v>
      </c>
      <c r="AH80" s="1037">
        <f t="shared" si="22"/>
        <v>164668</v>
      </c>
      <c r="AI80" s="1037">
        <f>H80+5154-105+2-2006+41-1-810+17-18-50+1+2+124-3</f>
        <v>164668</v>
      </c>
      <c r="AJ80" s="1037"/>
      <c r="AK80" s="1041">
        <f>AI80/H80*100</f>
        <v>101.44652538196155</v>
      </c>
      <c r="AL80" s="1037">
        <f t="shared" si="23"/>
        <v>134067</v>
      </c>
      <c r="AM80" s="1037">
        <f>I80+566-12+983-20-899+19-1+50-1-30+1-2+2-40+1</f>
        <v>134067</v>
      </c>
      <c r="AN80" s="1037"/>
      <c r="AO80" s="1041">
        <f>AM80/I80*100</f>
        <v>100.46234544773323</v>
      </c>
      <c r="AP80" s="1037">
        <f t="shared" si="24"/>
        <v>70324</v>
      </c>
      <c r="AQ80" s="1037">
        <f>J80+6107-125+3-910+18-103+2-102+2-12+1+550-12+1</f>
        <v>70324</v>
      </c>
      <c r="AR80" s="1037"/>
      <c r="AS80" s="1041">
        <f>AQ80/J80*100</f>
        <v>108.35079502033773</v>
      </c>
      <c r="AT80" s="1037">
        <f t="shared" si="25"/>
        <v>100137</v>
      </c>
      <c r="AU80" s="1037">
        <f>K80+5519-113+2-1469+30-1-479+10-1-74+1-30+1-1+1+242-5</f>
        <v>100137</v>
      </c>
      <c r="AV80" s="1037"/>
      <c r="AW80" s="1041">
        <f>AU80/K80*100</f>
        <v>103.76461079333498</v>
      </c>
      <c r="AX80" s="1037">
        <f t="shared" si="26"/>
        <v>135198</v>
      </c>
      <c r="AY80" s="1037">
        <f>L80+9371-191+7-3-1923+39-412+9-202+4+67-1+1+490-10</f>
        <v>135198</v>
      </c>
      <c r="AZ80" s="1037"/>
      <c r="BA80" s="1041">
        <f t="shared" si="80"/>
        <v>105.66306114793048</v>
      </c>
      <c r="BB80" s="1037">
        <f t="shared" si="27"/>
        <v>121987</v>
      </c>
      <c r="BC80" s="1037">
        <f>M80+3089-63+2-1583+32-658+13-5-17+1+1+78-2</f>
        <v>121987</v>
      </c>
      <c r="BD80" s="1037"/>
      <c r="BE80" s="1041">
        <f>BC80/M80*100</f>
        <v>100.73328433760807</v>
      </c>
      <c r="BF80" s="512">
        <f t="shared" si="81"/>
        <v>22471</v>
      </c>
      <c r="BG80" s="512">
        <f t="shared" si="49"/>
        <v>1398245</v>
      </c>
      <c r="BH80" s="512">
        <f t="shared" si="50"/>
        <v>0</v>
      </c>
    </row>
    <row r="81" spans="1:60">
      <c r="A81" s="1035" t="s">
        <v>47</v>
      </c>
      <c r="B81" s="1080" t="s">
        <v>58</v>
      </c>
      <c r="C81" s="1037">
        <f t="shared" si="52"/>
        <v>0</v>
      </c>
      <c r="D81" s="1037">
        <v>0</v>
      </c>
      <c r="E81" s="1037">
        <v>0</v>
      </c>
      <c r="F81" s="1037">
        <v>0</v>
      </c>
      <c r="G81" s="1037">
        <v>0</v>
      </c>
      <c r="H81" s="1037">
        <v>0</v>
      </c>
      <c r="I81" s="1037">
        <v>0</v>
      </c>
      <c r="J81" s="1037">
        <v>0</v>
      </c>
      <c r="K81" s="1037">
        <v>0</v>
      </c>
      <c r="L81" s="1037"/>
      <c r="M81" s="1037">
        <v>0</v>
      </c>
      <c r="N81" s="1037">
        <f t="shared" si="18"/>
        <v>0</v>
      </c>
      <c r="O81" s="1037">
        <f t="shared" si="75"/>
        <v>0</v>
      </c>
      <c r="P81" s="1037"/>
      <c r="Q81" s="1041"/>
      <c r="R81" s="1037">
        <f t="shared" si="19"/>
        <v>0</v>
      </c>
      <c r="S81" s="1037"/>
      <c r="T81" s="1037"/>
      <c r="U81" s="1041"/>
      <c r="V81" s="1037">
        <f t="shared" si="38"/>
        <v>0</v>
      </c>
      <c r="W81" s="1037"/>
      <c r="X81" s="1037"/>
      <c r="Y81" s="1041"/>
      <c r="Z81" s="1037">
        <f t="shared" si="20"/>
        <v>0</v>
      </c>
      <c r="AA81" s="1037"/>
      <c r="AB81" s="1037"/>
      <c r="AC81" s="1041"/>
      <c r="AD81" s="1037">
        <f t="shared" si="21"/>
        <v>0</v>
      </c>
      <c r="AE81" s="1037"/>
      <c r="AF81" s="1037"/>
      <c r="AG81" s="1041"/>
      <c r="AH81" s="1037">
        <f t="shared" si="22"/>
        <v>0</v>
      </c>
      <c r="AI81" s="1037"/>
      <c r="AJ81" s="1037"/>
      <c r="AK81" s="1041"/>
      <c r="AL81" s="1037">
        <f t="shared" si="23"/>
        <v>0</v>
      </c>
      <c r="AM81" s="1037"/>
      <c r="AN81" s="1037"/>
      <c r="AO81" s="1041"/>
      <c r="AP81" s="1037">
        <f t="shared" si="24"/>
        <v>0</v>
      </c>
      <c r="AQ81" s="1037"/>
      <c r="AR81" s="1037"/>
      <c r="AS81" s="1041"/>
      <c r="AT81" s="1037">
        <f t="shared" si="25"/>
        <v>0</v>
      </c>
      <c r="AU81" s="1037"/>
      <c r="AV81" s="1037"/>
      <c r="AW81" s="1041"/>
      <c r="AX81" s="1037">
        <f t="shared" si="26"/>
        <v>0</v>
      </c>
      <c r="AY81" s="1037">
        <f>L81</f>
        <v>0</v>
      </c>
      <c r="AZ81" s="1037"/>
      <c r="BA81" s="1041" t="e">
        <f t="shared" si="80"/>
        <v>#DIV/0!</v>
      </c>
      <c r="BB81" s="1037">
        <f t="shared" si="27"/>
        <v>0</v>
      </c>
      <c r="BC81" s="1037"/>
      <c r="BD81" s="1037"/>
      <c r="BE81" s="1041"/>
      <c r="BF81" s="512">
        <f t="shared" si="81"/>
        <v>0</v>
      </c>
      <c r="BG81" s="512">
        <f t="shared" si="49"/>
        <v>0</v>
      </c>
      <c r="BH81" s="512">
        <f t="shared" si="50"/>
        <v>0</v>
      </c>
    </row>
    <row r="82" spans="1:60">
      <c r="A82" s="1035" t="s">
        <v>49</v>
      </c>
      <c r="B82" s="1080" t="s">
        <v>1545</v>
      </c>
      <c r="C82" s="1037">
        <f t="shared" si="52"/>
        <v>35316</v>
      </c>
      <c r="D82" s="1037">
        <v>3663</v>
      </c>
      <c r="E82" s="1037">
        <v>5197</v>
      </c>
      <c r="F82" s="1037">
        <v>3854</v>
      </c>
      <c r="G82" s="1037">
        <v>1242</v>
      </c>
      <c r="H82" s="1037">
        <v>5150</v>
      </c>
      <c r="I82" s="1037">
        <v>8366</v>
      </c>
      <c r="J82" s="1037">
        <v>702</v>
      </c>
      <c r="K82" s="1037">
        <v>3484</v>
      </c>
      <c r="L82" s="1037">
        <v>1906</v>
      </c>
      <c r="M82" s="1037">
        <v>1752</v>
      </c>
      <c r="N82" s="1037">
        <f t="shared" si="18"/>
        <v>35316</v>
      </c>
      <c r="O82" s="1037">
        <f>O83+O84+O85+O86</f>
        <v>35316</v>
      </c>
      <c r="P82" s="1037"/>
      <c r="Q82" s="1037">
        <f t="shared" ref="Q82:BC82" si="83">Q83+Q84+Q85+Q86</f>
        <v>0</v>
      </c>
      <c r="R82" s="1037">
        <f t="shared" si="19"/>
        <v>3663</v>
      </c>
      <c r="S82" s="1037">
        <f t="shared" si="83"/>
        <v>3663</v>
      </c>
      <c r="T82" s="1037"/>
      <c r="U82" s="1037">
        <f t="shared" si="83"/>
        <v>0</v>
      </c>
      <c r="V82" s="1037">
        <f t="shared" si="38"/>
        <v>5197</v>
      </c>
      <c r="W82" s="1037">
        <f t="shared" si="83"/>
        <v>5197</v>
      </c>
      <c r="X82" s="1037"/>
      <c r="Y82" s="1037">
        <f t="shared" si="83"/>
        <v>0</v>
      </c>
      <c r="Z82" s="1037">
        <f t="shared" si="20"/>
        <v>3854</v>
      </c>
      <c r="AA82" s="1037">
        <f t="shared" si="83"/>
        <v>3854</v>
      </c>
      <c r="AB82" s="1037"/>
      <c r="AC82" s="1037">
        <f t="shared" si="83"/>
        <v>0</v>
      </c>
      <c r="AD82" s="1037">
        <f t="shared" si="21"/>
        <v>1242</v>
      </c>
      <c r="AE82" s="1037">
        <f t="shared" si="83"/>
        <v>1242</v>
      </c>
      <c r="AF82" s="1037"/>
      <c r="AG82" s="1037">
        <f t="shared" si="83"/>
        <v>0</v>
      </c>
      <c r="AH82" s="1037">
        <f t="shared" si="22"/>
        <v>5150</v>
      </c>
      <c r="AI82" s="1037">
        <f t="shared" si="83"/>
        <v>5150</v>
      </c>
      <c r="AJ82" s="1037"/>
      <c r="AK82" s="1037">
        <f t="shared" si="83"/>
        <v>0</v>
      </c>
      <c r="AL82" s="1037">
        <f t="shared" si="23"/>
        <v>8366</v>
      </c>
      <c r="AM82" s="1037">
        <f t="shared" si="83"/>
        <v>8366</v>
      </c>
      <c r="AN82" s="1037"/>
      <c r="AO82" s="1037">
        <f t="shared" si="83"/>
        <v>0</v>
      </c>
      <c r="AP82" s="1037">
        <f t="shared" si="24"/>
        <v>702</v>
      </c>
      <c r="AQ82" s="1037">
        <f t="shared" si="83"/>
        <v>702</v>
      </c>
      <c r="AR82" s="1037"/>
      <c r="AS82" s="1037">
        <f t="shared" si="83"/>
        <v>0</v>
      </c>
      <c r="AT82" s="1037">
        <f t="shared" si="25"/>
        <v>3484</v>
      </c>
      <c r="AU82" s="1037">
        <f t="shared" si="83"/>
        <v>3484</v>
      </c>
      <c r="AV82" s="1037"/>
      <c r="AW82" s="1037">
        <f t="shared" si="83"/>
        <v>0</v>
      </c>
      <c r="AX82" s="1037">
        <f t="shared" si="26"/>
        <v>1906</v>
      </c>
      <c r="AY82" s="1037">
        <f t="shared" si="83"/>
        <v>1906</v>
      </c>
      <c r="AZ82" s="1037"/>
      <c r="BA82" s="1037">
        <f t="shared" si="83"/>
        <v>0</v>
      </c>
      <c r="BB82" s="1037">
        <f t="shared" si="27"/>
        <v>1752</v>
      </c>
      <c r="BC82" s="1037">
        <f t="shared" si="83"/>
        <v>1752</v>
      </c>
      <c r="BD82" s="1037"/>
      <c r="BE82" s="1041"/>
      <c r="BF82" s="512">
        <f t="shared" si="81"/>
        <v>0</v>
      </c>
      <c r="BG82" s="512">
        <f t="shared" si="49"/>
        <v>35316</v>
      </c>
      <c r="BH82" s="512">
        <f t="shared" si="50"/>
        <v>0</v>
      </c>
    </row>
    <row r="83" spans="1:60">
      <c r="A83" s="1090" t="s">
        <v>23</v>
      </c>
      <c r="B83" s="1089" t="s">
        <v>167</v>
      </c>
      <c r="C83" s="1037"/>
      <c r="D83" s="1037"/>
      <c r="E83" s="1037"/>
      <c r="F83" s="1037"/>
      <c r="G83" s="1037"/>
      <c r="H83" s="1037"/>
      <c r="I83" s="1037"/>
      <c r="J83" s="1037"/>
      <c r="K83" s="1037"/>
      <c r="L83" s="1037"/>
      <c r="M83" s="1037"/>
      <c r="N83" s="1037">
        <f t="shared" si="18"/>
        <v>1932</v>
      </c>
      <c r="O83" s="1091">
        <v>1932</v>
      </c>
      <c r="P83" s="1091"/>
      <c r="Q83" s="1092"/>
      <c r="R83" s="1091">
        <f t="shared" si="19"/>
        <v>1139</v>
      </c>
      <c r="S83" s="1091">
        <v>1139</v>
      </c>
      <c r="T83" s="1091"/>
      <c r="U83" s="1092"/>
      <c r="V83" s="1091">
        <f t="shared" si="38"/>
        <v>115</v>
      </c>
      <c r="W83" s="1091">
        <v>115</v>
      </c>
      <c r="X83" s="1091"/>
      <c r="Y83" s="1092"/>
      <c r="Z83" s="1091">
        <f t="shared" si="20"/>
        <v>90</v>
      </c>
      <c r="AA83" s="1091">
        <v>90</v>
      </c>
      <c r="AB83" s="1091"/>
      <c r="AC83" s="1092"/>
      <c r="AD83" s="1091">
        <f t="shared" si="21"/>
        <v>108</v>
      </c>
      <c r="AE83" s="1091">
        <v>108</v>
      </c>
      <c r="AF83" s="1091"/>
      <c r="AG83" s="1092"/>
      <c r="AH83" s="1091">
        <f t="shared" si="22"/>
        <v>208</v>
      </c>
      <c r="AI83" s="1091">
        <v>208</v>
      </c>
      <c r="AJ83" s="1091"/>
      <c r="AK83" s="1092"/>
      <c r="AL83" s="1091">
        <f t="shared" si="23"/>
        <v>139</v>
      </c>
      <c r="AM83" s="1091">
        <v>139</v>
      </c>
      <c r="AN83" s="1091"/>
      <c r="AO83" s="1092"/>
      <c r="AP83" s="1091">
        <f t="shared" si="24"/>
        <v>56</v>
      </c>
      <c r="AQ83" s="1091">
        <v>56</v>
      </c>
      <c r="AR83" s="1091"/>
      <c r="AS83" s="1092"/>
      <c r="AT83" s="1091">
        <f t="shared" si="25"/>
        <v>28</v>
      </c>
      <c r="AU83" s="1091">
        <v>28</v>
      </c>
      <c r="AV83" s="1091"/>
      <c r="AW83" s="1092"/>
      <c r="AX83" s="1091">
        <f t="shared" si="26"/>
        <v>44</v>
      </c>
      <c r="AY83" s="1091">
        <v>44</v>
      </c>
      <c r="AZ83" s="1091"/>
      <c r="BA83" s="1092"/>
      <c r="BB83" s="1091">
        <f t="shared" si="27"/>
        <v>5</v>
      </c>
      <c r="BC83" s="1091">
        <v>5</v>
      </c>
      <c r="BD83" s="1091"/>
      <c r="BE83" s="1092"/>
      <c r="BF83" s="512">
        <f t="shared" si="81"/>
        <v>1932</v>
      </c>
      <c r="BG83" s="512">
        <f t="shared" si="49"/>
        <v>1932</v>
      </c>
      <c r="BH83" s="512">
        <f t="shared" si="50"/>
        <v>0</v>
      </c>
    </row>
    <row r="84" spans="1:60" ht="41.4">
      <c r="A84" s="1090" t="s">
        <v>23</v>
      </c>
      <c r="B84" s="1089" t="s">
        <v>168</v>
      </c>
      <c r="C84" s="1037"/>
      <c r="D84" s="1037"/>
      <c r="E84" s="1037"/>
      <c r="F84" s="1037"/>
      <c r="G84" s="1037"/>
      <c r="H84" s="1037"/>
      <c r="I84" s="1037"/>
      <c r="J84" s="1037"/>
      <c r="K84" s="1037"/>
      <c r="L84" s="1037"/>
      <c r="M84" s="1037"/>
      <c r="N84" s="1037">
        <f t="shared" si="18"/>
        <v>530</v>
      </c>
      <c r="O84" s="1091">
        <v>530</v>
      </c>
      <c r="P84" s="1091"/>
      <c r="Q84" s="1092"/>
      <c r="R84" s="1091">
        <f t="shared" si="19"/>
        <v>279</v>
      </c>
      <c r="S84" s="1091">
        <v>279</v>
      </c>
      <c r="T84" s="1091"/>
      <c r="U84" s="1092"/>
      <c r="V84" s="1091">
        <f t="shared" si="38"/>
        <v>0</v>
      </c>
      <c r="W84" s="1091"/>
      <c r="X84" s="1091"/>
      <c r="Y84" s="1092"/>
      <c r="Z84" s="1091">
        <f t="shared" si="20"/>
        <v>55</v>
      </c>
      <c r="AA84" s="1091">
        <v>55</v>
      </c>
      <c r="AB84" s="1091"/>
      <c r="AC84" s="1092"/>
      <c r="AD84" s="1091">
        <f t="shared" si="21"/>
        <v>97</v>
      </c>
      <c r="AE84" s="1091">
        <v>97</v>
      </c>
      <c r="AF84" s="1091"/>
      <c r="AG84" s="1092"/>
      <c r="AH84" s="1091">
        <f t="shared" si="22"/>
        <v>59</v>
      </c>
      <c r="AI84" s="1091">
        <v>59</v>
      </c>
      <c r="AJ84" s="1091"/>
      <c r="AK84" s="1092"/>
      <c r="AL84" s="1091">
        <f t="shared" si="23"/>
        <v>6</v>
      </c>
      <c r="AM84" s="1091">
        <v>6</v>
      </c>
      <c r="AN84" s="1091"/>
      <c r="AO84" s="1092"/>
      <c r="AP84" s="1091">
        <f t="shared" si="24"/>
        <v>6</v>
      </c>
      <c r="AQ84" s="1091">
        <v>6</v>
      </c>
      <c r="AR84" s="1091"/>
      <c r="AS84" s="1092"/>
      <c r="AT84" s="1091">
        <f t="shared" si="25"/>
        <v>2</v>
      </c>
      <c r="AU84" s="1091">
        <v>2</v>
      </c>
      <c r="AV84" s="1091"/>
      <c r="AW84" s="1092"/>
      <c r="AX84" s="1091">
        <f t="shared" si="26"/>
        <v>31</v>
      </c>
      <c r="AY84" s="1091">
        <v>31</v>
      </c>
      <c r="AZ84" s="1091"/>
      <c r="BA84" s="1092"/>
      <c r="BB84" s="1091">
        <f t="shared" si="27"/>
        <v>-5</v>
      </c>
      <c r="BC84" s="1091">
        <v>-5</v>
      </c>
      <c r="BD84" s="1091"/>
      <c r="BE84" s="1092"/>
      <c r="BF84" s="512"/>
      <c r="BG84" s="512">
        <f t="shared" si="49"/>
        <v>530</v>
      </c>
      <c r="BH84" s="512">
        <f t="shared" si="50"/>
        <v>0</v>
      </c>
    </row>
    <row r="85" spans="1:60" ht="41.4">
      <c r="A85" s="1090" t="s">
        <v>23</v>
      </c>
      <c r="B85" s="1089" t="s">
        <v>1556</v>
      </c>
      <c r="C85" s="1037"/>
      <c r="D85" s="1037"/>
      <c r="E85" s="1037"/>
      <c r="F85" s="1037"/>
      <c r="G85" s="1037"/>
      <c r="H85" s="1037"/>
      <c r="I85" s="1037"/>
      <c r="J85" s="1037"/>
      <c r="K85" s="1037"/>
      <c r="L85" s="1037"/>
      <c r="M85" s="1037"/>
      <c r="N85" s="1037">
        <f t="shared" si="18"/>
        <v>30025</v>
      </c>
      <c r="O85" s="1091">
        <v>30025</v>
      </c>
      <c r="P85" s="1091"/>
      <c r="Q85" s="1092"/>
      <c r="R85" s="1091">
        <f t="shared" si="19"/>
        <v>2089</v>
      </c>
      <c r="S85" s="1091">
        <v>2089</v>
      </c>
      <c r="T85" s="1091"/>
      <c r="U85" s="1092"/>
      <c r="V85" s="1091">
        <f t="shared" si="38"/>
        <v>4629</v>
      </c>
      <c r="W85" s="1091">
        <v>4629</v>
      </c>
      <c r="X85" s="1091"/>
      <c r="Y85" s="1092"/>
      <c r="Z85" s="1091">
        <f t="shared" si="20"/>
        <v>3069</v>
      </c>
      <c r="AA85" s="1091">
        <v>3069</v>
      </c>
      <c r="AB85" s="1091"/>
      <c r="AC85" s="1092"/>
      <c r="AD85" s="1091">
        <f t="shared" si="21"/>
        <v>802</v>
      </c>
      <c r="AE85" s="1091">
        <v>802</v>
      </c>
      <c r="AF85" s="1091"/>
      <c r="AG85" s="1092"/>
      <c r="AH85" s="1091">
        <f t="shared" si="22"/>
        <v>5846</v>
      </c>
      <c r="AI85" s="1091">
        <v>5846</v>
      </c>
      <c r="AJ85" s="1091"/>
      <c r="AK85" s="1092"/>
      <c r="AL85" s="1091">
        <f t="shared" si="23"/>
        <v>8252</v>
      </c>
      <c r="AM85" s="1091">
        <v>8252</v>
      </c>
      <c r="AN85" s="1091"/>
      <c r="AO85" s="1092"/>
      <c r="AP85" s="1091">
        <f t="shared" si="24"/>
        <v>150</v>
      </c>
      <c r="AQ85" s="1091">
        <v>150</v>
      </c>
      <c r="AR85" s="1091"/>
      <c r="AS85" s="1092"/>
      <c r="AT85" s="1091">
        <f t="shared" si="25"/>
        <v>3220</v>
      </c>
      <c r="AU85" s="1091">
        <v>3220</v>
      </c>
      <c r="AV85" s="1091"/>
      <c r="AW85" s="1092"/>
      <c r="AX85" s="1091">
        <f t="shared" si="26"/>
        <v>669</v>
      </c>
      <c r="AY85" s="1091">
        <v>669</v>
      </c>
      <c r="AZ85" s="1091"/>
      <c r="BA85" s="1092"/>
      <c r="BB85" s="1091">
        <f t="shared" si="27"/>
        <v>1299</v>
      </c>
      <c r="BC85" s="1091">
        <v>1299</v>
      </c>
      <c r="BD85" s="1091"/>
      <c r="BE85" s="1092"/>
      <c r="BF85" s="512"/>
      <c r="BG85" s="512">
        <f t="shared" si="49"/>
        <v>30025</v>
      </c>
      <c r="BH85" s="512">
        <f t="shared" si="50"/>
        <v>0</v>
      </c>
    </row>
    <row r="86" spans="1:60" ht="27.6">
      <c r="A86" s="1090" t="s">
        <v>23</v>
      </c>
      <c r="B86" s="1089" t="s">
        <v>1557</v>
      </c>
      <c r="C86" s="1037"/>
      <c r="D86" s="1037"/>
      <c r="E86" s="1037"/>
      <c r="F86" s="1037"/>
      <c r="G86" s="1037"/>
      <c r="H86" s="1037"/>
      <c r="I86" s="1037"/>
      <c r="J86" s="1037"/>
      <c r="K86" s="1037"/>
      <c r="L86" s="1037"/>
      <c r="M86" s="1037"/>
      <c r="N86" s="1037">
        <f t="shared" si="18"/>
        <v>2829</v>
      </c>
      <c r="O86" s="1091">
        <v>2829</v>
      </c>
      <c r="P86" s="1091"/>
      <c r="Q86" s="1092"/>
      <c r="R86" s="1091">
        <f t="shared" si="19"/>
        <v>156</v>
      </c>
      <c r="S86" s="1091">
        <v>156</v>
      </c>
      <c r="T86" s="1091"/>
      <c r="U86" s="1092"/>
      <c r="V86" s="1091">
        <f t="shared" si="38"/>
        <v>453</v>
      </c>
      <c r="W86" s="1091">
        <v>453</v>
      </c>
      <c r="X86" s="1091"/>
      <c r="Y86" s="1092"/>
      <c r="Z86" s="1091">
        <f t="shared" si="20"/>
        <v>640</v>
      </c>
      <c r="AA86" s="1091">
        <v>640</v>
      </c>
      <c r="AB86" s="1091"/>
      <c r="AC86" s="1092"/>
      <c r="AD86" s="1091">
        <f t="shared" si="21"/>
        <v>235</v>
      </c>
      <c r="AE86" s="1091">
        <v>235</v>
      </c>
      <c r="AF86" s="1091"/>
      <c r="AG86" s="1092"/>
      <c r="AH86" s="1091">
        <f t="shared" si="22"/>
        <v>-963</v>
      </c>
      <c r="AI86" s="1091">
        <v>-963</v>
      </c>
      <c r="AJ86" s="1091"/>
      <c r="AK86" s="1092"/>
      <c r="AL86" s="1091">
        <f t="shared" si="23"/>
        <v>-31</v>
      </c>
      <c r="AM86" s="1091">
        <v>-31</v>
      </c>
      <c r="AN86" s="1091"/>
      <c r="AO86" s="1092"/>
      <c r="AP86" s="1091">
        <f t="shared" si="24"/>
        <v>490</v>
      </c>
      <c r="AQ86" s="1091">
        <v>490</v>
      </c>
      <c r="AR86" s="1091"/>
      <c r="AS86" s="1092"/>
      <c r="AT86" s="1091">
        <f t="shared" si="25"/>
        <v>234</v>
      </c>
      <c r="AU86" s="1091">
        <v>234</v>
      </c>
      <c r="AV86" s="1091"/>
      <c r="AW86" s="1092"/>
      <c r="AX86" s="1091">
        <f t="shared" si="26"/>
        <v>1162</v>
      </c>
      <c r="AY86" s="1091">
        <v>1162</v>
      </c>
      <c r="AZ86" s="1091"/>
      <c r="BA86" s="1092"/>
      <c r="BB86" s="1091">
        <f t="shared" si="27"/>
        <v>453</v>
      </c>
      <c r="BC86" s="1091">
        <v>453</v>
      </c>
      <c r="BD86" s="1091"/>
      <c r="BE86" s="1092"/>
      <c r="BF86" s="512"/>
      <c r="BG86" s="512">
        <f t="shared" si="49"/>
        <v>2829</v>
      </c>
      <c r="BH86" s="512">
        <f t="shared" si="50"/>
        <v>0</v>
      </c>
    </row>
    <row r="87" spans="1:60" hidden="1" outlineLevel="1">
      <c r="A87" s="1035"/>
      <c r="B87" s="1080"/>
      <c r="C87" s="510"/>
      <c r="D87" s="510"/>
      <c r="E87" s="510"/>
      <c r="F87" s="510"/>
      <c r="G87" s="510"/>
      <c r="H87" s="510"/>
      <c r="I87" s="510"/>
      <c r="J87" s="510"/>
      <c r="K87" s="510"/>
      <c r="L87" s="510"/>
      <c r="M87" s="510"/>
      <c r="N87" s="510">
        <f t="shared" si="18"/>
        <v>0</v>
      </c>
      <c r="O87" s="510">
        <f>ROUND(S87+W87+AA87+AE87+AI87+AM87+AQ87+AU87+AY87+BC87,0)</f>
        <v>0</v>
      </c>
      <c r="P87" s="510"/>
      <c r="Q87" s="1041"/>
      <c r="R87" s="1037">
        <f t="shared" si="19"/>
        <v>0</v>
      </c>
      <c r="S87" s="1037"/>
      <c r="T87" s="1037"/>
      <c r="U87" s="1041"/>
      <c r="V87" s="1037">
        <f t="shared" si="38"/>
        <v>0</v>
      </c>
      <c r="W87" s="1037"/>
      <c r="X87" s="1037"/>
      <c r="Y87" s="1041"/>
      <c r="Z87" s="1037">
        <f t="shared" si="20"/>
        <v>0</v>
      </c>
      <c r="AA87" s="1037"/>
      <c r="AB87" s="1037"/>
      <c r="AC87" s="1041"/>
      <c r="AD87" s="1037">
        <f t="shared" si="21"/>
        <v>0</v>
      </c>
      <c r="AE87" s="1037"/>
      <c r="AF87" s="1037"/>
      <c r="AG87" s="1041"/>
      <c r="AH87" s="1037">
        <f t="shared" si="22"/>
        <v>0</v>
      </c>
      <c r="AI87" s="1037"/>
      <c r="AJ87" s="1037"/>
      <c r="AK87" s="1041"/>
      <c r="AL87" s="1037">
        <f t="shared" si="23"/>
        <v>0</v>
      </c>
      <c r="AM87" s="1037"/>
      <c r="AN87" s="1037"/>
      <c r="AO87" s="1041"/>
      <c r="AP87" s="1037">
        <f t="shared" si="24"/>
        <v>0</v>
      </c>
      <c r="AQ87" s="1037"/>
      <c r="AR87" s="1037"/>
      <c r="AS87" s="1041"/>
      <c r="AT87" s="1037">
        <f t="shared" si="25"/>
        <v>0</v>
      </c>
      <c r="AU87" s="1037"/>
      <c r="AV87" s="1037"/>
      <c r="AW87" s="1041"/>
      <c r="AX87" s="1037">
        <f t="shared" si="26"/>
        <v>0</v>
      </c>
      <c r="AY87" s="1037"/>
      <c r="AZ87" s="1037"/>
      <c r="BA87" s="1041"/>
      <c r="BB87" s="1037">
        <f t="shared" si="27"/>
        <v>0</v>
      </c>
      <c r="BC87" s="1037"/>
      <c r="BD87" s="1037"/>
      <c r="BE87" s="1041"/>
      <c r="BF87" s="512">
        <f>O87-C87</f>
        <v>0</v>
      </c>
      <c r="BG87" s="512">
        <f t="shared" si="49"/>
        <v>0</v>
      </c>
      <c r="BH87" s="512">
        <f t="shared" si="50"/>
        <v>0</v>
      </c>
    </row>
    <row r="88" spans="1:60" s="512" customFormat="1" collapsed="1">
      <c r="A88" s="508" t="s">
        <v>59</v>
      </c>
      <c r="B88" s="1057" t="s">
        <v>60</v>
      </c>
      <c r="C88" s="510">
        <f t="shared" si="52"/>
        <v>79173</v>
      </c>
      <c r="D88" s="510">
        <v>17723</v>
      </c>
      <c r="E88" s="510">
        <v>9299</v>
      </c>
      <c r="F88" s="510">
        <v>7024</v>
      </c>
      <c r="G88" s="510">
        <v>6846</v>
      </c>
      <c r="H88" s="510">
        <v>8402</v>
      </c>
      <c r="I88" s="510">
        <v>7800</v>
      </c>
      <c r="J88" s="510">
        <v>2610</v>
      </c>
      <c r="K88" s="510">
        <v>5080</v>
      </c>
      <c r="L88" s="510">
        <v>7882</v>
      </c>
      <c r="M88" s="510">
        <v>6507</v>
      </c>
      <c r="N88" s="510">
        <f t="shared" si="18"/>
        <v>87923</v>
      </c>
      <c r="O88" s="510">
        <f>ROUND(S88+W88+AA88+AE88+AI88+AM88+AQ88+AU88+AY88+BC88,0)</f>
        <v>87923</v>
      </c>
      <c r="P88" s="510"/>
      <c r="Q88" s="511">
        <f t="shared" si="79"/>
        <v>111.05174743915222</v>
      </c>
      <c r="R88" s="510">
        <f>S88+T88</f>
        <v>19961</v>
      </c>
      <c r="S88" s="510">
        <f>ROUND(((R47+R53+R90+R92)/98%)*2%,0)</f>
        <v>19961</v>
      </c>
      <c r="T88" s="510"/>
      <c r="U88" s="511">
        <f>S88/D88*100</f>
        <v>112.6276589742143</v>
      </c>
      <c r="V88" s="510">
        <f t="shared" si="38"/>
        <v>10084</v>
      </c>
      <c r="W88" s="510">
        <f>ROUND(((V47+V53+V90+V92)/98%)*2%,0)</f>
        <v>10084</v>
      </c>
      <c r="X88" s="510"/>
      <c r="Y88" s="511">
        <f>W88/E88*100</f>
        <v>108.4417679320357</v>
      </c>
      <c r="Z88" s="510">
        <f t="shared" si="20"/>
        <v>7870</v>
      </c>
      <c r="AA88" s="510">
        <f>ROUND(((Z47+Z53+Z90+Z92)/98%)*2%,0)</f>
        <v>7870</v>
      </c>
      <c r="AB88" s="510"/>
      <c r="AC88" s="511">
        <f>AA88/F88*100</f>
        <v>112.04441913439635</v>
      </c>
      <c r="AD88" s="510">
        <f t="shared" si="21"/>
        <v>7523</v>
      </c>
      <c r="AE88" s="510">
        <f>ROUND(((AD47+AD53+AD90+AD92)/98%)*2%,0)</f>
        <v>7523</v>
      </c>
      <c r="AF88" s="510"/>
      <c r="AG88" s="511">
        <f>AE88/G88*100</f>
        <v>109.88898626935438</v>
      </c>
      <c r="AH88" s="510">
        <f t="shared" si="22"/>
        <v>9313</v>
      </c>
      <c r="AI88" s="510">
        <f>ROUND(((AH47+AH53+AH90+AH92)/98%)*2%,0)</f>
        <v>9313</v>
      </c>
      <c r="AJ88" s="510"/>
      <c r="AK88" s="511">
        <f>AI88/H88*100</f>
        <v>110.84265651035467</v>
      </c>
      <c r="AL88" s="510">
        <f t="shared" si="23"/>
        <v>8730</v>
      </c>
      <c r="AM88" s="510">
        <f>ROUND(((AL47+AL53+AL90+AL92)/98%)*2%,0)</f>
        <v>8730</v>
      </c>
      <c r="AN88" s="510"/>
      <c r="AO88" s="511">
        <f>AM88/I88*100</f>
        <v>111.92307692307692</v>
      </c>
      <c r="AP88" s="510">
        <f t="shared" si="24"/>
        <v>2842</v>
      </c>
      <c r="AQ88" s="510">
        <f>ROUND(((AP47+AP53+AP90+AP92)/98%)*2%,0)</f>
        <v>2842</v>
      </c>
      <c r="AR88" s="510"/>
      <c r="AS88" s="511">
        <f>AQ88/J88*100</f>
        <v>108.88888888888889</v>
      </c>
      <c r="AT88" s="510">
        <f t="shared" si="25"/>
        <v>5732</v>
      </c>
      <c r="AU88" s="510">
        <f>ROUND(((AT47+AT53+AT90+AT92)/98%)*2%,0)</f>
        <v>5732</v>
      </c>
      <c r="AV88" s="510"/>
      <c r="AW88" s="511">
        <f>AU88/K88*100</f>
        <v>112.83464566929133</v>
      </c>
      <c r="AX88" s="510">
        <f t="shared" si="26"/>
        <v>8670</v>
      </c>
      <c r="AY88" s="510">
        <f>ROUND(((AX47+AX53+AX90+AX92)/98%)*2%,0)</f>
        <v>8670</v>
      </c>
      <c r="AZ88" s="510"/>
      <c r="BA88" s="511">
        <f>AY88/L88*100</f>
        <v>109.99746257295102</v>
      </c>
      <c r="BB88" s="510">
        <f t="shared" si="27"/>
        <v>7198</v>
      </c>
      <c r="BC88" s="510">
        <f>ROUND(((BB47+BB53+BB90+BB92)/98%)*2%,0)</f>
        <v>7198</v>
      </c>
      <c r="BD88" s="510"/>
      <c r="BE88" s="511">
        <f>BC88/M88*100</f>
        <v>110.61933302597203</v>
      </c>
      <c r="BF88" s="512">
        <f>O88-C88</f>
        <v>8750</v>
      </c>
      <c r="BG88" s="512">
        <f t="shared" si="49"/>
        <v>87923</v>
      </c>
      <c r="BH88" s="512">
        <f t="shared" si="50"/>
        <v>0</v>
      </c>
    </row>
    <row r="89" spans="1:60" s="1098" customFormat="1">
      <c r="A89" s="1037"/>
      <c r="B89" s="1036" t="s">
        <v>61</v>
      </c>
      <c r="C89" s="1037">
        <v>2</v>
      </c>
      <c r="D89" s="1037">
        <v>1.998207276386853</v>
      </c>
      <c r="E89" s="1037">
        <v>1.9957352191750013</v>
      </c>
      <c r="F89" s="1037">
        <v>1.9958458557189105</v>
      </c>
      <c r="G89" s="1037">
        <v>2.0035425960781867</v>
      </c>
      <c r="H89" s="1037">
        <v>2.0000409564700985</v>
      </c>
      <c r="I89" s="1037">
        <v>1.9997412922104483</v>
      </c>
      <c r="J89" s="1037">
        <v>2.0004638756813171</v>
      </c>
      <c r="K89" s="1037">
        <v>2.0019467552406853</v>
      </c>
      <c r="L89" s="1037">
        <v>2.003484320557491</v>
      </c>
      <c r="M89" s="1037">
        <v>2.0017018213987172</v>
      </c>
      <c r="N89" s="1037">
        <f>O89+P89</f>
        <v>2.0000013648315216</v>
      </c>
      <c r="O89" s="1077">
        <f>N88/N14*100</f>
        <v>2.0000013648315216</v>
      </c>
      <c r="P89" s="1077"/>
      <c r="Q89" s="1041"/>
      <c r="R89" s="1077">
        <f t="shared" si="19"/>
        <v>2.0000240471805686</v>
      </c>
      <c r="S89" s="1077">
        <f>R88/R14*100</f>
        <v>2.0000240471805686</v>
      </c>
      <c r="T89" s="1077"/>
      <c r="U89" s="1041"/>
      <c r="V89" s="1077">
        <f t="shared" si="38"/>
        <v>2.0000476012915818</v>
      </c>
      <c r="W89" s="1077">
        <f>V88/V14*100</f>
        <v>2.0000476012915818</v>
      </c>
      <c r="X89" s="1077"/>
      <c r="Y89" s="1041"/>
      <c r="Z89" s="1077">
        <f t="shared" si="20"/>
        <v>1.9999034354122671</v>
      </c>
      <c r="AA89" s="1077">
        <f>Z88/Z14*100</f>
        <v>1.9999034354122671</v>
      </c>
      <c r="AB89" s="1077"/>
      <c r="AC89" s="1041"/>
      <c r="AD89" s="1077">
        <f t="shared" si="21"/>
        <v>1.9999255643814933</v>
      </c>
      <c r="AE89" s="1077">
        <f>AD88/AD14*100</f>
        <v>1.9999255643814933</v>
      </c>
      <c r="AF89" s="1077"/>
      <c r="AG89" s="1041"/>
      <c r="AH89" s="1077">
        <f t="shared" si="22"/>
        <v>2.0000171804332045</v>
      </c>
      <c r="AI89" s="1077">
        <f>AH88/AH14*100</f>
        <v>2.0000171804332045</v>
      </c>
      <c r="AJ89" s="1077"/>
      <c r="AK89" s="1041"/>
      <c r="AL89" s="1077">
        <f t="shared" si="23"/>
        <v>2</v>
      </c>
      <c r="AM89" s="1077">
        <f>AL88/AL14*100</f>
        <v>2</v>
      </c>
      <c r="AN89" s="1077"/>
      <c r="AO89" s="1041"/>
      <c r="AP89" s="1077">
        <f>AQ89+AR89</f>
        <v>2</v>
      </c>
      <c r="AQ89" s="1077">
        <f>ROUND(AP88/AP14*100,0)</f>
        <v>2</v>
      </c>
      <c r="AR89" s="1077"/>
      <c r="AS89" s="1041"/>
      <c r="AT89" s="1077">
        <f t="shared" si="25"/>
        <v>2.000090722886942</v>
      </c>
      <c r="AU89" s="1077">
        <f>AT88/AT14*100</f>
        <v>2.000090722886942</v>
      </c>
      <c r="AV89" s="1077"/>
      <c r="AW89" s="1041"/>
      <c r="AX89" s="1077">
        <f t="shared" si="26"/>
        <v>2.0000138409262345</v>
      </c>
      <c r="AY89" s="1077">
        <f>AX88/AX14*100</f>
        <v>2.0000138409262345</v>
      </c>
      <c r="AZ89" s="1077"/>
      <c r="BA89" s="1041"/>
      <c r="BB89" s="1077">
        <f t="shared" si="27"/>
        <v>2.0000444577817791</v>
      </c>
      <c r="BC89" s="1077">
        <f>BB88/BB14*100</f>
        <v>2.0000444577817791</v>
      </c>
      <c r="BD89" s="1077"/>
      <c r="BE89" s="1041"/>
      <c r="BF89" s="512">
        <f>O89-C89</f>
        <v>1.3648315215775142E-6</v>
      </c>
      <c r="BG89" s="512">
        <f>S89+W89+AA89+AE89+AI89+AM89+AQ89+AU89+AY89+BC89</f>
        <v>20.000066850294072</v>
      </c>
      <c r="BH89" s="512">
        <f>BG89-O89</f>
        <v>18.000065485462549</v>
      </c>
    </row>
    <row r="90" spans="1:60" s="512" customFormat="1" ht="69">
      <c r="A90" s="508" t="s">
        <v>73</v>
      </c>
      <c r="B90" s="509" t="s">
        <v>1558</v>
      </c>
      <c r="C90" s="510">
        <f>SUM(D90:M90)</f>
        <v>48946</v>
      </c>
      <c r="D90" s="510">
        <f>48946</f>
        <v>48946</v>
      </c>
      <c r="E90" s="510"/>
      <c r="F90" s="510"/>
      <c r="G90" s="510"/>
      <c r="H90" s="510"/>
      <c r="I90" s="510"/>
      <c r="J90" s="510"/>
      <c r="K90" s="510"/>
      <c r="L90" s="510"/>
      <c r="M90" s="510"/>
      <c r="N90" s="510">
        <f t="shared" si="18"/>
        <v>88000</v>
      </c>
      <c r="O90" s="510">
        <f>S90</f>
        <v>88000</v>
      </c>
      <c r="P90" s="510"/>
      <c r="Q90" s="511">
        <f t="shared" si="79"/>
        <v>179.78997262289053</v>
      </c>
      <c r="R90" s="510">
        <f t="shared" si="19"/>
        <v>88000</v>
      </c>
      <c r="S90" s="510">
        <v>88000</v>
      </c>
      <c r="T90" s="510"/>
      <c r="U90" s="511">
        <f t="shared" si="51"/>
        <v>179.78997262289053</v>
      </c>
      <c r="V90" s="510">
        <f t="shared" si="38"/>
        <v>0</v>
      </c>
      <c r="W90" s="510"/>
      <c r="X90" s="510"/>
      <c r="Y90" s="511"/>
      <c r="Z90" s="510">
        <f t="shared" si="20"/>
        <v>0</v>
      </c>
      <c r="AA90" s="510"/>
      <c r="AB90" s="510"/>
      <c r="AC90" s="511"/>
      <c r="AD90" s="510">
        <f t="shared" si="21"/>
        <v>0</v>
      </c>
      <c r="AE90" s="510"/>
      <c r="AF90" s="510"/>
      <c r="AG90" s="511"/>
      <c r="AH90" s="510">
        <f t="shared" si="22"/>
        <v>0</v>
      </c>
      <c r="AI90" s="510"/>
      <c r="AJ90" s="510"/>
      <c r="AK90" s="511"/>
      <c r="AL90" s="510">
        <f t="shared" si="23"/>
        <v>0</v>
      </c>
      <c r="AM90" s="510"/>
      <c r="AN90" s="510"/>
      <c r="AO90" s="511"/>
      <c r="AP90" s="510">
        <f>AQ90+AR90</f>
        <v>0</v>
      </c>
      <c r="AQ90" s="510"/>
      <c r="AR90" s="510"/>
      <c r="AS90" s="511"/>
      <c r="AT90" s="510">
        <f t="shared" si="25"/>
        <v>0</v>
      </c>
      <c r="AU90" s="510"/>
      <c r="AV90" s="510"/>
      <c r="AW90" s="511"/>
      <c r="AX90" s="510">
        <f t="shared" si="26"/>
        <v>0</v>
      </c>
      <c r="AY90" s="510"/>
      <c r="AZ90" s="510"/>
      <c r="BA90" s="511"/>
      <c r="BB90" s="510">
        <f t="shared" si="27"/>
        <v>0</v>
      </c>
      <c r="BC90" s="510"/>
      <c r="BD90" s="510"/>
      <c r="BE90" s="511"/>
      <c r="BG90" s="512">
        <f t="shared" si="49"/>
        <v>88000</v>
      </c>
      <c r="BH90" s="512">
        <f t="shared" si="50"/>
        <v>0</v>
      </c>
    </row>
    <row r="91" spans="1:60" s="1054" customFormat="1" ht="41.4" hidden="1">
      <c r="A91" s="1049"/>
      <c r="B91" s="1069" t="s">
        <v>1470</v>
      </c>
      <c r="C91" s="1051">
        <f t="shared" si="52"/>
        <v>0</v>
      </c>
      <c r="D91" s="1051"/>
      <c r="E91" s="1051"/>
      <c r="F91" s="1051"/>
      <c r="G91" s="1051"/>
      <c r="H91" s="1051"/>
      <c r="I91" s="1051"/>
      <c r="J91" s="1051"/>
      <c r="K91" s="1051"/>
      <c r="L91" s="1051"/>
      <c r="M91" s="1051"/>
      <c r="N91" s="1051">
        <f t="shared" si="18"/>
        <v>0</v>
      </c>
      <c r="O91" s="1051"/>
      <c r="P91" s="1051"/>
      <c r="Q91" s="1095" t="e">
        <f t="shared" si="79"/>
        <v>#DIV/0!</v>
      </c>
      <c r="R91" s="1051">
        <f t="shared" si="19"/>
        <v>0</v>
      </c>
      <c r="S91" s="1051"/>
      <c r="T91" s="1051"/>
      <c r="U91" s="1095" t="e">
        <f t="shared" si="51"/>
        <v>#DIV/0!</v>
      </c>
      <c r="V91" s="1051">
        <f t="shared" si="38"/>
        <v>0</v>
      </c>
      <c r="W91" s="1051"/>
      <c r="X91" s="1051"/>
      <c r="Y91" s="1095"/>
      <c r="Z91" s="1051">
        <f t="shared" si="20"/>
        <v>0</v>
      </c>
      <c r="AA91" s="1051"/>
      <c r="AB91" s="1051"/>
      <c r="AC91" s="1095"/>
      <c r="AD91" s="1051">
        <f t="shared" si="21"/>
        <v>0</v>
      </c>
      <c r="AE91" s="1051"/>
      <c r="AF91" s="1051"/>
      <c r="AG91" s="1095"/>
      <c r="AH91" s="1051">
        <f t="shared" si="22"/>
        <v>0</v>
      </c>
      <c r="AI91" s="1051"/>
      <c r="AJ91" s="1051"/>
      <c r="AK91" s="1095"/>
      <c r="AL91" s="1051">
        <f t="shared" si="23"/>
        <v>0</v>
      </c>
      <c r="AM91" s="1051"/>
      <c r="AN91" s="1051"/>
      <c r="AO91" s="1095"/>
      <c r="AP91" s="1051">
        <f t="shared" si="24"/>
        <v>0</v>
      </c>
      <c r="AQ91" s="1051"/>
      <c r="AR91" s="1051"/>
      <c r="AS91" s="1095"/>
      <c r="AT91" s="1051">
        <f t="shared" si="25"/>
        <v>0</v>
      </c>
      <c r="AU91" s="1051"/>
      <c r="AV91" s="1051"/>
      <c r="AW91" s="1095"/>
      <c r="AX91" s="1051">
        <f t="shared" si="26"/>
        <v>0</v>
      </c>
      <c r="AY91" s="1051"/>
      <c r="AZ91" s="1051"/>
      <c r="BA91" s="1095"/>
      <c r="BB91" s="1051">
        <f t="shared" si="27"/>
        <v>0</v>
      </c>
      <c r="BC91" s="1051"/>
      <c r="BD91" s="1051"/>
      <c r="BE91" s="1095"/>
      <c r="BG91" s="512">
        <f t="shared" si="49"/>
        <v>0</v>
      </c>
      <c r="BH91" s="512">
        <f t="shared" si="50"/>
        <v>0</v>
      </c>
    </row>
    <row r="92" spans="1:60" s="512" customFormat="1" ht="16.5" customHeight="1">
      <c r="A92" s="508">
        <v>5</v>
      </c>
      <c r="B92" s="1057" t="s">
        <v>1559</v>
      </c>
      <c r="C92" s="510">
        <f t="shared" si="52"/>
        <v>0</v>
      </c>
      <c r="D92" s="510">
        <v>0</v>
      </c>
      <c r="E92" s="1037">
        <v>0</v>
      </c>
      <c r="F92" s="510">
        <v>0</v>
      </c>
      <c r="G92" s="510">
        <v>0</v>
      </c>
      <c r="H92" s="510">
        <v>0</v>
      </c>
      <c r="I92" s="510">
        <v>0</v>
      </c>
      <c r="J92" s="510">
        <v>0</v>
      </c>
      <c r="K92" s="510">
        <v>0</v>
      </c>
      <c r="L92" s="510">
        <v>0</v>
      </c>
      <c r="M92" s="510">
        <v>0</v>
      </c>
      <c r="N92" s="510">
        <f t="shared" si="18"/>
        <v>0</v>
      </c>
      <c r="O92" s="1058">
        <f>O93</f>
        <v>2870</v>
      </c>
      <c r="P92" s="1058">
        <f>P93</f>
        <v>-2870</v>
      </c>
      <c r="Q92" s="511"/>
      <c r="R92" s="1058">
        <f>S92+T92</f>
        <v>0</v>
      </c>
      <c r="S92" s="1058">
        <f>S93</f>
        <v>-4754</v>
      </c>
      <c r="T92" s="1058">
        <f>T93</f>
        <v>4754</v>
      </c>
      <c r="U92" s="511"/>
      <c r="V92" s="1058">
        <f t="shared" si="38"/>
        <v>0</v>
      </c>
      <c r="W92" s="1058">
        <f>W93</f>
        <v>-7905</v>
      </c>
      <c r="X92" s="1058">
        <f>X93</f>
        <v>7905</v>
      </c>
      <c r="Y92" s="511"/>
      <c r="Z92" s="1058">
        <f t="shared" si="20"/>
        <v>0</v>
      </c>
      <c r="AA92" s="1058">
        <f>AA93</f>
        <v>1321</v>
      </c>
      <c r="AB92" s="1058">
        <f>AB93</f>
        <v>-1321</v>
      </c>
      <c r="AC92" s="511"/>
      <c r="AD92" s="1058">
        <f t="shared" si="21"/>
        <v>0</v>
      </c>
      <c r="AE92" s="1058">
        <f>AE93</f>
        <v>-2836</v>
      </c>
      <c r="AF92" s="1058">
        <f>AF93</f>
        <v>2836</v>
      </c>
      <c r="AG92" s="511"/>
      <c r="AH92" s="1058">
        <f t="shared" si="22"/>
        <v>0</v>
      </c>
      <c r="AI92" s="1058">
        <f>AI93</f>
        <v>852</v>
      </c>
      <c r="AJ92" s="1058">
        <f>AJ93</f>
        <v>-852</v>
      </c>
      <c r="AK92" s="511"/>
      <c r="AL92" s="1058">
        <f t="shared" si="23"/>
        <v>0</v>
      </c>
      <c r="AM92" s="1058">
        <f>AM93</f>
        <v>-2491</v>
      </c>
      <c r="AN92" s="1058">
        <f>AN93</f>
        <v>2491</v>
      </c>
      <c r="AO92" s="511"/>
      <c r="AP92" s="1058">
        <f t="shared" si="24"/>
        <v>0</v>
      </c>
      <c r="AQ92" s="1058">
        <f>AQ93</f>
        <v>5002</v>
      </c>
      <c r="AR92" s="1058">
        <f>AR93</f>
        <v>-5002</v>
      </c>
      <c r="AS92" s="511"/>
      <c r="AT92" s="1058">
        <f t="shared" si="25"/>
        <v>0</v>
      </c>
      <c r="AU92" s="1058">
        <f>AU93</f>
        <v>3625</v>
      </c>
      <c r="AV92" s="1058">
        <f>AV93</f>
        <v>-3625</v>
      </c>
      <c r="AW92" s="511"/>
      <c r="AX92" s="1058">
        <f t="shared" si="26"/>
        <v>0</v>
      </c>
      <c r="AY92" s="1058">
        <f>AY93</f>
        <v>9837</v>
      </c>
      <c r="AZ92" s="1058">
        <f>AZ93</f>
        <v>-9837</v>
      </c>
      <c r="BA92" s="511"/>
      <c r="BB92" s="1058">
        <f t="shared" si="27"/>
        <v>0</v>
      </c>
      <c r="BC92" s="1058">
        <f>BC93</f>
        <v>219</v>
      </c>
      <c r="BD92" s="1058">
        <f>BD93</f>
        <v>-219</v>
      </c>
      <c r="BE92" s="511"/>
      <c r="BG92" s="512">
        <f t="shared" si="49"/>
        <v>2870</v>
      </c>
      <c r="BH92" s="512">
        <f t="shared" si="50"/>
        <v>0</v>
      </c>
    </row>
    <row r="93" spans="1:60">
      <c r="A93" s="1035"/>
      <c r="B93" s="1080" t="s">
        <v>1916</v>
      </c>
      <c r="C93" s="1037">
        <f t="shared" si="52"/>
        <v>0</v>
      </c>
      <c r="D93" s="1037">
        <v>0</v>
      </c>
      <c r="E93" s="1037">
        <v>0</v>
      </c>
      <c r="F93" s="1037">
        <v>0</v>
      </c>
      <c r="G93" s="1037">
        <v>0</v>
      </c>
      <c r="H93" s="1037">
        <v>0</v>
      </c>
      <c r="I93" s="1037">
        <v>0</v>
      </c>
      <c r="J93" s="1037">
        <v>0</v>
      </c>
      <c r="K93" s="1037">
        <v>0</v>
      </c>
      <c r="L93" s="1037">
        <v>0</v>
      </c>
      <c r="M93" s="1037">
        <v>0</v>
      </c>
      <c r="N93" s="1037">
        <f>O93+P93</f>
        <v>0</v>
      </c>
      <c r="O93" s="1099">
        <f>ROUND(S93+W93+AA93+AE93+AI93+AM93+AQ93+AU93+AY93+BC93,0)</f>
        <v>2870</v>
      </c>
      <c r="P93" s="1099">
        <f>ROUND(T93+X93+AB93+AF93+AJ93+AN93+AR93+AV93+AZ93+BD93,0)</f>
        <v>-2870</v>
      </c>
      <c r="Q93" s="1041"/>
      <c r="R93" s="1099">
        <f>S93+T93</f>
        <v>0</v>
      </c>
      <c r="S93" s="1099">
        <v>-4754</v>
      </c>
      <c r="T93" s="1099">
        <v>4754</v>
      </c>
      <c r="U93" s="1041"/>
      <c r="V93" s="1099">
        <f>W93+X93</f>
        <v>0</v>
      </c>
      <c r="W93" s="1099">
        <v>-7905</v>
      </c>
      <c r="X93" s="1099">
        <f>-W93</f>
        <v>7905</v>
      </c>
      <c r="Y93" s="1041"/>
      <c r="Z93" s="1099">
        <f>AA93+AB93</f>
        <v>0</v>
      </c>
      <c r="AA93" s="1037">
        <v>1321</v>
      </c>
      <c r="AB93" s="1099">
        <f>-AA93</f>
        <v>-1321</v>
      </c>
      <c r="AC93" s="1041"/>
      <c r="AD93" s="1099">
        <f>AE93+AF93</f>
        <v>0</v>
      </c>
      <c r="AE93" s="1099">
        <v>-2836</v>
      </c>
      <c r="AF93" s="1099">
        <f>-AE93</f>
        <v>2836</v>
      </c>
      <c r="AG93" s="1041"/>
      <c r="AH93" s="1099">
        <f>AI93+AJ93</f>
        <v>0</v>
      </c>
      <c r="AI93" s="1099">
        <v>852</v>
      </c>
      <c r="AJ93" s="1099">
        <f>-AI93</f>
        <v>-852</v>
      </c>
      <c r="AK93" s="1041"/>
      <c r="AL93" s="1099">
        <f>AM93+AN93</f>
        <v>0</v>
      </c>
      <c r="AM93" s="1099">
        <v>-2491</v>
      </c>
      <c r="AN93" s="1099">
        <f>-AM93</f>
        <v>2491</v>
      </c>
      <c r="AO93" s="1041"/>
      <c r="AP93" s="1099">
        <f>AQ93+AR93</f>
        <v>0</v>
      </c>
      <c r="AQ93" s="1099">
        <v>5002</v>
      </c>
      <c r="AR93" s="1099">
        <f>-AQ93</f>
        <v>-5002</v>
      </c>
      <c r="AS93" s="1041"/>
      <c r="AT93" s="1099">
        <f>AU93+AV93</f>
        <v>0</v>
      </c>
      <c r="AU93" s="1037">
        <v>3625</v>
      </c>
      <c r="AV93" s="1099">
        <f>-AU93</f>
        <v>-3625</v>
      </c>
      <c r="AW93" s="1041"/>
      <c r="AX93" s="1099">
        <f>AY93+AZ93</f>
        <v>0</v>
      </c>
      <c r="AY93" s="1037">
        <v>9837</v>
      </c>
      <c r="AZ93" s="1099">
        <f>-AY93</f>
        <v>-9837</v>
      </c>
      <c r="BA93" s="1041"/>
      <c r="BB93" s="1099">
        <f>BC93+BD93</f>
        <v>0</v>
      </c>
      <c r="BC93" s="1037">
        <v>219</v>
      </c>
      <c r="BD93" s="1099">
        <f>-BC93</f>
        <v>-219</v>
      </c>
      <c r="BE93" s="1041"/>
      <c r="BG93" s="512">
        <f t="shared" si="49"/>
        <v>2870</v>
      </c>
      <c r="BH93" s="512">
        <f t="shared" si="50"/>
        <v>0</v>
      </c>
    </row>
    <row r="94" spans="1:60" outlineLevel="1">
      <c r="A94" s="508"/>
      <c r="B94" s="509" t="s">
        <v>338</v>
      </c>
      <c r="C94" s="1037"/>
      <c r="D94" s="1037"/>
      <c r="E94" s="1037"/>
      <c r="F94" s="1037"/>
      <c r="G94" s="1037"/>
      <c r="H94" s="1037"/>
      <c r="I94" s="1037"/>
      <c r="J94" s="1037"/>
      <c r="K94" s="1037"/>
      <c r="L94" s="1037"/>
      <c r="M94" s="1037"/>
      <c r="N94" s="1037"/>
      <c r="O94" s="1037"/>
      <c r="P94" s="1037"/>
      <c r="Q94" s="1041"/>
      <c r="R94" s="1041"/>
      <c r="S94" s="1037"/>
      <c r="T94" s="1037"/>
      <c r="U94" s="1041"/>
      <c r="V94" s="1041"/>
      <c r="W94" s="1037"/>
      <c r="X94" s="1037"/>
      <c r="Y94" s="1041"/>
      <c r="Z94" s="1041"/>
      <c r="AA94" s="1037"/>
      <c r="AB94" s="1037"/>
      <c r="AC94" s="1041"/>
      <c r="AD94" s="1041"/>
      <c r="AE94" s="1037"/>
      <c r="AF94" s="1037"/>
      <c r="AG94" s="1041"/>
      <c r="AH94" s="1041"/>
      <c r="AI94" s="1037"/>
      <c r="AJ94" s="1037"/>
      <c r="AK94" s="1041"/>
      <c r="AL94" s="1041"/>
      <c r="AM94" s="1037"/>
      <c r="AN94" s="1037"/>
      <c r="AO94" s="1041"/>
      <c r="AP94" s="1041"/>
      <c r="AQ94" s="1037"/>
      <c r="AR94" s="1037"/>
      <c r="AS94" s="1041"/>
      <c r="AT94" s="1041"/>
      <c r="AU94" s="1037"/>
      <c r="AV94" s="1037"/>
      <c r="AW94" s="1041"/>
      <c r="AX94" s="1041"/>
      <c r="AY94" s="1037"/>
      <c r="AZ94" s="1037"/>
      <c r="BA94" s="1041"/>
      <c r="BB94" s="1041"/>
      <c r="BC94" s="1037"/>
      <c r="BD94" s="1037"/>
      <c r="BE94" s="1041"/>
      <c r="BG94" s="512">
        <f t="shared" si="49"/>
        <v>0</v>
      </c>
      <c r="BH94" s="512">
        <f t="shared" si="50"/>
        <v>0</v>
      </c>
    </row>
    <row r="95" spans="1:60" ht="27.6" outlineLevel="1">
      <c r="A95" s="1049"/>
      <c r="B95" s="1069" t="s">
        <v>1931</v>
      </c>
      <c r="C95" s="1037"/>
      <c r="D95" s="1037"/>
      <c r="E95" s="1037"/>
      <c r="F95" s="1037"/>
      <c r="G95" s="1037"/>
      <c r="H95" s="1037"/>
      <c r="I95" s="1037"/>
      <c r="J95" s="1037"/>
      <c r="K95" s="1037"/>
      <c r="L95" s="1037"/>
      <c r="M95" s="1037"/>
      <c r="N95" s="1037">
        <f t="shared" ref="N95:N100" si="84">O95+P95</f>
        <v>20856</v>
      </c>
      <c r="O95" s="1099">
        <f>ROUND(S95+W95+AA95+AE95+AI95+AM95+AQ95+AU95+AY95+BC95,0)</f>
        <v>20856</v>
      </c>
      <c r="P95" s="1099">
        <f>ROUND(T95+X95+AB95+AF95+AJ95+AN95+AR95+AV95+AZ95+BD95,0)</f>
        <v>0</v>
      </c>
      <c r="Q95" s="1041"/>
      <c r="R95" s="1041"/>
      <c r="S95" s="1037">
        <f>IF(S92&gt;0,S92,0)</f>
        <v>0</v>
      </c>
      <c r="T95" s="1037"/>
      <c r="U95" s="1041"/>
      <c r="V95" s="1041"/>
      <c r="W95" s="1037">
        <f>IF(W92&gt;0,W92,0)</f>
        <v>0</v>
      </c>
      <c r="X95" s="1037"/>
      <c r="Y95" s="1041"/>
      <c r="Z95" s="1041"/>
      <c r="AA95" s="1037">
        <f>IF(AA92&gt;0,AA92,0)</f>
        <v>1321</v>
      </c>
      <c r="AB95" s="1037"/>
      <c r="AC95" s="1041"/>
      <c r="AD95" s="1041"/>
      <c r="AE95" s="1037">
        <f>IF(AE92&gt;0,AE92,0)</f>
        <v>0</v>
      </c>
      <c r="AF95" s="1037"/>
      <c r="AG95" s="1041"/>
      <c r="AH95" s="1041"/>
      <c r="AI95" s="1037">
        <f>IF(AI92&gt;0,AI92,0)</f>
        <v>852</v>
      </c>
      <c r="AJ95" s="1037"/>
      <c r="AK95" s="1041"/>
      <c r="AL95" s="1041"/>
      <c r="AM95" s="1037">
        <f>IF(AM92&gt;0,AM92,0)</f>
        <v>0</v>
      </c>
      <c r="AN95" s="1037"/>
      <c r="AO95" s="1041"/>
      <c r="AP95" s="1041"/>
      <c r="AQ95" s="1037">
        <f>IF(AQ92&gt;0,AQ92,0)</f>
        <v>5002</v>
      </c>
      <c r="AR95" s="1037"/>
      <c r="AS95" s="1041"/>
      <c r="AT95" s="1041"/>
      <c r="AU95" s="1037">
        <f>IF(AU92&gt;0,AU92,0)</f>
        <v>3625</v>
      </c>
      <c r="AV95" s="1037"/>
      <c r="AW95" s="1041"/>
      <c r="AX95" s="1041"/>
      <c r="AY95" s="1037">
        <f>IF(AY92&gt;0,AY92,0)</f>
        <v>9837</v>
      </c>
      <c r="AZ95" s="1037"/>
      <c r="BA95" s="1041"/>
      <c r="BB95" s="1041"/>
      <c r="BC95" s="1037">
        <f>IF(BC92&gt;0,BC92,0)</f>
        <v>219</v>
      </c>
      <c r="BD95" s="1037"/>
      <c r="BE95" s="1041"/>
      <c r="BG95" s="512">
        <f t="shared" si="49"/>
        <v>20856</v>
      </c>
      <c r="BH95" s="512">
        <f t="shared" si="50"/>
        <v>0</v>
      </c>
    </row>
    <row r="96" spans="1:60" s="512" customFormat="1" outlineLevel="1">
      <c r="A96" s="508"/>
      <c r="B96" s="1057" t="s">
        <v>1933</v>
      </c>
      <c r="C96" s="510"/>
      <c r="D96" s="510"/>
      <c r="E96" s="510"/>
      <c r="F96" s="510"/>
      <c r="G96" s="510"/>
      <c r="H96" s="510"/>
      <c r="I96" s="510"/>
      <c r="J96" s="510"/>
      <c r="K96" s="510"/>
      <c r="L96" s="510"/>
      <c r="M96" s="510"/>
      <c r="N96" s="1037">
        <f t="shared" si="84"/>
        <v>10891</v>
      </c>
      <c r="O96" s="1099">
        <f>ROUND(S96+W96+AA96+AE96+AI96+AM96+AQ96+AU96+AY96+BC96,0)</f>
        <v>10891</v>
      </c>
      <c r="P96" s="510"/>
      <c r="Q96" s="511"/>
      <c r="R96" s="511"/>
      <c r="S96" s="510"/>
      <c r="T96" s="510"/>
      <c r="U96" s="511"/>
      <c r="V96" s="511"/>
      <c r="W96" s="510"/>
      <c r="X96" s="510"/>
      <c r="Y96" s="511"/>
      <c r="Z96" s="511"/>
      <c r="AA96" s="510">
        <f>AA55/AA53*AA95</f>
        <v>839.6295052167618</v>
      </c>
      <c r="AB96" s="510"/>
      <c r="AC96" s="511"/>
      <c r="AD96" s="511"/>
      <c r="AE96" s="510"/>
      <c r="AF96" s="510"/>
      <c r="AG96" s="511"/>
      <c r="AH96" s="511"/>
      <c r="AI96" s="510">
        <f>AI55/AI53*AI95</f>
        <v>489.80559773944617</v>
      </c>
      <c r="AJ96" s="510"/>
      <c r="AK96" s="511"/>
      <c r="AL96" s="511"/>
      <c r="AM96" s="510"/>
      <c r="AN96" s="510"/>
      <c r="AO96" s="511"/>
      <c r="AP96" s="511"/>
      <c r="AQ96" s="510">
        <f>AQ55/AQ53*AQ95</f>
        <v>2006.4550871407496</v>
      </c>
      <c r="AR96" s="510"/>
      <c r="AS96" s="511"/>
      <c r="AT96" s="511"/>
      <c r="AU96" s="510">
        <f>AU55/AU53*AU95</f>
        <v>2099.7811426701105</v>
      </c>
      <c r="AV96" s="510"/>
      <c r="AW96" s="511"/>
      <c r="AX96" s="511"/>
      <c r="AY96" s="510">
        <f>AY55/AY53*AY95</f>
        <v>5323.299676767715</v>
      </c>
      <c r="AZ96" s="510"/>
      <c r="BA96" s="511"/>
      <c r="BB96" s="511"/>
      <c r="BC96" s="510">
        <f>BC55/BC53*BC95</f>
        <v>132.1781285205858</v>
      </c>
      <c r="BD96" s="510"/>
      <c r="BE96" s="511"/>
      <c r="BG96" s="512">
        <f t="shared" si="49"/>
        <v>10891.149138055369</v>
      </c>
      <c r="BH96" s="512">
        <f t="shared" si="50"/>
        <v>0.14913805536889413</v>
      </c>
    </row>
    <row r="97" spans="1:60" s="512" customFormat="1" outlineLevel="1">
      <c r="A97" s="508"/>
      <c r="B97" s="1057" t="s">
        <v>1934</v>
      </c>
      <c r="C97" s="510"/>
      <c r="D97" s="510"/>
      <c r="E97" s="510"/>
      <c r="F97" s="510"/>
      <c r="G97" s="510"/>
      <c r="H97" s="510"/>
      <c r="I97" s="510"/>
      <c r="J97" s="510"/>
      <c r="K97" s="510"/>
      <c r="L97" s="510"/>
      <c r="M97" s="510"/>
      <c r="N97" s="1037">
        <f t="shared" si="84"/>
        <v>9965</v>
      </c>
      <c r="O97" s="1099">
        <f>ROUND(S97+W97+AA97+AE97+AI97+AM97+AQ97+AU97+AY97+BC97,0)</f>
        <v>9965</v>
      </c>
      <c r="P97" s="510"/>
      <c r="Q97" s="511"/>
      <c r="R97" s="511"/>
      <c r="S97" s="510"/>
      <c r="T97" s="510"/>
      <c r="U97" s="511"/>
      <c r="V97" s="511"/>
      <c r="W97" s="510"/>
      <c r="X97" s="510"/>
      <c r="Y97" s="511"/>
      <c r="Z97" s="511"/>
      <c r="AA97" s="510">
        <f>AA95-AA96</f>
        <v>481.3704947832382</v>
      </c>
      <c r="AB97" s="510"/>
      <c r="AC97" s="511"/>
      <c r="AD97" s="511"/>
      <c r="AE97" s="510"/>
      <c r="AF97" s="510"/>
      <c r="AG97" s="511"/>
      <c r="AH97" s="511"/>
      <c r="AI97" s="510">
        <f>AI95-AI96</f>
        <v>362.19440226055383</v>
      </c>
      <c r="AJ97" s="510"/>
      <c r="AK97" s="511"/>
      <c r="AL97" s="511"/>
      <c r="AM97" s="510"/>
      <c r="AN97" s="510"/>
      <c r="AO97" s="511"/>
      <c r="AP97" s="511"/>
      <c r="AQ97" s="510">
        <f>AQ95-AQ96</f>
        <v>2995.5449128592504</v>
      </c>
      <c r="AR97" s="510"/>
      <c r="AS97" s="511"/>
      <c r="AT97" s="511"/>
      <c r="AU97" s="510">
        <f>AU95-AU96</f>
        <v>1525.2188573298895</v>
      </c>
      <c r="AV97" s="510"/>
      <c r="AW97" s="511"/>
      <c r="AX97" s="511"/>
      <c r="AY97" s="510">
        <f>AY95-AY96</f>
        <v>4513.700323232285</v>
      </c>
      <c r="AZ97" s="510"/>
      <c r="BA97" s="511"/>
      <c r="BB97" s="511"/>
      <c r="BC97" s="510">
        <f>BC95-BC96</f>
        <v>86.821871479414199</v>
      </c>
      <c r="BD97" s="510"/>
      <c r="BE97" s="511"/>
      <c r="BG97" s="512">
        <f t="shared" si="49"/>
        <v>9964.8508619446311</v>
      </c>
      <c r="BH97" s="512">
        <f t="shared" si="50"/>
        <v>-0.14913805536889413</v>
      </c>
    </row>
    <row r="98" spans="1:60" ht="55.2" outlineLevel="1">
      <c r="A98" s="1035"/>
      <c r="B98" s="1080" t="s">
        <v>1932</v>
      </c>
      <c r="C98" s="1037"/>
      <c r="D98" s="1037"/>
      <c r="E98" s="1037"/>
      <c r="F98" s="1037"/>
      <c r="G98" s="1037"/>
      <c r="H98" s="1037"/>
      <c r="I98" s="1037"/>
      <c r="J98" s="1037"/>
      <c r="K98" s="1037"/>
      <c r="L98" s="1037"/>
      <c r="M98" s="1037"/>
      <c r="N98" s="1099">
        <f t="shared" si="84"/>
        <v>-17986</v>
      </c>
      <c r="O98" s="1099">
        <f t="shared" ref="O98:P100" si="85">ROUND(S98+W98+AA98+AE98+AI98+AM98+AQ98+AU98+AY98+BC98,0)</f>
        <v>-17986</v>
      </c>
      <c r="P98" s="1099">
        <f t="shared" si="85"/>
        <v>0</v>
      </c>
      <c r="Q98" s="1041"/>
      <c r="R98" s="1041"/>
      <c r="S98" s="1099">
        <f>IF(S92&lt;0,S92,0)</f>
        <v>-4754</v>
      </c>
      <c r="T98" s="1099"/>
      <c r="U98" s="1099"/>
      <c r="V98" s="1099"/>
      <c r="W98" s="1099">
        <f>IF(W92&lt;0,W92,0)</f>
        <v>-7905</v>
      </c>
      <c r="X98" s="1037"/>
      <c r="Y98" s="1041"/>
      <c r="Z98" s="1041"/>
      <c r="AA98" s="1037"/>
      <c r="AB98" s="1037"/>
      <c r="AC98" s="1041"/>
      <c r="AD98" s="1041"/>
      <c r="AE98" s="1099">
        <f>IF(AE92&lt;0,AE92,0)</f>
        <v>-2836</v>
      </c>
      <c r="AF98" s="1099"/>
      <c r="AG98" s="1099"/>
      <c r="AH98" s="1099"/>
      <c r="AI98" s="1099"/>
      <c r="AJ98" s="1099"/>
      <c r="AK98" s="1099"/>
      <c r="AL98" s="1099"/>
      <c r="AM98" s="1099">
        <f>IF(AM92&lt;0,AM92,0)</f>
        <v>-2491</v>
      </c>
      <c r="AN98" s="1099"/>
      <c r="AO98" s="1041"/>
      <c r="AP98" s="1041"/>
      <c r="AQ98" s="1037"/>
      <c r="AR98" s="1037"/>
      <c r="AS98" s="1041"/>
      <c r="AT98" s="1041"/>
      <c r="AU98" s="1037"/>
      <c r="AV98" s="1037"/>
      <c r="AW98" s="1041"/>
      <c r="AX98" s="1041"/>
      <c r="AY98" s="1037"/>
      <c r="AZ98" s="1037"/>
      <c r="BA98" s="1041"/>
      <c r="BB98" s="1041"/>
      <c r="BC98" s="1037"/>
      <c r="BD98" s="1037"/>
      <c r="BE98" s="1041"/>
      <c r="BG98" s="512">
        <f t="shared" si="49"/>
        <v>-17986</v>
      </c>
      <c r="BH98" s="512">
        <f t="shared" si="50"/>
        <v>0</v>
      </c>
    </row>
    <row r="99" spans="1:60" outlineLevel="1">
      <c r="A99" s="1035"/>
      <c r="B99" s="1080" t="s">
        <v>1933</v>
      </c>
      <c r="C99" s="1037"/>
      <c r="D99" s="1037"/>
      <c r="E99" s="1037"/>
      <c r="F99" s="1037"/>
      <c r="G99" s="1037"/>
      <c r="H99" s="1037"/>
      <c r="I99" s="1037"/>
      <c r="J99" s="1037"/>
      <c r="K99" s="1037"/>
      <c r="L99" s="1037"/>
      <c r="M99" s="1037"/>
      <c r="N99" s="1099">
        <f t="shared" si="84"/>
        <v>-10685</v>
      </c>
      <c r="O99" s="1099">
        <f t="shared" si="85"/>
        <v>-10685</v>
      </c>
      <c r="P99" s="1099">
        <f t="shared" si="85"/>
        <v>0</v>
      </c>
      <c r="Q99" s="1041"/>
      <c r="R99" s="1041"/>
      <c r="S99" s="1099">
        <f>ROUND(S55/S53*S98,0)</f>
        <v>-2707</v>
      </c>
      <c r="T99" s="1037"/>
      <c r="U99" s="1041"/>
      <c r="V99" s="1041"/>
      <c r="W99" s="1099">
        <f>ROUND(W55/W53*W98,0)</f>
        <v>-4944</v>
      </c>
      <c r="X99" s="1037"/>
      <c r="Y99" s="1041"/>
      <c r="Z99" s="1041"/>
      <c r="AA99" s="1037"/>
      <c r="AB99" s="1037"/>
      <c r="AC99" s="1041"/>
      <c r="AD99" s="1041"/>
      <c r="AE99" s="1099">
        <f>ROUND(AE55/AE53*AE98,0)</f>
        <v>-1540</v>
      </c>
      <c r="AF99" s="1037"/>
      <c r="AG99" s="1041"/>
      <c r="AH99" s="1041"/>
      <c r="AI99" s="1037"/>
      <c r="AJ99" s="1037"/>
      <c r="AK99" s="1041"/>
      <c r="AL99" s="1041"/>
      <c r="AM99" s="1099">
        <f>ROUND(AM55/AM53*AM98,0)</f>
        <v>-1494</v>
      </c>
      <c r="AN99" s="1037"/>
      <c r="AO99" s="1041"/>
      <c r="AP99" s="1041"/>
      <c r="AQ99" s="1037"/>
      <c r="AR99" s="1037"/>
      <c r="AS99" s="1041"/>
      <c r="AT99" s="1041"/>
      <c r="AU99" s="1037"/>
      <c r="AV99" s="1037"/>
      <c r="AW99" s="1041"/>
      <c r="AX99" s="1041"/>
      <c r="AY99" s="1037"/>
      <c r="AZ99" s="1037"/>
      <c r="BA99" s="1041"/>
      <c r="BB99" s="1041"/>
      <c r="BC99" s="1037"/>
      <c r="BD99" s="1037"/>
      <c r="BE99" s="1041"/>
      <c r="BG99" s="512">
        <f t="shared" si="49"/>
        <v>-10685</v>
      </c>
      <c r="BH99" s="512">
        <f t="shared" si="50"/>
        <v>0</v>
      </c>
    </row>
    <row r="100" spans="1:60" s="512" customFormat="1" outlineLevel="1">
      <c r="A100" s="508"/>
      <c r="B100" s="1057" t="s">
        <v>1934</v>
      </c>
      <c r="C100" s="510"/>
      <c r="D100" s="510"/>
      <c r="E100" s="510"/>
      <c r="F100" s="510"/>
      <c r="G100" s="510"/>
      <c r="H100" s="510"/>
      <c r="I100" s="510"/>
      <c r="J100" s="510"/>
      <c r="K100" s="510"/>
      <c r="L100" s="510"/>
      <c r="M100" s="510"/>
      <c r="N100" s="1099">
        <f t="shared" si="84"/>
        <v>-7301</v>
      </c>
      <c r="O100" s="1099">
        <f t="shared" si="85"/>
        <v>-7301</v>
      </c>
      <c r="P100" s="1099">
        <f t="shared" si="85"/>
        <v>0</v>
      </c>
      <c r="Q100" s="511"/>
      <c r="R100" s="511"/>
      <c r="S100" s="1099">
        <f>S98-S99</f>
        <v>-2047</v>
      </c>
      <c r="T100" s="510"/>
      <c r="U100" s="511"/>
      <c r="V100" s="511"/>
      <c r="W100" s="1099">
        <f>W98-W99</f>
        <v>-2961</v>
      </c>
      <c r="X100" s="510"/>
      <c r="Y100" s="511"/>
      <c r="Z100" s="511"/>
      <c r="AA100" s="510"/>
      <c r="AB100" s="510"/>
      <c r="AC100" s="511"/>
      <c r="AD100" s="511"/>
      <c r="AE100" s="1099">
        <f>AE98-AE99</f>
        <v>-1296</v>
      </c>
      <c r="AF100" s="510"/>
      <c r="AG100" s="511"/>
      <c r="AH100" s="511"/>
      <c r="AI100" s="510"/>
      <c r="AJ100" s="510"/>
      <c r="AK100" s="511"/>
      <c r="AL100" s="511"/>
      <c r="AM100" s="1099">
        <f>AM98-AM99</f>
        <v>-997</v>
      </c>
      <c r="AN100" s="510"/>
      <c r="AO100" s="511"/>
      <c r="AP100" s="511"/>
      <c r="AQ100" s="510"/>
      <c r="AR100" s="510"/>
      <c r="AS100" s="511"/>
      <c r="AT100" s="511"/>
      <c r="AU100" s="510"/>
      <c r="AV100" s="510"/>
      <c r="AW100" s="511"/>
      <c r="AX100" s="511"/>
      <c r="AY100" s="510"/>
      <c r="AZ100" s="510"/>
      <c r="BA100" s="511"/>
      <c r="BB100" s="511"/>
      <c r="BC100" s="510"/>
      <c r="BD100" s="510"/>
      <c r="BE100" s="511"/>
      <c r="BG100" s="512">
        <f t="shared" si="49"/>
        <v>-7301</v>
      </c>
      <c r="BH100" s="512">
        <f t="shared" si="50"/>
        <v>0</v>
      </c>
    </row>
    <row r="101" spans="1:60" s="1104" customFormat="1" ht="15.6">
      <c r="A101" s="1100"/>
      <c r="B101" s="1101"/>
      <c r="C101" s="1102"/>
      <c r="D101" s="1102"/>
      <c r="E101" s="1102"/>
      <c r="F101" s="1102"/>
      <c r="G101" s="1102"/>
      <c r="H101" s="1102"/>
      <c r="I101" s="1102"/>
      <c r="J101" s="1102"/>
      <c r="K101" s="1102"/>
      <c r="L101" s="1102"/>
      <c r="M101" s="1102"/>
      <c r="N101" s="1102"/>
      <c r="O101" s="1102"/>
      <c r="P101" s="1102"/>
      <c r="Q101" s="1103"/>
      <c r="R101" s="1103"/>
      <c r="S101" s="1102"/>
      <c r="T101" s="1102"/>
      <c r="U101" s="1103"/>
      <c r="V101" s="1103"/>
      <c r="W101" s="1102"/>
      <c r="X101" s="1102"/>
      <c r="Y101" s="1103"/>
      <c r="Z101" s="1103"/>
      <c r="AA101" s="1102"/>
      <c r="AB101" s="1102"/>
      <c r="AC101" s="1103"/>
      <c r="AD101" s="1103"/>
      <c r="AE101" s="1102"/>
      <c r="AF101" s="1102"/>
      <c r="AG101" s="1103"/>
      <c r="AH101" s="1103"/>
      <c r="AI101" s="1102"/>
      <c r="AJ101" s="1102"/>
      <c r="AK101" s="1103"/>
      <c r="AL101" s="1103"/>
      <c r="AM101" s="1102"/>
      <c r="AN101" s="1102"/>
      <c r="AO101" s="1103"/>
      <c r="AP101" s="1103"/>
      <c r="AQ101" s="1102"/>
      <c r="AR101" s="1102"/>
      <c r="AS101" s="1103"/>
      <c r="AT101" s="1103"/>
      <c r="AU101" s="1102"/>
      <c r="AV101" s="1102"/>
      <c r="AW101" s="1103"/>
      <c r="AX101" s="1103"/>
      <c r="AY101" s="1102"/>
      <c r="AZ101" s="1102"/>
      <c r="BA101" s="1103"/>
      <c r="BB101" s="1103"/>
      <c r="BC101" s="1102"/>
      <c r="BD101" s="1102"/>
      <c r="BE101" s="1103"/>
      <c r="BG101" s="512">
        <f t="shared" si="49"/>
        <v>0</v>
      </c>
      <c r="BH101" s="512">
        <f t="shared" si="50"/>
        <v>0</v>
      </c>
    </row>
    <row r="102" spans="1:60">
      <c r="A102" s="1105"/>
      <c r="B102" s="1106" t="s">
        <v>1560</v>
      </c>
      <c r="C102" s="1107"/>
      <c r="D102" s="1107"/>
      <c r="E102" s="1107"/>
      <c r="F102" s="1107"/>
      <c r="G102" s="1107"/>
      <c r="H102" s="1107"/>
      <c r="I102" s="1107"/>
      <c r="J102" s="1107"/>
      <c r="K102" s="1107"/>
      <c r="L102" s="1107"/>
      <c r="M102" s="1107"/>
      <c r="N102" s="1107"/>
      <c r="O102" s="1108"/>
      <c r="P102" s="1108"/>
      <c r="Q102" s="1105"/>
      <c r="R102" s="1105"/>
      <c r="S102" s="1108"/>
      <c r="T102" s="1108"/>
      <c r="U102" s="1109"/>
      <c r="V102" s="1109"/>
      <c r="W102" s="1108"/>
      <c r="X102" s="1108"/>
      <c r="Y102" s="1109"/>
      <c r="Z102" s="1109"/>
      <c r="AA102" s="1108"/>
      <c r="AB102" s="1108"/>
      <c r="AC102" s="1109"/>
      <c r="AD102" s="1109"/>
      <c r="AE102" s="1108"/>
      <c r="AF102" s="1108"/>
      <c r="AG102" s="1109"/>
      <c r="AH102" s="1109"/>
      <c r="AI102" s="1108"/>
      <c r="AJ102" s="1108"/>
      <c r="AK102" s="1109"/>
      <c r="AL102" s="1109"/>
      <c r="AM102" s="1108"/>
      <c r="AN102" s="1108"/>
      <c r="AO102" s="1109"/>
      <c r="AP102" s="1109"/>
      <c r="AQ102" s="1108"/>
      <c r="AR102" s="1108"/>
      <c r="AS102" s="1109"/>
      <c r="AT102" s="1109"/>
      <c r="AU102" s="1108"/>
      <c r="AV102" s="1108"/>
      <c r="AW102" s="1109"/>
      <c r="AX102" s="1109"/>
      <c r="AY102" s="1108"/>
      <c r="AZ102" s="1108"/>
      <c r="BA102" s="1109"/>
      <c r="BB102" s="1109"/>
      <c r="BC102" s="1108"/>
      <c r="BD102" s="1108"/>
      <c r="BE102" s="1109"/>
    </row>
    <row r="103" spans="1:60">
      <c r="A103" s="1105"/>
      <c r="B103" s="1106" t="s">
        <v>1561</v>
      </c>
      <c r="C103" s="1107"/>
      <c r="D103" s="1107"/>
      <c r="E103" s="1107"/>
      <c r="F103" s="1107"/>
      <c r="G103" s="1107"/>
      <c r="H103" s="1107"/>
      <c r="I103" s="1107"/>
      <c r="J103" s="1107"/>
      <c r="K103" s="1107"/>
      <c r="L103" s="1107"/>
      <c r="M103" s="1107"/>
      <c r="N103" s="1107"/>
      <c r="O103" s="1108"/>
      <c r="P103" s="1108"/>
      <c r="Q103" s="1105"/>
      <c r="R103" s="1105"/>
      <c r="S103" s="1108"/>
      <c r="T103" s="1108"/>
      <c r="U103" s="1109"/>
      <c r="V103" s="1109"/>
      <c r="W103" s="1108"/>
      <c r="X103" s="1108"/>
      <c r="Y103" s="1109"/>
      <c r="Z103" s="1109"/>
      <c r="AA103" s="1108"/>
      <c r="AB103" s="1108"/>
      <c r="AC103" s="1109"/>
      <c r="AD103" s="1109"/>
      <c r="AE103" s="1108"/>
      <c r="AF103" s="1108"/>
      <c r="AG103" s="1109"/>
      <c r="AH103" s="1109"/>
      <c r="AI103" s="1108"/>
      <c r="AJ103" s="1108"/>
      <c r="AK103" s="1109"/>
      <c r="AL103" s="1109"/>
      <c r="AM103" s="1108"/>
      <c r="AN103" s="1108"/>
      <c r="AO103" s="1109"/>
      <c r="AP103" s="1109"/>
      <c r="AQ103" s="1108"/>
      <c r="AR103" s="1108"/>
      <c r="AS103" s="1109"/>
      <c r="AT103" s="1109"/>
      <c r="AU103" s="1108"/>
      <c r="AV103" s="1108"/>
      <c r="AW103" s="1109"/>
      <c r="AX103" s="1109"/>
      <c r="AY103" s="1108"/>
      <c r="AZ103" s="1108"/>
      <c r="BA103" s="1109"/>
      <c r="BB103" s="1109"/>
      <c r="BC103" s="1108"/>
      <c r="BD103" s="1108"/>
      <c r="BE103" s="1109"/>
    </row>
    <row r="104" spans="1:60">
      <c r="A104" s="1105"/>
      <c r="B104" s="1106" t="s">
        <v>1562</v>
      </c>
      <c r="C104" s="1107"/>
      <c r="D104" s="1107"/>
      <c r="E104" s="1107"/>
      <c r="F104" s="1107"/>
      <c r="G104" s="1107"/>
      <c r="H104" s="1107"/>
      <c r="I104" s="1107"/>
      <c r="J104" s="1107"/>
      <c r="K104" s="1107"/>
      <c r="L104" s="1107"/>
      <c r="M104" s="1107"/>
      <c r="N104" s="1107"/>
      <c r="O104" s="1108"/>
      <c r="P104" s="1108"/>
      <c r="Q104" s="1105"/>
      <c r="R104" s="1105"/>
      <c r="S104" s="1108"/>
      <c r="T104" s="1108"/>
      <c r="U104" s="1109"/>
      <c r="V104" s="1109"/>
      <c r="W104" s="1108"/>
      <c r="X104" s="1108"/>
      <c r="Y104" s="1109"/>
      <c r="Z104" s="1109"/>
      <c r="AA104" s="1108"/>
      <c r="AB104" s="1108"/>
      <c r="AC104" s="1109"/>
      <c r="AD104" s="1109"/>
      <c r="AE104" s="1108"/>
      <c r="AF104" s="1108"/>
      <c r="AG104" s="1109"/>
      <c r="AH104" s="1109"/>
      <c r="AI104" s="1108"/>
      <c r="AJ104" s="1108"/>
      <c r="AK104" s="1109"/>
      <c r="AL104" s="1109"/>
      <c r="AM104" s="1108"/>
      <c r="AN104" s="1108"/>
      <c r="AO104" s="1109"/>
      <c r="AP104" s="1109"/>
      <c r="AQ104" s="1108"/>
      <c r="AR104" s="1108"/>
      <c r="AS104" s="1109"/>
      <c r="AT104" s="1109"/>
      <c r="AU104" s="1108"/>
      <c r="AV104" s="1108"/>
      <c r="AW104" s="1109"/>
      <c r="AX104" s="1109"/>
      <c r="AY104" s="1108"/>
      <c r="AZ104" s="1108"/>
      <c r="BA104" s="1109"/>
      <c r="BB104" s="1109"/>
      <c r="BC104" s="1108"/>
      <c r="BD104" s="1108"/>
      <c r="BE104" s="1109"/>
    </row>
    <row r="105" spans="1:60">
      <c r="A105" s="1105"/>
      <c r="B105" s="1106" t="s">
        <v>1563</v>
      </c>
      <c r="C105" s="1107"/>
      <c r="D105" s="1107"/>
      <c r="E105" s="1107"/>
      <c r="F105" s="1107"/>
      <c r="G105" s="1107"/>
      <c r="H105" s="1107"/>
      <c r="I105" s="1107"/>
      <c r="J105" s="1107"/>
      <c r="K105" s="1107"/>
      <c r="L105" s="1107"/>
      <c r="M105" s="1107"/>
      <c r="N105" s="1107"/>
      <c r="O105" s="1108"/>
      <c r="P105" s="1108"/>
      <c r="Q105" s="1105"/>
      <c r="R105" s="1105"/>
      <c r="S105" s="1108"/>
      <c r="T105" s="1108"/>
      <c r="U105" s="1109"/>
      <c r="V105" s="1109"/>
      <c r="W105" s="1108"/>
      <c r="X105" s="1108"/>
      <c r="Y105" s="1109"/>
      <c r="Z105" s="1109"/>
      <c r="AA105" s="1108"/>
      <c r="AB105" s="1108"/>
      <c r="AC105" s="1109"/>
      <c r="AD105" s="1109"/>
      <c r="AE105" s="1108"/>
      <c r="AF105" s="1108"/>
      <c r="AG105" s="1109"/>
      <c r="AH105" s="1109"/>
      <c r="AI105" s="1108"/>
      <c r="AJ105" s="1108"/>
      <c r="AK105" s="1109"/>
      <c r="AL105" s="1109"/>
      <c r="AM105" s="1108"/>
      <c r="AN105" s="1108"/>
      <c r="AO105" s="1109"/>
      <c r="AP105" s="1109"/>
      <c r="AQ105" s="1108"/>
      <c r="AR105" s="1108"/>
      <c r="AS105" s="1109"/>
      <c r="AT105" s="1109"/>
      <c r="AU105" s="1108"/>
      <c r="AV105" s="1108"/>
      <c r="AW105" s="1109"/>
      <c r="AX105" s="1109"/>
      <c r="AY105" s="1108"/>
      <c r="AZ105" s="1108"/>
      <c r="BA105" s="1109"/>
      <c r="BB105" s="1109"/>
      <c r="BC105" s="1108"/>
      <c r="BD105" s="1108"/>
      <c r="BE105" s="1109"/>
    </row>
    <row r="106" spans="1:60">
      <c r="O106" s="1108"/>
      <c r="P106" s="1108"/>
      <c r="Q106" s="1105"/>
      <c r="R106" s="1105"/>
      <c r="S106" s="1108"/>
      <c r="T106" s="1108"/>
      <c r="U106" s="1105"/>
      <c r="V106" s="1105"/>
      <c r="W106" s="1108"/>
      <c r="X106" s="1108"/>
      <c r="Y106" s="1105"/>
      <c r="Z106" s="1105"/>
      <c r="AA106" s="1108"/>
      <c r="AB106" s="1108"/>
      <c r="AC106" s="1105"/>
      <c r="AD106" s="1105"/>
      <c r="AE106" s="1108"/>
      <c r="AF106" s="1108"/>
      <c r="AG106" s="1105"/>
      <c r="AH106" s="1105"/>
      <c r="AI106" s="1108"/>
      <c r="AJ106" s="1108"/>
      <c r="AK106" s="1105"/>
      <c r="AL106" s="1105"/>
      <c r="AM106" s="1108"/>
      <c r="AN106" s="1108"/>
      <c r="AO106" s="1105"/>
      <c r="AP106" s="1105"/>
      <c r="AQ106" s="1108"/>
      <c r="AR106" s="1108"/>
      <c r="AS106" s="1105"/>
      <c r="AT106" s="1105"/>
      <c r="AU106" s="1108"/>
      <c r="AV106" s="1108"/>
      <c r="AW106" s="1105"/>
      <c r="AX106" s="1105"/>
      <c r="AY106" s="1108"/>
      <c r="AZ106" s="1108"/>
      <c r="BA106" s="1105"/>
      <c r="BB106" s="1105"/>
      <c r="BC106" s="1108"/>
      <c r="BD106" s="1108"/>
      <c r="BE106" s="1105"/>
    </row>
    <row r="107" spans="1:60">
      <c r="O107" s="1108"/>
      <c r="P107" s="1108"/>
      <c r="Q107" s="1105"/>
      <c r="R107" s="1105"/>
      <c r="S107" s="1108"/>
      <c r="T107" s="1108"/>
      <c r="U107" s="1109"/>
      <c r="V107" s="1109"/>
      <c r="W107" s="1108"/>
      <c r="X107" s="1108"/>
      <c r="Y107" s="1109"/>
      <c r="Z107" s="1109"/>
      <c r="AA107" s="1108"/>
      <c r="AB107" s="1108"/>
      <c r="AC107" s="1109"/>
      <c r="AD107" s="1109"/>
      <c r="AE107" s="1108"/>
      <c r="AF107" s="1108"/>
      <c r="AG107" s="1109"/>
      <c r="AH107" s="1109"/>
      <c r="AI107" s="1108"/>
      <c r="AJ107" s="1108"/>
      <c r="AK107" s="1109"/>
      <c r="AL107" s="1109"/>
      <c r="AM107" s="1108"/>
      <c r="AN107" s="1108"/>
      <c r="AO107" s="1109"/>
      <c r="AP107" s="1109"/>
      <c r="AQ107" s="1108"/>
      <c r="AR107" s="1108"/>
      <c r="AS107" s="1109"/>
      <c r="AT107" s="1109"/>
      <c r="AU107" s="1108"/>
      <c r="AV107" s="1108"/>
      <c r="AW107" s="1109"/>
      <c r="AX107" s="1109"/>
      <c r="AY107" s="1108"/>
      <c r="AZ107" s="1108"/>
      <c r="BA107" s="1109"/>
      <c r="BB107" s="1109"/>
      <c r="BC107" s="1108"/>
      <c r="BD107" s="1108"/>
      <c r="BE107" s="1109"/>
    </row>
    <row r="108" spans="1:60">
      <c r="O108" s="1108"/>
      <c r="P108" s="1108"/>
      <c r="Q108" s="1105"/>
      <c r="R108" s="1105"/>
      <c r="S108" s="1108"/>
      <c r="T108" s="1108"/>
      <c r="U108" s="1109"/>
      <c r="V108" s="1109"/>
      <c r="W108" s="1108"/>
      <c r="X108" s="1108"/>
      <c r="Y108" s="1109"/>
      <c r="Z108" s="1109"/>
      <c r="AA108" s="1108"/>
      <c r="AB108" s="1108"/>
      <c r="AC108" s="1109"/>
      <c r="AD108" s="1109"/>
      <c r="AE108" s="1108"/>
      <c r="AF108" s="1108"/>
      <c r="AG108" s="1109"/>
      <c r="AH108" s="1109"/>
      <c r="AI108" s="1108"/>
      <c r="AJ108" s="1108"/>
      <c r="AK108" s="1109"/>
      <c r="AL108" s="1109"/>
      <c r="AM108" s="1108"/>
      <c r="AN108" s="1108"/>
      <c r="AO108" s="1109"/>
      <c r="AP108" s="1109"/>
      <c r="AQ108" s="1108"/>
      <c r="AR108" s="1108"/>
      <c r="AS108" s="1109"/>
      <c r="AT108" s="1109"/>
      <c r="AU108" s="1108"/>
      <c r="AV108" s="1108"/>
      <c r="AW108" s="1109"/>
      <c r="AX108" s="1109"/>
      <c r="AY108" s="1108"/>
      <c r="AZ108" s="1108"/>
      <c r="BA108" s="1109"/>
      <c r="BB108" s="1109"/>
      <c r="BC108" s="1108"/>
      <c r="BD108" s="1108"/>
      <c r="BE108" s="1109"/>
    </row>
    <row r="109" spans="1:60">
      <c r="O109" s="1108"/>
      <c r="P109" s="1108"/>
      <c r="Q109" s="1105"/>
      <c r="R109" s="1105"/>
      <c r="S109" s="1108"/>
      <c r="T109" s="1108"/>
      <c r="U109" s="1109"/>
      <c r="V109" s="1109"/>
      <c r="W109" s="1108"/>
      <c r="X109" s="1108"/>
      <c r="Y109" s="1109"/>
      <c r="Z109" s="1109"/>
      <c r="AA109" s="1108"/>
      <c r="AB109" s="1108"/>
      <c r="AC109" s="1109"/>
      <c r="AD109" s="1109"/>
      <c r="AE109" s="1108"/>
      <c r="AF109" s="1108"/>
      <c r="AG109" s="1109"/>
      <c r="AH109" s="1109"/>
      <c r="AI109" s="1108"/>
      <c r="AJ109" s="1108"/>
      <c r="AK109" s="1109"/>
      <c r="AL109" s="1109"/>
      <c r="AM109" s="1108"/>
      <c r="AN109" s="1108"/>
      <c r="AO109" s="1109"/>
      <c r="AP109" s="1109"/>
      <c r="AQ109" s="1108"/>
      <c r="AR109" s="1108"/>
      <c r="AS109" s="1109"/>
      <c r="AT109" s="1109"/>
      <c r="AU109" s="1108"/>
      <c r="AV109" s="1108"/>
      <c r="AW109" s="1109"/>
      <c r="AX109" s="1109"/>
      <c r="AY109" s="1108"/>
      <c r="AZ109" s="1108"/>
      <c r="BA109" s="1109"/>
      <c r="BB109" s="1109"/>
      <c r="BC109" s="1108"/>
      <c r="BD109" s="1108"/>
      <c r="BE109" s="1109"/>
    </row>
    <row r="110" spans="1:60">
      <c r="O110" s="1108"/>
      <c r="P110" s="1108"/>
      <c r="Q110" s="1105"/>
      <c r="R110" s="1105"/>
      <c r="S110" s="1108"/>
      <c r="T110" s="1108"/>
      <c r="U110" s="1105"/>
      <c r="V110" s="1105"/>
      <c r="W110" s="1108"/>
      <c r="X110" s="1108"/>
      <c r="Y110" s="1105"/>
      <c r="Z110" s="1105"/>
      <c r="AA110" s="1108"/>
      <c r="AB110" s="1108"/>
      <c r="AC110" s="1105"/>
      <c r="AD110" s="1105"/>
      <c r="AE110" s="1108"/>
      <c r="AF110" s="1108"/>
      <c r="AG110" s="1105"/>
      <c r="AH110" s="1105"/>
      <c r="AI110" s="1108"/>
      <c r="AJ110" s="1108"/>
      <c r="AK110" s="1105"/>
      <c r="AL110" s="1105"/>
      <c r="AM110" s="1108"/>
      <c r="AN110" s="1108"/>
      <c r="AO110" s="1105"/>
      <c r="AP110" s="1105"/>
      <c r="AQ110" s="1108"/>
      <c r="AR110" s="1108"/>
      <c r="AS110" s="1105"/>
      <c r="AT110" s="1105"/>
      <c r="AU110" s="1108"/>
      <c r="AV110" s="1108"/>
      <c r="AW110" s="1105"/>
      <c r="AX110" s="1105"/>
      <c r="AY110" s="1108"/>
      <c r="AZ110" s="1108"/>
      <c r="BA110" s="1105"/>
      <c r="BB110" s="1105"/>
      <c r="BC110" s="1108"/>
      <c r="BD110" s="1108"/>
      <c r="BE110" s="1105"/>
    </row>
    <row r="111" spans="1:60">
      <c r="O111" s="1108"/>
      <c r="P111" s="1108"/>
      <c r="Q111" s="1105"/>
      <c r="R111" s="1105"/>
      <c r="S111" s="1108"/>
      <c r="T111" s="1108"/>
      <c r="U111" s="1105"/>
      <c r="V111" s="1105"/>
      <c r="W111" s="1108"/>
      <c r="X111" s="1108"/>
      <c r="Y111" s="1105"/>
      <c r="Z111" s="1105"/>
      <c r="AA111" s="1108"/>
      <c r="AB111" s="1108"/>
      <c r="AC111" s="1105"/>
      <c r="AD111" s="1105"/>
      <c r="AE111" s="1108"/>
      <c r="AF111" s="1108"/>
      <c r="AG111" s="1105"/>
      <c r="AH111" s="1105"/>
      <c r="AI111" s="1108"/>
      <c r="AJ111" s="1108"/>
      <c r="AK111" s="1105"/>
      <c r="AL111" s="1105"/>
      <c r="AM111" s="1108"/>
      <c r="AN111" s="1108"/>
      <c r="AO111" s="1105"/>
      <c r="AP111" s="1105"/>
      <c r="AQ111" s="1108"/>
      <c r="AR111" s="1108"/>
      <c r="AS111" s="1105"/>
      <c r="AT111" s="1105"/>
      <c r="AU111" s="1108"/>
      <c r="AV111" s="1108"/>
      <c r="AW111" s="1105"/>
      <c r="AX111" s="1105"/>
      <c r="AY111" s="1108"/>
      <c r="AZ111" s="1108"/>
      <c r="BA111" s="1105"/>
      <c r="BB111" s="1105"/>
      <c r="BC111" s="1108"/>
      <c r="BD111" s="1108"/>
      <c r="BE111" s="1105"/>
    </row>
    <row r="112" spans="1:60">
      <c r="O112" s="1108"/>
      <c r="P112" s="1108"/>
      <c r="Q112" s="1105"/>
      <c r="R112" s="1105"/>
      <c r="S112" s="1108"/>
      <c r="T112" s="1108"/>
      <c r="U112" s="1109"/>
      <c r="V112" s="1109"/>
      <c r="W112" s="1108"/>
      <c r="X112" s="1108"/>
      <c r="Y112" s="1109"/>
      <c r="Z112" s="1109"/>
      <c r="AA112" s="1108"/>
      <c r="AB112" s="1108"/>
      <c r="AC112" s="1109"/>
      <c r="AD112" s="1109"/>
      <c r="AE112" s="1108"/>
      <c r="AF112" s="1108"/>
      <c r="AG112" s="1109"/>
      <c r="AH112" s="1109"/>
      <c r="AI112" s="1108"/>
      <c r="AJ112" s="1108"/>
      <c r="AK112" s="1109"/>
      <c r="AL112" s="1109"/>
      <c r="AM112" s="1108"/>
      <c r="AN112" s="1108"/>
      <c r="AO112" s="1109"/>
      <c r="AP112" s="1109"/>
      <c r="AQ112" s="1108"/>
      <c r="AR112" s="1108"/>
      <c r="AS112" s="1109"/>
      <c r="AT112" s="1109"/>
      <c r="AU112" s="1108"/>
      <c r="AV112" s="1108"/>
      <c r="AW112" s="1109"/>
      <c r="AX112" s="1109"/>
      <c r="AY112" s="1108"/>
      <c r="AZ112" s="1108"/>
      <c r="BA112" s="1109"/>
      <c r="BB112" s="1109"/>
      <c r="BC112" s="1108"/>
      <c r="BD112" s="1108"/>
      <c r="BE112" s="1109"/>
    </row>
    <row r="113" spans="1:57">
      <c r="O113" s="1108"/>
      <c r="P113" s="1108"/>
      <c r="Q113" s="1109"/>
      <c r="R113" s="1109"/>
      <c r="S113" s="1108"/>
      <c r="T113" s="1108"/>
      <c r="U113" s="1109"/>
      <c r="V113" s="1109"/>
      <c r="W113" s="1108"/>
      <c r="X113" s="1108"/>
      <c r="Y113" s="1109"/>
      <c r="Z113" s="1109"/>
      <c r="AA113" s="1108"/>
      <c r="AB113" s="1108"/>
      <c r="AC113" s="1109"/>
      <c r="AD113" s="1109"/>
      <c r="AE113" s="1108"/>
      <c r="AF113" s="1108"/>
      <c r="AG113" s="1109"/>
      <c r="AH113" s="1109"/>
      <c r="AI113" s="1108"/>
      <c r="AJ113" s="1108"/>
      <c r="AK113" s="1109"/>
      <c r="AL113" s="1109"/>
      <c r="AM113" s="1108"/>
      <c r="AN113" s="1108"/>
      <c r="AO113" s="1109"/>
      <c r="AP113" s="1109"/>
      <c r="AQ113" s="1108"/>
      <c r="AR113" s="1108"/>
      <c r="AS113" s="1109"/>
      <c r="AT113" s="1109"/>
      <c r="AU113" s="1108"/>
      <c r="AV113" s="1108"/>
      <c r="AW113" s="1109"/>
      <c r="AX113" s="1109"/>
      <c r="AY113" s="1108"/>
      <c r="AZ113" s="1108"/>
      <c r="BA113" s="1109"/>
      <c r="BB113" s="1109"/>
      <c r="BC113" s="1108"/>
      <c r="BD113" s="1108"/>
      <c r="BE113" s="1109"/>
    </row>
    <row r="114" spans="1:57">
      <c r="O114" s="1108"/>
      <c r="P114" s="1108"/>
      <c r="Q114" s="1105"/>
      <c r="R114" s="1105"/>
      <c r="S114" s="1108"/>
      <c r="T114" s="1108"/>
      <c r="U114" s="1109"/>
      <c r="V114" s="1109"/>
      <c r="W114" s="1108"/>
      <c r="X114" s="1108"/>
      <c r="Y114" s="1109"/>
      <c r="Z114" s="1109"/>
      <c r="AA114" s="1108"/>
      <c r="AB114" s="1108"/>
      <c r="AC114" s="1109"/>
      <c r="AD114" s="1109"/>
      <c r="AE114" s="1108"/>
      <c r="AF114" s="1108"/>
      <c r="AG114" s="1109"/>
      <c r="AH114" s="1109"/>
      <c r="AI114" s="1108"/>
      <c r="AJ114" s="1108"/>
      <c r="AK114" s="1109"/>
      <c r="AL114" s="1109"/>
      <c r="AM114" s="1108"/>
      <c r="AN114" s="1108"/>
      <c r="AO114" s="1109"/>
      <c r="AP114" s="1109"/>
      <c r="AQ114" s="1108"/>
      <c r="AR114" s="1108"/>
      <c r="AS114" s="1109"/>
      <c r="AT114" s="1109"/>
      <c r="AU114" s="1108"/>
      <c r="AV114" s="1108"/>
      <c r="AW114" s="1109"/>
      <c r="AX114" s="1109"/>
      <c r="AY114" s="1108"/>
      <c r="AZ114" s="1108"/>
      <c r="BA114" s="1109"/>
      <c r="BB114" s="1109"/>
      <c r="BC114" s="1108"/>
      <c r="BD114" s="1108"/>
      <c r="BE114" s="1109"/>
    </row>
    <row r="115" spans="1:57">
      <c r="O115" s="1108"/>
      <c r="P115" s="1108"/>
      <c r="Q115" s="1105"/>
      <c r="R115" s="1105"/>
      <c r="S115" s="1108"/>
      <c r="T115" s="1108"/>
      <c r="U115" s="1109"/>
      <c r="V115" s="1109"/>
      <c r="W115" s="1108"/>
      <c r="X115" s="1108"/>
      <c r="Y115" s="1109"/>
      <c r="Z115" s="1109"/>
      <c r="AA115" s="1108"/>
      <c r="AB115" s="1108"/>
      <c r="AC115" s="1109"/>
      <c r="AD115" s="1109"/>
      <c r="AE115" s="1108"/>
      <c r="AF115" s="1108"/>
      <c r="AG115" s="1109"/>
      <c r="AH115" s="1109"/>
      <c r="AI115" s="1108"/>
      <c r="AJ115" s="1108"/>
      <c r="AK115" s="1109"/>
      <c r="AL115" s="1109"/>
      <c r="AM115" s="1108"/>
      <c r="AN115" s="1108"/>
      <c r="AO115" s="1109"/>
      <c r="AP115" s="1109"/>
      <c r="AQ115" s="1108"/>
      <c r="AR115" s="1108"/>
      <c r="AS115" s="1109"/>
      <c r="AT115" s="1109"/>
      <c r="AU115" s="1108"/>
      <c r="AV115" s="1108"/>
      <c r="AW115" s="1109"/>
      <c r="AX115" s="1109"/>
      <c r="AY115" s="1108"/>
      <c r="AZ115" s="1108"/>
      <c r="BA115" s="1109"/>
      <c r="BB115" s="1109"/>
      <c r="BC115" s="1108"/>
      <c r="BD115" s="1108"/>
      <c r="BE115" s="1109"/>
    </row>
    <row r="116" spans="1:57">
      <c r="A116" s="1025"/>
      <c r="O116" s="1108"/>
      <c r="P116" s="1108"/>
      <c r="Q116" s="1105"/>
      <c r="R116" s="1105"/>
      <c r="S116" s="1108"/>
      <c r="T116" s="1108"/>
      <c r="U116" s="1105"/>
      <c r="V116" s="1105"/>
      <c r="W116" s="1108"/>
      <c r="X116" s="1108"/>
      <c r="Y116" s="1105"/>
      <c r="Z116" s="1105"/>
      <c r="AA116" s="1108"/>
      <c r="AB116" s="1108"/>
      <c r="AC116" s="1105"/>
      <c r="AD116" s="1105"/>
      <c r="AE116" s="1108"/>
      <c r="AF116" s="1108"/>
      <c r="AG116" s="1105"/>
      <c r="AH116" s="1105"/>
      <c r="AI116" s="1108"/>
      <c r="AJ116" s="1108"/>
      <c r="AK116" s="1105"/>
      <c r="AL116" s="1105"/>
      <c r="AM116" s="1108"/>
      <c r="AN116" s="1108"/>
      <c r="AO116" s="1105"/>
      <c r="AP116" s="1105"/>
      <c r="AQ116" s="1108"/>
      <c r="AR116" s="1108"/>
      <c r="AS116" s="1105"/>
      <c r="AT116" s="1105"/>
      <c r="AU116" s="1108"/>
      <c r="AV116" s="1108"/>
      <c r="AW116" s="1105"/>
      <c r="AX116" s="1105"/>
      <c r="AY116" s="1108"/>
      <c r="AZ116" s="1108"/>
      <c r="BA116" s="1105"/>
      <c r="BB116" s="1105"/>
      <c r="BC116" s="1108"/>
      <c r="BD116" s="1108"/>
      <c r="BE116" s="1105"/>
    </row>
    <row r="117" spans="1:57">
      <c r="A117" s="1025"/>
      <c r="O117" s="1108"/>
      <c r="P117" s="1108"/>
      <c r="Q117" s="1105"/>
      <c r="R117" s="1105"/>
      <c r="S117" s="1108"/>
      <c r="T117" s="1108"/>
      <c r="U117" s="1109"/>
      <c r="V117" s="1109"/>
      <c r="W117" s="1108"/>
      <c r="X117" s="1108"/>
      <c r="Y117" s="1109"/>
      <c r="Z117" s="1109"/>
      <c r="AA117" s="1108"/>
      <c r="AB117" s="1108"/>
      <c r="AC117" s="1109"/>
      <c r="AD117" s="1109"/>
      <c r="AE117" s="1108"/>
      <c r="AF117" s="1108"/>
      <c r="AG117" s="1109"/>
      <c r="AH117" s="1109"/>
      <c r="AI117" s="1108"/>
      <c r="AJ117" s="1108"/>
      <c r="AK117" s="1109"/>
      <c r="AL117" s="1109"/>
      <c r="AM117" s="1108"/>
      <c r="AN117" s="1108"/>
      <c r="AO117" s="1109"/>
      <c r="AP117" s="1109"/>
      <c r="AQ117" s="1108"/>
      <c r="AR117" s="1108"/>
      <c r="AS117" s="1109"/>
      <c r="AT117" s="1109"/>
      <c r="AU117" s="1108"/>
      <c r="AV117" s="1108"/>
      <c r="AW117" s="1109"/>
      <c r="AX117" s="1109"/>
      <c r="AY117" s="1108"/>
      <c r="AZ117" s="1108"/>
      <c r="BA117" s="1109"/>
      <c r="BB117" s="1109"/>
      <c r="BC117" s="1108"/>
      <c r="BD117" s="1108"/>
      <c r="BE117" s="1109"/>
    </row>
    <row r="118" spans="1:57">
      <c r="A118" s="1025"/>
      <c r="O118" s="1108"/>
      <c r="P118" s="1108"/>
      <c r="Q118" s="1105"/>
      <c r="R118" s="1105"/>
      <c r="S118" s="1108"/>
      <c r="T118" s="1108"/>
      <c r="U118" s="1109"/>
      <c r="V118" s="1109"/>
      <c r="W118" s="1108"/>
      <c r="X118" s="1108"/>
      <c r="Y118" s="1109"/>
      <c r="Z118" s="1109"/>
      <c r="AA118" s="1108"/>
      <c r="AB118" s="1108"/>
      <c r="AC118" s="1109"/>
      <c r="AD118" s="1109"/>
      <c r="AE118" s="1108"/>
      <c r="AF118" s="1108"/>
      <c r="AG118" s="1109"/>
      <c r="AH118" s="1109"/>
      <c r="AI118" s="1108"/>
      <c r="AJ118" s="1108"/>
      <c r="AK118" s="1109"/>
      <c r="AL118" s="1109"/>
      <c r="AM118" s="1108"/>
      <c r="AN118" s="1108"/>
      <c r="AO118" s="1109"/>
      <c r="AP118" s="1109"/>
      <c r="AQ118" s="1108"/>
      <c r="AR118" s="1108"/>
      <c r="AS118" s="1109"/>
      <c r="AT118" s="1109"/>
      <c r="AU118" s="1108"/>
      <c r="AV118" s="1108"/>
      <c r="AW118" s="1109"/>
      <c r="AX118" s="1109"/>
      <c r="AY118" s="1108"/>
      <c r="AZ118" s="1108"/>
      <c r="BA118" s="1109"/>
      <c r="BB118" s="1109"/>
      <c r="BC118" s="1108"/>
      <c r="BD118" s="1108"/>
      <c r="BE118" s="1109"/>
    </row>
    <row r="119" spans="1:57">
      <c r="A119" s="1025"/>
      <c r="O119" s="1108"/>
      <c r="P119" s="1108"/>
      <c r="Q119" s="1105"/>
      <c r="R119" s="1105"/>
      <c r="S119" s="1108"/>
      <c r="T119" s="1108"/>
      <c r="U119" s="1109"/>
      <c r="V119" s="1109"/>
      <c r="W119" s="1108"/>
      <c r="X119" s="1108"/>
      <c r="Y119" s="1109"/>
      <c r="Z119" s="1109"/>
      <c r="AA119" s="1108"/>
      <c r="AB119" s="1108"/>
      <c r="AC119" s="1109"/>
      <c r="AD119" s="1109"/>
      <c r="AE119" s="1108"/>
      <c r="AF119" s="1108"/>
      <c r="AG119" s="1109"/>
      <c r="AH119" s="1109"/>
      <c r="AI119" s="1108"/>
      <c r="AJ119" s="1108"/>
      <c r="AK119" s="1109"/>
      <c r="AL119" s="1109"/>
      <c r="AM119" s="1108"/>
      <c r="AN119" s="1108"/>
      <c r="AO119" s="1109"/>
      <c r="AP119" s="1109"/>
      <c r="AQ119" s="1108"/>
      <c r="AR119" s="1108"/>
      <c r="AS119" s="1109"/>
      <c r="AT119" s="1109"/>
      <c r="AU119" s="1108"/>
      <c r="AV119" s="1108"/>
      <c r="AW119" s="1109"/>
      <c r="AX119" s="1109"/>
      <c r="AY119" s="1108"/>
      <c r="AZ119" s="1108"/>
      <c r="BA119" s="1109"/>
      <c r="BB119" s="1109"/>
      <c r="BC119" s="1108"/>
      <c r="BD119" s="1108"/>
      <c r="BE119" s="1109"/>
    </row>
    <row r="120" spans="1:57">
      <c r="A120" s="1025"/>
      <c r="O120" s="1108"/>
      <c r="P120" s="1108"/>
      <c r="Q120" s="1105"/>
      <c r="R120" s="1105"/>
      <c r="S120" s="1108"/>
      <c r="T120" s="1108"/>
      <c r="U120" s="1105"/>
      <c r="V120" s="1105"/>
      <c r="W120" s="1108"/>
      <c r="X120" s="1108"/>
      <c r="Y120" s="1105"/>
      <c r="Z120" s="1105"/>
      <c r="AA120" s="1108"/>
      <c r="AB120" s="1108"/>
      <c r="AC120" s="1105"/>
      <c r="AD120" s="1105"/>
      <c r="AE120" s="1108"/>
      <c r="AF120" s="1108"/>
      <c r="AG120" s="1105"/>
      <c r="AH120" s="1105"/>
      <c r="AI120" s="1108"/>
      <c r="AJ120" s="1108"/>
      <c r="AK120" s="1105"/>
      <c r="AL120" s="1105"/>
      <c r="AM120" s="1108"/>
      <c r="AN120" s="1108"/>
      <c r="AO120" s="1105"/>
      <c r="AP120" s="1105"/>
      <c r="AQ120" s="1108"/>
      <c r="AR120" s="1108"/>
      <c r="AS120" s="1105"/>
      <c r="AT120" s="1105"/>
      <c r="AU120" s="1108"/>
      <c r="AV120" s="1108"/>
      <c r="AW120" s="1105"/>
      <c r="AX120" s="1105"/>
      <c r="AY120" s="1108"/>
      <c r="AZ120" s="1108"/>
      <c r="BA120" s="1105"/>
      <c r="BB120" s="1105"/>
      <c r="BC120" s="1108"/>
      <c r="BD120" s="1108"/>
      <c r="BE120" s="1105"/>
    </row>
    <row r="121" spans="1:57">
      <c r="A121" s="1025"/>
    </row>
    <row r="122" spans="1:57">
      <c r="A122" s="1025"/>
    </row>
    <row r="123" spans="1:57">
      <c r="A123" s="1025"/>
    </row>
    <row r="124" spans="1:57">
      <c r="A124" s="1025"/>
    </row>
    <row r="125" spans="1:57">
      <c r="A125" s="1025"/>
    </row>
  </sheetData>
  <mergeCells count="68">
    <mergeCell ref="F10:F12"/>
    <mergeCell ref="A10:A12"/>
    <mergeCell ref="B10:B12"/>
    <mergeCell ref="C10:C12"/>
    <mergeCell ref="D10:D12"/>
    <mergeCell ref="E10:E12"/>
    <mergeCell ref="AQ11:AQ12"/>
    <mergeCell ref="AR11:AR12"/>
    <mergeCell ref="V10:V12"/>
    <mergeCell ref="G10:G12"/>
    <mergeCell ref="H10:H12"/>
    <mergeCell ref="I10:I12"/>
    <mergeCell ref="J10:J12"/>
    <mergeCell ref="K10:K12"/>
    <mergeCell ref="L10:L12"/>
    <mergeCell ref="M10:M12"/>
    <mergeCell ref="N10:N12"/>
    <mergeCell ref="Q10:Q12"/>
    <mergeCell ref="R10:R12"/>
    <mergeCell ref="U10:U12"/>
    <mergeCell ref="O10:P10"/>
    <mergeCell ref="S10:T10"/>
    <mergeCell ref="BE10:BE12"/>
    <mergeCell ref="BD11:BD12"/>
    <mergeCell ref="AT10:AT12"/>
    <mergeCell ref="Y10:Y12"/>
    <mergeCell ref="Z10:Z12"/>
    <mergeCell ref="AC10:AC12"/>
    <mergeCell ref="AD10:AD12"/>
    <mergeCell ref="AG10:AG12"/>
    <mergeCell ref="AH10:AH12"/>
    <mergeCell ref="AK10:AK12"/>
    <mergeCell ref="AL10:AL12"/>
    <mergeCell ref="AO10:AO12"/>
    <mergeCell ref="AP10:AP12"/>
    <mergeCell ref="AS10:AS12"/>
    <mergeCell ref="AQ10:AR10"/>
    <mergeCell ref="AN11:AN12"/>
    <mergeCell ref="AI11:AI12"/>
    <mergeCell ref="AJ11:AJ12"/>
    <mergeCell ref="AM11:AM12"/>
    <mergeCell ref="W10:X10"/>
    <mergeCell ref="AA10:AB10"/>
    <mergeCell ref="AE10:AF10"/>
    <mergeCell ref="AI10:AJ10"/>
    <mergeCell ref="AM10:AN10"/>
    <mergeCell ref="X11:X12"/>
    <mergeCell ref="AA11:AA12"/>
    <mergeCell ref="AB11:AB12"/>
    <mergeCell ref="AE11:AE12"/>
    <mergeCell ref="AF11:AF12"/>
    <mergeCell ref="O11:O12"/>
    <mergeCell ref="P11:P12"/>
    <mergeCell ref="S11:S12"/>
    <mergeCell ref="T11:T12"/>
    <mergeCell ref="W11:W12"/>
    <mergeCell ref="AU11:AU12"/>
    <mergeCell ref="AV11:AV12"/>
    <mergeCell ref="AY11:AY12"/>
    <mergeCell ref="AZ11:AZ12"/>
    <mergeCell ref="BC11:BC12"/>
    <mergeCell ref="AW10:AW12"/>
    <mergeCell ref="AX10:AX12"/>
    <mergeCell ref="BA10:BA12"/>
    <mergeCell ref="BB10:BB12"/>
    <mergeCell ref="AU10:AV10"/>
    <mergeCell ref="AY10:AZ10"/>
    <mergeCell ref="BC10:BD10"/>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X1109"/>
  <sheetViews>
    <sheetView zoomScaleNormal="100" workbookViewId="0">
      <pane xSplit="2" ySplit="11" topLeftCell="C12" activePane="bottomRight" state="frozen"/>
      <selection activeCell="H9" sqref="H9:H13"/>
      <selection pane="topRight" activeCell="H9" sqref="H9:H13"/>
      <selection pane="bottomLeft" activeCell="H9" sqref="H9:H13"/>
      <selection pane="bottomRight" activeCell="M16" sqref="M16"/>
    </sheetView>
  </sheetViews>
  <sheetFormatPr defaultRowHeight="18.600000000000001" outlineLevelRow="2" outlineLevelCol="1"/>
  <cols>
    <col min="1" max="1" width="5.5546875" style="780" customWidth="1"/>
    <col min="2" max="2" width="45.88671875" style="777" customWidth="1"/>
    <col min="3" max="3" width="6.44140625" style="777" hidden="1" customWidth="1" outlineLevel="1"/>
    <col min="4" max="4" width="9.88671875" style="777" hidden="1" customWidth="1" outlineLevel="1" collapsed="1"/>
    <col min="5" max="5" width="8.6640625" style="730" hidden="1" customWidth="1" outlineLevel="1"/>
    <col min="6" max="6" width="9.109375" style="777" hidden="1" customWidth="1" outlineLevel="1"/>
    <col min="7" max="7" width="10.44140625" style="777" customWidth="1" collapsed="1"/>
    <col min="8" max="8" width="10.44140625" style="777" customWidth="1"/>
    <col min="9" max="9" width="10" style="730" customWidth="1"/>
    <col min="10" max="10" width="9.33203125" style="730" hidden="1" customWidth="1" outlineLevel="1"/>
    <col min="11" max="11" width="10" style="730" hidden="1" customWidth="1" outlineLevel="1"/>
    <col min="12" max="12" width="10" style="730" customWidth="1" collapsed="1"/>
    <col min="13" max="13" width="10.5546875" style="777" customWidth="1"/>
    <col min="14" max="14" width="9" style="1332"/>
    <col min="15" max="15" width="9" style="1334" bestFit="1" customWidth="1"/>
    <col min="16" max="16" width="10.44140625" style="1333" bestFit="1" customWidth="1"/>
    <col min="17" max="191" width="9" style="1332"/>
    <col min="192" max="192" width="4" style="1332" customWidth="1"/>
    <col min="193" max="193" width="47.6640625" style="1332" customWidth="1"/>
    <col min="194" max="194" width="5.88671875" style="1332" customWidth="1"/>
    <col min="195" max="200" width="8" style="1332" customWidth="1"/>
    <col min="201" max="201" width="9.44140625" style="1332" customWidth="1"/>
    <col min="202" max="202" width="9.5546875" style="1332" customWidth="1"/>
    <col min="203" max="217" width="8" style="1332" customWidth="1"/>
    <col min="218" max="218" width="8.5546875" style="1332" customWidth="1"/>
    <col min="219" max="219" width="9.44140625" style="1332" bestFit="1" customWidth="1"/>
    <col min="220" max="282" width="9" style="1332"/>
    <col min="283" max="447" width="9" style="777"/>
    <col min="448" max="448" width="4" style="777" customWidth="1"/>
    <col min="449" max="449" width="47.6640625" style="777" customWidth="1"/>
    <col min="450" max="450" width="5.88671875" style="777" customWidth="1"/>
    <col min="451" max="456" width="8" style="777" customWidth="1"/>
    <col min="457" max="457" width="9.44140625" style="777" customWidth="1"/>
    <col min="458" max="458" width="9.5546875" style="777" customWidth="1"/>
    <col min="459" max="473" width="8" style="777" customWidth="1"/>
    <col min="474" max="474" width="8.5546875" style="777" customWidth="1"/>
    <col min="475" max="475" width="9.44140625" style="777" bestFit="1" customWidth="1"/>
    <col min="476" max="703" width="9" style="777"/>
    <col min="704" max="704" width="4" style="777" customWidth="1"/>
    <col min="705" max="705" width="47.6640625" style="777" customWidth="1"/>
    <col min="706" max="706" width="5.88671875" style="777" customWidth="1"/>
    <col min="707" max="712" width="8" style="777" customWidth="1"/>
    <col min="713" max="713" width="9.44140625" style="777" customWidth="1"/>
    <col min="714" max="714" width="9.5546875" style="777" customWidth="1"/>
    <col min="715" max="729" width="8" style="777" customWidth="1"/>
    <col min="730" max="730" width="8.5546875" style="777" customWidth="1"/>
    <col min="731" max="731" width="9.44140625" style="777" bestFit="1" customWidth="1"/>
    <col min="732" max="959" width="9" style="777"/>
    <col min="960" max="960" width="4" style="777" customWidth="1"/>
    <col min="961" max="961" width="47.6640625" style="777" customWidth="1"/>
    <col min="962" max="962" width="5.88671875" style="777" customWidth="1"/>
    <col min="963" max="968" width="8" style="777" customWidth="1"/>
    <col min="969" max="969" width="9.44140625" style="777" customWidth="1"/>
    <col min="970" max="970" width="9.5546875" style="777" customWidth="1"/>
    <col min="971" max="985" width="8" style="777" customWidth="1"/>
    <col min="986" max="986" width="8.5546875" style="777" customWidth="1"/>
    <col min="987" max="987" width="9.44140625" style="777" bestFit="1" customWidth="1"/>
    <col min="988" max="1215" width="9" style="777"/>
    <col min="1216" max="1216" width="4" style="777" customWidth="1"/>
    <col min="1217" max="1217" width="47.6640625" style="777" customWidth="1"/>
    <col min="1218" max="1218" width="5.88671875" style="777" customWidth="1"/>
    <col min="1219" max="1224" width="8" style="777" customWidth="1"/>
    <col min="1225" max="1225" width="9.44140625" style="777" customWidth="1"/>
    <col min="1226" max="1226" width="9.5546875" style="777" customWidth="1"/>
    <col min="1227" max="1241" width="8" style="777" customWidth="1"/>
    <col min="1242" max="1242" width="8.5546875" style="777" customWidth="1"/>
    <col min="1243" max="1243" width="9.44140625" style="777" bestFit="1" customWidth="1"/>
    <col min="1244" max="1471" width="9" style="777"/>
    <col min="1472" max="1472" width="4" style="777" customWidth="1"/>
    <col min="1473" max="1473" width="47.6640625" style="777" customWidth="1"/>
    <col min="1474" max="1474" width="5.88671875" style="777" customWidth="1"/>
    <col min="1475" max="1480" width="8" style="777" customWidth="1"/>
    <col min="1481" max="1481" width="9.44140625" style="777" customWidth="1"/>
    <col min="1482" max="1482" width="9.5546875" style="777" customWidth="1"/>
    <col min="1483" max="1497" width="8" style="777" customWidth="1"/>
    <col min="1498" max="1498" width="8.5546875" style="777" customWidth="1"/>
    <col min="1499" max="1499" width="9.44140625" style="777" bestFit="1" customWidth="1"/>
    <col min="1500" max="1727" width="9" style="777"/>
    <col min="1728" max="1728" width="4" style="777" customWidth="1"/>
    <col min="1729" max="1729" width="47.6640625" style="777" customWidth="1"/>
    <col min="1730" max="1730" width="5.88671875" style="777" customWidth="1"/>
    <col min="1731" max="1736" width="8" style="777" customWidth="1"/>
    <col min="1737" max="1737" width="9.44140625" style="777" customWidth="1"/>
    <col min="1738" max="1738" width="9.5546875" style="777" customWidth="1"/>
    <col min="1739" max="1753" width="8" style="777" customWidth="1"/>
    <col min="1754" max="1754" width="8.5546875" style="777" customWidth="1"/>
    <col min="1755" max="1755" width="9.44140625" style="777" bestFit="1" customWidth="1"/>
    <col min="1756" max="1983" width="9" style="777"/>
    <col min="1984" max="1984" width="4" style="777" customWidth="1"/>
    <col min="1985" max="1985" width="47.6640625" style="777" customWidth="1"/>
    <col min="1986" max="1986" width="5.88671875" style="777" customWidth="1"/>
    <col min="1987" max="1992" width="8" style="777" customWidth="1"/>
    <col min="1993" max="1993" width="9.44140625" style="777" customWidth="1"/>
    <col min="1994" max="1994" width="9.5546875" style="777" customWidth="1"/>
    <col min="1995" max="2009" width="8" style="777" customWidth="1"/>
    <col min="2010" max="2010" width="8.5546875" style="777" customWidth="1"/>
    <col min="2011" max="2011" width="9.44140625" style="777" bestFit="1" customWidth="1"/>
    <col min="2012" max="2239" width="9" style="777"/>
    <col min="2240" max="2240" width="4" style="777" customWidth="1"/>
    <col min="2241" max="2241" width="47.6640625" style="777" customWidth="1"/>
    <col min="2242" max="2242" width="5.88671875" style="777" customWidth="1"/>
    <col min="2243" max="2248" width="8" style="777" customWidth="1"/>
    <col min="2249" max="2249" width="9.44140625" style="777" customWidth="1"/>
    <col min="2250" max="2250" width="9.5546875" style="777" customWidth="1"/>
    <col min="2251" max="2265" width="8" style="777" customWidth="1"/>
    <col min="2266" max="2266" width="8.5546875" style="777" customWidth="1"/>
    <col min="2267" max="2267" width="9.44140625" style="777" bestFit="1" customWidth="1"/>
    <col min="2268" max="2495" width="9" style="777"/>
    <col min="2496" max="2496" width="4" style="777" customWidth="1"/>
    <col min="2497" max="2497" width="47.6640625" style="777" customWidth="1"/>
    <col min="2498" max="2498" width="5.88671875" style="777" customWidth="1"/>
    <col min="2499" max="2504" width="8" style="777" customWidth="1"/>
    <col min="2505" max="2505" width="9.44140625" style="777" customWidth="1"/>
    <col min="2506" max="2506" width="9.5546875" style="777" customWidth="1"/>
    <col min="2507" max="2521" width="8" style="777" customWidth="1"/>
    <col min="2522" max="2522" width="8.5546875" style="777" customWidth="1"/>
    <col min="2523" max="2523" width="9.44140625" style="777" bestFit="1" customWidth="1"/>
    <col min="2524" max="2751" width="9" style="777"/>
    <col min="2752" max="2752" width="4" style="777" customWidth="1"/>
    <col min="2753" max="2753" width="47.6640625" style="777" customWidth="1"/>
    <col min="2754" max="2754" width="5.88671875" style="777" customWidth="1"/>
    <col min="2755" max="2760" width="8" style="777" customWidth="1"/>
    <col min="2761" max="2761" width="9.44140625" style="777" customWidth="1"/>
    <col min="2762" max="2762" width="9.5546875" style="777" customWidth="1"/>
    <col min="2763" max="2777" width="8" style="777" customWidth="1"/>
    <col min="2778" max="2778" width="8.5546875" style="777" customWidth="1"/>
    <col min="2779" max="2779" width="9.44140625" style="777" bestFit="1" customWidth="1"/>
    <col min="2780" max="3007" width="9" style="777"/>
    <col min="3008" max="3008" width="4" style="777" customWidth="1"/>
    <col min="3009" max="3009" width="47.6640625" style="777" customWidth="1"/>
    <col min="3010" max="3010" width="5.88671875" style="777" customWidth="1"/>
    <col min="3011" max="3016" width="8" style="777" customWidth="1"/>
    <col min="3017" max="3017" width="9.44140625" style="777" customWidth="1"/>
    <col min="3018" max="3018" width="9.5546875" style="777" customWidth="1"/>
    <col min="3019" max="3033" width="8" style="777" customWidth="1"/>
    <col min="3034" max="3034" width="8.5546875" style="777" customWidth="1"/>
    <col min="3035" max="3035" width="9.44140625" style="777" bestFit="1" customWidth="1"/>
    <col min="3036" max="3263" width="9" style="777"/>
    <col min="3264" max="3264" width="4" style="777" customWidth="1"/>
    <col min="3265" max="3265" width="47.6640625" style="777" customWidth="1"/>
    <col min="3266" max="3266" width="5.88671875" style="777" customWidth="1"/>
    <col min="3267" max="3272" width="8" style="777" customWidth="1"/>
    <col min="3273" max="3273" width="9.44140625" style="777" customWidth="1"/>
    <col min="3274" max="3274" width="9.5546875" style="777" customWidth="1"/>
    <col min="3275" max="3289" width="8" style="777" customWidth="1"/>
    <col min="3290" max="3290" width="8.5546875" style="777" customWidth="1"/>
    <col min="3291" max="3291" width="9.44140625" style="777" bestFit="1" customWidth="1"/>
    <col min="3292" max="3519" width="9" style="777"/>
    <col min="3520" max="3520" width="4" style="777" customWidth="1"/>
    <col min="3521" max="3521" width="47.6640625" style="777" customWidth="1"/>
    <col min="3522" max="3522" width="5.88671875" style="777" customWidth="1"/>
    <col min="3523" max="3528" width="8" style="777" customWidth="1"/>
    <col min="3529" max="3529" width="9.44140625" style="777" customWidth="1"/>
    <col min="3530" max="3530" width="9.5546875" style="777" customWidth="1"/>
    <col min="3531" max="3545" width="8" style="777" customWidth="1"/>
    <col min="3546" max="3546" width="8.5546875" style="777" customWidth="1"/>
    <col min="3547" max="3547" width="9.44140625" style="777" bestFit="1" customWidth="1"/>
    <col min="3548" max="3775" width="9" style="777"/>
    <col min="3776" max="3776" width="4" style="777" customWidth="1"/>
    <col min="3777" max="3777" width="47.6640625" style="777" customWidth="1"/>
    <col min="3778" max="3778" width="5.88671875" style="777" customWidth="1"/>
    <col min="3779" max="3784" width="8" style="777" customWidth="1"/>
    <col min="3785" max="3785" width="9.44140625" style="777" customWidth="1"/>
    <col min="3786" max="3786" width="9.5546875" style="777" customWidth="1"/>
    <col min="3787" max="3801" width="8" style="777" customWidth="1"/>
    <col min="3802" max="3802" width="8.5546875" style="777" customWidth="1"/>
    <col min="3803" max="3803" width="9.44140625" style="777" bestFit="1" customWidth="1"/>
    <col min="3804" max="4031" width="9" style="777"/>
    <col min="4032" max="4032" width="4" style="777" customWidth="1"/>
    <col min="4033" max="4033" width="47.6640625" style="777" customWidth="1"/>
    <col min="4034" max="4034" width="5.88671875" style="777" customWidth="1"/>
    <col min="4035" max="4040" width="8" style="777" customWidth="1"/>
    <col min="4041" max="4041" width="9.44140625" style="777" customWidth="1"/>
    <col min="4042" max="4042" width="9.5546875" style="777" customWidth="1"/>
    <col min="4043" max="4057" width="8" style="777" customWidth="1"/>
    <col min="4058" max="4058" width="8.5546875" style="777" customWidth="1"/>
    <col min="4059" max="4059" width="9.44140625" style="777" bestFit="1" customWidth="1"/>
    <col min="4060" max="4287" width="9" style="777"/>
    <col min="4288" max="4288" width="4" style="777" customWidth="1"/>
    <col min="4289" max="4289" width="47.6640625" style="777" customWidth="1"/>
    <col min="4290" max="4290" width="5.88671875" style="777" customWidth="1"/>
    <col min="4291" max="4296" width="8" style="777" customWidth="1"/>
    <col min="4297" max="4297" width="9.44140625" style="777" customWidth="1"/>
    <col min="4298" max="4298" width="9.5546875" style="777" customWidth="1"/>
    <col min="4299" max="4313" width="8" style="777" customWidth="1"/>
    <col min="4314" max="4314" width="8.5546875" style="777" customWidth="1"/>
    <col min="4315" max="4315" width="9.44140625" style="777" bestFit="1" customWidth="1"/>
    <col min="4316" max="4543" width="9" style="777"/>
    <col min="4544" max="4544" width="4" style="777" customWidth="1"/>
    <col min="4545" max="4545" width="47.6640625" style="777" customWidth="1"/>
    <col min="4546" max="4546" width="5.88671875" style="777" customWidth="1"/>
    <col min="4547" max="4552" width="8" style="777" customWidth="1"/>
    <col min="4553" max="4553" width="9.44140625" style="777" customWidth="1"/>
    <col min="4554" max="4554" width="9.5546875" style="777" customWidth="1"/>
    <col min="4555" max="4569" width="8" style="777" customWidth="1"/>
    <col min="4570" max="4570" width="8.5546875" style="777" customWidth="1"/>
    <col min="4571" max="4571" width="9.44140625" style="777" bestFit="1" customWidth="1"/>
    <col min="4572" max="4799" width="9" style="777"/>
    <col min="4800" max="4800" width="4" style="777" customWidth="1"/>
    <col min="4801" max="4801" width="47.6640625" style="777" customWidth="1"/>
    <col min="4802" max="4802" width="5.88671875" style="777" customWidth="1"/>
    <col min="4803" max="4808" width="8" style="777" customWidth="1"/>
    <col min="4809" max="4809" width="9.44140625" style="777" customWidth="1"/>
    <col min="4810" max="4810" width="9.5546875" style="777" customWidth="1"/>
    <col min="4811" max="4825" width="8" style="777" customWidth="1"/>
    <col min="4826" max="4826" width="8.5546875" style="777" customWidth="1"/>
    <col min="4827" max="4827" width="9.44140625" style="777" bestFit="1" customWidth="1"/>
    <col min="4828" max="5055" width="9" style="777"/>
    <col min="5056" max="5056" width="4" style="777" customWidth="1"/>
    <col min="5057" max="5057" width="47.6640625" style="777" customWidth="1"/>
    <col min="5058" max="5058" width="5.88671875" style="777" customWidth="1"/>
    <col min="5059" max="5064" width="8" style="777" customWidth="1"/>
    <col min="5065" max="5065" width="9.44140625" style="777" customWidth="1"/>
    <col min="5066" max="5066" width="9.5546875" style="777" customWidth="1"/>
    <col min="5067" max="5081" width="8" style="777" customWidth="1"/>
    <col min="5082" max="5082" width="8.5546875" style="777" customWidth="1"/>
    <col min="5083" max="5083" width="9.44140625" style="777" bestFit="1" customWidth="1"/>
    <col min="5084" max="5311" width="9" style="777"/>
    <col min="5312" max="5312" width="4" style="777" customWidth="1"/>
    <col min="5313" max="5313" width="47.6640625" style="777" customWidth="1"/>
    <col min="5314" max="5314" width="5.88671875" style="777" customWidth="1"/>
    <col min="5315" max="5320" width="8" style="777" customWidth="1"/>
    <col min="5321" max="5321" width="9.44140625" style="777" customWidth="1"/>
    <col min="5322" max="5322" width="9.5546875" style="777" customWidth="1"/>
    <col min="5323" max="5337" width="8" style="777" customWidth="1"/>
    <col min="5338" max="5338" width="8.5546875" style="777" customWidth="1"/>
    <col min="5339" max="5339" width="9.44140625" style="777" bestFit="1" customWidth="1"/>
    <col min="5340" max="5567" width="9" style="777"/>
    <col min="5568" max="5568" width="4" style="777" customWidth="1"/>
    <col min="5569" max="5569" width="47.6640625" style="777" customWidth="1"/>
    <col min="5570" max="5570" width="5.88671875" style="777" customWidth="1"/>
    <col min="5571" max="5576" width="8" style="777" customWidth="1"/>
    <col min="5577" max="5577" width="9.44140625" style="777" customWidth="1"/>
    <col min="5578" max="5578" width="9.5546875" style="777" customWidth="1"/>
    <col min="5579" max="5593" width="8" style="777" customWidth="1"/>
    <col min="5594" max="5594" width="8.5546875" style="777" customWidth="1"/>
    <col min="5595" max="5595" width="9.44140625" style="777" bestFit="1" customWidth="1"/>
    <col min="5596" max="5823" width="9" style="777"/>
    <col min="5824" max="5824" width="4" style="777" customWidth="1"/>
    <col min="5825" max="5825" width="47.6640625" style="777" customWidth="1"/>
    <col min="5826" max="5826" width="5.88671875" style="777" customWidth="1"/>
    <col min="5827" max="5832" width="8" style="777" customWidth="1"/>
    <col min="5833" max="5833" width="9.44140625" style="777" customWidth="1"/>
    <col min="5834" max="5834" width="9.5546875" style="777" customWidth="1"/>
    <col min="5835" max="5849" width="8" style="777" customWidth="1"/>
    <col min="5850" max="5850" width="8.5546875" style="777" customWidth="1"/>
    <col min="5851" max="5851" width="9.44140625" style="777" bestFit="1" customWidth="1"/>
    <col min="5852" max="6079" width="9" style="777"/>
    <col min="6080" max="6080" width="4" style="777" customWidth="1"/>
    <col min="6081" max="6081" width="47.6640625" style="777" customWidth="1"/>
    <col min="6082" max="6082" width="5.88671875" style="777" customWidth="1"/>
    <col min="6083" max="6088" width="8" style="777" customWidth="1"/>
    <col min="6089" max="6089" width="9.44140625" style="777" customWidth="1"/>
    <col min="6090" max="6090" width="9.5546875" style="777" customWidth="1"/>
    <col min="6091" max="6105" width="8" style="777" customWidth="1"/>
    <col min="6106" max="6106" width="8.5546875" style="777" customWidth="1"/>
    <col min="6107" max="6107" width="9.44140625" style="777" bestFit="1" customWidth="1"/>
    <col min="6108" max="6335" width="9" style="777"/>
    <col min="6336" max="6336" width="4" style="777" customWidth="1"/>
    <col min="6337" max="6337" width="47.6640625" style="777" customWidth="1"/>
    <col min="6338" max="6338" width="5.88671875" style="777" customWidth="1"/>
    <col min="6339" max="6344" width="8" style="777" customWidth="1"/>
    <col min="6345" max="6345" width="9.44140625" style="777" customWidth="1"/>
    <col min="6346" max="6346" width="9.5546875" style="777" customWidth="1"/>
    <col min="6347" max="6361" width="8" style="777" customWidth="1"/>
    <col min="6362" max="6362" width="8.5546875" style="777" customWidth="1"/>
    <col min="6363" max="6363" width="9.44140625" style="777" bestFit="1" customWidth="1"/>
    <col min="6364" max="6591" width="9" style="777"/>
    <col min="6592" max="6592" width="4" style="777" customWidth="1"/>
    <col min="6593" max="6593" width="47.6640625" style="777" customWidth="1"/>
    <col min="6594" max="6594" width="5.88671875" style="777" customWidth="1"/>
    <col min="6595" max="6600" width="8" style="777" customWidth="1"/>
    <col min="6601" max="6601" width="9.44140625" style="777" customWidth="1"/>
    <col min="6602" max="6602" width="9.5546875" style="777" customWidth="1"/>
    <col min="6603" max="6617" width="8" style="777" customWidth="1"/>
    <col min="6618" max="6618" width="8.5546875" style="777" customWidth="1"/>
    <col min="6619" max="6619" width="9.44140625" style="777" bestFit="1" customWidth="1"/>
    <col min="6620" max="6847" width="9" style="777"/>
    <col min="6848" max="6848" width="4" style="777" customWidth="1"/>
    <col min="6849" max="6849" width="47.6640625" style="777" customWidth="1"/>
    <col min="6850" max="6850" width="5.88671875" style="777" customWidth="1"/>
    <col min="6851" max="6856" width="8" style="777" customWidth="1"/>
    <col min="6857" max="6857" width="9.44140625" style="777" customWidth="1"/>
    <col min="6858" max="6858" width="9.5546875" style="777" customWidth="1"/>
    <col min="6859" max="6873" width="8" style="777" customWidth="1"/>
    <col min="6874" max="6874" width="8.5546875" style="777" customWidth="1"/>
    <col min="6875" max="6875" width="9.44140625" style="777" bestFit="1" customWidth="1"/>
    <col min="6876" max="7103" width="9" style="777"/>
    <col min="7104" max="7104" width="4" style="777" customWidth="1"/>
    <col min="7105" max="7105" width="47.6640625" style="777" customWidth="1"/>
    <col min="7106" max="7106" width="5.88671875" style="777" customWidth="1"/>
    <col min="7107" max="7112" width="8" style="777" customWidth="1"/>
    <col min="7113" max="7113" width="9.44140625" style="777" customWidth="1"/>
    <col min="7114" max="7114" width="9.5546875" style="777" customWidth="1"/>
    <col min="7115" max="7129" width="8" style="777" customWidth="1"/>
    <col min="7130" max="7130" width="8.5546875" style="777" customWidth="1"/>
    <col min="7131" max="7131" width="9.44140625" style="777" bestFit="1" customWidth="1"/>
    <col min="7132" max="7359" width="9" style="777"/>
    <col min="7360" max="7360" width="4" style="777" customWidth="1"/>
    <col min="7361" max="7361" width="47.6640625" style="777" customWidth="1"/>
    <col min="7362" max="7362" width="5.88671875" style="777" customWidth="1"/>
    <col min="7363" max="7368" width="8" style="777" customWidth="1"/>
    <col min="7369" max="7369" width="9.44140625" style="777" customWidth="1"/>
    <col min="7370" max="7370" width="9.5546875" style="777" customWidth="1"/>
    <col min="7371" max="7385" width="8" style="777" customWidth="1"/>
    <col min="7386" max="7386" width="8.5546875" style="777" customWidth="1"/>
    <col min="7387" max="7387" width="9.44140625" style="777" bestFit="1" customWidth="1"/>
    <col min="7388" max="7615" width="9" style="777"/>
    <col min="7616" max="7616" width="4" style="777" customWidth="1"/>
    <col min="7617" max="7617" width="47.6640625" style="777" customWidth="1"/>
    <col min="7618" max="7618" width="5.88671875" style="777" customWidth="1"/>
    <col min="7619" max="7624" width="8" style="777" customWidth="1"/>
    <col min="7625" max="7625" width="9.44140625" style="777" customWidth="1"/>
    <col min="7626" max="7626" width="9.5546875" style="777" customWidth="1"/>
    <col min="7627" max="7641" width="8" style="777" customWidth="1"/>
    <col min="7642" max="7642" width="8.5546875" style="777" customWidth="1"/>
    <col min="7643" max="7643" width="9.44140625" style="777" bestFit="1" customWidth="1"/>
    <col min="7644" max="7871" width="9" style="777"/>
    <col min="7872" max="7872" width="4" style="777" customWidth="1"/>
    <col min="7873" max="7873" width="47.6640625" style="777" customWidth="1"/>
    <col min="7874" max="7874" width="5.88671875" style="777" customWidth="1"/>
    <col min="7875" max="7880" width="8" style="777" customWidth="1"/>
    <col min="7881" max="7881" width="9.44140625" style="777" customWidth="1"/>
    <col min="7882" max="7882" width="9.5546875" style="777" customWidth="1"/>
    <col min="7883" max="7897" width="8" style="777" customWidth="1"/>
    <col min="7898" max="7898" width="8.5546875" style="777" customWidth="1"/>
    <col min="7899" max="7899" width="9.44140625" style="777" bestFit="1" customWidth="1"/>
    <col min="7900" max="8127" width="9" style="777"/>
    <col min="8128" max="8128" width="4" style="777" customWidth="1"/>
    <col min="8129" max="8129" width="47.6640625" style="777" customWidth="1"/>
    <col min="8130" max="8130" width="5.88671875" style="777" customWidth="1"/>
    <col min="8131" max="8136" width="8" style="777" customWidth="1"/>
    <col min="8137" max="8137" width="9.44140625" style="777" customWidth="1"/>
    <col min="8138" max="8138" width="9.5546875" style="777" customWidth="1"/>
    <col min="8139" max="8153" width="8" style="777" customWidth="1"/>
    <col min="8154" max="8154" width="8.5546875" style="777" customWidth="1"/>
    <col min="8155" max="8155" width="9.44140625" style="777" bestFit="1" customWidth="1"/>
    <col min="8156" max="8383" width="9" style="777"/>
    <col min="8384" max="8384" width="4" style="777" customWidth="1"/>
    <col min="8385" max="8385" width="47.6640625" style="777" customWidth="1"/>
    <col min="8386" max="8386" width="5.88671875" style="777" customWidth="1"/>
    <col min="8387" max="8392" width="8" style="777" customWidth="1"/>
    <col min="8393" max="8393" width="9.44140625" style="777" customWidth="1"/>
    <col min="8394" max="8394" width="9.5546875" style="777" customWidth="1"/>
    <col min="8395" max="8409" width="8" style="777" customWidth="1"/>
    <col min="8410" max="8410" width="8.5546875" style="777" customWidth="1"/>
    <col min="8411" max="8411" width="9.44140625" style="777" bestFit="1" customWidth="1"/>
    <col min="8412" max="8639" width="9" style="777"/>
    <col min="8640" max="8640" width="4" style="777" customWidth="1"/>
    <col min="8641" max="8641" width="47.6640625" style="777" customWidth="1"/>
    <col min="8642" max="8642" width="5.88671875" style="777" customWidth="1"/>
    <col min="8643" max="8648" width="8" style="777" customWidth="1"/>
    <col min="8649" max="8649" width="9.44140625" style="777" customWidth="1"/>
    <col min="8650" max="8650" width="9.5546875" style="777" customWidth="1"/>
    <col min="8651" max="8665" width="8" style="777" customWidth="1"/>
    <col min="8666" max="8666" width="8.5546875" style="777" customWidth="1"/>
    <col min="8667" max="8667" width="9.44140625" style="777" bestFit="1" customWidth="1"/>
    <col min="8668" max="8895" width="9" style="777"/>
    <col min="8896" max="8896" width="4" style="777" customWidth="1"/>
    <col min="8897" max="8897" width="47.6640625" style="777" customWidth="1"/>
    <col min="8898" max="8898" width="5.88671875" style="777" customWidth="1"/>
    <col min="8899" max="8904" width="8" style="777" customWidth="1"/>
    <col min="8905" max="8905" width="9.44140625" style="777" customWidth="1"/>
    <col min="8906" max="8906" width="9.5546875" style="777" customWidth="1"/>
    <col min="8907" max="8921" width="8" style="777" customWidth="1"/>
    <col min="8922" max="8922" width="8.5546875" style="777" customWidth="1"/>
    <col min="8923" max="8923" width="9.44140625" style="777" bestFit="1" customWidth="1"/>
    <col min="8924" max="9151" width="9" style="777"/>
    <col min="9152" max="9152" width="4" style="777" customWidth="1"/>
    <col min="9153" max="9153" width="47.6640625" style="777" customWidth="1"/>
    <col min="9154" max="9154" width="5.88671875" style="777" customWidth="1"/>
    <col min="9155" max="9160" width="8" style="777" customWidth="1"/>
    <col min="9161" max="9161" width="9.44140625" style="777" customWidth="1"/>
    <col min="9162" max="9162" width="9.5546875" style="777" customWidth="1"/>
    <col min="9163" max="9177" width="8" style="777" customWidth="1"/>
    <col min="9178" max="9178" width="8.5546875" style="777" customWidth="1"/>
    <col min="9179" max="9179" width="9.44140625" style="777" bestFit="1" customWidth="1"/>
    <col min="9180" max="9407" width="9" style="777"/>
    <col min="9408" max="9408" width="4" style="777" customWidth="1"/>
    <col min="9409" max="9409" width="47.6640625" style="777" customWidth="1"/>
    <col min="9410" max="9410" width="5.88671875" style="777" customWidth="1"/>
    <col min="9411" max="9416" width="8" style="777" customWidth="1"/>
    <col min="9417" max="9417" width="9.44140625" style="777" customWidth="1"/>
    <col min="9418" max="9418" width="9.5546875" style="777" customWidth="1"/>
    <col min="9419" max="9433" width="8" style="777" customWidth="1"/>
    <col min="9434" max="9434" width="8.5546875" style="777" customWidth="1"/>
    <col min="9435" max="9435" width="9.44140625" style="777" bestFit="1" customWidth="1"/>
    <col min="9436" max="9663" width="9" style="777"/>
    <col min="9664" max="9664" width="4" style="777" customWidth="1"/>
    <col min="9665" max="9665" width="47.6640625" style="777" customWidth="1"/>
    <col min="9666" max="9666" width="5.88671875" style="777" customWidth="1"/>
    <col min="9667" max="9672" width="8" style="777" customWidth="1"/>
    <col min="9673" max="9673" width="9.44140625" style="777" customWidth="1"/>
    <col min="9674" max="9674" width="9.5546875" style="777" customWidth="1"/>
    <col min="9675" max="9689" width="8" style="777" customWidth="1"/>
    <col min="9690" max="9690" width="8.5546875" style="777" customWidth="1"/>
    <col min="9691" max="9691" width="9.44140625" style="777" bestFit="1" customWidth="1"/>
    <col min="9692" max="9919" width="9" style="777"/>
    <col min="9920" max="9920" width="4" style="777" customWidth="1"/>
    <col min="9921" max="9921" width="47.6640625" style="777" customWidth="1"/>
    <col min="9922" max="9922" width="5.88671875" style="777" customWidth="1"/>
    <col min="9923" max="9928" width="8" style="777" customWidth="1"/>
    <col min="9929" max="9929" width="9.44140625" style="777" customWidth="1"/>
    <col min="9930" max="9930" width="9.5546875" style="777" customWidth="1"/>
    <col min="9931" max="9945" width="8" style="777" customWidth="1"/>
    <col min="9946" max="9946" width="8.5546875" style="777" customWidth="1"/>
    <col min="9947" max="9947" width="9.44140625" style="777" bestFit="1" customWidth="1"/>
    <col min="9948" max="10175" width="9" style="777"/>
    <col min="10176" max="10176" width="4" style="777" customWidth="1"/>
    <col min="10177" max="10177" width="47.6640625" style="777" customWidth="1"/>
    <col min="10178" max="10178" width="5.88671875" style="777" customWidth="1"/>
    <col min="10179" max="10184" width="8" style="777" customWidth="1"/>
    <col min="10185" max="10185" width="9.44140625" style="777" customWidth="1"/>
    <col min="10186" max="10186" width="9.5546875" style="777" customWidth="1"/>
    <col min="10187" max="10201" width="8" style="777" customWidth="1"/>
    <col min="10202" max="10202" width="8.5546875" style="777" customWidth="1"/>
    <col min="10203" max="10203" width="9.44140625" style="777" bestFit="1" customWidth="1"/>
    <col min="10204" max="10431" width="9" style="777"/>
    <col min="10432" max="10432" width="4" style="777" customWidth="1"/>
    <col min="10433" max="10433" width="47.6640625" style="777" customWidth="1"/>
    <col min="10434" max="10434" width="5.88671875" style="777" customWidth="1"/>
    <col min="10435" max="10440" width="8" style="777" customWidth="1"/>
    <col min="10441" max="10441" width="9.44140625" style="777" customWidth="1"/>
    <col min="10442" max="10442" width="9.5546875" style="777" customWidth="1"/>
    <col min="10443" max="10457" width="8" style="777" customWidth="1"/>
    <col min="10458" max="10458" width="8.5546875" style="777" customWidth="1"/>
    <col min="10459" max="10459" width="9.44140625" style="777" bestFit="1" customWidth="1"/>
    <col min="10460" max="10687" width="9" style="777"/>
    <col min="10688" max="10688" width="4" style="777" customWidth="1"/>
    <col min="10689" max="10689" width="47.6640625" style="777" customWidth="1"/>
    <col min="10690" max="10690" width="5.88671875" style="777" customWidth="1"/>
    <col min="10691" max="10696" width="8" style="777" customWidth="1"/>
    <col min="10697" max="10697" width="9.44140625" style="777" customWidth="1"/>
    <col min="10698" max="10698" width="9.5546875" style="777" customWidth="1"/>
    <col min="10699" max="10713" width="8" style="777" customWidth="1"/>
    <col min="10714" max="10714" width="8.5546875" style="777" customWidth="1"/>
    <col min="10715" max="10715" width="9.44140625" style="777" bestFit="1" customWidth="1"/>
    <col min="10716" max="10943" width="9" style="777"/>
    <col min="10944" max="10944" width="4" style="777" customWidth="1"/>
    <col min="10945" max="10945" width="47.6640625" style="777" customWidth="1"/>
    <col min="10946" max="10946" width="5.88671875" style="777" customWidth="1"/>
    <col min="10947" max="10952" width="8" style="777" customWidth="1"/>
    <col min="10953" max="10953" width="9.44140625" style="777" customWidth="1"/>
    <col min="10954" max="10954" width="9.5546875" style="777" customWidth="1"/>
    <col min="10955" max="10969" width="8" style="777" customWidth="1"/>
    <col min="10970" max="10970" width="8.5546875" style="777" customWidth="1"/>
    <col min="10971" max="10971" width="9.44140625" style="777" bestFit="1" customWidth="1"/>
    <col min="10972" max="11199" width="9" style="777"/>
    <col min="11200" max="11200" width="4" style="777" customWidth="1"/>
    <col min="11201" max="11201" width="47.6640625" style="777" customWidth="1"/>
    <col min="11202" max="11202" width="5.88671875" style="777" customWidth="1"/>
    <col min="11203" max="11208" width="8" style="777" customWidth="1"/>
    <col min="11209" max="11209" width="9.44140625" style="777" customWidth="1"/>
    <col min="11210" max="11210" width="9.5546875" style="777" customWidth="1"/>
    <col min="11211" max="11225" width="8" style="777" customWidth="1"/>
    <col min="11226" max="11226" width="8.5546875" style="777" customWidth="1"/>
    <col min="11227" max="11227" width="9.44140625" style="777" bestFit="1" customWidth="1"/>
    <col min="11228" max="11455" width="9" style="777"/>
    <col min="11456" max="11456" width="4" style="777" customWidth="1"/>
    <col min="11457" max="11457" width="47.6640625" style="777" customWidth="1"/>
    <col min="11458" max="11458" width="5.88671875" style="777" customWidth="1"/>
    <col min="11459" max="11464" width="8" style="777" customWidth="1"/>
    <col min="11465" max="11465" width="9.44140625" style="777" customWidth="1"/>
    <col min="11466" max="11466" width="9.5546875" style="777" customWidth="1"/>
    <col min="11467" max="11481" width="8" style="777" customWidth="1"/>
    <col min="11482" max="11482" width="8.5546875" style="777" customWidth="1"/>
    <col min="11483" max="11483" width="9.44140625" style="777" bestFit="1" customWidth="1"/>
    <col min="11484" max="11711" width="9" style="777"/>
    <col min="11712" max="11712" width="4" style="777" customWidth="1"/>
    <col min="11713" max="11713" width="47.6640625" style="777" customWidth="1"/>
    <col min="11714" max="11714" width="5.88671875" style="777" customWidth="1"/>
    <col min="11715" max="11720" width="8" style="777" customWidth="1"/>
    <col min="11721" max="11721" width="9.44140625" style="777" customWidth="1"/>
    <col min="11722" max="11722" width="9.5546875" style="777" customWidth="1"/>
    <col min="11723" max="11737" width="8" style="777" customWidth="1"/>
    <col min="11738" max="11738" width="8.5546875" style="777" customWidth="1"/>
    <col min="11739" max="11739" width="9.44140625" style="777" bestFit="1" customWidth="1"/>
    <col min="11740" max="11967" width="9" style="777"/>
    <col min="11968" max="11968" width="4" style="777" customWidth="1"/>
    <col min="11969" max="11969" width="47.6640625" style="777" customWidth="1"/>
    <col min="11970" max="11970" width="5.88671875" style="777" customWidth="1"/>
    <col min="11971" max="11976" width="8" style="777" customWidth="1"/>
    <col min="11977" max="11977" width="9.44140625" style="777" customWidth="1"/>
    <col min="11978" max="11978" width="9.5546875" style="777" customWidth="1"/>
    <col min="11979" max="11993" width="8" style="777" customWidth="1"/>
    <col min="11994" max="11994" width="8.5546875" style="777" customWidth="1"/>
    <col min="11995" max="11995" width="9.44140625" style="777" bestFit="1" customWidth="1"/>
    <col min="11996" max="12223" width="9" style="777"/>
    <col min="12224" max="12224" width="4" style="777" customWidth="1"/>
    <col min="12225" max="12225" width="47.6640625" style="777" customWidth="1"/>
    <col min="12226" max="12226" width="5.88671875" style="777" customWidth="1"/>
    <col min="12227" max="12232" width="8" style="777" customWidth="1"/>
    <col min="12233" max="12233" width="9.44140625" style="777" customWidth="1"/>
    <col min="12234" max="12234" width="9.5546875" style="777" customWidth="1"/>
    <col min="12235" max="12249" width="8" style="777" customWidth="1"/>
    <col min="12250" max="12250" width="8.5546875" style="777" customWidth="1"/>
    <col min="12251" max="12251" width="9.44140625" style="777" bestFit="1" customWidth="1"/>
    <col min="12252" max="12479" width="9" style="777"/>
    <col min="12480" max="12480" width="4" style="777" customWidth="1"/>
    <col min="12481" max="12481" width="47.6640625" style="777" customWidth="1"/>
    <col min="12482" max="12482" width="5.88671875" style="777" customWidth="1"/>
    <col min="12483" max="12488" width="8" style="777" customWidth="1"/>
    <col min="12489" max="12489" width="9.44140625" style="777" customWidth="1"/>
    <col min="12490" max="12490" width="9.5546875" style="777" customWidth="1"/>
    <col min="12491" max="12505" width="8" style="777" customWidth="1"/>
    <col min="12506" max="12506" width="8.5546875" style="777" customWidth="1"/>
    <col min="12507" max="12507" width="9.44140625" style="777" bestFit="1" customWidth="1"/>
    <col min="12508" max="12735" width="9" style="777"/>
    <col min="12736" max="12736" width="4" style="777" customWidth="1"/>
    <col min="12737" max="12737" width="47.6640625" style="777" customWidth="1"/>
    <col min="12738" max="12738" width="5.88671875" style="777" customWidth="1"/>
    <col min="12739" max="12744" width="8" style="777" customWidth="1"/>
    <col min="12745" max="12745" width="9.44140625" style="777" customWidth="1"/>
    <col min="12746" max="12746" width="9.5546875" style="777" customWidth="1"/>
    <col min="12747" max="12761" width="8" style="777" customWidth="1"/>
    <col min="12762" max="12762" width="8.5546875" style="777" customWidth="1"/>
    <col min="12763" max="12763" width="9.44140625" style="777" bestFit="1" customWidth="1"/>
    <col min="12764" max="12991" width="9" style="777"/>
    <col min="12992" max="12992" width="4" style="777" customWidth="1"/>
    <col min="12993" max="12993" width="47.6640625" style="777" customWidth="1"/>
    <col min="12994" max="12994" width="5.88671875" style="777" customWidth="1"/>
    <col min="12995" max="13000" width="8" style="777" customWidth="1"/>
    <col min="13001" max="13001" width="9.44140625" style="777" customWidth="1"/>
    <col min="13002" max="13002" width="9.5546875" style="777" customWidth="1"/>
    <col min="13003" max="13017" width="8" style="777" customWidth="1"/>
    <col min="13018" max="13018" width="8.5546875" style="777" customWidth="1"/>
    <col min="13019" max="13019" width="9.44140625" style="777" bestFit="1" customWidth="1"/>
    <col min="13020" max="13247" width="9" style="777"/>
    <col min="13248" max="13248" width="4" style="777" customWidth="1"/>
    <col min="13249" max="13249" width="47.6640625" style="777" customWidth="1"/>
    <col min="13250" max="13250" width="5.88671875" style="777" customWidth="1"/>
    <col min="13251" max="13256" width="8" style="777" customWidth="1"/>
    <col min="13257" max="13257" width="9.44140625" style="777" customWidth="1"/>
    <col min="13258" max="13258" width="9.5546875" style="777" customWidth="1"/>
    <col min="13259" max="13273" width="8" style="777" customWidth="1"/>
    <col min="13274" max="13274" width="8.5546875" style="777" customWidth="1"/>
    <col min="13275" max="13275" width="9.44140625" style="777" bestFit="1" customWidth="1"/>
    <col min="13276" max="13503" width="9" style="777"/>
    <col min="13504" max="13504" width="4" style="777" customWidth="1"/>
    <col min="13505" max="13505" width="47.6640625" style="777" customWidth="1"/>
    <col min="13506" max="13506" width="5.88671875" style="777" customWidth="1"/>
    <col min="13507" max="13512" width="8" style="777" customWidth="1"/>
    <col min="13513" max="13513" width="9.44140625" style="777" customWidth="1"/>
    <col min="13514" max="13514" width="9.5546875" style="777" customWidth="1"/>
    <col min="13515" max="13529" width="8" style="777" customWidth="1"/>
    <col min="13530" max="13530" width="8.5546875" style="777" customWidth="1"/>
    <col min="13531" max="13531" width="9.44140625" style="777" bestFit="1" customWidth="1"/>
    <col min="13532" max="13759" width="9" style="777"/>
    <col min="13760" max="13760" width="4" style="777" customWidth="1"/>
    <col min="13761" max="13761" width="47.6640625" style="777" customWidth="1"/>
    <col min="13762" max="13762" width="5.88671875" style="777" customWidth="1"/>
    <col min="13763" max="13768" width="8" style="777" customWidth="1"/>
    <col min="13769" max="13769" width="9.44140625" style="777" customWidth="1"/>
    <col min="13770" max="13770" width="9.5546875" style="777" customWidth="1"/>
    <col min="13771" max="13785" width="8" style="777" customWidth="1"/>
    <col min="13786" max="13786" width="8.5546875" style="777" customWidth="1"/>
    <col min="13787" max="13787" width="9.44140625" style="777" bestFit="1" customWidth="1"/>
    <col min="13788" max="14015" width="9" style="777"/>
    <col min="14016" max="14016" width="4" style="777" customWidth="1"/>
    <col min="14017" max="14017" width="47.6640625" style="777" customWidth="1"/>
    <col min="14018" max="14018" width="5.88671875" style="777" customWidth="1"/>
    <col min="14019" max="14024" width="8" style="777" customWidth="1"/>
    <col min="14025" max="14025" width="9.44140625" style="777" customWidth="1"/>
    <col min="14026" max="14026" width="9.5546875" style="777" customWidth="1"/>
    <col min="14027" max="14041" width="8" style="777" customWidth="1"/>
    <col min="14042" max="14042" width="8.5546875" style="777" customWidth="1"/>
    <col min="14043" max="14043" width="9.44140625" style="777" bestFit="1" customWidth="1"/>
    <col min="14044" max="14271" width="9" style="777"/>
    <col min="14272" max="14272" width="4" style="777" customWidth="1"/>
    <col min="14273" max="14273" width="47.6640625" style="777" customWidth="1"/>
    <col min="14274" max="14274" width="5.88671875" style="777" customWidth="1"/>
    <col min="14275" max="14280" width="8" style="777" customWidth="1"/>
    <col min="14281" max="14281" width="9.44140625" style="777" customWidth="1"/>
    <col min="14282" max="14282" width="9.5546875" style="777" customWidth="1"/>
    <col min="14283" max="14297" width="8" style="777" customWidth="1"/>
    <col min="14298" max="14298" width="8.5546875" style="777" customWidth="1"/>
    <col min="14299" max="14299" width="9.44140625" style="777" bestFit="1" customWidth="1"/>
    <col min="14300" max="14527" width="9" style="777"/>
    <col min="14528" max="14528" width="4" style="777" customWidth="1"/>
    <col min="14529" max="14529" width="47.6640625" style="777" customWidth="1"/>
    <col min="14530" max="14530" width="5.88671875" style="777" customWidth="1"/>
    <col min="14531" max="14536" width="8" style="777" customWidth="1"/>
    <col min="14537" max="14537" width="9.44140625" style="777" customWidth="1"/>
    <col min="14538" max="14538" width="9.5546875" style="777" customWidth="1"/>
    <col min="14539" max="14553" width="8" style="777" customWidth="1"/>
    <col min="14554" max="14554" width="8.5546875" style="777" customWidth="1"/>
    <col min="14555" max="14555" width="9.44140625" style="777" bestFit="1" customWidth="1"/>
    <col min="14556" max="14783" width="9" style="777"/>
    <col min="14784" max="14784" width="4" style="777" customWidth="1"/>
    <col min="14785" max="14785" width="47.6640625" style="777" customWidth="1"/>
    <col min="14786" max="14786" width="5.88671875" style="777" customWidth="1"/>
    <col min="14787" max="14792" width="8" style="777" customWidth="1"/>
    <col min="14793" max="14793" width="9.44140625" style="777" customWidth="1"/>
    <col min="14794" max="14794" width="9.5546875" style="777" customWidth="1"/>
    <col min="14795" max="14809" width="8" style="777" customWidth="1"/>
    <col min="14810" max="14810" width="8.5546875" style="777" customWidth="1"/>
    <col min="14811" max="14811" width="9.44140625" style="777" bestFit="1" customWidth="1"/>
    <col min="14812" max="15039" width="9" style="777"/>
    <col min="15040" max="15040" width="4" style="777" customWidth="1"/>
    <col min="15041" max="15041" width="47.6640625" style="777" customWidth="1"/>
    <col min="15042" max="15042" width="5.88671875" style="777" customWidth="1"/>
    <col min="15043" max="15048" width="8" style="777" customWidth="1"/>
    <col min="15049" max="15049" width="9.44140625" style="777" customWidth="1"/>
    <col min="15050" max="15050" width="9.5546875" style="777" customWidth="1"/>
    <col min="15051" max="15065" width="8" style="777" customWidth="1"/>
    <col min="15066" max="15066" width="8.5546875" style="777" customWidth="1"/>
    <col min="15067" max="15067" width="9.44140625" style="777" bestFit="1" customWidth="1"/>
    <col min="15068" max="15295" width="9" style="777"/>
    <col min="15296" max="15296" width="4" style="777" customWidth="1"/>
    <col min="15297" max="15297" width="47.6640625" style="777" customWidth="1"/>
    <col min="15298" max="15298" width="5.88671875" style="777" customWidth="1"/>
    <col min="15299" max="15304" width="8" style="777" customWidth="1"/>
    <col min="15305" max="15305" width="9.44140625" style="777" customWidth="1"/>
    <col min="15306" max="15306" width="9.5546875" style="777" customWidth="1"/>
    <col min="15307" max="15321" width="8" style="777" customWidth="1"/>
    <col min="15322" max="15322" width="8.5546875" style="777" customWidth="1"/>
    <col min="15323" max="15323" width="9.44140625" style="777" bestFit="1" customWidth="1"/>
    <col min="15324" max="15551" width="9" style="777"/>
    <col min="15552" max="15552" width="4" style="777" customWidth="1"/>
    <col min="15553" max="15553" width="47.6640625" style="777" customWidth="1"/>
    <col min="15554" max="15554" width="5.88671875" style="777" customWidth="1"/>
    <col min="15555" max="15560" width="8" style="777" customWidth="1"/>
    <col min="15561" max="15561" width="9.44140625" style="777" customWidth="1"/>
    <col min="15562" max="15562" width="9.5546875" style="777" customWidth="1"/>
    <col min="15563" max="15577" width="8" style="777" customWidth="1"/>
    <col min="15578" max="15578" width="8.5546875" style="777" customWidth="1"/>
    <col min="15579" max="15579" width="9.44140625" style="777" bestFit="1" customWidth="1"/>
    <col min="15580" max="15807" width="9" style="777"/>
    <col min="15808" max="15808" width="4" style="777" customWidth="1"/>
    <col min="15809" max="15809" width="47.6640625" style="777" customWidth="1"/>
    <col min="15810" max="15810" width="5.88671875" style="777" customWidth="1"/>
    <col min="15811" max="15816" width="8" style="777" customWidth="1"/>
    <col min="15817" max="15817" width="9.44140625" style="777" customWidth="1"/>
    <col min="15818" max="15818" width="9.5546875" style="777" customWidth="1"/>
    <col min="15819" max="15833" width="8" style="777" customWidth="1"/>
    <col min="15834" max="15834" width="8.5546875" style="777" customWidth="1"/>
    <col min="15835" max="15835" width="9.44140625" style="777" bestFit="1" customWidth="1"/>
    <col min="15836" max="16063" width="9" style="777"/>
    <col min="16064" max="16064" width="4" style="777" customWidth="1"/>
    <col min="16065" max="16065" width="47.6640625" style="777" customWidth="1"/>
    <col min="16066" max="16066" width="5.88671875" style="777" customWidth="1"/>
    <col min="16067" max="16072" width="8" style="777" customWidth="1"/>
    <col min="16073" max="16073" width="9.44140625" style="777" customWidth="1"/>
    <col min="16074" max="16074" width="9.5546875" style="777" customWidth="1"/>
    <col min="16075" max="16089" width="8" style="777" customWidth="1"/>
    <col min="16090" max="16090" width="8.5546875" style="777" customWidth="1"/>
    <col min="16091" max="16091" width="9.44140625" style="777" bestFit="1" customWidth="1"/>
    <col min="16092" max="16384" width="9" style="777"/>
  </cols>
  <sheetData>
    <row r="1" spans="1:284">
      <c r="A1" s="1331" t="s">
        <v>1835</v>
      </c>
      <c r="F1" s="730"/>
      <c r="G1" s="730"/>
      <c r="H1" s="730"/>
      <c r="I1" s="777"/>
      <c r="J1" s="777"/>
      <c r="M1" s="730"/>
      <c r="N1" s="777"/>
      <c r="O1" s="1332"/>
      <c r="Q1" s="1334"/>
      <c r="R1" s="1333"/>
      <c r="JW1" s="1332"/>
      <c r="JX1" s="1332"/>
    </row>
    <row r="2" spans="1:284">
      <c r="A2" s="1618" t="s">
        <v>2011</v>
      </c>
      <c r="B2" s="1618"/>
      <c r="C2" s="1618"/>
      <c r="D2" s="1618"/>
      <c r="E2" s="1618"/>
      <c r="F2" s="1618"/>
      <c r="G2" s="1618"/>
      <c r="H2" s="1618"/>
      <c r="I2" s="1618"/>
      <c r="J2" s="1618"/>
      <c r="K2" s="1618"/>
      <c r="L2" s="1618"/>
      <c r="M2" s="1618"/>
      <c r="N2" s="1335"/>
      <c r="O2" s="1332"/>
      <c r="Q2" s="1334"/>
      <c r="R2" s="1333"/>
      <c r="JW2" s="1332"/>
      <c r="JX2" s="1332"/>
    </row>
    <row r="3" spans="1:284" s="450" customFormat="1" ht="19.2">
      <c r="A3" s="1619" t="s">
        <v>1903</v>
      </c>
      <c r="B3" s="1619"/>
      <c r="C3" s="1619"/>
      <c r="D3" s="1619"/>
      <c r="E3" s="1619"/>
      <c r="F3" s="1619"/>
      <c r="G3" s="1619"/>
      <c r="H3" s="1619"/>
      <c r="I3" s="1619"/>
      <c r="J3" s="1619"/>
      <c r="K3" s="1619"/>
      <c r="L3" s="1619"/>
      <c r="M3" s="1619"/>
      <c r="N3" s="545"/>
      <c r="O3" s="682"/>
      <c r="P3" s="1336"/>
      <c r="R3" s="1336"/>
    </row>
    <row r="4" spans="1:284" hidden="1" outlineLevel="1">
      <c r="B4" s="780"/>
      <c r="C4" s="780"/>
      <c r="D4" s="1337">
        <v>3414916</v>
      </c>
      <c r="E4" s="1337">
        <v>3194008</v>
      </c>
      <c r="F4" s="1337">
        <v>220908</v>
      </c>
      <c r="G4" s="1337">
        <v>3965154.18298</v>
      </c>
      <c r="H4" s="1337">
        <v>3905492.18298</v>
      </c>
      <c r="I4" s="1337">
        <v>3831350.18298</v>
      </c>
      <c r="J4" s="1338">
        <v>119.95430765921688</v>
      </c>
      <c r="K4" s="1337">
        <v>637342.18298000004</v>
      </c>
      <c r="L4" s="1337">
        <v>74142</v>
      </c>
      <c r="M4" s="1337">
        <v>59662</v>
      </c>
    </row>
    <row r="5" spans="1:284" hidden="1" outlineLevel="1">
      <c r="B5" s="780"/>
      <c r="C5" s="780"/>
      <c r="D5" s="1337">
        <f>D13-D4</f>
        <v>0</v>
      </c>
      <c r="E5" s="1337">
        <f t="shared" ref="E5:M5" si="0">E13-E4</f>
        <v>0</v>
      </c>
      <c r="F5" s="1337">
        <f t="shared" si="0"/>
        <v>0</v>
      </c>
      <c r="G5" s="1337">
        <f t="shared" si="0"/>
        <v>-10.182980000041425</v>
      </c>
      <c r="H5" s="1337"/>
      <c r="I5" s="1337">
        <f t="shared" si="0"/>
        <v>-222219.18298000004</v>
      </c>
      <c r="J5" s="1337">
        <f t="shared" si="0"/>
        <v>-6.9573771568512086</v>
      </c>
      <c r="K5" s="1337">
        <f t="shared" si="0"/>
        <v>-222219.18298000004</v>
      </c>
      <c r="L5" s="1337"/>
      <c r="M5" s="1337">
        <f t="shared" si="0"/>
        <v>222209</v>
      </c>
    </row>
    <row r="6" spans="1:284" ht="15" customHeight="1" collapsed="1">
      <c r="I6" s="1620" t="s">
        <v>0</v>
      </c>
      <c r="J6" s="1620"/>
      <c r="K6" s="1620"/>
      <c r="L6" s="1620"/>
      <c r="M6" s="1620"/>
    </row>
    <row r="7" spans="1:284" s="780" customFormat="1" ht="15" customHeight="1">
      <c r="A7" s="1621" t="s">
        <v>1</v>
      </c>
      <c r="B7" s="1621" t="s">
        <v>2</v>
      </c>
      <c r="C7" s="1621" t="s">
        <v>711</v>
      </c>
      <c r="D7" s="1624" t="s">
        <v>1580</v>
      </c>
      <c r="E7" s="1627" t="s">
        <v>65</v>
      </c>
      <c r="F7" s="1628"/>
      <c r="G7" s="1624" t="s">
        <v>2012</v>
      </c>
      <c r="H7" s="1617" t="s">
        <v>65</v>
      </c>
      <c r="I7" s="1617"/>
      <c r="J7" s="1617"/>
      <c r="K7" s="1617"/>
      <c r="L7" s="1617"/>
      <c r="M7" s="1617"/>
      <c r="N7" s="1332"/>
      <c r="O7" s="1334"/>
      <c r="P7" s="1333"/>
      <c r="Q7" s="1332"/>
      <c r="R7" s="1332"/>
      <c r="S7" s="1332"/>
      <c r="T7" s="1332"/>
      <c r="U7" s="1332"/>
      <c r="V7" s="1332"/>
      <c r="W7" s="1332"/>
      <c r="X7" s="1332"/>
      <c r="Y7" s="1332"/>
      <c r="Z7" s="1332"/>
      <c r="AA7" s="1332"/>
      <c r="AB7" s="1332"/>
      <c r="AC7" s="1332"/>
      <c r="AD7" s="1332"/>
      <c r="AE7" s="1332"/>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2"/>
      <c r="BC7" s="1332"/>
      <c r="BD7" s="1332"/>
      <c r="BE7" s="1332"/>
      <c r="BF7" s="1332"/>
      <c r="BG7" s="1332"/>
      <c r="BH7" s="1332"/>
      <c r="BI7" s="1332"/>
      <c r="BJ7" s="1332"/>
      <c r="BK7" s="1332"/>
      <c r="BL7" s="1332"/>
      <c r="BM7" s="1332"/>
      <c r="BN7" s="1332"/>
      <c r="BO7" s="1332"/>
      <c r="BP7" s="1332"/>
      <c r="BQ7" s="1332"/>
      <c r="BR7" s="1332"/>
      <c r="BS7" s="1332"/>
      <c r="BT7" s="1332"/>
      <c r="BU7" s="1332"/>
      <c r="BV7" s="1332"/>
      <c r="BW7" s="1332"/>
      <c r="BX7" s="1332"/>
      <c r="BY7" s="1332"/>
      <c r="BZ7" s="1332"/>
      <c r="CA7" s="1332"/>
      <c r="CB7" s="1332"/>
      <c r="CC7" s="1332"/>
      <c r="CD7" s="1332"/>
      <c r="CE7" s="1332"/>
      <c r="CF7" s="1332"/>
      <c r="CG7" s="1332"/>
      <c r="CH7" s="1332"/>
      <c r="CI7" s="1332"/>
      <c r="CJ7" s="1332"/>
      <c r="CK7" s="1332"/>
      <c r="CL7" s="1332"/>
      <c r="CM7" s="1332"/>
      <c r="CN7" s="1332"/>
      <c r="CO7" s="1332"/>
      <c r="CP7" s="1332"/>
      <c r="CQ7" s="1332"/>
      <c r="CR7" s="1332"/>
      <c r="CS7" s="1332"/>
      <c r="CT7" s="1332"/>
      <c r="CU7" s="1332"/>
      <c r="CV7" s="1332"/>
      <c r="CW7" s="1332"/>
      <c r="CX7" s="1332"/>
      <c r="CY7" s="1332"/>
      <c r="CZ7" s="1332"/>
      <c r="DA7" s="1332"/>
      <c r="DB7" s="1332"/>
      <c r="DC7" s="1332"/>
      <c r="DD7" s="1332"/>
      <c r="DE7" s="1332"/>
      <c r="DF7" s="1332"/>
      <c r="DG7" s="1332"/>
      <c r="DH7" s="1332"/>
      <c r="DI7" s="1332"/>
      <c r="DJ7" s="1332"/>
      <c r="DK7" s="1332"/>
      <c r="DL7" s="1332"/>
      <c r="DM7" s="1332"/>
      <c r="DN7" s="1332"/>
      <c r="DO7" s="1332"/>
      <c r="DP7" s="1332"/>
      <c r="DQ7" s="1332"/>
      <c r="DR7" s="1332"/>
      <c r="DS7" s="1332"/>
      <c r="DT7" s="1332"/>
      <c r="DU7" s="1332"/>
      <c r="DV7" s="1332"/>
      <c r="DW7" s="1332"/>
      <c r="DX7" s="1332"/>
      <c r="DY7" s="1332"/>
      <c r="DZ7" s="1332"/>
      <c r="EA7" s="1332"/>
      <c r="EB7" s="1332"/>
      <c r="EC7" s="1332"/>
      <c r="ED7" s="1332"/>
      <c r="EE7" s="1332"/>
      <c r="EF7" s="1332"/>
      <c r="EG7" s="1332"/>
      <c r="EH7" s="1332"/>
      <c r="EI7" s="1332"/>
      <c r="EJ7" s="1332"/>
      <c r="EK7" s="1332"/>
      <c r="EL7" s="1332"/>
      <c r="EM7" s="1332"/>
      <c r="EN7" s="1332"/>
      <c r="EO7" s="1332"/>
      <c r="EP7" s="1332"/>
      <c r="EQ7" s="1332"/>
      <c r="ER7" s="1332"/>
      <c r="ES7" s="1332"/>
      <c r="ET7" s="1332"/>
      <c r="EU7" s="1332"/>
      <c r="EV7" s="1332"/>
      <c r="EW7" s="1332"/>
      <c r="EX7" s="1332"/>
      <c r="EY7" s="1332"/>
      <c r="EZ7" s="1332"/>
      <c r="FA7" s="1332"/>
      <c r="FB7" s="1332"/>
      <c r="FC7" s="1332"/>
      <c r="FD7" s="1332"/>
      <c r="FE7" s="1332"/>
      <c r="FF7" s="1332"/>
      <c r="FG7" s="1332"/>
      <c r="FH7" s="1332"/>
      <c r="FI7" s="1332"/>
      <c r="FJ7" s="1332"/>
      <c r="FK7" s="1332"/>
      <c r="FL7" s="1332"/>
      <c r="FM7" s="1332"/>
      <c r="FN7" s="1332"/>
      <c r="FO7" s="1332"/>
      <c r="FP7" s="1332"/>
      <c r="FQ7" s="1332"/>
      <c r="FR7" s="1332"/>
      <c r="FS7" s="1332"/>
      <c r="FT7" s="1332"/>
      <c r="FU7" s="1332"/>
      <c r="FV7" s="1332"/>
      <c r="FW7" s="1332"/>
      <c r="FX7" s="1332"/>
      <c r="FY7" s="1332"/>
      <c r="FZ7" s="1332"/>
      <c r="GA7" s="1332"/>
      <c r="GB7" s="1332"/>
      <c r="GC7" s="1332"/>
      <c r="GD7" s="1332"/>
      <c r="GE7" s="1332"/>
      <c r="GF7" s="1332"/>
      <c r="GG7" s="1332"/>
      <c r="GH7" s="1332"/>
      <c r="GI7" s="1332"/>
      <c r="GJ7" s="1332"/>
      <c r="GK7" s="1332"/>
      <c r="GL7" s="1332"/>
      <c r="GM7" s="1332"/>
      <c r="GN7" s="1332"/>
      <c r="GO7" s="1332"/>
      <c r="GP7" s="1332"/>
      <c r="GQ7" s="1332"/>
      <c r="GR7" s="1332"/>
      <c r="GS7" s="1332"/>
      <c r="GT7" s="1332"/>
      <c r="GU7" s="1332"/>
      <c r="GV7" s="1332"/>
      <c r="GW7" s="1332"/>
      <c r="GX7" s="1332"/>
      <c r="GY7" s="1332"/>
      <c r="GZ7" s="1332"/>
      <c r="HA7" s="1332"/>
      <c r="HB7" s="1332"/>
      <c r="HC7" s="1332"/>
      <c r="HD7" s="1332"/>
      <c r="HE7" s="1332"/>
      <c r="HF7" s="1332"/>
      <c r="HG7" s="1332"/>
      <c r="HH7" s="1332"/>
      <c r="HI7" s="1332"/>
      <c r="HJ7" s="1332"/>
      <c r="HK7" s="1332"/>
      <c r="HL7" s="1332"/>
      <c r="HM7" s="1332"/>
      <c r="HN7" s="1332"/>
      <c r="HO7" s="1332"/>
      <c r="HP7" s="1332"/>
      <c r="HQ7" s="1332"/>
      <c r="HR7" s="1332"/>
      <c r="HS7" s="1332"/>
      <c r="HT7" s="1332"/>
      <c r="HU7" s="1332"/>
      <c r="HV7" s="1332"/>
      <c r="HW7" s="1332"/>
      <c r="HX7" s="1332"/>
      <c r="HY7" s="1332"/>
      <c r="HZ7" s="1332"/>
      <c r="IA7" s="1332"/>
      <c r="IB7" s="1332"/>
      <c r="IC7" s="1332"/>
      <c r="ID7" s="1332"/>
      <c r="IE7" s="1332"/>
      <c r="IF7" s="1332"/>
      <c r="IG7" s="1332"/>
      <c r="IH7" s="1332"/>
      <c r="II7" s="1332"/>
      <c r="IJ7" s="1332"/>
      <c r="IK7" s="1332"/>
      <c r="IL7" s="1332"/>
      <c r="IM7" s="1332"/>
      <c r="IN7" s="1332"/>
      <c r="IO7" s="1332"/>
      <c r="IP7" s="1332"/>
      <c r="IQ7" s="1332"/>
      <c r="IR7" s="1332"/>
      <c r="IS7" s="1332"/>
      <c r="IT7" s="1332"/>
      <c r="IU7" s="1332"/>
      <c r="IV7" s="1332"/>
      <c r="IW7" s="1332"/>
      <c r="IX7" s="1332"/>
      <c r="IY7" s="1332"/>
      <c r="IZ7" s="1332"/>
      <c r="JA7" s="1332"/>
      <c r="JB7" s="1332"/>
      <c r="JC7" s="1332"/>
      <c r="JD7" s="1332"/>
      <c r="JE7" s="1332"/>
      <c r="JF7" s="1332"/>
      <c r="JG7" s="1332"/>
      <c r="JH7" s="1332"/>
      <c r="JI7" s="1332"/>
      <c r="JJ7" s="1332"/>
      <c r="JK7" s="1332"/>
      <c r="JL7" s="1332"/>
      <c r="JM7" s="1332"/>
      <c r="JN7" s="1332"/>
      <c r="JO7" s="1332"/>
      <c r="JP7" s="1332"/>
      <c r="JQ7" s="1332"/>
      <c r="JR7" s="1332"/>
      <c r="JS7" s="1332"/>
      <c r="JT7" s="1332"/>
      <c r="JU7" s="1332"/>
      <c r="JV7" s="1332"/>
    </row>
    <row r="8" spans="1:284" s="780" customFormat="1" ht="15" customHeight="1">
      <c r="A8" s="1622"/>
      <c r="B8" s="1622"/>
      <c r="C8" s="1622"/>
      <c r="D8" s="1625"/>
      <c r="E8" s="1629" t="s">
        <v>2013</v>
      </c>
      <c r="F8" s="1621" t="s">
        <v>712</v>
      </c>
      <c r="G8" s="1625"/>
      <c r="H8" s="1462" t="s">
        <v>713</v>
      </c>
      <c r="I8" s="1617" t="s">
        <v>65</v>
      </c>
      <c r="J8" s="1617"/>
      <c r="K8" s="1617"/>
      <c r="L8" s="1617"/>
      <c r="M8" s="1462" t="s">
        <v>712</v>
      </c>
      <c r="N8" s="1332"/>
      <c r="O8" s="1334"/>
      <c r="P8" s="1333"/>
      <c r="Q8" s="1332"/>
      <c r="R8" s="1332"/>
      <c r="S8" s="1332"/>
      <c r="T8" s="1332"/>
      <c r="U8" s="1332"/>
      <c r="V8" s="1332"/>
      <c r="W8" s="1332"/>
      <c r="X8" s="1332"/>
      <c r="Y8" s="1332"/>
      <c r="Z8" s="1332"/>
      <c r="AA8" s="1332"/>
      <c r="AB8" s="1332"/>
      <c r="AC8" s="1332"/>
      <c r="AD8" s="1332"/>
      <c r="AE8" s="1332"/>
      <c r="AF8" s="1332"/>
      <c r="AG8" s="1332"/>
      <c r="AH8" s="1332"/>
      <c r="AI8" s="1332"/>
      <c r="AJ8" s="1332"/>
      <c r="AK8" s="1332"/>
      <c r="AL8" s="1332"/>
      <c r="AM8" s="1332"/>
      <c r="AN8" s="1332"/>
      <c r="AO8" s="1332"/>
      <c r="AP8" s="1332"/>
      <c r="AQ8" s="1332"/>
      <c r="AR8" s="1332"/>
      <c r="AS8" s="1332"/>
      <c r="AT8" s="1332"/>
      <c r="AU8" s="1332"/>
      <c r="AV8" s="1332"/>
      <c r="AW8" s="1332"/>
      <c r="AX8" s="1332"/>
      <c r="AY8" s="1332"/>
      <c r="AZ8" s="1332"/>
      <c r="BA8" s="1332"/>
      <c r="BB8" s="1332"/>
      <c r="BC8" s="1332"/>
      <c r="BD8" s="1332"/>
      <c r="BE8" s="1332"/>
      <c r="BF8" s="1332"/>
      <c r="BG8" s="1332"/>
      <c r="BH8" s="1332"/>
      <c r="BI8" s="1332"/>
      <c r="BJ8" s="1332"/>
      <c r="BK8" s="1332"/>
      <c r="BL8" s="1332"/>
      <c r="BM8" s="1332"/>
      <c r="BN8" s="1332"/>
      <c r="BO8" s="1332"/>
      <c r="BP8" s="1332"/>
      <c r="BQ8" s="1332"/>
      <c r="BR8" s="1332"/>
      <c r="BS8" s="1332"/>
      <c r="BT8" s="1332"/>
      <c r="BU8" s="1332"/>
      <c r="BV8" s="1332"/>
      <c r="BW8" s="1332"/>
      <c r="BX8" s="1332"/>
      <c r="BY8" s="1332"/>
      <c r="BZ8" s="1332"/>
      <c r="CA8" s="1332"/>
      <c r="CB8" s="1332"/>
      <c r="CC8" s="1332"/>
      <c r="CD8" s="1332"/>
      <c r="CE8" s="1332"/>
      <c r="CF8" s="1332"/>
      <c r="CG8" s="1332"/>
      <c r="CH8" s="1332"/>
      <c r="CI8" s="1332"/>
      <c r="CJ8" s="1332"/>
      <c r="CK8" s="1332"/>
      <c r="CL8" s="1332"/>
      <c r="CM8" s="1332"/>
      <c r="CN8" s="1332"/>
      <c r="CO8" s="1332"/>
      <c r="CP8" s="1332"/>
      <c r="CQ8" s="1332"/>
      <c r="CR8" s="1332"/>
      <c r="CS8" s="1332"/>
      <c r="CT8" s="1332"/>
      <c r="CU8" s="1332"/>
      <c r="CV8" s="1332"/>
      <c r="CW8" s="1332"/>
      <c r="CX8" s="1332"/>
      <c r="CY8" s="1332"/>
      <c r="CZ8" s="1332"/>
      <c r="DA8" s="1332"/>
      <c r="DB8" s="1332"/>
      <c r="DC8" s="1332"/>
      <c r="DD8" s="1332"/>
      <c r="DE8" s="1332"/>
      <c r="DF8" s="1332"/>
      <c r="DG8" s="1332"/>
      <c r="DH8" s="1332"/>
      <c r="DI8" s="1332"/>
      <c r="DJ8" s="1332"/>
      <c r="DK8" s="1332"/>
      <c r="DL8" s="1332"/>
      <c r="DM8" s="1332"/>
      <c r="DN8" s="1332"/>
      <c r="DO8" s="1332"/>
      <c r="DP8" s="1332"/>
      <c r="DQ8" s="1332"/>
      <c r="DR8" s="1332"/>
      <c r="DS8" s="1332"/>
      <c r="DT8" s="1332"/>
      <c r="DU8" s="1332"/>
      <c r="DV8" s="1332"/>
      <c r="DW8" s="1332"/>
      <c r="DX8" s="1332"/>
      <c r="DY8" s="1332"/>
      <c r="DZ8" s="1332"/>
      <c r="EA8" s="1332"/>
      <c r="EB8" s="1332"/>
      <c r="EC8" s="1332"/>
      <c r="ED8" s="1332"/>
      <c r="EE8" s="1332"/>
      <c r="EF8" s="1332"/>
      <c r="EG8" s="1332"/>
      <c r="EH8" s="1332"/>
      <c r="EI8" s="1332"/>
      <c r="EJ8" s="1332"/>
      <c r="EK8" s="1332"/>
      <c r="EL8" s="1332"/>
      <c r="EM8" s="1332"/>
      <c r="EN8" s="1332"/>
      <c r="EO8" s="1332"/>
      <c r="EP8" s="1332"/>
      <c r="EQ8" s="1332"/>
      <c r="ER8" s="1332"/>
      <c r="ES8" s="1332"/>
      <c r="ET8" s="1332"/>
      <c r="EU8" s="1332"/>
      <c r="EV8" s="1332"/>
      <c r="EW8" s="1332"/>
      <c r="EX8" s="1332"/>
      <c r="EY8" s="1332"/>
      <c r="EZ8" s="1332"/>
      <c r="FA8" s="1332"/>
      <c r="FB8" s="1332"/>
      <c r="FC8" s="1332"/>
      <c r="FD8" s="1332"/>
      <c r="FE8" s="1332"/>
      <c r="FF8" s="1332"/>
      <c r="FG8" s="1332"/>
      <c r="FH8" s="1332"/>
      <c r="FI8" s="1332"/>
      <c r="FJ8" s="1332"/>
      <c r="FK8" s="1332"/>
      <c r="FL8" s="1332"/>
      <c r="FM8" s="1332"/>
      <c r="FN8" s="1332"/>
      <c r="FO8" s="1332"/>
      <c r="FP8" s="1332"/>
      <c r="FQ8" s="1332"/>
      <c r="FR8" s="1332"/>
      <c r="FS8" s="1332"/>
      <c r="FT8" s="1332"/>
      <c r="FU8" s="1332"/>
      <c r="FV8" s="1332"/>
      <c r="FW8" s="1332"/>
      <c r="FX8" s="1332"/>
      <c r="FY8" s="1332"/>
      <c r="FZ8" s="1332"/>
      <c r="GA8" s="1332"/>
      <c r="GB8" s="1332"/>
      <c r="GC8" s="1332"/>
      <c r="GD8" s="1332"/>
      <c r="GE8" s="1332"/>
      <c r="GF8" s="1332"/>
      <c r="GG8" s="1332"/>
      <c r="GH8" s="1332"/>
      <c r="GI8" s="1332"/>
      <c r="GJ8" s="1332"/>
      <c r="GK8" s="1332"/>
      <c r="GL8" s="1332"/>
      <c r="GM8" s="1332"/>
      <c r="GN8" s="1332"/>
      <c r="GO8" s="1332"/>
      <c r="GP8" s="1332"/>
      <c r="GQ8" s="1332"/>
      <c r="GR8" s="1332"/>
      <c r="GS8" s="1332"/>
      <c r="GT8" s="1332"/>
      <c r="GU8" s="1332"/>
      <c r="GV8" s="1332"/>
      <c r="GW8" s="1332"/>
      <c r="GX8" s="1332"/>
      <c r="GY8" s="1332"/>
      <c r="GZ8" s="1332"/>
      <c r="HA8" s="1332"/>
      <c r="HB8" s="1332"/>
      <c r="HC8" s="1332"/>
      <c r="HD8" s="1332"/>
      <c r="HE8" s="1332"/>
      <c r="HF8" s="1332"/>
      <c r="HG8" s="1332"/>
      <c r="HH8" s="1332"/>
      <c r="HI8" s="1332"/>
      <c r="HJ8" s="1332"/>
      <c r="HK8" s="1332"/>
      <c r="HL8" s="1332"/>
      <c r="HM8" s="1332"/>
      <c r="HN8" s="1332"/>
      <c r="HO8" s="1332"/>
      <c r="HP8" s="1332"/>
      <c r="HQ8" s="1332"/>
      <c r="HR8" s="1332"/>
      <c r="HS8" s="1332"/>
      <c r="HT8" s="1332"/>
      <c r="HU8" s="1332"/>
      <c r="HV8" s="1332"/>
      <c r="HW8" s="1332"/>
      <c r="HX8" s="1332"/>
      <c r="HY8" s="1332"/>
      <c r="HZ8" s="1332"/>
      <c r="IA8" s="1332"/>
      <c r="IB8" s="1332"/>
      <c r="IC8" s="1332"/>
      <c r="ID8" s="1332"/>
      <c r="IE8" s="1332"/>
      <c r="IF8" s="1332"/>
      <c r="IG8" s="1332"/>
      <c r="IH8" s="1332"/>
      <c r="II8" s="1332"/>
      <c r="IJ8" s="1332"/>
      <c r="IK8" s="1332"/>
      <c r="IL8" s="1332"/>
      <c r="IM8" s="1332"/>
      <c r="IN8" s="1332"/>
      <c r="IO8" s="1332"/>
      <c r="IP8" s="1332"/>
      <c r="IQ8" s="1332"/>
      <c r="IR8" s="1332"/>
      <c r="IS8" s="1332"/>
      <c r="IT8" s="1332"/>
      <c r="IU8" s="1332"/>
      <c r="IV8" s="1332"/>
      <c r="IW8" s="1332"/>
      <c r="IX8" s="1332"/>
      <c r="IY8" s="1332"/>
      <c r="IZ8" s="1332"/>
      <c r="JA8" s="1332"/>
      <c r="JB8" s="1332"/>
      <c r="JC8" s="1332"/>
      <c r="JD8" s="1332"/>
      <c r="JE8" s="1332"/>
      <c r="JF8" s="1332"/>
      <c r="JG8" s="1332"/>
      <c r="JH8" s="1332"/>
      <c r="JI8" s="1332"/>
      <c r="JJ8" s="1332"/>
      <c r="JK8" s="1332"/>
      <c r="JL8" s="1332"/>
      <c r="JM8" s="1332"/>
      <c r="JN8" s="1332"/>
      <c r="JO8" s="1332"/>
      <c r="JP8" s="1332"/>
      <c r="JQ8" s="1332"/>
      <c r="JR8" s="1332"/>
      <c r="JS8" s="1332"/>
      <c r="JT8" s="1332"/>
      <c r="JU8" s="1332"/>
      <c r="JV8" s="1332"/>
    </row>
    <row r="9" spans="1:284" s="780" customFormat="1" ht="15.75" customHeight="1">
      <c r="A9" s="1622"/>
      <c r="B9" s="1622"/>
      <c r="C9" s="1622"/>
      <c r="D9" s="1625"/>
      <c r="E9" s="1630"/>
      <c r="F9" s="1622"/>
      <c r="G9" s="1625"/>
      <c r="H9" s="1462"/>
      <c r="I9" s="1467" t="s">
        <v>2014</v>
      </c>
      <c r="J9" s="1462" t="s">
        <v>2015</v>
      </c>
      <c r="K9" s="1462" t="s">
        <v>2016</v>
      </c>
      <c r="L9" s="1462" t="s">
        <v>2017</v>
      </c>
      <c r="M9" s="1462"/>
      <c r="N9" s="1332"/>
      <c r="O9" s="1334"/>
      <c r="P9" s="1333"/>
      <c r="Q9" s="1332"/>
      <c r="R9" s="1332"/>
      <c r="S9" s="1332"/>
      <c r="T9" s="1332"/>
      <c r="U9" s="1332"/>
      <c r="V9" s="1332"/>
      <c r="W9" s="1332"/>
      <c r="X9" s="1332"/>
      <c r="Y9" s="1332"/>
      <c r="Z9" s="1332"/>
      <c r="AA9" s="1332"/>
      <c r="AB9" s="1332"/>
      <c r="AC9" s="1332"/>
      <c r="AD9" s="1332"/>
      <c r="AE9" s="1332"/>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2"/>
      <c r="IX9" s="1332"/>
      <c r="IY9" s="1332"/>
      <c r="IZ9" s="1332"/>
      <c r="JA9" s="1332"/>
      <c r="JB9" s="1332"/>
      <c r="JC9" s="1332"/>
      <c r="JD9" s="1332"/>
      <c r="JE9" s="1332"/>
      <c r="JF9" s="1332"/>
      <c r="JG9" s="1332"/>
      <c r="JH9" s="1332"/>
      <c r="JI9" s="1332"/>
      <c r="JJ9" s="1332"/>
      <c r="JK9" s="1332"/>
      <c r="JL9" s="1332"/>
      <c r="JM9" s="1332"/>
      <c r="JN9" s="1332"/>
      <c r="JO9" s="1332"/>
      <c r="JP9" s="1332"/>
      <c r="JQ9" s="1332"/>
      <c r="JR9" s="1332"/>
      <c r="JS9" s="1332"/>
      <c r="JT9" s="1332"/>
      <c r="JU9" s="1332"/>
      <c r="JV9" s="1332"/>
    </row>
    <row r="10" spans="1:284" s="780" customFormat="1" ht="15.9" customHeight="1">
      <c r="A10" s="1622"/>
      <c r="B10" s="1622"/>
      <c r="C10" s="1622"/>
      <c r="D10" s="1625"/>
      <c r="E10" s="1630"/>
      <c r="F10" s="1622"/>
      <c r="G10" s="1625"/>
      <c r="H10" s="1462"/>
      <c r="I10" s="1467"/>
      <c r="J10" s="1462"/>
      <c r="K10" s="1462"/>
      <c r="L10" s="1462"/>
      <c r="M10" s="1462"/>
      <c r="N10" s="1332"/>
      <c r="O10" s="1334"/>
      <c r="P10" s="1333"/>
      <c r="Q10" s="1332"/>
      <c r="R10" s="1332"/>
      <c r="S10" s="1332"/>
      <c r="T10" s="1332"/>
      <c r="U10" s="1332"/>
      <c r="V10" s="1332"/>
      <c r="W10" s="1332"/>
      <c r="X10" s="1332"/>
      <c r="Y10" s="1332"/>
      <c r="Z10" s="1332"/>
      <c r="AA10" s="1332"/>
      <c r="AB10" s="1332"/>
      <c r="AC10" s="1332"/>
      <c r="AD10" s="1332"/>
      <c r="AE10" s="1332"/>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c r="HV10" s="1332"/>
      <c r="HW10" s="1332"/>
      <c r="HX10" s="1332"/>
      <c r="HY10" s="1332"/>
      <c r="HZ10" s="1332"/>
      <c r="IA10" s="1332"/>
      <c r="IB10" s="1332"/>
      <c r="IC10" s="1332"/>
      <c r="ID10" s="1332"/>
      <c r="IE10" s="1332"/>
      <c r="IF10" s="1332"/>
      <c r="IG10" s="1332"/>
      <c r="IH10" s="1332"/>
      <c r="II10" s="1332"/>
      <c r="IJ10" s="1332"/>
      <c r="IK10" s="1332"/>
      <c r="IL10" s="1332"/>
      <c r="IM10" s="1332"/>
      <c r="IN10" s="1332"/>
      <c r="IO10" s="1332"/>
      <c r="IP10" s="1332"/>
      <c r="IQ10" s="1332"/>
      <c r="IR10" s="1332"/>
      <c r="IS10" s="1332"/>
      <c r="IT10" s="1332"/>
      <c r="IU10" s="1332"/>
      <c r="IV10" s="1332"/>
      <c r="IW10" s="1332"/>
      <c r="IX10" s="1332"/>
      <c r="IY10" s="1332"/>
      <c r="IZ10" s="1332"/>
      <c r="JA10" s="1332"/>
      <c r="JB10" s="1332"/>
      <c r="JC10" s="1332"/>
      <c r="JD10" s="1332"/>
      <c r="JE10" s="1332"/>
      <c r="JF10" s="1332"/>
      <c r="JG10" s="1332"/>
      <c r="JH10" s="1332"/>
      <c r="JI10" s="1332"/>
      <c r="JJ10" s="1332"/>
      <c r="JK10" s="1332"/>
      <c r="JL10" s="1332"/>
      <c r="JM10" s="1332"/>
      <c r="JN10" s="1332"/>
      <c r="JO10" s="1332"/>
      <c r="JP10" s="1332"/>
      <c r="JQ10" s="1332"/>
      <c r="JR10" s="1332"/>
      <c r="JS10" s="1332"/>
      <c r="JT10" s="1332"/>
      <c r="JU10" s="1332"/>
      <c r="JV10" s="1332"/>
    </row>
    <row r="11" spans="1:284" s="780" customFormat="1" ht="68.25" customHeight="1">
      <c r="A11" s="1623"/>
      <c r="B11" s="1623"/>
      <c r="C11" s="1623"/>
      <c r="D11" s="1626"/>
      <c r="E11" s="1631"/>
      <c r="F11" s="1623"/>
      <c r="G11" s="1626"/>
      <c r="H11" s="1462"/>
      <c r="I11" s="1467"/>
      <c r="J11" s="1462"/>
      <c r="K11" s="1462"/>
      <c r="L11" s="1462"/>
      <c r="M11" s="1462"/>
      <c r="N11" s="1332"/>
      <c r="O11" s="1334"/>
      <c r="P11" s="1333"/>
      <c r="Q11" s="1332"/>
      <c r="R11" s="1332"/>
      <c r="S11" s="1332"/>
      <c r="T11" s="1332"/>
      <c r="U11" s="1332"/>
      <c r="V11" s="1332"/>
      <c r="W11" s="1332"/>
      <c r="X11" s="1332"/>
      <c r="Y11" s="1332"/>
      <c r="Z11" s="1332"/>
      <c r="AA11" s="1332"/>
      <c r="AB11" s="1332"/>
      <c r="AC11" s="1332"/>
      <c r="AD11" s="1332"/>
      <c r="AE11" s="1332"/>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332"/>
      <c r="BW11" s="1332"/>
      <c r="BX11" s="1332"/>
      <c r="BY11" s="1332"/>
      <c r="BZ11" s="1332"/>
      <c r="CA11" s="1332"/>
      <c r="CB11" s="1332"/>
      <c r="CC11" s="1332"/>
      <c r="CD11" s="1332"/>
      <c r="CE11" s="1332"/>
      <c r="CF11" s="1332"/>
      <c r="CG11" s="1332"/>
      <c r="CH11" s="1332"/>
      <c r="CI11" s="1332"/>
      <c r="CJ11" s="1332"/>
      <c r="CK11" s="1332"/>
      <c r="CL11" s="1332"/>
      <c r="CM11" s="1332"/>
      <c r="CN11" s="1332"/>
      <c r="CO11" s="1332"/>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c r="DS11" s="1332"/>
      <c r="DT11" s="1332"/>
      <c r="DU11" s="1332"/>
      <c r="DV11" s="1332"/>
      <c r="DW11" s="1332"/>
      <c r="DX11" s="1332"/>
      <c r="DY11" s="1332"/>
      <c r="DZ11" s="1332"/>
      <c r="EA11" s="1332"/>
      <c r="EB11" s="1332"/>
      <c r="EC11" s="1332"/>
      <c r="ED11" s="1332"/>
      <c r="EE11" s="1332"/>
      <c r="EF11" s="1332"/>
      <c r="EG11" s="1332"/>
      <c r="EH11" s="1332"/>
      <c r="EI11" s="1332"/>
      <c r="EJ11" s="1332"/>
      <c r="EK11" s="1332"/>
      <c r="EL11" s="1332"/>
      <c r="EM11" s="1332"/>
      <c r="EN11" s="1332"/>
      <c r="EO11" s="1332"/>
      <c r="EP11" s="1332"/>
      <c r="EQ11" s="1332"/>
      <c r="ER11" s="1332"/>
      <c r="ES11" s="1332"/>
      <c r="ET11" s="1332"/>
      <c r="EU11" s="1332"/>
      <c r="EV11" s="1332"/>
      <c r="EW11" s="1332"/>
      <c r="EX11" s="1332"/>
      <c r="EY11" s="1332"/>
      <c r="EZ11" s="1332"/>
      <c r="FA11" s="1332"/>
      <c r="FB11" s="1332"/>
      <c r="FC11" s="1332"/>
      <c r="FD11" s="1332"/>
      <c r="FE11" s="1332"/>
      <c r="FF11" s="1332"/>
      <c r="FG11" s="1332"/>
      <c r="FH11" s="1332"/>
      <c r="FI11" s="1332"/>
      <c r="FJ11" s="1332"/>
      <c r="FK11" s="1332"/>
      <c r="FL11" s="1332"/>
      <c r="FM11" s="1332"/>
      <c r="FN11" s="1332"/>
      <c r="FO11" s="1332"/>
      <c r="FP11" s="1332"/>
      <c r="FQ11" s="1332"/>
      <c r="FR11" s="1332"/>
      <c r="FS11" s="1332"/>
      <c r="FT11" s="1332"/>
      <c r="FU11" s="1332"/>
      <c r="FV11" s="1332"/>
      <c r="FW11" s="1332"/>
      <c r="FX11" s="1332"/>
      <c r="FY11" s="1332"/>
      <c r="FZ11" s="1332"/>
      <c r="GA11" s="1332"/>
      <c r="GB11" s="1332"/>
      <c r="GC11" s="1332"/>
      <c r="GD11" s="1332"/>
      <c r="GE11" s="1332"/>
      <c r="GF11" s="1332"/>
      <c r="GG11" s="1332"/>
      <c r="GH11" s="1332"/>
      <c r="GI11" s="1332"/>
      <c r="GJ11" s="1332"/>
      <c r="GK11" s="1332"/>
      <c r="GL11" s="1332"/>
      <c r="GM11" s="1332"/>
      <c r="GN11" s="1332"/>
      <c r="GO11" s="1332"/>
      <c r="GP11" s="1332"/>
      <c r="GQ11" s="1332"/>
      <c r="GR11" s="1332"/>
      <c r="GS11" s="1332"/>
      <c r="GT11" s="1332"/>
      <c r="GU11" s="1332"/>
      <c r="GV11" s="1332"/>
      <c r="GW11" s="1332"/>
      <c r="GX11" s="1332"/>
      <c r="GY11" s="1332"/>
      <c r="GZ11" s="1332"/>
      <c r="HA11" s="1332"/>
      <c r="HB11" s="1332"/>
      <c r="HC11" s="1332"/>
      <c r="HD11" s="1332"/>
      <c r="HE11" s="1332"/>
      <c r="HF11" s="1332"/>
      <c r="HG11" s="1332"/>
      <c r="HH11" s="1332"/>
      <c r="HI11" s="1332"/>
      <c r="HJ11" s="1332"/>
      <c r="HK11" s="1332"/>
      <c r="HL11" s="1332"/>
      <c r="HM11" s="1332"/>
      <c r="HN11" s="1332"/>
      <c r="HO11" s="1332"/>
      <c r="HP11" s="1332"/>
      <c r="HQ11" s="1332"/>
      <c r="HR11" s="1332"/>
      <c r="HS11" s="1332"/>
      <c r="HT11" s="1332"/>
      <c r="HU11" s="1332"/>
      <c r="HV11" s="1332"/>
      <c r="HW11" s="1332"/>
      <c r="HX11" s="1332"/>
      <c r="HY11" s="1332"/>
      <c r="HZ11" s="1332"/>
      <c r="IA11" s="1332"/>
      <c r="IB11" s="1332"/>
      <c r="IC11" s="1332"/>
      <c r="ID11" s="1332"/>
      <c r="IE11" s="1332"/>
      <c r="IF11" s="1332"/>
      <c r="IG11" s="1332"/>
      <c r="IH11" s="1332"/>
      <c r="II11" s="1332"/>
      <c r="IJ11" s="1332"/>
      <c r="IK11" s="1332"/>
      <c r="IL11" s="1332"/>
      <c r="IM11" s="1332"/>
      <c r="IN11" s="1332"/>
      <c r="IO11" s="1332"/>
      <c r="IP11" s="1332"/>
      <c r="IQ11" s="1332"/>
      <c r="IR11" s="1332"/>
      <c r="IS11" s="1332"/>
      <c r="IT11" s="1332"/>
      <c r="IU11" s="1332"/>
      <c r="IV11" s="1332"/>
      <c r="IW11" s="1332"/>
      <c r="IX11" s="1332"/>
      <c r="IY11" s="1332"/>
      <c r="IZ11" s="1332"/>
      <c r="JA11" s="1332"/>
      <c r="JB11" s="1332"/>
      <c r="JC11" s="1332"/>
      <c r="JD11" s="1332"/>
      <c r="JE11" s="1332"/>
      <c r="JF11" s="1332"/>
      <c r="JG11" s="1332"/>
      <c r="JH11" s="1332"/>
      <c r="JI11" s="1332"/>
      <c r="JJ11" s="1332"/>
      <c r="JK11" s="1332"/>
      <c r="JL11" s="1332"/>
      <c r="JM11" s="1332"/>
      <c r="JN11" s="1332"/>
      <c r="JO11" s="1332"/>
      <c r="JP11" s="1332"/>
      <c r="JQ11" s="1332"/>
      <c r="JR11" s="1332"/>
      <c r="JS11" s="1332"/>
      <c r="JT11" s="1332"/>
      <c r="JU11" s="1332"/>
      <c r="JV11" s="1332"/>
    </row>
    <row r="12" spans="1:284" s="780" customFormat="1">
      <c r="A12" s="1318" t="s">
        <v>14</v>
      </c>
      <c r="B12" s="1318" t="s">
        <v>69</v>
      </c>
      <c r="C12" s="1318" t="s">
        <v>70</v>
      </c>
      <c r="D12" s="1327" t="s">
        <v>18</v>
      </c>
      <c r="E12" s="843" t="s">
        <v>26</v>
      </c>
      <c r="F12" s="1339" t="s">
        <v>59</v>
      </c>
      <c r="G12" s="1327" t="s">
        <v>2018</v>
      </c>
      <c r="H12" s="1327" t="s">
        <v>2019</v>
      </c>
      <c r="I12" s="843" t="s">
        <v>75</v>
      </c>
      <c r="J12" s="843" t="s">
        <v>1442</v>
      </c>
      <c r="K12" s="843" t="s">
        <v>1443</v>
      </c>
      <c r="L12" s="843" t="s">
        <v>76</v>
      </c>
      <c r="M12" s="1339" t="s">
        <v>77</v>
      </c>
      <c r="N12" s="1332"/>
      <c r="O12" s="1334"/>
      <c r="P12" s="1333"/>
      <c r="Q12" s="1332"/>
      <c r="R12" s="1332"/>
      <c r="S12" s="1332"/>
      <c r="T12" s="1332"/>
      <c r="U12" s="1332"/>
      <c r="V12" s="1332"/>
      <c r="W12" s="1332"/>
      <c r="X12" s="1332"/>
      <c r="Y12" s="1332"/>
      <c r="Z12" s="1332"/>
      <c r="AA12" s="1332"/>
      <c r="AB12" s="1332"/>
      <c r="AC12" s="1332"/>
      <c r="AD12" s="1332"/>
      <c r="AE12" s="1332"/>
      <c r="AF12" s="1332"/>
      <c r="AG12" s="1332"/>
      <c r="AH12" s="1332"/>
      <c r="AI12" s="1332"/>
      <c r="AJ12" s="1332"/>
      <c r="AK12" s="1332"/>
      <c r="AL12" s="1332"/>
      <c r="AM12" s="1332"/>
      <c r="AN12" s="1332"/>
      <c r="AO12" s="1332"/>
      <c r="AP12" s="1332"/>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FZ12" s="1332"/>
      <c r="GA12" s="1332"/>
      <c r="GB12" s="1332"/>
      <c r="GC12" s="1332"/>
      <c r="GD12" s="1332"/>
      <c r="GE12" s="1332"/>
      <c r="GF12" s="1332"/>
      <c r="GG12" s="1332"/>
      <c r="GH12" s="1332"/>
      <c r="GI12" s="1332"/>
      <c r="GJ12" s="1332"/>
      <c r="GK12" s="1332"/>
      <c r="GL12" s="1332"/>
      <c r="GM12" s="1332"/>
      <c r="GN12" s="1332"/>
      <c r="GO12" s="1332"/>
      <c r="GP12" s="1332"/>
      <c r="GQ12" s="1332"/>
      <c r="GR12" s="1332"/>
      <c r="GS12" s="1332"/>
      <c r="GT12" s="1332"/>
      <c r="GU12" s="1332"/>
      <c r="GV12" s="1332"/>
      <c r="GW12" s="1332"/>
      <c r="GX12" s="1332"/>
      <c r="GY12" s="1332"/>
      <c r="GZ12" s="1332"/>
      <c r="HA12" s="1332"/>
      <c r="HB12" s="1332"/>
      <c r="HC12" s="1332"/>
      <c r="HD12" s="1332"/>
      <c r="HE12" s="1332"/>
      <c r="HF12" s="1332"/>
      <c r="HG12" s="1332"/>
      <c r="HH12" s="1332"/>
      <c r="HI12" s="1332"/>
      <c r="HJ12" s="1332"/>
      <c r="HK12" s="1332"/>
      <c r="HL12" s="1332"/>
      <c r="HM12" s="1332"/>
      <c r="HN12" s="1332"/>
      <c r="HO12" s="1332"/>
      <c r="HP12" s="1332"/>
      <c r="HQ12" s="1332"/>
      <c r="HR12" s="1332"/>
      <c r="HS12" s="1332"/>
      <c r="HT12" s="1332"/>
      <c r="HU12" s="1332"/>
      <c r="HV12" s="1332"/>
      <c r="HW12" s="1332"/>
      <c r="HX12" s="1332"/>
      <c r="HY12" s="1332"/>
      <c r="HZ12" s="1332"/>
      <c r="IA12" s="1332"/>
      <c r="IB12" s="1332"/>
      <c r="IC12" s="1332"/>
      <c r="ID12" s="1332"/>
      <c r="IE12" s="1332"/>
      <c r="IF12" s="1332"/>
      <c r="IG12" s="1332"/>
      <c r="IH12" s="1332"/>
      <c r="II12" s="1332"/>
      <c r="IJ12" s="1332"/>
      <c r="IK12" s="1332"/>
      <c r="IL12" s="1332"/>
      <c r="IM12" s="1332"/>
      <c r="IN12" s="1332"/>
      <c r="IO12" s="1332"/>
      <c r="IP12" s="1332"/>
      <c r="IQ12" s="1332"/>
      <c r="IR12" s="1332"/>
      <c r="IS12" s="1332"/>
      <c r="IT12" s="1332"/>
      <c r="IU12" s="1332"/>
      <c r="IV12" s="1332"/>
      <c r="IW12" s="1332"/>
      <c r="IX12" s="1332"/>
      <c r="IY12" s="1332"/>
      <c r="IZ12" s="1332"/>
      <c r="JA12" s="1332"/>
      <c r="JB12" s="1332"/>
      <c r="JC12" s="1332"/>
      <c r="JD12" s="1332"/>
      <c r="JE12" s="1332"/>
      <c r="JF12" s="1332"/>
      <c r="JG12" s="1332"/>
      <c r="JH12" s="1332"/>
      <c r="JI12" s="1332"/>
      <c r="JJ12" s="1332"/>
      <c r="JK12" s="1332"/>
      <c r="JL12" s="1332"/>
      <c r="JM12" s="1332"/>
      <c r="JN12" s="1332"/>
      <c r="JO12" s="1332"/>
      <c r="JP12" s="1332"/>
      <c r="JQ12" s="1332"/>
      <c r="JR12" s="1332"/>
      <c r="JS12" s="1332"/>
      <c r="JT12" s="1332"/>
      <c r="JU12" s="1332"/>
      <c r="JV12" s="1332"/>
    </row>
    <row r="13" spans="1:284" s="787" customFormat="1" ht="29.25" customHeight="1">
      <c r="A13" s="1340"/>
      <c r="B13" s="1341" t="s">
        <v>714</v>
      </c>
      <c r="C13" s="1342"/>
      <c r="D13" s="1343">
        <v>3414916</v>
      </c>
      <c r="E13" s="1343">
        <v>3194008</v>
      </c>
      <c r="F13" s="1343">
        <v>220908</v>
      </c>
      <c r="G13" s="1343">
        <f>G14+G80</f>
        <v>3965144</v>
      </c>
      <c r="H13" s="1343">
        <f>H14+H80</f>
        <v>3683273</v>
      </c>
      <c r="I13" s="1343">
        <f>I14+I80</f>
        <v>3609131</v>
      </c>
      <c r="J13" s="1343">
        <f>IF(E13=0,0,I13/E13*100)</f>
        <v>112.99693050236567</v>
      </c>
      <c r="K13" s="1343">
        <f>I13-E13</f>
        <v>415123</v>
      </c>
      <c r="L13" s="1343">
        <f>L14+L80</f>
        <v>74142</v>
      </c>
      <c r="M13" s="1343">
        <f>M14+M80</f>
        <v>281871</v>
      </c>
      <c r="N13" s="1332"/>
      <c r="O13" s="1334"/>
      <c r="P13" s="1333"/>
      <c r="Q13" s="1332"/>
      <c r="R13" s="1332"/>
      <c r="S13" s="1332"/>
      <c r="T13" s="1332"/>
      <c r="U13" s="1332"/>
      <c r="V13" s="1332"/>
      <c r="W13" s="1332"/>
      <c r="X13" s="1332"/>
      <c r="Y13" s="1332"/>
      <c r="Z13" s="1332"/>
      <c r="AA13" s="1332"/>
      <c r="AB13" s="1332"/>
      <c r="AC13" s="1332"/>
      <c r="AD13" s="1332"/>
      <c r="AE13" s="1332"/>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c r="HV13" s="1332"/>
      <c r="HW13" s="1332"/>
      <c r="HX13" s="1332"/>
      <c r="HY13" s="1332"/>
      <c r="HZ13" s="1332"/>
      <c r="IA13" s="1332"/>
      <c r="IB13" s="1332"/>
      <c r="IC13" s="1332"/>
      <c r="ID13" s="1332"/>
      <c r="IE13" s="1332"/>
      <c r="IF13" s="1332"/>
      <c r="IG13" s="1332"/>
      <c r="IH13" s="1332"/>
      <c r="II13" s="1332"/>
      <c r="IJ13" s="1332"/>
      <c r="IK13" s="1332"/>
      <c r="IL13" s="1332"/>
      <c r="IM13" s="1332"/>
      <c r="IN13" s="1332"/>
      <c r="IO13" s="1332"/>
      <c r="IP13" s="1332"/>
      <c r="IQ13" s="1332"/>
      <c r="IR13" s="1332"/>
      <c r="IS13" s="1332"/>
      <c r="IT13" s="1332"/>
      <c r="IU13" s="1332"/>
      <c r="IV13" s="1332"/>
      <c r="IW13" s="1332"/>
      <c r="IX13" s="1332"/>
      <c r="IY13" s="1332"/>
      <c r="IZ13" s="1332"/>
      <c r="JA13" s="1332"/>
      <c r="JB13" s="1332"/>
      <c r="JC13" s="1332"/>
      <c r="JD13" s="1332"/>
      <c r="JE13" s="1332"/>
      <c r="JF13" s="1332"/>
      <c r="JG13" s="1332"/>
      <c r="JH13" s="1332"/>
      <c r="JI13" s="1332"/>
      <c r="JJ13" s="1332"/>
      <c r="JK13" s="1332"/>
      <c r="JL13" s="1332"/>
      <c r="JM13" s="1332"/>
      <c r="JN13" s="1332"/>
      <c r="JO13" s="1332"/>
      <c r="JP13" s="1332"/>
      <c r="JQ13" s="1332"/>
      <c r="JR13" s="1332"/>
      <c r="JS13" s="1332"/>
      <c r="JT13" s="1332"/>
      <c r="JU13" s="1332"/>
      <c r="JV13" s="1332"/>
    </row>
    <row r="14" spans="1:284" s="787" customFormat="1" ht="19.5" customHeight="1">
      <c r="A14" s="1344" t="s">
        <v>14</v>
      </c>
      <c r="B14" s="1345" t="s">
        <v>715</v>
      </c>
      <c r="C14" s="1344"/>
      <c r="D14" s="1346">
        <v>3366516</v>
      </c>
      <c r="E14" s="1346">
        <v>3145608</v>
      </c>
      <c r="F14" s="1346">
        <v>220908</v>
      </c>
      <c r="G14" s="1346">
        <f>G15+G23+G71+G70+G74+G69+G68</f>
        <v>3896644</v>
      </c>
      <c r="H14" s="1346">
        <f t="shared" ref="H14:M14" si="1">H15+H23+H71+H70+H74+H69+H68</f>
        <v>3614773</v>
      </c>
      <c r="I14" s="1346">
        <f t="shared" si="1"/>
        <v>3540631</v>
      </c>
      <c r="J14" s="1346">
        <f t="shared" si="1"/>
        <v>545.87744652584081</v>
      </c>
      <c r="K14" s="1346">
        <f t="shared" si="1"/>
        <v>387493</v>
      </c>
      <c r="L14" s="1346">
        <f t="shared" si="1"/>
        <v>74142</v>
      </c>
      <c r="M14" s="1346">
        <f t="shared" si="1"/>
        <v>281871</v>
      </c>
      <c r="N14" s="1332"/>
      <c r="O14" s="1334"/>
      <c r="P14" s="1333"/>
      <c r="Q14" s="1332"/>
      <c r="R14" s="1332"/>
      <c r="S14" s="1332"/>
      <c r="T14" s="1332"/>
      <c r="U14" s="1332"/>
      <c r="V14" s="1332"/>
      <c r="W14" s="1332"/>
      <c r="X14" s="1332"/>
      <c r="Y14" s="1332"/>
      <c r="Z14" s="1332"/>
      <c r="AA14" s="1332"/>
      <c r="AB14" s="1332"/>
      <c r="AC14" s="1332"/>
      <c r="AD14" s="1332"/>
      <c r="AE14" s="1332"/>
      <c r="AF14" s="1332"/>
      <c r="AG14" s="1332"/>
      <c r="AH14" s="1332"/>
      <c r="AI14" s="1332"/>
      <c r="AJ14" s="1332"/>
      <c r="AK14" s="1332"/>
      <c r="AL14" s="1332"/>
      <c r="AM14" s="1332"/>
      <c r="AN14" s="1332"/>
      <c r="AO14" s="1332"/>
      <c r="AP14" s="1332"/>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2"/>
      <c r="BY14" s="1332"/>
      <c r="BZ14" s="1332"/>
      <c r="CA14" s="1332"/>
      <c r="CB14" s="1332"/>
      <c r="CC14" s="1332"/>
      <c r="CD14" s="1332"/>
      <c r="CE14" s="1332"/>
      <c r="CF14" s="1332"/>
      <c r="CG14" s="1332"/>
      <c r="CH14" s="1332"/>
      <c r="CI14" s="1332"/>
      <c r="CJ14" s="1332"/>
      <c r="CK14" s="1332"/>
      <c r="CL14" s="1332"/>
      <c r="CM14" s="1332"/>
      <c r="CN14" s="1332"/>
      <c r="CO14" s="1332"/>
      <c r="CP14" s="1332"/>
      <c r="CQ14" s="1332"/>
      <c r="CR14" s="1332"/>
      <c r="CS14" s="1332"/>
      <c r="CT14" s="1332"/>
      <c r="CU14" s="1332"/>
      <c r="CV14" s="1332"/>
      <c r="CW14" s="1332"/>
      <c r="CX14" s="1332"/>
      <c r="CY14" s="1332"/>
      <c r="CZ14" s="1332"/>
      <c r="DA14" s="1332"/>
      <c r="DB14" s="1332"/>
      <c r="DC14" s="1332"/>
      <c r="DD14" s="1332"/>
      <c r="DE14" s="1332"/>
      <c r="DF14" s="1332"/>
      <c r="DG14" s="1332"/>
      <c r="DH14" s="1332"/>
      <c r="DI14" s="1332"/>
      <c r="DJ14" s="1332"/>
      <c r="DK14" s="1332"/>
      <c r="DL14" s="1332"/>
      <c r="DM14" s="1332"/>
      <c r="DN14" s="1332"/>
      <c r="DO14" s="1332"/>
      <c r="DP14" s="1332"/>
      <c r="DQ14" s="1332"/>
      <c r="DR14" s="1332"/>
      <c r="DS14" s="1332"/>
      <c r="DT14" s="1332"/>
      <c r="DU14" s="1332"/>
      <c r="DV14" s="1332"/>
      <c r="DW14" s="1332"/>
      <c r="DX14" s="1332"/>
      <c r="DY14" s="1332"/>
      <c r="DZ14" s="1332"/>
      <c r="EA14" s="1332"/>
      <c r="EB14" s="1332"/>
      <c r="EC14" s="1332"/>
      <c r="ED14" s="1332"/>
      <c r="EE14" s="1332"/>
      <c r="EF14" s="1332"/>
      <c r="EG14" s="1332"/>
      <c r="EH14" s="1332"/>
      <c r="EI14" s="1332"/>
      <c r="EJ14" s="1332"/>
      <c r="EK14" s="1332"/>
      <c r="EL14" s="1332"/>
      <c r="EM14" s="1332"/>
      <c r="EN14" s="1332"/>
      <c r="EO14" s="1332"/>
      <c r="EP14" s="1332"/>
      <c r="EQ14" s="1332"/>
      <c r="ER14" s="1332"/>
      <c r="ES14" s="1332"/>
      <c r="ET14" s="1332"/>
      <c r="EU14" s="1332"/>
      <c r="EV14" s="1332"/>
      <c r="EW14" s="1332"/>
      <c r="EX14" s="1332"/>
      <c r="EY14" s="1332"/>
      <c r="EZ14" s="1332"/>
      <c r="FA14" s="1332"/>
      <c r="FB14" s="1332"/>
      <c r="FC14" s="1332"/>
      <c r="FD14" s="1332"/>
      <c r="FE14" s="1332"/>
      <c r="FF14" s="1332"/>
      <c r="FG14" s="1332"/>
      <c r="FH14" s="1332"/>
      <c r="FI14" s="1332"/>
      <c r="FJ14" s="1332"/>
      <c r="FK14" s="1332"/>
      <c r="FL14" s="1332"/>
      <c r="FM14" s="1332"/>
      <c r="FN14" s="1332"/>
      <c r="FO14" s="1332"/>
      <c r="FP14" s="1332"/>
      <c r="FQ14" s="1332"/>
      <c r="FR14" s="1332"/>
      <c r="FS14" s="1332"/>
      <c r="FT14" s="1332"/>
      <c r="FU14" s="1332"/>
      <c r="FV14" s="1332"/>
      <c r="FW14" s="1332"/>
      <c r="FX14" s="1332"/>
      <c r="FY14" s="1332"/>
      <c r="FZ14" s="1332"/>
      <c r="GA14" s="1332"/>
      <c r="GB14" s="1332"/>
      <c r="GC14" s="1332"/>
      <c r="GD14" s="1332"/>
      <c r="GE14" s="1332"/>
      <c r="GF14" s="1332"/>
      <c r="GG14" s="1332"/>
      <c r="GH14" s="1332"/>
      <c r="GI14" s="1332"/>
      <c r="GJ14" s="1332"/>
      <c r="GK14" s="1332"/>
      <c r="GL14" s="1332"/>
      <c r="GM14" s="1332"/>
      <c r="GN14" s="1332"/>
      <c r="GO14" s="1332"/>
      <c r="GP14" s="1332"/>
      <c r="GQ14" s="1332"/>
      <c r="GR14" s="1332"/>
      <c r="GS14" s="1332"/>
      <c r="GT14" s="1332"/>
      <c r="GU14" s="1332"/>
      <c r="GV14" s="1332"/>
      <c r="GW14" s="1332"/>
      <c r="GX14" s="1332"/>
      <c r="GY14" s="1332"/>
      <c r="GZ14" s="1332"/>
      <c r="HA14" s="1332"/>
      <c r="HB14" s="1332"/>
      <c r="HC14" s="1332"/>
      <c r="HD14" s="1332"/>
      <c r="HE14" s="1332"/>
      <c r="HF14" s="1332"/>
      <c r="HG14" s="1332"/>
      <c r="HH14" s="1332"/>
      <c r="HI14" s="1332"/>
      <c r="HJ14" s="1332"/>
      <c r="HK14" s="1332"/>
      <c r="HL14" s="1332"/>
      <c r="HM14" s="1332"/>
      <c r="HN14" s="1332"/>
      <c r="HO14" s="1332"/>
      <c r="HP14" s="1332"/>
      <c r="HQ14" s="1332"/>
      <c r="HR14" s="1332"/>
      <c r="HS14" s="1332"/>
      <c r="HT14" s="1332"/>
      <c r="HU14" s="1332"/>
      <c r="HV14" s="1332"/>
      <c r="HW14" s="1332"/>
      <c r="HX14" s="1332"/>
      <c r="HY14" s="1332"/>
      <c r="HZ14" s="1332"/>
      <c r="IA14" s="1332"/>
      <c r="IB14" s="1332"/>
      <c r="IC14" s="1332"/>
      <c r="ID14" s="1332"/>
      <c r="IE14" s="1332"/>
      <c r="IF14" s="1332"/>
      <c r="IG14" s="1332"/>
      <c r="IH14" s="1332"/>
      <c r="II14" s="1332"/>
      <c r="IJ14" s="1332"/>
      <c r="IK14" s="1332"/>
      <c r="IL14" s="1332"/>
      <c r="IM14" s="1332"/>
      <c r="IN14" s="1332"/>
      <c r="IO14" s="1332"/>
      <c r="IP14" s="1332"/>
      <c r="IQ14" s="1332"/>
      <c r="IR14" s="1332"/>
      <c r="IS14" s="1332"/>
      <c r="IT14" s="1332"/>
      <c r="IU14" s="1332"/>
      <c r="IV14" s="1332"/>
      <c r="IW14" s="1332"/>
      <c r="IX14" s="1332"/>
      <c r="IY14" s="1332"/>
      <c r="IZ14" s="1332"/>
      <c r="JA14" s="1332"/>
      <c r="JB14" s="1332"/>
      <c r="JC14" s="1332"/>
      <c r="JD14" s="1332"/>
      <c r="JE14" s="1332"/>
      <c r="JF14" s="1332"/>
      <c r="JG14" s="1332"/>
      <c r="JH14" s="1332"/>
      <c r="JI14" s="1332"/>
      <c r="JJ14" s="1332"/>
      <c r="JK14" s="1332"/>
      <c r="JL14" s="1332"/>
      <c r="JM14" s="1332"/>
      <c r="JN14" s="1332"/>
      <c r="JO14" s="1332"/>
      <c r="JP14" s="1332"/>
      <c r="JQ14" s="1332"/>
      <c r="JR14" s="1332"/>
      <c r="JS14" s="1332"/>
      <c r="JT14" s="1332"/>
      <c r="JU14" s="1332"/>
      <c r="JV14" s="1332"/>
    </row>
    <row r="15" spans="1:284" s="787" customFormat="1" ht="19.5" customHeight="1">
      <c r="A15" s="1344" t="s">
        <v>16</v>
      </c>
      <c r="B15" s="1345" t="s">
        <v>716</v>
      </c>
      <c r="C15" s="1344"/>
      <c r="D15" s="1346">
        <v>519429</v>
      </c>
      <c r="E15" s="1346">
        <v>322529</v>
      </c>
      <c r="F15" s="1346">
        <v>196900</v>
      </c>
      <c r="G15" s="1346">
        <f>G16+G17+G21+G22</f>
        <v>593429</v>
      </c>
      <c r="H15" s="1346">
        <f>H16+H17+H21+H22</f>
        <v>415220</v>
      </c>
      <c r="I15" s="1346">
        <f>I16+I17+I21+I22</f>
        <v>415220</v>
      </c>
      <c r="J15" s="844">
        <f>IF(E15=0,0,I15/E15*100)</f>
        <v>128.7388110836545</v>
      </c>
      <c r="K15" s="1346">
        <f>I15-E15</f>
        <v>92691</v>
      </c>
      <c r="L15" s="1346">
        <f>L16+L17+L21+L22</f>
        <v>0</v>
      </c>
      <c r="M15" s="1346">
        <f>M16+M17+M21+M22</f>
        <v>178209</v>
      </c>
      <c r="N15" s="1332"/>
      <c r="O15" s="1334"/>
      <c r="P15" s="1333"/>
      <c r="Q15" s="1332"/>
      <c r="R15" s="1332"/>
      <c r="S15" s="1332"/>
      <c r="T15" s="1332"/>
      <c r="U15" s="1332"/>
      <c r="V15" s="1332"/>
      <c r="W15" s="1332"/>
      <c r="X15" s="1332"/>
      <c r="Y15" s="1332"/>
      <c r="Z15" s="1332"/>
      <c r="AA15" s="1332"/>
      <c r="AB15" s="1332"/>
      <c r="AC15" s="1332"/>
      <c r="AD15" s="1332"/>
      <c r="AE15" s="1332"/>
      <c r="AF15" s="1332"/>
      <c r="AG15" s="1332"/>
      <c r="AH15" s="1332"/>
      <c r="AI15" s="1332"/>
      <c r="AJ15" s="1332"/>
      <c r="AK15" s="1332"/>
      <c r="AL15" s="1332"/>
      <c r="AM15" s="1332"/>
      <c r="AN15" s="1332"/>
      <c r="AO15" s="1332"/>
      <c r="AP15" s="1332"/>
      <c r="AQ15" s="1332"/>
      <c r="AR15" s="1332"/>
      <c r="AS15" s="1332"/>
      <c r="AT15" s="1332"/>
      <c r="AU15" s="1332"/>
      <c r="AV15" s="1332"/>
      <c r="AW15" s="1332"/>
      <c r="AX15" s="1332"/>
      <c r="AY15" s="1332"/>
      <c r="AZ15" s="1332"/>
      <c r="BA15" s="1332"/>
      <c r="BB15" s="1332"/>
      <c r="BC15" s="1332"/>
      <c r="BD15" s="1332"/>
      <c r="BE15" s="1332"/>
      <c r="BF15" s="1332"/>
      <c r="BG15" s="1332"/>
      <c r="BH15" s="1332"/>
      <c r="BI15" s="1332"/>
      <c r="BJ15" s="1332"/>
      <c r="BK15" s="1332"/>
      <c r="BL15" s="1332"/>
      <c r="BM15" s="1332"/>
      <c r="BN15" s="1332"/>
      <c r="BO15" s="1332"/>
      <c r="BP15" s="1332"/>
      <c r="BQ15" s="1332"/>
      <c r="BR15" s="1332"/>
      <c r="BS15" s="1332"/>
      <c r="BT15" s="1332"/>
      <c r="BU15" s="1332"/>
      <c r="BV15" s="1332"/>
      <c r="BW15" s="1332"/>
      <c r="BX15" s="1332"/>
      <c r="BY15" s="1332"/>
      <c r="BZ15" s="1332"/>
      <c r="CA15" s="1332"/>
      <c r="CB15" s="1332"/>
      <c r="CC15" s="1332"/>
      <c r="CD15" s="1332"/>
      <c r="CE15" s="1332"/>
      <c r="CF15" s="1332"/>
      <c r="CG15" s="1332"/>
      <c r="CH15" s="1332"/>
      <c r="CI15" s="1332"/>
      <c r="CJ15" s="1332"/>
      <c r="CK15" s="1332"/>
      <c r="CL15" s="1332"/>
      <c r="CM15" s="1332"/>
      <c r="CN15" s="1332"/>
      <c r="CO15" s="1332"/>
      <c r="CP15" s="1332"/>
      <c r="CQ15" s="1332"/>
      <c r="CR15" s="1332"/>
      <c r="CS15" s="1332"/>
      <c r="CT15" s="1332"/>
      <c r="CU15" s="1332"/>
      <c r="CV15" s="1332"/>
      <c r="CW15" s="1332"/>
      <c r="CX15" s="1332"/>
      <c r="CY15" s="1332"/>
      <c r="CZ15" s="1332"/>
      <c r="DA15" s="1332"/>
      <c r="DB15" s="1332"/>
      <c r="DC15" s="1332"/>
      <c r="DD15" s="1332"/>
      <c r="DE15" s="1332"/>
      <c r="DF15" s="1332"/>
      <c r="DG15" s="1332"/>
      <c r="DH15" s="1332"/>
      <c r="DI15" s="1332"/>
      <c r="DJ15" s="1332"/>
      <c r="DK15" s="1332"/>
      <c r="DL15" s="1332"/>
      <c r="DM15" s="1332"/>
      <c r="DN15" s="1332"/>
      <c r="DO15" s="1332"/>
      <c r="DP15" s="1332"/>
      <c r="DQ15" s="1332"/>
      <c r="DR15" s="1332"/>
      <c r="DS15" s="1332"/>
      <c r="DT15" s="1332"/>
      <c r="DU15" s="1332"/>
      <c r="DV15" s="1332"/>
      <c r="DW15" s="1332"/>
      <c r="DX15" s="1332"/>
      <c r="DY15" s="1332"/>
      <c r="DZ15" s="1332"/>
      <c r="EA15" s="1332"/>
      <c r="EB15" s="1332"/>
      <c r="EC15" s="1332"/>
      <c r="ED15" s="1332"/>
      <c r="EE15" s="1332"/>
      <c r="EF15" s="1332"/>
      <c r="EG15" s="1332"/>
      <c r="EH15" s="1332"/>
      <c r="EI15" s="1332"/>
      <c r="EJ15" s="1332"/>
      <c r="EK15" s="1332"/>
      <c r="EL15" s="1332"/>
      <c r="EM15" s="1332"/>
      <c r="EN15" s="1332"/>
      <c r="EO15" s="1332"/>
      <c r="EP15" s="1332"/>
      <c r="EQ15" s="1332"/>
      <c r="ER15" s="1332"/>
      <c r="ES15" s="1332"/>
      <c r="ET15" s="1332"/>
      <c r="EU15" s="1332"/>
      <c r="EV15" s="1332"/>
      <c r="EW15" s="1332"/>
      <c r="EX15" s="1332"/>
      <c r="EY15" s="1332"/>
      <c r="EZ15" s="1332"/>
      <c r="FA15" s="1332"/>
      <c r="FB15" s="1332"/>
      <c r="FC15" s="1332"/>
      <c r="FD15" s="1332"/>
      <c r="FE15" s="1332"/>
      <c r="FF15" s="1332"/>
      <c r="FG15" s="1332"/>
      <c r="FH15" s="1332"/>
      <c r="FI15" s="1332"/>
      <c r="FJ15" s="1332"/>
      <c r="FK15" s="1332"/>
      <c r="FL15" s="1332"/>
      <c r="FM15" s="1332"/>
      <c r="FN15" s="1332"/>
      <c r="FO15" s="1332"/>
      <c r="FP15" s="1332"/>
      <c r="FQ15" s="1332"/>
      <c r="FR15" s="1332"/>
      <c r="FS15" s="1332"/>
      <c r="FT15" s="1332"/>
      <c r="FU15" s="1332"/>
      <c r="FV15" s="1332"/>
      <c r="FW15" s="1332"/>
      <c r="FX15" s="1332"/>
      <c r="FY15" s="1332"/>
      <c r="FZ15" s="1332"/>
      <c r="GA15" s="1332"/>
      <c r="GB15" s="1332"/>
      <c r="GC15" s="1332"/>
      <c r="GD15" s="1332"/>
      <c r="GE15" s="1332"/>
      <c r="GF15" s="1332"/>
      <c r="GG15" s="1332"/>
      <c r="GH15" s="1332"/>
      <c r="GI15" s="1332"/>
      <c r="GJ15" s="1332"/>
      <c r="GK15" s="1332"/>
      <c r="GL15" s="1332"/>
      <c r="GM15" s="1332"/>
      <c r="GN15" s="1332"/>
      <c r="GO15" s="1332"/>
      <c r="GP15" s="1332"/>
      <c r="GQ15" s="1332"/>
      <c r="GR15" s="1332"/>
      <c r="GS15" s="1332"/>
      <c r="GT15" s="1332"/>
      <c r="GU15" s="1332"/>
      <c r="GV15" s="1332"/>
      <c r="GW15" s="1332"/>
      <c r="GX15" s="1332"/>
      <c r="GY15" s="1332"/>
      <c r="GZ15" s="1332"/>
      <c r="HA15" s="1332"/>
      <c r="HB15" s="1332"/>
      <c r="HC15" s="1332"/>
      <c r="HD15" s="1332"/>
      <c r="HE15" s="1332"/>
      <c r="HF15" s="1332"/>
      <c r="HG15" s="1332"/>
      <c r="HH15" s="1332"/>
      <c r="HI15" s="1332"/>
      <c r="HJ15" s="1332"/>
      <c r="HK15" s="1332"/>
      <c r="HL15" s="1332"/>
      <c r="HM15" s="1332"/>
      <c r="HN15" s="1332"/>
      <c r="HO15" s="1332"/>
      <c r="HP15" s="1332"/>
      <c r="HQ15" s="1332"/>
      <c r="HR15" s="1332"/>
      <c r="HS15" s="1332"/>
      <c r="HT15" s="1332"/>
      <c r="HU15" s="1332"/>
      <c r="HV15" s="1332"/>
      <c r="HW15" s="1332"/>
      <c r="HX15" s="1332"/>
      <c r="HY15" s="1332"/>
      <c r="HZ15" s="1332"/>
      <c r="IA15" s="1332"/>
      <c r="IB15" s="1332"/>
      <c r="IC15" s="1332"/>
      <c r="ID15" s="1332"/>
      <c r="IE15" s="1332"/>
      <c r="IF15" s="1332"/>
      <c r="IG15" s="1332"/>
      <c r="IH15" s="1332"/>
      <c r="II15" s="1332"/>
      <c r="IJ15" s="1332"/>
      <c r="IK15" s="1332"/>
      <c r="IL15" s="1332"/>
      <c r="IM15" s="1332"/>
      <c r="IN15" s="1332"/>
      <c r="IO15" s="1332"/>
      <c r="IP15" s="1332"/>
      <c r="IQ15" s="1332"/>
      <c r="IR15" s="1332"/>
      <c r="IS15" s="1332"/>
      <c r="IT15" s="1332"/>
      <c r="IU15" s="1332"/>
      <c r="IV15" s="1332"/>
      <c r="IW15" s="1332"/>
      <c r="IX15" s="1332"/>
      <c r="IY15" s="1332"/>
      <c r="IZ15" s="1332"/>
      <c r="JA15" s="1332"/>
      <c r="JB15" s="1332"/>
      <c r="JC15" s="1332"/>
      <c r="JD15" s="1332"/>
      <c r="JE15" s="1332"/>
      <c r="JF15" s="1332"/>
      <c r="JG15" s="1332"/>
      <c r="JH15" s="1332"/>
      <c r="JI15" s="1332"/>
      <c r="JJ15" s="1332"/>
      <c r="JK15" s="1332"/>
      <c r="JL15" s="1332"/>
      <c r="JM15" s="1332"/>
      <c r="JN15" s="1332"/>
      <c r="JO15" s="1332"/>
      <c r="JP15" s="1332"/>
      <c r="JQ15" s="1332"/>
      <c r="JR15" s="1332"/>
      <c r="JS15" s="1332"/>
      <c r="JT15" s="1332"/>
      <c r="JU15" s="1332"/>
      <c r="JV15" s="1332"/>
    </row>
    <row r="16" spans="1:284" s="787" customFormat="1" ht="15" customHeight="1">
      <c r="A16" s="1347" t="s">
        <v>18</v>
      </c>
      <c r="B16" s="1348" t="s">
        <v>319</v>
      </c>
      <c r="C16" s="298"/>
      <c r="D16" s="845">
        <v>424429</v>
      </c>
      <c r="E16" s="845">
        <v>248239</v>
      </c>
      <c r="F16" s="1346">
        <v>176190</v>
      </c>
      <c r="G16" s="845">
        <f>H16+M16</f>
        <v>465429</v>
      </c>
      <c r="H16" s="845">
        <f>I16+L16</f>
        <v>307220</v>
      </c>
      <c r="I16" s="845">
        <f>'Bieu 07 TT'!F18</f>
        <v>307220</v>
      </c>
      <c r="J16" s="844">
        <f>IF(E16=0,0,I16/E16*100)</f>
        <v>123.75976377603841</v>
      </c>
      <c r="K16" s="845">
        <f>I16-E16</f>
        <v>58981</v>
      </c>
      <c r="L16" s="845"/>
      <c r="M16" s="1346">
        <v>158209</v>
      </c>
      <c r="N16" s="1332"/>
      <c r="O16" s="1334"/>
      <c r="P16" s="1333"/>
      <c r="Q16" s="1332"/>
      <c r="R16" s="1332"/>
      <c r="S16" s="1332"/>
      <c r="T16" s="1332"/>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D16" s="1332"/>
      <c r="BE16" s="1332"/>
      <c r="BF16" s="1332"/>
      <c r="BG16" s="1332"/>
      <c r="BH16" s="1332"/>
      <c r="BI16" s="1332"/>
      <c r="BJ16" s="1332"/>
      <c r="BK16" s="1332"/>
      <c r="BL16" s="1332"/>
      <c r="BM16" s="1332"/>
      <c r="BN16" s="1332"/>
      <c r="BO16" s="1332"/>
      <c r="BP16" s="1332"/>
      <c r="BQ16" s="1332"/>
      <c r="BR16" s="1332"/>
      <c r="BS16" s="1332"/>
      <c r="BT16" s="1332"/>
      <c r="BU16" s="1332"/>
      <c r="BV16" s="1332"/>
      <c r="BW16" s="1332"/>
      <c r="BX16" s="1332"/>
      <c r="BY16" s="1332"/>
      <c r="BZ16" s="1332"/>
      <c r="CA16" s="1332"/>
      <c r="CB16" s="1332"/>
      <c r="CC16" s="1332"/>
      <c r="CD16" s="1332"/>
      <c r="CE16" s="1332"/>
      <c r="CF16" s="1332"/>
      <c r="CG16" s="1332"/>
      <c r="CH16" s="1332"/>
      <c r="CI16" s="1332"/>
      <c r="CJ16" s="1332"/>
      <c r="CK16" s="1332"/>
      <c r="CL16" s="1332"/>
      <c r="CM16" s="1332"/>
      <c r="CN16" s="1332"/>
      <c r="CO16" s="1332"/>
      <c r="CP16" s="1332"/>
      <c r="CQ16" s="1332"/>
      <c r="CR16" s="1332"/>
      <c r="CS16" s="1332"/>
      <c r="CT16" s="1332"/>
      <c r="CU16" s="1332"/>
      <c r="CV16" s="1332"/>
      <c r="CW16" s="1332"/>
      <c r="CX16" s="1332"/>
      <c r="CY16" s="1332"/>
      <c r="CZ16" s="1332"/>
      <c r="DA16" s="1332"/>
      <c r="DB16" s="1332"/>
      <c r="DC16" s="1332"/>
      <c r="DD16" s="1332"/>
      <c r="DE16" s="1332"/>
      <c r="DF16" s="1332"/>
      <c r="DG16" s="1332"/>
      <c r="DH16" s="1332"/>
      <c r="DI16" s="1332"/>
      <c r="DJ16" s="1332"/>
      <c r="DK16" s="1332"/>
      <c r="DL16" s="1332"/>
      <c r="DM16" s="1332"/>
      <c r="DN16" s="1332"/>
      <c r="DO16" s="1332"/>
      <c r="DP16" s="1332"/>
      <c r="DQ16" s="1332"/>
      <c r="DR16" s="1332"/>
      <c r="DS16" s="1332"/>
      <c r="DT16" s="1332"/>
      <c r="DU16" s="1332"/>
      <c r="DV16" s="1332"/>
      <c r="DW16" s="1332"/>
      <c r="DX16" s="1332"/>
      <c r="DY16" s="1332"/>
      <c r="DZ16" s="1332"/>
      <c r="EA16" s="1332"/>
      <c r="EB16" s="1332"/>
      <c r="EC16" s="1332"/>
      <c r="ED16" s="1332"/>
      <c r="EE16" s="1332"/>
      <c r="EF16" s="1332"/>
      <c r="EG16" s="1332"/>
      <c r="EH16" s="1332"/>
      <c r="EI16" s="1332"/>
      <c r="EJ16" s="1332"/>
      <c r="EK16" s="1332"/>
      <c r="EL16" s="1332"/>
      <c r="EM16" s="1332"/>
      <c r="EN16" s="1332"/>
      <c r="EO16" s="1332"/>
      <c r="EP16" s="1332"/>
      <c r="EQ16" s="1332"/>
      <c r="ER16" s="1332"/>
      <c r="ES16" s="1332"/>
      <c r="ET16" s="1332"/>
      <c r="EU16" s="1332"/>
      <c r="EV16" s="1332"/>
      <c r="EW16" s="1332"/>
      <c r="EX16" s="1332"/>
      <c r="EY16" s="1332"/>
      <c r="EZ16" s="1332"/>
      <c r="FA16" s="1332"/>
      <c r="FB16" s="1332"/>
      <c r="FC16" s="1332"/>
      <c r="FD16" s="1332"/>
      <c r="FE16" s="1332"/>
      <c r="FF16" s="1332"/>
      <c r="FG16" s="1332"/>
      <c r="FH16" s="1332"/>
      <c r="FI16" s="1332"/>
      <c r="FJ16" s="1332"/>
      <c r="FK16" s="1332"/>
      <c r="FL16" s="1332"/>
      <c r="FM16" s="1332"/>
      <c r="FN16" s="1332"/>
      <c r="FO16" s="1332"/>
      <c r="FP16" s="1332"/>
      <c r="FQ16" s="1332"/>
      <c r="FR16" s="1332"/>
      <c r="FS16" s="1332"/>
      <c r="FT16" s="1332"/>
      <c r="FU16" s="1332"/>
      <c r="FV16" s="1332"/>
      <c r="FW16" s="1332"/>
      <c r="FX16" s="1332"/>
      <c r="FY16" s="1332"/>
      <c r="FZ16" s="1332"/>
      <c r="GA16" s="1332"/>
      <c r="GB16" s="1332"/>
      <c r="GC16" s="1332"/>
      <c r="GD16" s="1332"/>
      <c r="GE16" s="1332"/>
      <c r="GF16" s="1332"/>
      <c r="GG16" s="1332"/>
      <c r="GH16" s="1332"/>
      <c r="GI16" s="1332"/>
      <c r="GJ16" s="1332"/>
      <c r="GK16" s="1332"/>
      <c r="GL16" s="1332"/>
      <c r="GM16" s="1332"/>
      <c r="GN16" s="1332"/>
      <c r="GO16" s="1332"/>
      <c r="GP16" s="1332"/>
      <c r="GQ16" s="1332"/>
      <c r="GR16" s="1332"/>
      <c r="GS16" s="1332"/>
      <c r="GT16" s="1332"/>
      <c r="GU16" s="1332"/>
      <c r="GV16" s="1332"/>
      <c r="GW16" s="1332"/>
      <c r="GX16" s="1332"/>
      <c r="GY16" s="1332"/>
      <c r="GZ16" s="1332"/>
      <c r="HA16" s="1332"/>
      <c r="HB16" s="1332"/>
      <c r="HC16" s="1332"/>
      <c r="HD16" s="1332"/>
      <c r="HE16" s="1332"/>
      <c r="HF16" s="1332"/>
      <c r="HG16" s="1332"/>
      <c r="HH16" s="1332"/>
      <c r="HI16" s="1332"/>
      <c r="HJ16" s="1332"/>
      <c r="HK16" s="1332"/>
      <c r="HL16" s="1332"/>
      <c r="HM16" s="1332"/>
      <c r="HN16" s="1332"/>
      <c r="HO16" s="1332"/>
      <c r="HP16" s="1332"/>
      <c r="HQ16" s="1332"/>
      <c r="HR16" s="1332"/>
      <c r="HS16" s="1332"/>
      <c r="HT16" s="1332"/>
      <c r="HU16" s="1332"/>
      <c r="HV16" s="1332"/>
      <c r="HW16" s="1332"/>
      <c r="HX16" s="1332"/>
      <c r="HY16" s="1332"/>
      <c r="HZ16" s="1332"/>
      <c r="IA16" s="1332"/>
      <c r="IB16" s="1332"/>
      <c r="IC16" s="1332"/>
      <c r="ID16" s="1332"/>
      <c r="IE16" s="1332"/>
      <c r="IF16" s="1332"/>
      <c r="IG16" s="1332"/>
      <c r="IH16" s="1332"/>
      <c r="II16" s="1332"/>
      <c r="IJ16" s="1332"/>
      <c r="IK16" s="1332"/>
      <c r="IL16" s="1332"/>
      <c r="IM16" s="1332"/>
      <c r="IN16" s="1332"/>
      <c r="IO16" s="1332"/>
      <c r="IP16" s="1332"/>
      <c r="IQ16" s="1332"/>
      <c r="IR16" s="1332"/>
      <c r="IS16" s="1332"/>
      <c r="IT16" s="1332"/>
      <c r="IU16" s="1332"/>
      <c r="IV16" s="1332"/>
      <c r="IW16" s="1332"/>
      <c r="IX16" s="1332"/>
      <c r="IY16" s="1332"/>
      <c r="IZ16" s="1332"/>
      <c r="JA16" s="1332"/>
      <c r="JB16" s="1332"/>
      <c r="JC16" s="1332"/>
      <c r="JD16" s="1332"/>
      <c r="JE16" s="1332"/>
      <c r="JF16" s="1332"/>
      <c r="JG16" s="1332"/>
      <c r="JH16" s="1332"/>
      <c r="JI16" s="1332"/>
      <c r="JJ16" s="1332"/>
      <c r="JK16" s="1332"/>
      <c r="JL16" s="1332"/>
      <c r="JM16" s="1332"/>
      <c r="JN16" s="1332"/>
      <c r="JO16" s="1332"/>
      <c r="JP16" s="1332"/>
      <c r="JQ16" s="1332"/>
      <c r="JR16" s="1332"/>
      <c r="JS16" s="1332"/>
      <c r="JT16" s="1332"/>
      <c r="JU16" s="1332"/>
      <c r="JV16" s="1332"/>
    </row>
    <row r="17" spans="1:282" s="787" customFormat="1" ht="15" customHeight="1">
      <c r="A17" s="1347" t="s">
        <v>26</v>
      </c>
      <c r="B17" s="1348" t="s">
        <v>717</v>
      </c>
      <c r="C17" s="297"/>
      <c r="D17" s="1346">
        <v>28200</v>
      </c>
      <c r="E17" s="1346">
        <v>17200</v>
      </c>
      <c r="F17" s="1346">
        <v>11000</v>
      </c>
      <c r="G17" s="1346">
        <f>G19+G20</f>
        <v>48000</v>
      </c>
      <c r="H17" s="1346">
        <f>H19+H20</f>
        <v>28000</v>
      </c>
      <c r="I17" s="1346">
        <f t="shared" ref="I17:M17" si="2">I19+I20</f>
        <v>28000</v>
      </c>
      <c r="J17" s="1346">
        <f t="shared" si="2"/>
        <v>330.21276595744678</v>
      </c>
      <c r="K17" s="1346">
        <f t="shared" si="2"/>
        <v>10800</v>
      </c>
      <c r="L17" s="1346">
        <f>L19+L20</f>
        <v>0</v>
      </c>
      <c r="M17" s="1346">
        <f t="shared" si="2"/>
        <v>20000</v>
      </c>
      <c r="N17" s="1332"/>
      <c r="O17" s="1334"/>
      <c r="P17" s="1333"/>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c r="BJ17" s="1332"/>
      <c r="BK17" s="1332"/>
      <c r="BL17" s="1332"/>
      <c r="BM17" s="1332"/>
      <c r="BN17" s="1332"/>
      <c r="BO17" s="1332"/>
      <c r="BP17" s="1332"/>
      <c r="BQ17" s="1332"/>
      <c r="BR17" s="1332"/>
      <c r="BS17" s="1332"/>
      <c r="BT17" s="1332"/>
      <c r="BU17" s="1332"/>
      <c r="BV17" s="1332"/>
      <c r="BW17" s="1332"/>
      <c r="BX17" s="1332"/>
      <c r="BY17" s="1332"/>
      <c r="BZ17" s="1332"/>
      <c r="CA17" s="1332"/>
      <c r="CB17" s="1332"/>
      <c r="CC17" s="1332"/>
      <c r="CD17" s="1332"/>
      <c r="CE17" s="1332"/>
      <c r="CF17" s="1332"/>
      <c r="CG17" s="1332"/>
      <c r="CH17" s="1332"/>
      <c r="CI17" s="1332"/>
      <c r="CJ17" s="1332"/>
      <c r="CK17" s="1332"/>
      <c r="CL17" s="1332"/>
      <c r="CM17" s="1332"/>
      <c r="CN17" s="1332"/>
      <c r="CO17" s="1332"/>
      <c r="CP17" s="1332"/>
      <c r="CQ17" s="1332"/>
      <c r="CR17" s="1332"/>
      <c r="CS17" s="1332"/>
      <c r="CT17" s="1332"/>
      <c r="CU17" s="1332"/>
      <c r="CV17" s="1332"/>
      <c r="CW17" s="1332"/>
      <c r="CX17" s="1332"/>
      <c r="CY17" s="1332"/>
      <c r="CZ17" s="1332"/>
      <c r="DA17" s="1332"/>
      <c r="DB17" s="1332"/>
      <c r="DC17" s="1332"/>
      <c r="DD17" s="1332"/>
      <c r="DE17" s="1332"/>
      <c r="DF17" s="1332"/>
      <c r="DG17" s="1332"/>
      <c r="DH17" s="1332"/>
      <c r="DI17" s="1332"/>
      <c r="DJ17" s="1332"/>
      <c r="DK17" s="1332"/>
      <c r="DL17" s="1332"/>
      <c r="DM17" s="1332"/>
      <c r="DN17" s="1332"/>
      <c r="DO17" s="1332"/>
      <c r="DP17" s="1332"/>
      <c r="DQ17" s="1332"/>
      <c r="DR17" s="1332"/>
      <c r="DS17" s="1332"/>
      <c r="DT17" s="1332"/>
      <c r="DU17" s="1332"/>
      <c r="DV17" s="1332"/>
      <c r="DW17" s="1332"/>
      <c r="DX17" s="1332"/>
      <c r="DY17" s="1332"/>
      <c r="DZ17" s="1332"/>
      <c r="EA17" s="1332"/>
      <c r="EB17" s="1332"/>
      <c r="EC17" s="1332"/>
      <c r="ED17" s="1332"/>
      <c r="EE17" s="1332"/>
      <c r="EF17" s="1332"/>
      <c r="EG17" s="1332"/>
      <c r="EH17" s="1332"/>
      <c r="EI17" s="1332"/>
      <c r="EJ17" s="1332"/>
      <c r="EK17" s="1332"/>
      <c r="EL17" s="1332"/>
      <c r="EM17" s="1332"/>
      <c r="EN17" s="1332"/>
      <c r="EO17" s="1332"/>
      <c r="EP17" s="1332"/>
      <c r="EQ17" s="1332"/>
      <c r="ER17" s="1332"/>
      <c r="ES17" s="1332"/>
      <c r="ET17" s="1332"/>
      <c r="EU17" s="1332"/>
      <c r="EV17" s="1332"/>
      <c r="EW17" s="1332"/>
      <c r="EX17" s="1332"/>
      <c r="EY17" s="1332"/>
      <c r="EZ17" s="1332"/>
      <c r="FA17" s="1332"/>
      <c r="FB17" s="1332"/>
      <c r="FC17" s="1332"/>
      <c r="FD17" s="1332"/>
      <c r="FE17" s="1332"/>
      <c r="FF17" s="1332"/>
      <c r="FG17" s="1332"/>
      <c r="FH17" s="1332"/>
      <c r="FI17" s="1332"/>
      <c r="FJ17" s="1332"/>
      <c r="FK17" s="1332"/>
      <c r="FL17" s="1332"/>
      <c r="FM17" s="1332"/>
      <c r="FN17" s="1332"/>
      <c r="FO17" s="1332"/>
      <c r="FP17" s="1332"/>
      <c r="FQ17" s="1332"/>
      <c r="FR17" s="1332"/>
      <c r="FS17" s="1332"/>
      <c r="FT17" s="1332"/>
      <c r="FU17" s="1332"/>
      <c r="FV17" s="1332"/>
      <c r="FW17" s="1332"/>
      <c r="FX17" s="1332"/>
      <c r="FY17" s="1332"/>
      <c r="FZ17" s="1332"/>
      <c r="GA17" s="1332"/>
      <c r="GB17" s="1332"/>
      <c r="GC17" s="1332"/>
      <c r="GD17" s="1332"/>
      <c r="GE17" s="1332"/>
      <c r="GF17" s="1332"/>
      <c r="GG17" s="1332"/>
      <c r="GH17" s="1332"/>
      <c r="GI17" s="1332"/>
      <c r="GJ17" s="1332"/>
      <c r="GK17" s="1332"/>
      <c r="GL17" s="1332"/>
      <c r="GM17" s="1332"/>
      <c r="GN17" s="1332"/>
      <c r="GO17" s="1332"/>
      <c r="GP17" s="1332"/>
      <c r="GQ17" s="1332"/>
      <c r="GR17" s="1332"/>
      <c r="GS17" s="1332"/>
      <c r="GT17" s="1332"/>
      <c r="GU17" s="1332"/>
      <c r="GV17" s="1332"/>
      <c r="GW17" s="1332"/>
      <c r="GX17" s="1332"/>
      <c r="GY17" s="1332"/>
      <c r="GZ17" s="1332"/>
      <c r="HA17" s="1332"/>
      <c r="HB17" s="1332"/>
      <c r="HC17" s="1332"/>
      <c r="HD17" s="1332"/>
      <c r="HE17" s="1332"/>
      <c r="HF17" s="1332"/>
      <c r="HG17" s="1332"/>
      <c r="HH17" s="1332"/>
      <c r="HI17" s="1332"/>
      <c r="HJ17" s="1332"/>
      <c r="HK17" s="1332"/>
      <c r="HL17" s="1332"/>
      <c r="HM17" s="1332"/>
      <c r="HN17" s="1332"/>
      <c r="HO17" s="1332"/>
      <c r="HP17" s="1332"/>
      <c r="HQ17" s="1332"/>
      <c r="HR17" s="1332"/>
      <c r="HS17" s="1332"/>
      <c r="HT17" s="1332"/>
      <c r="HU17" s="1332"/>
      <c r="HV17" s="1332"/>
      <c r="HW17" s="1332"/>
      <c r="HX17" s="1332"/>
      <c r="HY17" s="1332"/>
      <c r="HZ17" s="1332"/>
      <c r="IA17" s="1332"/>
      <c r="IB17" s="1332"/>
      <c r="IC17" s="1332"/>
      <c r="ID17" s="1332"/>
      <c r="IE17" s="1332"/>
      <c r="IF17" s="1332"/>
      <c r="IG17" s="1332"/>
      <c r="IH17" s="1332"/>
      <c r="II17" s="1332"/>
      <c r="IJ17" s="1332"/>
      <c r="IK17" s="1332"/>
      <c r="IL17" s="1332"/>
      <c r="IM17" s="1332"/>
      <c r="IN17" s="1332"/>
      <c r="IO17" s="1332"/>
      <c r="IP17" s="1332"/>
      <c r="IQ17" s="1332"/>
      <c r="IR17" s="1332"/>
      <c r="IS17" s="1332"/>
      <c r="IT17" s="1332"/>
      <c r="IU17" s="1332"/>
      <c r="IV17" s="1332"/>
      <c r="IW17" s="1332"/>
      <c r="IX17" s="1332"/>
      <c r="IY17" s="1332"/>
      <c r="IZ17" s="1332"/>
      <c r="JA17" s="1332"/>
      <c r="JB17" s="1332"/>
      <c r="JC17" s="1332"/>
      <c r="JD17" s="1332"/>
      <c r="JE17" s="1332"/>
      <c r="JF17" s="1332"/>
      <c r="JG17" s="1332"/>
      <c r="JH17" s="1332"/>
      <c r="JI17" s="1332"/>
      <c r="JJ17" s="1332"/>
      <c r="JK17" s="1332"/>
      <c r="JL17" s="1332"/>
      <c r="JM17" s="1332"/>
      <c r="JN17" s="1332"/>
      <c r="JO17" s="1332"/>
      <c r="JP17" s="1332"/>
      <c r="JQ17" s="1332"/>
      <c r="JR17" s="1332"/>
      <c r="JS17" s="1332"/>
      <c r="JT17" s="1332"/>
      <c r="JU17" s="1332"/>
      <c r="JV17" s="1332"/>
    </row>
    <row r="18" spans="1:282" ht="15" customHeight="1">
      <c r="A18" s="1299"/>
      <c r="B18" s="1349" t="s">
        <v>338</v>
      </c>
      <c r="C18" s="304"/>
      <c r="D18" s="1350"/>
      <c r="E18" s="1350"/>
      <c r="F18" s="1350"/>
      <c r="G18" s="1350"/>
      <c r="H18" s="1350"/>
      <c r="I18" s="1350"/>
      <c r="J18" s="1350"/>
      <c r="K18" s="1350"/>
      <c r="L18" s="1350"/>
      <c r="M18" s="1350"/>
    </row>
    <row r="19" spans="1:282" ht="15" customHeight="1">
      <c r="A19" s="1299" t="s">
        <v>23</v>
      </c>
      <c r="B19" s="1349" t="s">
        <v>1391</v>
      </c>
      <c r="C19" s="304"/>
      <c r="D19" s="1350">
        <v>4700</v>
      </c>
      <c r="E19" s="1350">
        <v>4700</v>
      </c>
      <c r="F19" s="1350"/>
      <c r="G19" s="1350">
        <f>H19+M19</f>
        <v>8000</v>
      </c>
      <c r="H19" s="1350">
        <f>I19+L19</f>
        <v>8000</v>
      </c>
      <c r="I19" s="1350">
        <f>'Bieu 07 TT'!F21</f>
        <v>8000</v>
      </c>
      <c r="J19" s="1350">
        <f t="shared" ref="J19:J28" si="3">IF(E19=0,0,I19/E19*100)</f>
        <v>170.21276595744681</v>
      </c>
      <c r="K19" s="1350">
        <f t="shared" ref="K19:K28" si="4">I19-E19</f>
        <v>3300</v>
      </c>
      <c r="L19" s="1350"/>
      <c r="M19" s="1350"/>
    </row>
    <row r="20" spans="1:282" ht="15" customHeight="1">
      <c r="A20" s="1299" t="s">
        <v>23</v>
      </c>
      <c r="B20" s="1349" t="s">
        <v>321</v>
      </c>
      <c r="C20" s="304"/>
      <c r="D20" s="1350">
        <v>23500</v>
      </c>
      <c r="E20" s="1350">
        <v>12500</v>
      </c>
      <c r="F20" s="1350">
        <v>11000</v>
      </c>
      <c r="G20" s="1350">
        <f>H20+M20</f>
        <v>40000</v>
      </c>
      <c r="H20" s="1350">
        <f>I20+L20</f>
        <v>20000</v>
      </c>
      <c r="I20" s="1350">
        <f>'Bieu 07 TT'!F22</f>
        <v>20000</v>
      </c>
      <c r="J20" s="1350">
        <f t="shared" si="3"/>
        <v>160</v>
      </c>
      <c r="K20" s="1350">
        <f t="shared" si="4"/>
        <v>7500</v>
      </c>
      <c r="L20" s="1350"/>
      <c r="M20" s="1350">
        <v>20000</v>
      </c>
    </row>
    <row r="21" spans="1:282" s="787" customFormat="1" ht="15" customHeight="1">
      <c r="A21" s="1347" t="s">
        <v>59</v>
      </c>
      <c r="B21" s="1348" t="s">
        <v>39</v>
      </c>
      <c r="C21" s="298"/>
      <c r="D21" s="845">
        <v>60000</v>
      </c>
      <c r="E21" s="845">
        <v>50290</v>
      </c>
      <c r="F21" s="760">
        <v>9710</v>
      </c>
      <c r="G21" s="845">
        <f>H21+M21</f>
        <v>80000</v>
      </c>
      <c r="H21" s="845">
        <f>I21+L21</f>
        <v>80000</v>
      </c>
      <c r="I21" s="845">
        <f>'Bieu 07 TT'!F23</f>
        <v>80000</v>
      </c>
      <c r="J21" s="844">
        <f t="shared" si="3"/>
        <v>159.07735136209982</v>
      </c>
      <c r="K21" s="845">
        <f t="shared" si="4"/>
        <v>29710</v>
      </c>
      <c r="L21" s="845"/>
      <c r="M21" s="760">
        <v>0</v>
      </c>
      <c r="N21" s="1332"/>
      <c r="O21" s="1334"/>
      <c r="P21" s="1333"/>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c r="AL21" s="1332"/>
      <c r="AM21" s="1332"/>
      <c r="AN21" s="1332"/>
      <c r="AO21" s="1332"/>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2"/>
      <c r="BY21" s="1332"/>
      <c r="BZ21" s="1332"/>
      <c r="CA21" s="1332"/>
      <c r="CB21" s="1332"/>
      <c r="CC21" s="1332"/>
      <c r="CD21" s="1332"/>
      <c r="CE21" s="1332"/>
      <c r="CF21" s="1332"/>
      <c r="CG21" s="1332"/>
      <c r="CH21" s="1332"/>
      <c r="CI21" s="1332"/>
      <c r="CJ21" s="1332"/>
      <c r="CK21" s="1332"/>
      <c r="CL21" s="1332"/>
      <c r="CM21" s="1332"/>
      <c r="CN21" s="1332"/>
      <c r="CO21" s="1332"/>
      <c r="CP21" s="1332"/>
      <c r="CQ21" s="1332"/>
      <c r="CR21" s="1332"/>
      <c r="CS21" s="1332"/>
      <c r="CT21" s="1332"/>
      <c r="CU21" s="1332"/>
      <c r="CV21" s="1332"/>
      <c r="CW21" s="1332"/>
      <c r="CX21" s="1332"/>
      <c r="CY21" s="1332"/>
      <c r="CZ21" s="1332"/>
      <c r="DA21" s="1332"/>
      <c r="DB21" s="1332"/>
      <c r="DC21" s="1332"/>
      <c r="DD21" s="1332"/>
      <c r="DE21" s="1332"/>
      <c r="DF21" s="1332"/>
      <c r="DG21" s="1332"/>
      <c r="DH21" s="1332"/>
      <c r="DI21" s="1332"/>
      <c r="DJ21" s="1332"/>
      <c r="DK21" s="1332"/>
      <c r="DL21" s="1332"/>
      <c r="DM21" s="1332"/>
      <c r="DN21" s="1332"/>
      <c r="DO21" s="1332"/>
      <c r="DP21" s="1332"/>
      <c r="DQ21" s="1332"/>
      <c r="DR21" s="1332"/>
      <c r="DS21" s="1332"/>
      <c r="DT21" s="1332"/>
      <c r="DU21" s="1332"/>
      <c r="DV21" s="1332"/>
      <c r="DW21" s="1332"/>
      <c r="DX21" s="1332"/>
      <c r="DY21" s="1332"/>
      <c r="DZ21" s="1332"/>
      <c r="EA21" s="1332"/>
      <c r="EB21" s="1332"/>
      <c r="EC21" s="1332"/>
      <c r="ED21" s="1332"/>
      <c r="EE21" s="1332"/>
      <c r="EF21" s="1332"/>
      <c r="EG21" s="1332"/>
      <c r="EH21" s="1332"/>
      <c r="EI21" s="1332"/>
      <c r="EJ21" s="1332"/>
      <c r="EK21" s="1332"/>
      <c r="EL21" s="1332"/>
      <c r="EM21" s="1332"/>
      <c r="EN21" s="1332"/>
      <c r="EO21" s="1332"/>
      <c r="EP21" s="1332"/>
      <c r="EQ21" s="1332"/>
      <c r="ER21" s="1332"/>
      <c r="ES21" s="1332"/>
      <c r="ET21" s="1332"/>
      <c r="EU21" s="1332"/>
      <c r="EV21" s="1332"/>
      <c r="EW21" s="1332"/>
      <c r="EX21" s="1332"/>
      <c r="EY21" s="1332"/>
      <c r="EZ21" s="1332"/>
      <c r="FA21" s="1332"/>
      <c r="FB21" s="1332"/>
      <c r="FC21" s="1332"/>
      <c r="FD21" s="1332"/>
      <c r="FE21" s="1332"/>
      <c r="FF21" s="1332"/>
      <c r="FG21" s="1332"/>
      <c r="FH21" s="1332"/>
      <c r="FI21" s="1332"/>
      <c r="FJ21" s="1332"/>
      <c r="FK21" s="1332"/>
      <c r="FL21" s="1332"/>
      <c r="FM21" s="1332"/>
      <c r="FN21" s="1332"/>
      <c r="FO21" s="1332"/>
      <c r="FP21" s="1332"/>
      <c r="FQ21" s="1332"/>
      <c r="FR21" s="1332"/>
      <c r="FS21" s="1332"/>
      <c r="FT21" s="1332"/>
      <c r="FU21" s="1332"/>
      <c r="FV21" s="1332"/>
      <c r="FW21" s="1332"/>
      <c r="FX21" s="1332"/>
      <c r="FY21" s="1332"/>
      <c r="FZ21" s="1332"/>
      <c r="GA21" s="1332"/>
      <c r="GB21" s="1332"/>
      <c r="GC21" s="1332"/>
      <c r="GD21" s="1332"/>
      <c r="GE21" s="1332"/>
      <c r="GF21" s="1332"/>
      <c r="GG21" s="1332"/>
      <c r="GH21" s="1332"/>
      <c r="GI21" s="1332"/>
      <c r="GJ21" s="1332"/>
      <c r="GK21" s="1332"/>
      <c r="GL21" s="1332"/>
      <c r="GM21" s="1332"/>
      <c r="GN21" s="1332"/>
      <c r="GO21" s="1332"/>
      <c r="GP21" s="1332"/>
      <c r="GQ21" s="1332"/>
      <c r="GR21" s="1332"/>
      <c r="GS21" s="1332"/>
      <c r="GT21" s="1332"/>
      <c r="GU21" s="1332"/>
      <c r="GV21" s="1332"/>
      <c r="GW21" s="1332"/>
      <c r="GX21" s="1332"/>
      <c r="GY21" s="1332"/>
      <c r="GZ21" s="1332"/>
      <c r="HA21" s="1332"/>
      <c r="HB21" s="1332"/>
      <c r="HC21" s="1332"/>
      <c r="HD21" s="1332"/>
      <c r="HE21" s="1332"/>
      <c r="HF21" s="1332"/>
      <c r="HG21" s="1332"/>
      <c r="HH21" s="1332"/>
      <c r="HI21" s="1332"/>
      <c r="HJ21" s="1332"/>
      <c r="HK21" s="1332"/>
      <c r="HL21" s="1332"/>
      <c r="HM21" s="1332"/>
      <c r="HN21" s="1332"/>
      <c r="HO21" s="1332"/>
      <c r="HP21" s="1332"/>
      <c r="HQ21" s="1332"/>
      <c r="HR21" s="1332"/>
      <c r="HS21" s="1332"/>
      <c r="HT21" s="1332"/>
      <c r="HU21" s="1332"/>
      <c r="HV21" s="1332"/>
      <c r="HW21" s="1332"/>
      <c r="HX21" s="1332"/>
      <c r="HY21" s="1332"/>
      <c r="HZ21" s="1332"/>
      <c r="IA21" s="1332"/>
      <c r="IB21" s="1332"/>
      <c r="IC21" s="1332"/>
      <c r="ID21" s="1332"/>
      <c r="IE21" s="1332"/>
      <c r="IF21" s="1332"/>
      <c r="IG21" s="1332"/>
      <c r="IH21" s="1332"/>
      <c r="II21" s="1332"/>
      <c r="IJ21" s="1332"/>
      <c r="IK21" s="1332"/>
      <c r="IL21" s="1332"/>
      <c r="IM21" s="1332"/>
      <c r="IN21" s="1332"/>
      <c r="IO21" s="1332"/>
      <c r="IP21" s="1332"/>
      <c r="IQ21" s="1332"/>
      <c r="IR21" s="1332"/>
      <c r="IS21" s="1332"/>
      <c r="IT21" s="1332"/>
      <c r="IU21" s="1332"/>
      <c r="IV21" s="1332"/>
      <c r="IW21" s="1332"/>
      <c r="IX21" s="1332"/>
      <c r="IY21" s="1332"/>
      <c r="IZ21" s="1332"/>
      <c r="JA21" s="1332"/>
      <c r="JB21" s="1332"/>
      <c r="JC21" s="1332"/>
      <c r="JD21" s="1332"/>
      <c r="JE21" s="1332"/>
      <c r="JF21" s="1332"/>
      <c r="JG21" s="1332"/>
      <c r="JH21" s="1332"/>
      <c r="JI21" s="1332"/>
      <c r="JJ21" s="1332"/>
      <c r="JK21" s="1332"/>
      <c r="JL21" s="1332"/>
      <c r="JM21" s="1332"/>
      <c r="JN21" s="1332"/>
      <c r="JO21" s="1332"/>
      <c r="JP21" s="1332"/>
      <c r="JQ21" s="1332"/>
      <c r="JR21" s="1332"/>
      <c r="JS21" s="1332"/>
      <c r="JT21" s="1332"/>
      <c r="JU21" s="1332"/>
      <c r="JV21" s="1332"/>
    </row>
    <row r="22" spans="1:282" s="787" customFormat="1" ht="25.5" hidden="1" customHeight="1" outlineLevel="2">
      <c r="A22" s="1347">
        <v>4</v>
      </c>
      <c r="B22" s="645" t="s">
        <v>323</v>
      </c>
      <c r="C22" s="298"/>
      <c r="D22" s="845">
        <v>6800</v>
      </c>
      <c r="E22" s="845">
        <v>6800</v>
      </c>
      <c r="F22" s="760"/>
      <c r="G22" s="845">
        <f>H22+M22</f>
        <v>0</v>
      </c>
      <c r="H22" s="845"/>
      <c r="I22" s="845">
        <f>'Bieu 07 TT'!F24</f>
        <v>0</v>
      </c>
      <c r="J22" s="844">
        <f t="shared" si="3"/>
        <v>0</v>
      </c>
      <c r="K22" s="845">
        <f t="shared" si="4"/>
        <v>-6800</v>
      </c>
      <c r="L22" s="845"/>
      <c r="M22" s="760"/>
      <c r="N22" s="1332"/>
      <c r="O22" s="1334"/>
      <c r="P22" s="1333"/>
      <c r="Q22" s="1332"/>
      <c r="R22" s="1332"/>
      <c r="S22" s="1332"/>
      <c r="T22" s="1332"/>
      <c r="U22" s="1332"/>
      <c r="V22" s="1332"/>
      <c r="W22" s="1332"/>
      <c r="X22" s="1332"/>
      <c r="Y22" s="1332"/>
      <c r="Z22" s="1332"/>
      <c r="AA22" s="1332"/>
      <c r="AB22" s="1332"/>
      <c r="AC22" s="1332"/>
      <c r="AD22" s="1332"/>
      <c r="AE22" s="1332"/>
      <c r="AF22" s="1332"/>
      <c r="AG22" s="1332"/>
      <c r="AH22" s="1332"/>
      <c r="AI22" s="1332"/>
      <c r="AJ22" s="1332"/>
      <c r="AK22" s="1332"/>
      <c r="AL22" s="1332"/>
      <c r="AM22" s="1332"/>
      <c r="AN22" s="1332"/>
      <c r="AO22" s="1332"/>
      <c r="AP22" s="1332"/>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2"/>
      <c r="DI22" s="1332"/>
      <c r="DJ22" s="1332"/>
      <c r="DK22" s="1332"/>
      <c r="DL22" s="1332"/>
      <c r="DM22" s="1332"/>
      <c r="DN22" s="1332"/>
      <c r="DO22" s="1332"/>
      <c r="DP22" s="1332"/>
      <c r="DQ22" s="1332"/>
      <c r="DR22" s="1332"/>
      <c r="DS22" s="1332"/>
      <c r="DT22" s="1332"/>
      <c r="DU22" s="1332"/>
      <c r="DV22" s="1332"/>
      <c r="DW22" s="1332"/>
      <c r="DX22" s="1332"/>
      <c r="DY22" s="1332"/>
      <c r="DZ22" s="1332"/>
      <c r="EA22" s="1332"/>
      <c r="EB22" s="1332"/>
      <c r="EC22" s="1332"/>
      <c r="ED22" s="1332"/>
      <c r="EE22" s="1332"/>
      <c r="EF22" s="1332"/>
      <c r="EG22" s="1332"/>
      <c r="EH22" s="1332"/>
      <c r="EI22" s="1332"/>
      <c r="EJ22" s="1332"/>
      <c r="EK22" s="1332"/>
      <c r="EL22" s="1332"/>
      <c r="EM22" s="1332"/>
      <c r="EN22" s="1332"/>
      <c r="EO22" s="1332"/>
      <c r="EP22" s="1332"/>
      <c r="EQ22" s="1332"/>
      <c r="ER22" s="1332"/>
      <c r="ES22" s="1332"/>
      <c r="ET22" s="1332"/>
      <c r="EU22" s="1332"/>
      <c r="EV22" s="1332"/>
      <c r="EW22" s="1332"/>
      <c r="EX22" s="1332"/>
      <c r="EY22" s="1332"/>
      <c r="EZ22" s="1332"/>
      <c r="FA22" s="1332"/>
      <c r="FB22" s="1332"/>
      <c r="FC22" s="1332"/>
      <c r="FD22" s="1332"/>
      <c r="FE22" s="1332"/>
      <c r="FF22" s="1332"/>
      <c r="FG22" s="1332"/>
      <c r="FH22" s="1332"/>
      <c r="FI22" s="1332"/>
      <c r="FJ22" s="1332"/>
      <c r="FK22" s="1332"/>
      <c r="FL22" s="1332"/>
      <c r="FM22" s="1332"/>
      <c r="FN22" s="1332"/>
      <c r="FO22" s="1332"/>
      <c r="FP22" s="1332"/>
      <c r="FQ22" s="1332"/>
      <c r="FR22" s="1332"/>
      <c r="FS22" s="1332"/>
      <c r="FT22" s="1332"/>
      <c r="FU22" s="1332"/>
      <c r="FV22" s="1332"/>
      <c r="FW22" s="1332"/>
      <c r="FX22" s="1332"/>
      <c r="FY22" s="1332"/>
      <c r="FZ22" s="1332"/>
      <c r="GA22" s="1332"/>
      <c r="GB22" s="1332"/>
      <c r="GC22" s="1332"/>
      <c r="GD22" s="1332"/>
      <c r="GE22" s="1332"/>
      <c r="GF22" s="1332"/>
      <c r="GG22" s="1332"/>
      <c r="GH22" s="1332"/>
      <c r="GI22" s="1332"/>
      <c r="GJ22" s="1332"/>
      <c r="GK22" s="1332"/>
      <c r="GL22" s="1332"/>
      <c r="GM22" s="1332"/>
      <c r="GN22" s="1332"/>
      <c r="GO22" s="1332"/>
      <c r="GP22" s="1332"/>
      <c r="GQ22" s="1332"/>
      <c r="GR22" s="1332"/>
      <c r="GS22" s="1332"/>
      <c r="GT22" s="1332"/>
      <c r="GU22" s="1332"/>
      <c r="GV22" s="1332"/>
      <c r="GW22" s="1332"/>
      <c r="GX22" s="1332"/>
      <c r="GY22" s="1332"/>
      <c r="GZ22" s="1332"/>
      <c r="HA22" s="1332"/>
      <c r="HB22" s="1332"/>
      <c r="HC22" s="1332"/>
      <c r="HD22" s="1332"/>
      <c r="HE22" s="1332"/>
      <c r="HF22" s="1332"/>
      <c r="HG22" s="1332"/>
      <c r="HH22" s="1332"/>
      <c r="HI22" s="1332"/>
      <c r="HJ22" s="1332"/>
      <c r="HK22" s="1332"/>
      <c r="HL22" s="1332"/>
      <c r="HM22" s="1332"/>
      <c r="HN22" s="1332"/>
      <c r="HO22" s="1332"/>
      <c r="HP22" s="1332"/>
      <c r="HQ22" s="1332"/>
      <c r="HR22" s="1332"/>
      <c r="HS22" s="1332"/>
      <c r="HT22" s="1332"/>
      <c r="HU22" s="1332"/>
      <c r="HV22" s="1332"/>
      <c r="HW22" s="1332"/>
      <c r="HX22" s="1332"/>
      <c r="HY22" s="1332"/>
      <c r="HZ22" s="1332"/>
      <c r="IA22" s="1332"/>
      <c r="IB22" s="1332"/>
      <c r="IC22" s="1332"/>
      <c r="ID22" s="1332"/>
      <c r="IE22" s="1332"/>
      <c r="IF22" s="1332"/>
      <c r="IG22" s="1332"/>
      <c r="IH22" s="1332"/>
      <c r="II22" s="1332"/>
      <c r="IJ22" s="1332"/>
      <c r="IK22" s="1332"/>
      <c r="IL22" s="1332"/>
      <c r="IM22" s="1332"/>
      <c r="IN22" s="1332"/>
      <c r="IO22" s="1332"/>
      <c r="IP22" s="1332"/>
      <c r="IQ22" s="1332"/>
      <c r="IR22" s="1332"/>
      <c r="IS22" s="1332"/>
      <c r="IT22" s="1332"/>
      <c r="IU22" s="1332"/>
      <c r="IV22" s="1332"/>
      <c r="IW22" s="1332"/>
      <c r="IX22" s="1332"/>
      <c r="IY22" s="1332"/>
      <c r="IZ22" s="1332"/>
      <c r="JA22" s="1332"/>
      <c r="JB22" s="1332"/>
      <c r="JC22" s="1332"/>
      <c r="JD22" s="1332"/>
      <c r="JE22" s="1332"/>
      <c r="JF22" s="1332"/>
      <c r="JG22" s="1332"/>
      <c r="JH22" s="1332"/>
      <c r="JI22" s="1332"/>
      <c r="JJ22" s="1332"/>
      <c r="JK22" s="1332"/>
      <c r="JL22" s="1332"/>
      <c r="JM22" s="1332"/>
      <c r="JN22" s="1332"/>
      <c r="JO22" s="1332"/>
      <c r="JP22" s="1332"/>
      <c r="JQ22" s="1332"/>
      <c r="JR22" s="1332"/>
      <c r="JS22" s="1332"/>
      <c r="JT22" s="1332"/>
      <c r="JU22" s="1332"/>
      <c r="JV22" s="1332"/>
    </row>
    <row r="23" spans="1:282" s="787" customFormat="1" ht="19.5" customHeight="1" collapsed="1">
      <c r="A23" s="1344" t="s">
        <v>28</v>
      </c>
      <c r="B23" s="1345" t="s">
        <v>718</v>
      </c>
      <c r="C23" s="1344"/>
      <c r="D23" s="1346">
        <v>1757553</v>
      </c>
      <c r="E23" s="1346">
        <v>1741764</v>
      </c>
      <c r="F23" s="1346">
        <v>15789</v>
      </c>
      <c r="G23" s="1346">
        <f>G24+G27+G31+G30</f>
        <v>1991494</v>
      </c>
      <c r="H23" s="1346">
        <f>H24+H27+H31+H30</f>
        <v>1926832</v>
      </c>
      <c r="I23" s="1346">
        <f>I24+I27+I31+I30</f>
        <v>1845160</v>
      </c>
      <c r="J23" s="844">
        <f t="shared" si="3"/>
        <v>105.93628069015091</v>
      </c>
      <c r="K23" s="1346">
        <f t="shared" si="4"/>
        <v>103396</v>
      </c>
      <c r="L23" s="1346">
        <f>L24+L27+L31+L30</f>
        <v>81672</v>
      </c>
      <c r="M23" s="1346">
        <f>M24+M27+M31+M30</f>
        <v>64662</v>
      </c>
      <c r="N23" s="1332"/>
      <c r="O23" s="1334"/>
      <c r="P23" s="1351"/>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1332"/>
      <c r="DK23" s="1332"/>
      <c r="DL23" s="1332"/>
      <c r="DM23" s="1332"/>
      <c r="DN23" s="1332"/>
      <c r="DO23" s="1332"/>
      <c r="DP23" s="1332"/>
      <c r="DQ23" s="1332"/>
      <c r="DR23" s="1332"/>
      <c r="DS23" s="1332"/>
      <c r="DT23" s="1332"/>
      <c r="DU23" s="1332"/>
      <c r="DV23" s="1332"/>
      <c r="DW23" s="1332"/>
      <c r="DX23" s="1332"/>
      <c r="DY23" s="1332"/>
      <c r="DZ23" s="1332"/>
      <c r="EA23" s="1332"/>
      <c r="EB23" s="1332"/>
      <c r="EC23" s="1332"/>
      <c r="ED23" s="1332"/>
      <c r="EE23" s="1332"/>
      <c r="EF23" s="1332"/>
      <c r="EG23" s="1332"/>
      <c r="EH23" s="1332"/>
      <c r="EI23" s="1332"/>
      <c r="EJ23" s="1332"/>
      <c r="EK23" s="1332"/>
      <c r="EL23" s="1332"/>
      <c r="EM23" s="1332"/>
      <c r="EN23" s="1332"/>
      <c r="EO23" s="1332"/>
      <c r="EP23" s="1332"/>
      <c r="EQ23" s="1332"/>
      <c r="ER23" s="1332"/>
      <c r="ES23" s="1332"/>
      <c r="ET23" s="1332"/>
      <c r="EU23" s="1332"/>
      <c r="EV23" s="1332"/>
      <c r="EW23" s="1332"/>
      <c r="EX23" s="1332"/>
      <c r="EY23" s="1332"/>
      <c r="EZ23" s="1332"/>
      <c r="FA23" s="1332"/>
      <c r="FB23" s="1332"/>
      <c r="FC23" s="1332"/>
      <c r="FD23" s="1332"/>
      <c r="FE23" s="1332"/>
      <c r="FF23" s="1332"/>
      <c r="FG23" s="1332"/>
      <c r="FH23" s="1332"/>
      <c r="FI23" s="1332"/>
      <c r="FJ23" s="1332"/>
      <c r="FK23" s="1332"/>
      <c r="FL23" s="1332"/>
      <c r="FM23" s="1332"/>
      <c r="FN23" s="1332"/>
      <c r="FO23" s="1332"/>
      <c r="FP23" s="1332"/>
      <c r="FQ23" s="1332"/>
      <c r="FR23" s="1332"/>
      <c r="FS23" s="1332"/>
      <c r="FT23" s="1332"/>
      <c r="FU23" s="1332"/>
      <c r="FV23" s="1332"/>
      <c r="FW23" s="1332"/>
      <c r="FX23" s="1332"/>
      <c r="FY23" s="1332"/>
      <c r="FZ23" s="1332"/>
      <c r="GA23" s="1332"/>
      <c r="GB23" s="1332"/>
      <c r="GC23" s="1332"/>
      <c r="GD23" s="1332"/>
      <c r="GE23" s="1332"/>
      <c r="GF23" s="1332"/>
      <c r="GG23" s="1332"/>
      <c r="GH23" s="1332"/>
      <c r="GI23" s="1332"/>
      <c r="GJ23" s="1332"/>
      <c r="GK23" s="1332"/>
      <c r="GL23" s="1332"/>
      <c r="GM23" s="1332"/>
      <c r="GN23" s="1332"/>
      <c r="GO23" s="1332"/>
      <c r="GP23" s="1332"/>
      <c r="GQ23" s="1332"/>
      <c r="GR23" s="1332"/>
      <c r="GS23" s="1332"/>
      <c r="GT23" s="1332"/>
      <c r="GU23" s="1332"/>
      <c r="GV23" s="1332"/>
      <c r="GW23" s="1332"/>
      <c r="GX23" s="1332"/>
      <c r="GY23" s="1332"/>
      <c r="GZ23" s="1332"/>
      <c r="HA23" s="1332"/>
      <c r="HB23" s="1332"/>
      <c r="HC23" s="1332"/>
      <c r="HD23" s="1332"/>
      <c r="HE23" s="1332"/>
      <c r="HF23" s="1332"/>
      <c r="HG23" s="1332"/>
      <c r="HH23" s="1332"/>
      <c r="HI23" s="1332"/>
      <c r="HJ23" s="1332"/>
      <c r="HK23" s="1332"/>
      <c r="HL23" s="1332"/>
      <c r="HM23" s="1332"/>
      <c r="HN23" s="1332"/>
      <c r="HO23" s="1332"/>
      <c r="HP23" s="1332"/>
      <c r="HQ23" s="1332"/>
      <c r="HR23" s="1332"/>
      <c r="HS23" s="1332"/>
      <c r="HT23" s="1332"/>
      <c r="HU23" s="1332"/>
      <c r="HV23" s="1332"/>
      <c r="HW23" s="1332"/>
      <c r="HX23" s="1332"/>
      <c r="HY23" s="1332"/>
      <c r="HZ23" s="1332"/>
      <c r="IA23" s="1332"/>
      <c r="IB23" s="1332"/>
      <c r="IC23" s="1332"/>
      <c r="ID23" s="1332"/>
      <c r="IE23" s="1332"/>
      <c r="IF23" s="1332"/>
      <c r="IG23" s="1332"/>
      <c r="IH23" s="1332"/>
      <c r="II23" s="1332"/>
      <c r="IJ23" s="1332"/>
      <c r="IK23" s="1332"/>
      <c r="IL23" s="1332"/>
      <c r="IM23" s="1332"/>
      <c r="IN23" s="1332"/>
      <c r="IO23" s="1332"/>
      <c r="IP23" s="1332"/>
      <c r="IQ23" s="1332"/>
      <c r="IR23" s="1332"/>
      <c r="IS23" s="1332"/>
      <c r="IT23" s="1332"/>
      <c r="IU23" s="1332"/>
      <c r="IV23" s="1332"/>
      <c r="IW23" s="1332"/>
      <c r="IX23" s="1332"/>
      <c r="IY23" s="1332"/>
      <c r="IZ23" s="1332"/>
      <c r="JA23" s="1332"/>
      <c r="JB23" s="1332"/>
      <c r="JC23" s="1332"/>
      <c r="JD23" s="1332"/>
      <c r="JE23" s="1332"/>
      <c r="JF23" s="1332"/>
      <c r="JG23" s="1332"/>
      <c r="JH23" s="1332"/>
      <c r="JI23" s="1332"/>
      <c r="JJ23" s="1332"/>
      <c r="JK23" s="1332"/>
      <c r="JL23" s="1332"/>
      <c r="JM23" s="1332"/>
      <c r="JN23" s="1332"/>
      <c r="JO23" s="1332"/>
      <c r="JP23" s="1332"/>
      <c r="JQ23" s="1332"/>
      <c r="JR23" s="1332"/>
      <c r="JS23" s="1332"/>
      <c r="JT23" s="1332"/>
      <c r="JU23" s="1332"/>
      <c r="JV23" s="1332"/>
    </row>
    <row r="24" spans="1:282" s="787" customFormat="1" ht="15" customHeight="1">
      <c r="A24" s="1347">
        <v>1</v>
      </c>
      <c r="B24" s="1345" t="s">
        <v>719</v>
      </c>
      <c r="C24" s="1347" t="s">
        <v>720</v>
      </c>
      <c r="D24" s="845">
        <v>406451</v>
      </c>
      <c r="E24" s="845">
        <v>406451</v>
      </c>
      <c r="F24" s="1346"/>
      <c r="G24" s="845">
        <f>H24+M24</f>
        <v>467576</v>
      </c>
      <c r="H24" s="845">
        <f>I24+L24</f>
        <v>457576</v>
      </c>
      <c r="I24" s="845">
        <f>SUMIF('Bieu 07 TT'!$C$25:$C$1099,C24,'Bieu 07 TT'!$F$25:$F$1099)</f>
        <v>429163</v>
      </c>
      <c r="J24" s="844">
        <f t="shared" si="3"/>
        <v>105.58788144204345</v>
      </c>
      <c r="K24" s="845">
        <f t="shared" si="4"/>
        <v>22712</v>
      </c>
      <c r="L24" s="845">
        <f>SUMIF('Bieu 07 TT'!$C$25:$C$1099,C24,'Bieu 07 TT'!$AC$25:$AC$1099)</f>
        <v>28413</v>
      </c>
      <c r="M24" s="1346">
        <f>12000-2000</f>
        <v>10000</v>
      </c>
      <c r="N24" s="1332"/>
      <c r="O24" s="1334"/>
      <c r="P24" s="1351"/>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c r="BJ24" s="1332"/>
      <c r="BK24" s="1332"/>
      <c r="BL24" s="1332"/>
      <c r="BM24" s="1332"/>
      <c r="BN24" s="1332"/>
      <c r="BO24" s="1332"/>
      <c r="BP24" s="1332"/>
      <c r="BQ24" s="1332"/>
      <c r="BR24" s="1332"/>
      <c r="BS24" s="1332"/>
      <c r="BT24" s="1332"/>
      <c r="BU24" s="1332"/>
      <c r="BV24" s="1332"/>
      <c r="BW24" s="1332"/>
      <c r="BX24" s="1332"/>
      <c r="BY24" s="1332"/>
      <c r="BZ24" s="1332"/>
      <c r="CA24" s="1332"/>
      <c r="CB24" s="1332"/>
      <c r="CC24" s="1332"/>
      <c r="CD24" s="1332"/>
      <c r="CE24" s="1332"/>
      <c r="CF24" s="1332"/>
      <c r="CG24" s="1332"/>
      <c r="CH24" s="1332"/>
      <c r="CI24" s="1332"/>
      <c r="CJ24" s="1332"/>
      <c r="CK24" s="1332"/>
      <c r="CL24" s="1332"/>
      <c r="CM24" s="1332"/>
      <c r="CN24" s="1332"/>
      <c r="CO24" s="1332"/>
      <c r="CP24" s="1332"/>
      <c r="CQ24" s="1332"/>
      <c r="CR24" s="1332"/>
      <c r="CS24" s="1332"/>
      <c r="CT24" s="1332"/>
      <c r="CU24" s="1332"/>
      <c r="CV24" s="1332"/>
      <c r="CW24" s="1332"/>
      <c r="CX24" s="1332"/>
      <c r="CY24" s="1332"/>
      <c r="CZ24" s="1332"/>
      <c r="DA24" s="1332"/>
      <c r="DB24" s="1332"/>
      <c r="DC24" s="1332"/>
      <c r="DD24" s="1332"/>
      <c r="DE24" s="1332"/>
      <c r="DF24" s="1332"/>
      <c r="DG24" s="1332"/>
      <c r="DH24" s="1332"/>
      <c r="DI24" s="1332"/>
      <c r="DJ24" s="1332"/>
      <c r="DK24" s="1332"/>
      <c r="DL24" s="1332"/>
      <c r="DM24" s="1332"/>
      <c r="DN24" s="1332"/>
      <c r="DO24" s="1332"/>
      <c r="DP24" s="1332"/>
      <c r="DQ24" s="1332"/>
      <c r="DR24" s="1332"/>
      <c r="DS24" s="1332"/>
      <c r="DT24" s="1332"/>
      <c r="DU24" s="1332"/>
      <c r="DV24" s="1332"/>
      <c r="DW24" s="1332"/>
      <c r="DX24" s="1332"/>
      <c r="DY24" s="1332"/>
      <c r="DZ24" s="1332"/>
      <c r="EA24" s="1332"/>
      <c r="EB24" s="1332"/>
      <c r="EC24" s="1332"/>
      <c r="ED24" s="1332"/>
      <c r="EE24" s="1332"/>
      <c r="EF24" s="1332"/>
      <c r="EG24" s="1332"/>
      <c r="EH24" s="1332"/>
      <c r="EI24" s="1332"/>
      <c r="EJ24" s="1332"/>
      <c r="EK24" s="1332"/>
      <c r="EL24" s="1332"/>
      <c r="EM24" s="1332"/>
      <c r="EN24" s="1332"/>
      <c r="EO24" s="1332"/>
      <c r="EP24" s="1332"/>
      <c r="EQ24" s="1332"/>
      <c r="ER24" s="1332"/>
      <c r="ES24" s="1332"/>
      <c r="ET24" s="1332"/>
      <c r="EU24" s="1332"/>
      <c r="EV24" s="1332"/>
      <c r="EW24" s="1332"/>
      <c r="EX24" s="1332"/>
      <c r="EY24" s="1332"/>
      <c r="EZ24" s="1332"/>
      <c r="FA24" s="1332"/>
      <c r="FB24" s="1332"/>
      <c r="FC24" s="1332"/>
      <c r="FD24" s="1332"/>
      <c r="FE24" s="1332"/>
      <c r="FF24" s="1332"/>
      <c r="FG24" s="1332"/>
      <c r="FH24" s="1332"/>
      <c r="FI24" s="1332"/>
      <c r="FJ24" s="1332"/>
      <c r="FK24" s="1332"/>
      <c r="FL24" s="1332"/>
      <c r="FM24" s="1332"/>
      <c r="FN24" s="1332"/>
      <c r="FO24" s="1332"/>
      <c r="FP24" s="1332"/>
      <c r="FQ24" s="1332"/>
      <c r="FR24" s="1332"/>
      <c r="FS24" s="1332"/>
      <c r="FT24" s="1332"/>
      <c r="FU24" s="1332"/>
      <c r="FV24" s="1332"/>
      <c r="FW24" s="1332"/>
      <c r="FX24" s="1332"/>
      <c r="FY24" s="1332"/>
      <c r="FZ24" s="1332"/>
      <c r="GA24" s="1332"/>
      <c r="GB24" s="1332"/>
      <c r="GC24" s="1332"/>
      <c r="GD24" s="1332"/>
      <c r="GE24" s="1332"/>
      <c r="GF24" s="1332"/>
      <c r="GG24" s="1332"/>
      <c r="GH24" s="1332"/>
      <c r="GI24" s="1332"/>
      <c r="GJ24" s="1332"/>
      <c r="GK24" s="1332"/>
      <c r="GL24" s="1332"/>
      <c r="GM24" s="1332"/>
      <c r="GN24" s="1332"/>
      <c r="GO24" s="1332"/>
      <c r="GP24" s="1332"/>
      <c r="GQ24" s="1332"/>
      <c r="GR24" s="1332"/>
      <c r="GS24" s="1332"/>
      <c r="GT24" s="1332"/>
      <c r="GU24" s="1332"/>
      <c r="GV24" s="1332"/>
      <c r="GW24" s="1332"/>
      <c r="GX24" s="1332"/>
      <c r="GY24" s="1332"/>
      <c r="GZ24" s="1332"/>
      <c r="HA24" s="1332"/>
      <c r="HB24" s="1332"/>
      <c r="HC24" s="1332"/>
      <c r="HD24" s="1332"/>
      <c r="HE24" s="1332"/>
      <c r="HF24" s="1332"/>
      <c r="HG24" s="1332"/>
      <c r="HH24" s="1332"/>
      <c r="HI24" s="1332"/>
      <c r="HJ24" s="1332"/>
      <c r="HK24" s="1332"/>
      <c r="HL24" s="1332"/>
      <c r="HM24" s="1332"/>
      <c r="HN24" s="1332"/>
      <c r="HO24" s="1332"/>
      <c r="HP24" s="1332"/>
      <c r="HQ24" s="1332"/>
      <c r="HR24" s="1332"/>
      <c r="HS24" s="1332"/>
      <c r="HT24" s="1332"/>
      <c r="HU24" s="1332"/>
      <c r="HV24" s="1332"/>
      <c r="HW24" s="1332"/>
      <c r="HX24" s="1332"/>
      <c r="HY24" s="1332"/>
      <c r="HZ24" s="1332"/>
      <c r="IA24" s="1332"/>
      <c r="IB24" s="1332"/>
      <c r="IC24" s="1332"/>
      <c r="ID24" s="1332"/>
      <c r="IE24" s="1332"/>
      <c r="IF24" s="1332"/>
      <c r="IG24" s="1332"/>
      <c r="IH24" s="1332"/>
      <c r="II24" s="1332"/>
      <c r="IJ24" s="1332"/>
      <c r="IK24" s="1332"/>
      <c r="IL24" s="1332"/>
      <c r="IM24" s="1332"/>
      <c r="IN24" s="1332"/>
      <c r="IO24" s="1332"/>
      <c r="IP24" s="1332"/>
      <c r="IQ24" s="1332"/>
      <c r="IR24" s="1332"/>
      <c r="IS24" s="1332"/>
      <c r="IT24" s="1332"/>
      <c r="IU24" s="1332"/>
      <c r="IV24" s="1332"/>
      <c r="IW24" s="1332"/>
      <c r="IX24" s="1332"/>
      <c r="IY24" s="1332"/>
      <c r="IZ24" s="1332"/>
      <c r="JA24" s="1332"/>
      <c r="JB24" s="1332"/>
      <c r="JC24" s="1332"/>
      <c r="JD24" s="1332"/>
      <c r="JE24" s="1332"/>
      <c r="JF24" s="1332"/>
      <c r="JG24" s="1332"/>
      <c r="JH24" s="1332"/>
      <c r="JI24" s="1332"/>
      <c r="JJ24" s="1332"/>
      <c r="JK24" s="1332"/>
      <c r="JL24" s="1332"/>
      <c r="JM24" s="1332"/>
      <c r="JN24" s="1332"/>
      <c r="JO24" s="1332"/>
      <c r="JP24" s="1332"/>
      <c r="JQ24" s="1332"/>
      <c r="JR24" s="1332"/>
      <c r="JS24" s="1332"/>
      <c r="JT24" s="1332"/>
      <c r="JU24" s="1332"/>
      <c r="JV24" s="1332"/>
    </row>
    <row r="25" spans="1:282" ht="20.100000000000001" hidden="1" customHeight="1" outlineLevel="1" collapsed="1">
      <c r="A25" s="1299" t="s">
        <v>34</v>
      </c>
      <c r="B25" s="1352" t="s">
        <v>721</v>
      </c>
      <c r="C25" s="1353"/>
      <c r="D25" s="846">
        <v>342909</v>
      </c>
      <c r="E25" s="846">
        <v>342909</v>
      </c>
      <c r="F25" s="1350"/>
      <c r="G25" s="846">
        <f>H25+M25</f>
        <v>417185</v>
      </c>
      <c r="H25" s="846">
        <f>I25+L25</f>
        <v>417185</v>
      </c>
      <c r="I25" s="846">
        <f>'Bieu 07 TT'!F182+'Bieu 07 TT'!F222</f>
        <v>366691</v>
      </c>
      <c r="J25" s="847">
        <f t="shared" si="3"/>
        <v>106.9353676923032</v>
      </c>
      <c r="K25" s="846">
        <f t="shared" si="4"/>
        <v>23782</v>
      </c>
      <c r="L25" s="846">
        <f>'Bieu 07 TT'!AC182+'Bieu 07 TT'!AC222</f>
        <v>50494</v>
      </c>
      <c r="M25" s="1350"/>
      <c r="P25" s="1351"/>
    </row>
    <row r="26" spans="1:282" ht="20.100000000000001" hidden="1" customHeight="1" outlineLevel="1">
      <c r="A26" s="1299" t="s">
        <v>36</v>
      </c>
      <c r="B26" s="1352" t="s">
        <v>722</v>
      </c>
      <c r="C26" s="1353"/>
      <c r="D26" s="1350">
        <v>63542</v>
      </c>
      <c r="E26" s="1350">
        <v>63542</v>
      </c>
      <c r="F26" s="1350"/>
      <c r="G26" s="1350">
        <f>H26+M26</f>
        <v>40391</v>
      </c>
      <c r="H26" s="1350">
        <f>I26+L26</f>
        <v>40391</v>
      </c>
      <c r="I26" s="1350">
        <f>I24-I25</f>
        <v>62472</v>
      </c>
      <c r="J26" s="1354">
        <f t="shared" si="3"/>
        <v>98.31607440747851</v>
      </c>
      <c r="K26" s="1350">
        <f t="shared" si="4"/>
        <v>-1070</v>
      </c>
      <c r="L26" s="1350">
        <f>L24-L25</f>
        <v>-22081</v>
      </c>
      <c r="M26" s="1350"/>
      <c r="P26" s="1351"/>
    </row>
    <row r="27" spans="1:282" s="787" customFormat="1" ht="15" customHeight="1" collapsed="1">
      <c r="A27" s="1344">
        <v>2</v>
      </c>
      <c r="B27" s="1345" t="s">
        <v>723</v>
      </c>
      <c r="C27" s="1347" t="s">
        <v>724</v>
      </c>
      <c r="D27" s="845">
        <v>14888</v>
      </c>
      <c r="E27" s="845">
        <v>14888</v>
      </c>
      <c r="F27" s="1346"/>
      <c r="G27" s="845">
        <f>H27+M27</f>
        <v>15641</v>
      </c>
      <c r="H27" s="845">
        <f>I27+L27</f>
        <v>14041</v>
      </c>
      <c r="I27" s="845">
        <f>SUMIF('Bieu 07 TT'!$C$25:$C$1099,C27,'Bieu 07 TT'!$F$25:$F$1099)</f>
        <v>13837</v>
      </c>
      <c r="J27" s="844">
        <f t="shared" si="3"/>
        <v>92.940623320795268</v>
      </c>
      <c r="K27" s="845">
        <f t="shared" si="4"/>
        <v>-1051</v>
      </c>
      <c r="L27" s="845">
        <f>SUMIF('Bieu 07 TT'!$C$25:$C$1099,C27,'Bieu 07 TT'!$AC$25:$AC$1099)</f>
        <v>204</v>
      </c>
      <c r="M27" s="1346">
        <v>1600</v>
      </c>
      <c r="N27" s="1332"/>
      <c r="O27" s="1334"/>
      <c r="P27" s="1351"/>
      <c r="Q27" s="1332"/>
      <c r="R27" s="1332"/>
      <c r="S27" s="1332"/>
      <c r="T27" s="1332"/>
      <c r="U27" s="1332"/>
      <c r="V27" s="1332"/>
      <c r="W27" s="1332"/>
      <c r="X27" s="1332"/>
      <c r="Y27" s="1332"/>
      <c r="Z27" s="1332"/>
      <c r="AA27" s="1332"/>
      <c r="AB27" s="1332"/>
      <c r="AC27" s="1332"/>
      <c r="AD27" s="1332"/>
      <c r="AE27" s="1332"/>
      <c r="AF27" s="1332"/>
      <c r="AG27" s="1332"/>
      <c r="AH27" s="1332"/>
      <c r="AI27" s="1332"/>
      <c r="AJ27" s="1332"/>
      <c r="AK27" s="1332"/>
      <c r="AL27" s="1332"/>
      <c r="AM27" s="1332"/>
      <c r="AN27" s="1332"/>
      <c r="AO27" s="1332"/>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c r="BJ27" s="1332"/>
      <c r="BK27" s="1332"/>
      <c r="BL27" s="1332"/>
      <c r="BM27" s="1332"/>
      <c r="BN27" s="1332"/>
      <c r="BO27" s="1332"/>
      <c r="BP27" s="1332"/>
      <c r="BQ27" s="1332"/>
      <c r="BR27" s="1332"/>
      <c r="BS27" s="1332"/>
      <c r="BT27" s="1332"/>
      <c r="BU27" s="1332"/>
      <c r="BV27" s="1332"/>
      <c r="BW27" s="1332"/>
      <c r="BX27" s="1332"/>
      <c r="BY27" s="1332"/>
      <c r="BZ27" s="1332"/>
      <c r="CA27" s="1332"/>
      <c r="CB27" s="1332"/>
      <c r="CC27" s="1332"/>
      <c r="CD27" s="1332"/>
      <c r="CE27" s="1332"/>
      <c r="CF27" s="1332"/>
      <c r="CG27" s="1332"/>
      <c r="CH27" s="1332"/>
      <c r="CI27" s="1332"/>
      <c r="CJ27" s="1332"/>
      <c r="CK27" s="1332"/>
      <c r="CL27" s="1332"/>
      <c r="CM27" s="1332"/>
      <c r="CN27" s="1332"/>
      <c r="CO27" s="1332"/>
      <c r="CP27" s="1332"/>
      <c r="CQ27" s="1332"/>
      <c r="CR27" s="1332"/>
      <c r="CS27" s="1332"/>
      <c r="CT27" s="1332"/>
      <c r="CU27" s="1332"/>
      <c r="CV27" s="1332"/>
      <c r="CW27" s="1332"/>
      <c r="CX27" s="1332"/>
      <c r="CY27" s="1332"/>
      <c r="CZ27" s="1332"/>
      <c r="DA27" s="1332"/>
      <c r="DB27" s="1332"/>
      <c r="DC27" s="1332"/>
      <c r="DD27" s="1332"/>
      <c r="DE27" s="1332"/>
      <c r="DF27" s="1332"/>
      <c r="DG27" s="1332"/>
      <c r="DH27" s="1332"/>
      <c r="DI27" s="1332"/>
      <c r="DJ27" s="1332"/>
      <c r="DK27" s="1332"/>
      <c r="DL27" s="1332"/>
      <c r="DM27" s="1332"/>
      <c r="DN27" s="1332"/>
      <c r="DO27" s="1332"/>
      <c r="DP27" s="1332"/>
      <c r="DQ27" s="1332"/>
      <c r="DR27" s="1332"/>
      <c r="DS27" s="1332"/>
      <c r="DT27" s="1332"/>
      <c r="DU27" s="1332"/>
      <c r="DV27" s="1332"/>
      <c r="DW27" s="1332"/>
      <c r="DX27" s="1332"/>
      <c r="DY27" s="1332"/>
      <c r="DZ27" s="1332"/>
      <c r="EA27" s="1332"/>
      <c r="EB27" s="1332"/>
      <c r="EC27" s="1332"/>
      <c r="ED27" s="1332"/>
      <c r="EE27" s="1332"/>
      <c r="EF27" s="1332"/>
      <c r="EG27" s="1332"/>
      <c r="EH27" s="1332"/>
      <c r="EI27" s="1332"/>
      <c r="EJ27" s="1332"/>
      <c r="EK27" s="1332"/>
      <c r="EL27" s="1332"/>
      <c r="EM27" s="1332"/>
      <c r="EN27" s="1332"/>
      <c r="EO27" s="1332"/>
      <c r="EP27" s="1332"/>
      <c r="EQ27" s="1332"/>
      <c r="ER27" s="1332"/>
      <c r="ES27" s="1332"/>
      <c r="ET27" s="1332"/>
      <c r="EU27" s="1332"/>
      <c r="EV27" s="1332"/>
      <c r="EW27" s="1332"/>
      <c r="EX27" s="1332"/>
      <c r="EY27" s="1332"/>
      <c r="EZ27" s="1332"/>
      <c r="FA27" s="1332"/>
      <c r="FB27" s="1332"/>
      <c r="FC27" s="1332"/>
      <c r="FD27" s="1332"/>
      <c r="FE27" s="1332"/>
      <c r="FF27" s="1332"/>
      <c r="FG27" s="1332"/>
      <c r="FH27" s="1332"/>
      <c r="FI27" s="1332"/>
      <c r="FJ27" s="1332"/>
      <c r="FK27" s="1332"/>
      <c r="FL27" s="1332"/>
      <c r="FM27" s="1332"/>
      <c r="FN27" s="1332"/>
      <c r="FO27" s="1332"/>
      <c r="FP27" s="1332"/>
      <c r="FQ27" s="1332"/>
      <c r="FR27" s="1332"/>
      <c r="FS27" s="1332"/>
      <c r="FT27" s="1332"/>
      <c r="FU27" s="1332"/>
      <c r="FV27" s="1332"/>
      <c r="FW27" s="1332"/>
      <c r="FX27" s="1332"/>
      <c r="FY27" s="1332"/>
      <c r="FZ27" s="1332"/>
      <c r="GA27" s="1332"/>
      <c r="GB27" s="1332"/>
      <c r="GC27" s="1332"/>
      <c r="GD27" s="1332"/>
      <c r="GE27" s="1332"/>
      <c r="GF27" s="1332"/>
      <c r="GG27" s="1332"/>
      <c r="GH27" s="1332"/>
      <c r="GI27" s="1332"/>
      <c r="GJ27" s="1332"/>
      <c r="GK27" s="1332"/>
      <c r="GL27" s="1332"/>
      <c r="GM27" s="1332"/>
      <c r="GN27" s="1332"/>
      <c r="GO27" s="1332"/>
      <c r="GP27" s="1332"/>
      <c r="GQ27" s="1332"/>
      <c r="GR27" s="1332"/>
      <c r="GS27" s="1332"/>
      <c r="GT27" s="1332"/>
      <c r="GU27" s="1332"/>
      <c r="GV27" s="1332"/>
      <c r="GW27" s="1332"/>
      <c r="GX27" s="1332"/>
      <c r="GY27" s="1332"/>
      <c r="GZ27" s="1332"/>
      <c r="HA27" s="1332"/>
      <c r="HB27" s="1332"/>
      <c r="HC27" s="1332"/>
      <c r="HD27" s="1332"/>
      <c r="HE27" s="1332"/>
      <c r="HF27" s="1332"/>
      <c r="HG27" s="1332"/>
      <c r="HH27" s="1332"/>
      <c r="HI27" s="1332"/>
      <c r="HJ27" s="1332"/>
      <c r="HK27" s="1332"/>
      <c r="HL27" s="1332"/>
      <c r="HM27" s="1332"/>
      <c r="HN27" s="1332"/>
      <c r="HO27" s="1332"/>
      <c r="HP27" s="1332"/>
      <c r="HQ27" s="1332"/>
      <c r="HR27" s="1332"/>
      <c r="HS27" s="1332"/>
      <c r="HT27" s="1332"/>
      <c r="HU27" s="1332"/>
      <c r="HV27" s="1332"/>
      <c r="HW27" s="1332"/>
      <c r="HX27" s="1332"/>
      <c r="HY27" s="1332"/>
      <c r="HZ27" s="1332"/>
      <c r="IA27" s="1332"/>
      <c r="IB27" s="1332"/>
      <c r="IC27" s="1332"/>
      <c r="ID27" s="1332"/>
      <c r="IE27" s="1332"/>
      <c r="IF27" s="1332"/>
      <c r="IG27" s="1332"/>
      <c r="IH27" s="1332"/>
      <c r="II27" s="1332"/>
      <c r="IJ27" s="1332"/>
      <c r="IK27" s="1332"/>
      <c r="IL27" s="1332"/>
      <c r="IM27" s="1332"/>
      <c r="IN27" s="1332"/>
      <c r="IO27" s="1332"/>
      <c r="IP27" s="1332"/>
      <c r="IQ27" s="1332"/>
      <c r="IR27" s="1332"/>
      <c r="IS27" s="1332"/>
      <c r="IT27" s="1332"/>
      <c r="IU27" s="1332"/>
      <c r="IV27" s="1332"/>
      <c r="IW27" s="1332"/>
      <c r="IX27" s="1332"/>
      <c r="IY27" s="1332"/>
      <c r="IZ27" s="1332"/>
      <c r="JA27" s="1332"/>
      <c r="JB27" s="1332"/>
      <c r="JC27" s="1332"/>
      <c r="JD27" s="1332"/>
      <c r="JE27" s="1332"/>
      <c r="JF27" s="1332"/>
      <c r="JG27" s="1332"/>
      <c r="JH27" s="1332"/>
      <c r="JI27" s="1332"/>
      <c r="JJ27" s="1332"/>
      <c r="JK27" s="1332"/>
      <c r="JL27" s="1332"/>
      <c r="JM27" s="1332"/>
      <c r="JN27" s="1332"/>
      <c r="JO27" s="1332"/>
      <c r="JP27" s="1332"/>
      <c r="JQ27" s="1332"/>
      <c r="JR27" s="1332"/>
      <c r="JS27" s="1332"/>
      <c r="JT27" s="1332"/>
      <c r="JU27" s="1332"/>
      <c r="JV27" s="1332"/>
    </row>
    <row r="28" spans="1:282" ht="15" hidden="1" customHeight="1" outlineLevel="2">
      <c r="A28" s="1353"/>
      <c r="B28" s="1352" t="s">
        <v>1358</v>
      </c>
      <c r="C28" s="1299"/>
      <c r="D28" s="846">
        <v>14888</v>
      </c>
      <c r="E28" s="846">
        <v>14888</v>
      </c>
      <c r="F28" s="1350"/>
      <c r="G28" s="846">
        <v>14888</v>
      </c>
      <c r="H28" s="846">
        <f>I28+L28</f>
        <v>14888</v>
      </c>
      <c r="I28" s="846">
        <v>14888</v>
      </c>
      <c r="J28" s="847">
        <f t="shared" si="3"/>
        <v>100</v>
      </c>
      <c r="K28" s="846">
        <f t="shared" si="4"/>
        <v>0</v>
      </c>
      <c r="L28" s="846"/>
      <c r="M28" s="1350"/>
      <c r="P28" s="1351"/>
    </row>
    <row r="29" spans="1:282" ht="15" hidden="1" customHeight="1" outlineLevel="2">
      <c r="A29" s="1353"/>
      <c r="B29" s="1352" t="s">
        <v>1359</v>
      </c>
      <c r="C29" s="1299"/>
      <c r="D29" s="846"/>
      <c r="E29" s="846"/>
      <c r="F29" s="1350"/>
      <c r="G29" s="846"/>
      <c r="H29" s="846"/>
      <c r="I29" s="846"/>
      <c r="J29" s="847"/>
      <c r="K29" s="846"/>
      <c r="L29" s="846"/>
      <c r="M29" s="1350"/>
      <c r="P29" s="1351"/>
    </row>
    <row r="30" spans="1:282" s="787" customFormat="1" ht="15" customHeight="1" collapsed="1">
      <c r="A30" s="1347" t="s">
        <v>59</v>
      </c>
      <c r="B30" s="1345" t="s">
        <v>725</v>
      </c>
      <c r="C30" s="1347" t="s">
        <v>726</v>
      </c>
      <c r="D30" s="845">
        <v>9162</v>
      </c>
      <c r="E30" s="845">
        <v>9162</v>
      </c>
      <c r="F30" s="1346"/>
      <c r="G30" s="845">
        <f t="shared" ref="G30:G64" si="5">H30+M30</f>
        <v>13299</v>
      </c>
      <c r="H30" s="845">
        <f t="shared" ref="H30:H64" si="6">I30+L30</f>
        <v>13299</v>
      </c>
      <c r="I30" s="845">
        <f>SUMIF('Bieu 07 TT'!$C$25:$C$1099,C30,'Bieu 07 TT'!$F$25:$F$1099)</f>
        <v>13260</v>
      </c>
      <c r="J30" s="844">
        <f t="shared" ref="J30:J36" si="7">IF(E30=0,0,I30/E30*100)</f>
        <v>144.72822527832352</v>
      </c>
      <c r="K30" s="845">
        <f t="shared" ref="K30:K36" si="8">I30-E30</f>
        <v>4098</v>
      </c>
      <c r="L30" s="845">
        <f>SUMIF('Bieu 07 TT'!$C$25:$C$1099,C30,'Bieu 07 TT'!$AC$25:$AC$1099)</f>
        <v>39</v>
      </c>
      <c r="M30" s="1346"/>
      <c r="N30" s="1332"/>
      <c r="O30" s="1334"/>
      <c r="P30" s="1351"/>
      <c r="Q30" s="1332"/>
      <c r="R30" s="1332"/>
      <c r="S30" s="1332"/>
      <c r="T30" s="1332"/>
      <c r="U30" s="1332"/>
      <c r="V30" s="1332"/>
      <c r="W30" s="1332"/>
      <c r="X30" s="1332"/>
      <c r="Y30" s="1332"/>
      <c r="Z30" s="1332"/>
      <c r="AA30" s="1332"/>
      <c r="AB30" s="1332"/>
      <c r="AC30" s="1332"/>
      <c r="AD30" s="1332"/>
      <c r="AE30" s="1332"/>
      <c r="AF30" s="1332"/>
      <c r="AG30" s="1332"/>
      <c r="AH30" s="1332"/>
      <c r="AI30" s="1332"/>
      <c r="AJ30" s="1332"/>
      <c r="AK30" s="1332"/>
      <c r="AL30" s="1332"/>
      <c r="AM30" s="1332"/>
      <c r="AN30" s="1332"/>
      <c r="AO30" s="1332"/>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c r="BJ30" s="1332"/>
      <c r="BK30" s="1332"/>
      <c r="BL30" s="1332"/>
      <c r="BM30" s="1332"/>
      <c r="BN30" s="1332"/>
      <c r="BO30" s="1332"/>
      <c r="BP30" s="1332"/>
      <c r="BQ30" s="1332"/>
      <c r="BR30" s="1332"/>
      <c r="BS30" s="1332"/>
      <c r="BT30" s="1332"/>
      <c r="BU30" s="1332"/>
      <c r="BV30" s="1332"/>
      <c r="BW30" s="1332"/>
      <c r="BX30" s="1332"/>
      <c r="BY30" s="1332"/>
      <c r="BZ30" s="1332"/>
      <c r="CA30" s="1332"/>
      <c r="CB30" s="1332"/>
      <c r="CC30" s="1332"/>
      <c r="CD30" s="1332"/>
      <c r="CE30" s="1332"/>
      <c r="CF30" s="1332"/>
      <c r="CG30" s="1332"/>
      <c r="CH30" s="1332"/>
      <c r="CI30" s="1332"/>
      <c r="CJ30" s="1332"/>
      <c r="CK30" s="1332"/>
      <c r="CL30" s="1332"/>
      <c r="CM30" s="1332"/>
      <c r="CN30" s="1332"/>
      <c r="CO30" s="1332"/>
      <c r="CP30" s="1332"/>
      <c r="CQ30" s="1332"/>
      <c r="CR30" s="1332"/>
      <c r="CS30" s="1332"/>
      <c r="CT30" s="1332"/>
      <c r="CU30" s="1332"/>
      <c r="CV30" s="1332"/>
      <c r="CW30" s="1332"/>
      <c r="CX30" s="1332"/>
      <c r="CY30" s="1332"/>
      <c r="CZ30" s="1332"/>
      <c r="DA30" s="1332"/>
      <c r="DB30" s="1332"/>
      <c r="DC30" s="1332"/>
      <c r="DD30" s="1332"/>
      <c r="DE30" s="1332"/>
      <c r="DF30" s="1332"/>
      <c r="DG30" s="1332"/>
      <c r="DH30" s="1332"/>
      <c r="DI30" s="1332"/>
      <c r="DJ30" s="1332"/>
      <c r="DK30" s="1332"/>
      <c r="DL30" s="1332"/>
      <c r="DM30" s="1332"/>
      <c r="DN30" s="1332"/>
      <c r="DO30" s="1332"/>
      <c r="DP30" s="1332"/>
      <c r="DQ30" s="1332"/>
      <c r="DR30" s="1332"/>
      <c r="DS30" s="1332"/>
      <c r="DT30" s="1332"/>
      <c r="DU30" s="1332"/>
      <c r="DV30" s="1332"/>
      <c r="DW30" s="1332"/>
      <c r="DX30" s="1332"/>
      <c r="DY30" s="1332"/>
      <c r="DZ30" s="1332"/>
      <c r="EA30" s="1332"/>
      <c r="EB30" s="1332"/>
      <c r="EC30" s="1332"/>
      <c r="ED30" s="1332"/>
      <c r="EE30" s="1332"/>
      <c r="EF30" s="1332"/>
      <c r="EG30" s="1332"/>
      <c r="EH30" s="1332"/>
      <c r="EI30" s="1332"/>
      <c r="EJ30" s="1332"/>
      <c r="EK30" s="1332"/>
      <c r="EL30" s="1332"/>
      <c r="EM30" s="1332"/>
      <c r="EN30" s="1332"/>
      <c r="EO30" s="1332"/>
      <c r="EP30" s="1332"/>
      <c r="EQ30" s="1332"/>
      <c r="ER30" s="1332"/>
      <c r="ES30" s="1332"/>
      <c r="ET30" s="1332"/>
      <c r="EU30" s="1332"/>
      <c r="EV30" s="1332"/>
      <c r="EW30" s="1332"/>
      <c r="EX30" s="1332"/>
      <c r="EY30" s="1332"/>
      <c r="EZ30" s="1332"/>
      <c r="FA30" s="1332"/>
      <c r="FB30" s="1332"/>
      <c r="FC30" s="1332"/>
      <c r="FD30" s="1332"/>
      <c r="FE30" s="1332"/>
      <c r="FF30" s="1332"/>
      <c r="FG30" s="1332"/>
      <c r="FH30" s="1332"/>
      <c r="FI30" s="1332"/>
      <c r="FJ30" s="1332"/>
      <c r="FK30" s="1332"/>
      <c r="FL30" s="1332"/>
      <c r="FM30" s="1332"/>
      <c r="FN30" s="1332"/>
      <c r="FO30" s="1332"/>
      <c r="FP30" s="1332"/>
      <c r="FQ30" s="1332"/>
      <c r="FR30" s="1332"/>
      <c r="FS30" s="1332"/>
      <c r="FT30" s="1332"/>
      <c r="FU30" s="1332"/>
      <c r="FV30" s="1332"/>
      <c r="FW30" s="1332"/>
      <c r="FX30" s="1332"/>
      <c r="FY30" s="1332"/>
      <c r="FZ30" s="1332"/>
      <c r="GA30" s="1332"/>
      <c r="GB30" s="1332"/>
      <c r="GC30" s="1332"/>
      <c r="GD30" s="1332"/>
      <c r="GE30" s="1332"/>
      <c r="GF30" s="1332"/>
      <c r="GG30" s="1332"/>
      <c r="GH30" s="1332"/>
      <c r="GI30" s="1332"/>
      <c r="GJ30" s="1332"/>
      <c r="GK30" s="1332"/>
      <c r="GL30" s="1332"/>
      <c r="GM30" s="1332"/>
      <c r="GN30" s="1332"/>
      <c r="GO30" s="1332"/>
      <c r="GP30" s="1332"/>
      <c r="GQ30" s="1332"/>
      <c r="GR30" s="1332"/>
      <c r="GS30" s="1332"/>
      <c r="GT30" s="1332"/>
      <c r="GU30" s="1332"/>
      <c r="GV30" s="1332"/>
      <c r="GW30" s="1332"/>
      <c r="GX30" s="1332"/>
      <c r="GY30" s="1332"/>
      <c r="GZ30" s="1332"/>
      <c r="HA30" s="1332"/>
      <c r="HB30" s="1332"/>
      <c r="HC30" s="1332"/>
      <c r="HD30" s="1332"/>
      <c r="HE30" s="1332"/>
      <c r="HF30" s="1332"/>
      <c r="HG30" s="1332"/>
      <c r="HH30" s="1332"/>
      <c r="HI30" s="1332"/>
      <c r="HJ30" s="1332"/>
      <c r="HK30" s="1332"/>
      <c r="HL30" s="1332"/>
      <c r="HM30" s="1332"/>
      <c r="HN30" s="1332"/>
      <c r="HO30" s="1332"/>
      <c r="HP30" s="1332"/>
      <c r="HQ30" s="1332"/>
      <c r="HR30" s="1332"/>
      <c r="HS30" s="1332"/>
      <c r="HT30" s="1332"/>
      <c r="HU30" s="1332"/>
      <c r="HV30" s="1332"/>
      <c r="HW30" s="1332"/>
      <c r="HX30" s="1332"/>
      <c r="HY30" s="1332"/>
      <c r="HZ30" s="1332"/>
      <c r="IA30" s="1332"/>
      <c r="IB30" s="1332"/>
      <c r="IC30" s="1332"/>
      <c r="ID30" s="1332"/>
      <c r="IE30" s="1332"/>
      <c r="IF30" s="1332"/>
      <c r="IG30" s="1332"/>
      <c r="IH30" s="1332"/>
      <c r="II30" s="1332"/>
      <c r="IJ30" s="1332"/>
      <c r="IK30" s="1332"/>
      <c r="IL30" s="1332"/>
      <c r="IM30" s="1332"/>
      <c r="IN30" s="1332"/>
      <c r="IO30" s="1332"/>
      <c r="IP30" s="1332"/>
      <c r="IQ30" s="1332"/>
      <c r="IR30" s="1332"/>
      <c r="IS30" s="1332"/>
      <c r="IT30" s="1332"/>
      <c r="IU30" s="1332"/>
      <c r="IV30" s="1332"/>
      <c r="IW30" s="1332"/>
      <c r="IX30" s="1332"/>
      <c r="IY30" s="1332"/>
      <c r="IZ30" s="1332"/>
      <c r="JA30" s="1332"/>
      <c r="JB30" s="1332"/>
      <c r="JC30" s="1332"/>
      <c r="JD30" s="1332"/>
      <c r="JE30" s="1332"/>
      <c r="JF30" s="1332"/>
      <c r="JG30" s="1332"/>
      <c r="JH30" s="1332"/>
      <c r="JI30" s="1332"/>
      <c r="JJ30" s="1332"/>
      <c r="JK30" s="1332"/>
      <c r="JL30" s="1332"/>
      <c r="JM30" s="1332"/>
      <c r="JN30" s="1332"/>
      <c r="JO30" s="1332"/>
      <c r="JP30" s="1332"/>
      <c r="JQ30" s="1332"/>
      <c r="JR30" s="1332"/>
      <c r="JS30" s="1332"/>
      <c r="JT30" s="1332"/>
      <c r="JU30" s="1332"/>
      <c r="JV30" s="1332"/>
    </row>
    <row r="31" spans="1:282" s="787" customFormat="1" ht="15" customHeight="1">
      <c r="A31" s="1347" t="s">
        <v>73</v>
      </c>
      <c r="B31" s="1345" t="s">
        <v>124</v>
      </c>
      <c r="C31" s="1344"/>
      <c r="D31" s="845">
        <v>1327052</v>
      </c>
      <c r="E31" s="845">
        <v>1311263</v>
      </c>
      <c r="F31" s="760">
        <v>15789</v>
      </c>
      <c r="G31" s="845">
        <f t="shared" si="5"/>
        <v>1494978</v>
      </c>
      <c r="H31" s="845">
        <f t="shared" si="6"/>
        <v>1441916</v>
      </c>
      <c r="I31" s="845">
        <f>I32+I42+I45+I48+I49+I50+I55+I59+I62+I65</f>
        <v>1388900</v>
      </c>
      <c r="J31" s="844">
        <f t="shared" si="7"/>
        <v>105.92078019436222</v>
      </c>
      <c r="K31" s="845">
        <f t="shared" si="8"/>
        <v>77637</v>
      </c>
      <c r="L31" s="845">
        <f>L32+L42+L45+L48+L49+L50+L55+L59+L62+L65</f>
        <v>53016</v>
      </c>
      <c r="M31" s="845">
        <f>M32+M42+M45+M48+M49+M50+M55+M59+M62</f>
        <v>53062</v>
      </c>
      <c r="N31" s="1332"/>
      <c r="O31" s="1334"/>
      <c r="P31" s="1351"/>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2"/>
      <c r="DI31" s="1332"/>
      <c r="DJ31" s="1332"/>
      <c r="DK31" s="1332"/>
      <c r="DL31" s="1332"/>
      <c r="DM31" s="1332"/>
      <c r="DN31" s="1332"/>
      <c r="DO31" s="1332"/>
      <c r="DP31" s="1332"/>
      <c r="DQ31" s="1332"/>
      <c r="DR31" s="1332"/>
      <c r="DS31" s="1332"/>
      <c r="DT31" s="1332"/>
      <c r="DU31" s="1332"/>
      <c r="DV31" s="1332"/>
      <c r="DW31" s="1332"/>
      <c r="DX31" s="1332"/>
      <c r="DY31" s="1332"/>
      <c r="DZ31" s="1332"/>
      <c r="EA31" s="1332"/>
      <c r="EB31" s="1332"/>
      <c r="EC31" s="1332"/>
      <c r="ED31" s="1332"/>
      <c r="EE31" s="1332"/>
      <c r="EF31" s="1332"/>
      <c r="EG31" s="1332"/>
      <c r="EH31" s="1332"/>
      <c r="EI31" s="1332"/>
      <c r="EJ31" s="1332"/>
      <c r="EK31" s="1332"/>
      <c r="EL31" s="1332"/>
      <c r="EM31" s="1332"/>
      <c r="EN31" s="1332"/>
      <c r="EO31" s="1332"/>
      <c r="EP31" s="1332"/>
      <c r="EQ31" s="1332"/>
      <c r="ER31" s="1332"/>
      <c r="ES31" s="1332"/>
      <c r="ET31" s="1332"/>
      <c r="EU31" s="1332"/>
      <c r="EV31" s="1332"/>
      <c r="EW31" s="1332"/>
      <c r="EX31" s="1332"/>
      <c r="EY31" s="1332"/>
      <c r="EZ31" s="1332"/>
      <c r="FA31" s="1332"/>
      <c r="FB31" s="1332"/>
      <c r="FC31" s="1332"/>
      <c r="FD31" s="1332"/>
      <c r="FE31" s="1332"/>
      <c r="FF31" s="1332"/>
      <c r="FG31" s="1332"/>
      <c r="FH31" s="1332"/>
      <c r="FI31" s="1332"/>
      <c r="FJ31" s="1332"/>
      <c r="FK31" s="1332"/>
      <c r="FL31" s="1332"/>
      <c r="FM31" s="1332"/>
      <c r="FN31" s="1332"/>
      <c r="FO31" s="1332"/>
      <c r="FP31" s="1332"/>
      <c r="FQ31" s="1332"/>
      <c r="FR31" s="1332"/>
      <c r="FS31" s="1332"/>
      <c r="FT31" s="1332"/>
      <c r="FU31" s="1332"/>
      <c r="FV31" s="1332"/>
      <c r="FW31" s="1332"/>
      <c r="FX31" s="1332"/>
      <c r="FY31" s="1332"/>
      <c r="FZ31" s="1332"/>
      <c r="GA31" s="1332"/>
      <c r="GB31" s="1332"/>
      <c r="GC31" s="1332"/>
      <c r="GD31" s="1332"/>
      <c r="GE31" s="1332"/>
      <c r="GF31" s="1332"/>
      <c r="GG31" s="1332"/>
      <c r="GH31" s="1332"/>
      <c r="GI31" s="1332"/>
      <c r="GJ31" s="1332"/>
      <c r="GK31" s="1332"/>
      <c r="GL31" s="1332"/>
      <c r="GM31" s="1332"/>
      <c r="GN31" s="1332"/>
      <c r="GO31" s="1332"/>
      <c r="GP31" s="1332"/>
      <c r="GQ31" s="1332"/>
      <c r="GR31" s="1332"/>
      <c r="GS31" s="1332"/>
      <c r="GT31" s="1332"/>
      <c r="GU31" s="1332"/>
      <c r="GV31" s="1332"/>
      <c r="GW31" s="1332"/>
      <c r="GX31" s="1332"/>
      <c r="GY31" s="1332"/>
      <c r="GZ31" s="1332"/>
      <c r="HA31" s="1332"/>
      <c r="HB31" s="1332"/>
      <c r="HC31" s="1332"/>
      <c r="HD31" s="1332"/>
      <c r="HE31" s="1332"/>
      <c r="HF31" s="1332"/>
      <c r="HG31" s="1332"/>
      <c r="HH31" s="1332"/>
      <c r="HI31" s="1332"/>
      <c r="HJ31" s="1332"/>
      <c r="HK31" s="1332"/>
      <c r="HL31" s="1332"/>
      <c r="HM31" s="1332"/>
      <c r="HN31" s="1332"/>
      <c r="HO31" s="1332"/>
      <c r="HP31" s="1332"/>
      <c r="HQ31" s="1332"/>
      <c r="HR31" s="1332"/>
      <c r="HS31" s="1332"/>
      <c r="HT31" s="1332"/>
      <c r="HU31" s="1332"/>
      <c r="HV31" s="1332"/>
      <c r="HW31" s="1332"/>
      <c r="HX31" s="1332"/>
      <c r="HY31" s="1332"/>
      <c r="HZ31" s="1332"/>
      <c r="IA31" s="1332"/>
      <c r="IB31" s="1332"/>
      <c r="IC31" s="1332"/>
      <c r="ID31" s="1332"/>
      <c r="IE31" s="1332"/>
      <c r="IF31" s="1332"/>
      <c r="IG31" s="1332"/>
      <c r="IH31" s="1332"/>
      <c r="II31" s="1332"/>
      <c r="IJ31" s="1332"/>
      <c r="IK31" s="1332"/>
      <c r="IL31" s="1332"/>
      <c r="IM31" s="1332"/>
      <c r="IN31" s="1332"/>
      <c r="IO31" s="1332"/>
      <c r="IP31" s="1332"/>
      <c r="IQ31" s="1332"/>
      <c r="IR31" s="1332"/>
      <c r="IS31" s="1332"/>
      <c r="IT31" s="1332"/>
      <c r="IU31" s="1332"/>
      <c r="IV31" s="1332"/>
      <c r="IW31" s="1332"/>
      <c r="IX31" s="1332"/>
      <c r="IY31" s="1332"/>
      <c r="IZ31" s="1332"/>
      <c r="JA31" s="1332"/>
      <c r="JB31" s="1332"/>
      <c r="JC31" s="1332"/>
      <c r="JD31" s="1332"/>
      <c r="JE31" s="1332"/>
      <c r="JF31" s="1332"/>
      <c r="JG31" s="1332"/>
      <c r="JH31" s="1332"/>
      <c r="JI31" s="1332"/>
      <c r="JJ31" s="1332"/>
      <c r="JK31" s="1332"/>
      <c r="JL31" s="1332"/>
      <c r="JM31" s="1332"/>
      <c r="JN31" s="1332"/>
      <c r="JO31" s="1332"/>
      <c r="JP31" s="1332"/>
      <c r="JQ31" s="1332"/>
      <c r="JR31" s="1332"/>
      <c r="JS31" s="1332"/>
      <c r="JT31" s="1332"/>
      <c r="JU31" s="1332"/>
      <c r="JV31" s="1332"/>
    </row>
    <row r="32" spans="1:282" ht="15" customHeight="1">
      <c r="A32" s="1299" t="s">
        <v>393</v>
      </c>
      <c r="B32" s="1352" t="s">
        <v>727</v>
      </c>
      <c r="C32" s="1299" t="s">
        <v>728</v>
      </c>
      <c r="D32" s="846">
        <v>205509</v>
      </c>
      <c r="E32" s="846">
        <v>196009</v>
      </c>
      <c r="F32" s="1350">
        <v>9500</v>
      </c>
      <c r="G32" s="846">
        <f t="shared" si="5"/>
        <v>232996</v>
      </c>
      <c r="H32" s="846">
        <f t="shared" si="6"/>
        <v>212588</v>
      </c>
      <c r="I32" s="846">
        <f>SUMIF('Bieu 07 TT'!$C$25:$C$1099,C32,'Bieu 07 TT'!$F$25:$F$1099)</f>
        <v>210754</v>
      </c>
      <c r="J32" s="847">
        <f t="shared" si="7"/>
        <v>107.52261375753153</v>
      </c>
      <c r="K32" s="846">
        <f t="shared" si="8"/>
        <v>14745</v>
      </c>
      <c r="L32" s="846">
        <f>SUMIF('Bieu 07 TT'!$C$25:$C$1099,C32,'Bieu 07 TT'!$AC$25:$AC$1099)</f>
        <v>1834</v>
      </c>
      <c r="M32" s="1350">
        <f>15408+5000</f>
        <v>20408</v>
      </c>
    </row>
    <row r="33" spans="1:14" ht="20.100000000000001" hidden="1" customHeight="1" outlineLevel="1">
      <c r="A33" s="1299" t="s">
        <v>45</v>
      </c>
      <c r="B33" s="1352" t="s">
        <v>729</v>
      </c>
      <c r="C33" s="1353"/>
      <c r="D33" s="846">
        <v>62796</v>
      </c>
      <c r="E33" s="846">
        <v>62796</v>
      </c>
      <c r="F33" s="1350"/>
      <c r="G33" s="846">
        <f t="shared" si="5"/>
        <v>61018</v>
      </c>
      <c r="H33" s="846">
        <f t="shared" si="6"/>
        <v>61018</v>
      </c>
      <c r="I33" s="846">
        <f>'Bieu 07 TT'!F48+'Bieu 07 TT'!F62</f>
        <v>61018</v>
      </c>
      <c r="J33" s="847">
        <f t="shared" si="7"/>
        <v>97.168609465571052</v>
      </c>
      <c r="K33" s="846">
        <f t="shared" si="8"/>
        <v>-1778</v>
      </c>
      <c r="L33" s="846"/>
      <c r="M33" s="1350"/>
      <c r="N33" s="1355"/>
    </row>
    <row r="34" spans="1:14" ht="20.100000000000001" hidden="1" customHeight="1" outlineLevel="1" collapsed="1">
      <c r="A34" s="1299" t="s">
        <v>47</v>
      </c>
      <c r="B34" s="1352" t="s">
        <v>730</v>
      </c>
      <c r="C34" s="1353"/>
      <c r="D34" s="846">
        <v>28533</v>
      </c>
      <c r="E34" s="846">
        <v>28533</v>
      </c>
      <c r="F34" s="1350"/>
      <c r="G34" s="846">
        <f t="shared" si="5"/>
        <v>32728</v>
      </c>
      <c r="H34" s="846">
        <f t="shared" si="6"/>
        <v>32728</v>
      </c>
      <c r="I34" s="846">
        <f>'Bieu 07 TT'!F82+'Bieu 07 TT'!E81</f>
        <v>32728</v>
      </c>
      <c r="J34" s="847">
        <f t="shared" si="7"/>
        <v>114.70227455928223</v>
      </c>
      <c r="K34" s="846">
        <f t="shared" si="8"/>
        <v>4195</v>
      </c>
      <c r="L34" s="846"/>
      <c r="M34" s="1350"/>
    </row>
    <row r="35" spans="1:14" ht="20.100000000000001" hidden="1" customHeight="1" outlineLevel="1">
      <c r="A35" s="1299" t="s">
        <v>49</v>
      </c>
      <c r="B35" s="1352" t="s">
        <v>731</v>
      </c>
      <c r="C35" s="1353"/>
      <c r="D35" s="846">
        <v>27324</v>
      </c>
      <c r="E35" s="846">
        <v>27324</v>
      </c>
      <c r="F35" s="1350"/>
      <c r="G35" s="846">
        <f t="shared" si="5"/>
        <v>28265</v>
      </c>
      <c r="H35" s="846">
        <f t="shared" si="6"/>
        <v>28265</v>
      </c>
      <c r="I35" s="846">
        <f>'Bieu 07 TT'!F97</f>
        <v>28265</v>
      </c>
      <c r="J35" s="847">
        <f t="shared" si="7"/>
        <v>103.44385887864149</v>
      </c>
      <c r="K35" s="846">
        <f t="shared" si="8"/>
        <v>941</v>
      </c>
      <c r="L35" s="846"/>
      <c r="M35" s="1350"/>
    </row>
    <row r="36" spans="1:14" ht="20.100000000000001" hidden="1" customHeight="1" outlineLevel="1">
      <c r="A36" s="1299" t="s">
        <v>732</v>
      </c>
      <c r="B36" s="1352" t="s">
        <v>733</v>
      </c>
      <c r="C36" s="1353"/>
      <c r="D36" s="846">
        <v>11688</v>
      </c>
      <c r="E36" s="846">
        <v>11688</v>
      </c>
      <c r="F36" s="1350"/>
      <c r="G36" s="846">
        <f t="shared" si="5"/>
        <v>8325</v>
      </c>
      <c r="H36" s="846">
        <f t="shared" si="6"/>
        <v>8325</v>
      </c>
      <c r="I36" s="846">
        <f>'Bieu 07 TT'!F127</f>
        <v>8325</v>
      </c>
      <c r="J36" s="847">
        <f t="shared" si="7"/>
        <v>71.226899383983579</v>
      </c>
      <c r="K36" s="846">
        <f t="shared" si="8"/>
        <v>-3363</v>
      </c>
      <c r="L36" s="846"/>
      <c r="M36" s="1350"/>
    </row>
    <row r="37" spans="1:14" ht="27.6" hidden="1" outlineLevel="1">
      <c r="A37" s="1299"/>
      <c r="B37" s="977" t="s">
        <v>734</v>
      </c>
      <c r="C37" s="1353"/>
      <c r="D37" s="846">
        <v>2200</v>
      </c>
      <c r="E37" s="846">
        <v>2200</v>
      </c>
      <c r="F37" s="1350"/>
      <c r="G37" s="846">
        <f t="shared" si="5"/>
        <v>2500</v>
      </c>
      <c r="H37" s="846">
        <f t="shared" si="6"/>
        <v>2500</v>
      </c>
      <c r="I37" s="846">
        <f>'Bieu 07 TT'!F133</f>
        <v>2500</v>
      </c>
      <c r="J37" s="847"/>
      <c r="K37" s="846"/>
      <c r="L37" s="846"/>
      <c r="M37" s="1350"/>
    </row>
    <row r="38" spans="1:14" ht="20.100000000000001" hidden="1" customHeight="1" outlineLevel="1">
      <c r="A38" s="1299" t="s">
        <v>270</v>
      </c>
      <c r="B38" s="1352" t="s">
        <v>735</v>
      </c>
      <c r="C38" s="1353"/>
      <c r="D38" s="846">
        <v>65668</v>
      </c>
      <c r="E38" s="846">
        <v>65668</v>
      </c>
      <c r="F38" s="1350"/>
      <c r="G38" s="846">
        <f t="shared" si="5"/>
        <v>80418</v>
      </c>
      <c r="H38" s="846">
        <f t="shared" si="6"/>
        <v>80418</v>
      </c>
      <c r="I38" s="846">
        <f>I32-I33-I34-I35-I36</f>
        <v>80418</v>
      </c>
      <c r="J38" s="847">
        <f t="shared" ref="J38:J64" si="9">IF(E38=0,0,I38/E38*100)</f>
        <v>122.46147286349516</v>
      </c>
      <c r="K38" s="846">
        <f t="shared" ref="K38:K64" si="10">I38-E38</f>
        <v>14750</v>
      </c>
      <c r="L38" s="846"/>
      <c r="M38" s="1350"/>
    </row>
    <row r="39" spans="1:14" ht="20.100000000000001" hidden="1" customHeight="1" outlineLevel="1">
      <c r="A39" s="1299"/>
      <c r="B39" s="1352" t="s">
        <v>1685</v>
      </c>
      <c r="C39" s="1353"/>
      <c r="D39" s="846">
        <v>0</v>
      </c>
      <c r="E39" s="846">
        <v>0</v>
      </c>
      <c r="F39" s="1350"/>
      <c r="G39" s="846">
        <f t="shared" si="5"/>
        <v>0</v>
      </c>
      <c r="H39" s="846">
        <f t="shared" si="6"/>
        <v>0</v>
      </c>
      <c r="I39" s="846"/>
      <c r="J39" s="847">
        <f t="shared" si="9"/>
        <v>0</v>
      </c>
      <c r="K39" s="846">
        <f t="shared" si="10"/>
        <v>0</v>
      </c>
      <c r="L39" s="846"/>
      <c r="M39" s="1350"/>
    </row>
    <row r="40" spans="1:14" ht="20.100000000000001" hidden="1" customHeight="1" outlineLevel="1">
      <c r="A40" s="1299"/>
      <c r="B40" s="1352" t="s">
        <v>736</v>
      </c>
      <c r="C40" s="1353"/>
      <c r="D40" s="846">
        <v>1000</v>
      </c>
      <c r="E40" s="846">
        <v>1000</v>
      </c>
      <c r="F40" s="1350"/>
      <c r="G40" s="846">
        <f t="shared" si="5"/>
        <v>0</v>
      </c>
      <c r="H40" s="846">
        <f t="shared" si="6"/>
        <v>0</v>
      </c>
      <c r="I40" s="846">
        <f>'Bieu 07 TT'!F820</f>
        <v>0</v>
      </c>
      <c r="J40" s="847">
        <f t="shared" si="9"/>
        <v>0</v>
      </c>
      <c r="K40" s="846">
        <f t="shared" si="10"/>
        <v>-1000</v>
      </c>
      <c r="L40" s="846"/>
      <c r="M40" s="1350"/>
    </row>
    <row r="41" spans="1:14" ht="20.100000000000001" hidden="1" customHeight="1" outlineLevel="1">
      <c r="A41" s="1299"/>
      <c r="B41" s="1352" t="s">
        <v>737</v>
      </c>
      <c r="C41" s="1353"/>
      <c r="D41" s="846">
        <v>64668</v>
      </c>
      <c r="E41" s="1350">
        <v>64668</v>
      </c>
      <c r="F41" s="1350"/>
      <c r="G41" s="1350">
        <f t="shared" si="5"/>
        <v>80418</v>
      </c>
      <c r="H41" s="1350">
        <f t="shared" si="6"/>
        <v>80418</v>
      </c>
      <c r="I41" s="1350">
        <f>I38-I39-I40</f>
        <v>80418</v>
      </c>
      <c r="J41" s="847">
        <f t="shared" si="9"/>
        <v>124.35516793468176</v>
      </c>
      <c r="K41" s="1350">
        <f t="shared" si="10"/>
        <v>15750</v>
      </c>
      <c r="L41" s="1350"/>
      <c r="M41" s="1350"/>
    </row>
    <row r="42" spans="1:14" ht="15" customHeight="1" collapsed="1">
      <c r="A42" s="1299" t="s">
        <v>396</v>
      </c>
      <c r="B42" s="1352" t="s">
        <v>738</v>
      </c>
      <c r="C42" s="1299" t="s">
        <v>739</v>
      </c>
      <c r="D42" s="846">
        <v>504764</v>
      </c>
      <c r="E42" s="846">
        <v>504764</v>
      </c>
      <c r="F42" s="1350"/>
      <c r="G42" s="846">
        <f t="shared" si="5"/>
        <v>572729</v>
      </c>
      <c r="H42" s="846">
        <f t="shared" si="6"/>
        <v>572729</v>
      </c>
      <c r="I42" s="846">
        <f>SUMIF('Bieu 07 TT'!$C$25:$C$1099,C42,'Bieu 07 TT'!$F$25:$F$1099)</f>
        <v>538616</v>
      </c>
      <c r="J42" s="847">
        <f t="shared" si="9"/>
        <v>106.70650046358298</v>
      </c>
      <c r="K42" s="846">
        <f t="shared" si="10"/>
        <v>33852</v>
      </c>
      <c r="L42" s="846">
        <f>SUMIF('Bieu 07 TT'!$C$25:$C$1099,C42,'Bieu 07 TT'!$AC$25:$AC$1099)</f>
        <v>34113</v>
      </c>
      <c r="M42" s="1350"/>
    </row>
    <row r="43" spans="1:14" ht="20.100000000000001" hidden="1" customHeight="1" outlineLevel="1">
      <c r="A43" s="1353"/>
      <c r="B43" s="1352" t="s">
        <v>740</v>
      </c>
      <c r="C43" s="1353"/>
      <c r="D43" s="846">
        <v>242368</v>
      </c>
      <c r="E43" s="846">
        <v>242368</v>
      </c>
      <c r="F43" s="1350"/>
      <c r="G43" s="846">
        <f t="shared" si="5"/>
        <v>255098</v>
      </c>
      <c r="H43" s="846">
        <f t="shared" si="6"/>
        <v>255098</v>
      </c>
      <c r="I43" s="846">
        <f>I42-I44</f>
        <v>255098</v>
      </c>
      <c r="J43" s="847">
        <f t="shared" si="9"/>
        <v>105.25234354370214</v>
      </c>
      <c r="K43" s="846">
        <f t="shared" si="10"/>
        <v>12730</v>
      </c>
      <c r="L43" s="846"/>
      <c r="M43" s="1350"/>
    </row>
    <row r="44" spans="1:14" ht="15.75" hidden="1" customHeight="1" outlineLevel="1">
      <c r="A44" s="1353"/>
      <c r="B44" s="1352" t="s">
        <v>741</v>
      </c>
      <c r="C44" s="1353"/>
      <c r="D44" s="846">
        <v>262396</v>
      </c>
      <c r="E44" s="846">
        <v>262396</v>
      </c>
      <c r="F44" s="1350"/>
      <c r="G44" s="846">
        <f t="shared" si="5"/>
        <v>283518</v>
      </c>
      <c r="H44" s="846">
        <f t="shared" si="6"/>
        <v>283518</v>
      </c>
      <c r="I44" s="846">
        <f>'Bieu 07 TT'!F403</f>
        <v>283518</v>
      </c>
      <c r="J44" s="847">
        <f t="shared" si="9"/>
        <v>108.04966539124072</v>
      </c>
      <c r="K44" s="846">
        <f t="shared" si="10"/>
        <v>21122</v>
      </c>
      <c r="L44" s="846"/>
      <c r="M44" s="1350"/>
    </row>
    <row r="45" spans="1:14" ht="15" customHeight="1" collapsed="1">
      <c r="A45" s="1299" t="s">
        <v>397</v>
      </c>
      <c r="B45" s="1352" t="s">
        <v>742</v>
      </c>
      <c r="C45" s="302" t="s">
        <v>743</v>
      </c>
      <c r="D45" s="846">
        <v>49143</v>
      </c>
      <c r="E45" s="846">
        <v>47154</v>
      </c>
      <c r="F45" s="1350">
        <v>1989</v>
      </c>
      <c r="G45" s="846">
        <f t="shared" si="5"/>
        <v>55977</v>
      </c>
      <c r="H45" s="846">
        <f t="shared" si="6"/>
        <v>55977</v>
      </c>
      <c r="I45" s="846">
        <f>SUMIF('Bieu 07 TT'!$C$25:$C$1099,C45,'Bieu 07 TT'!$F$25:$F$1099)</f>
        <v>54216</v>
      </c>
      <c r="J45" s="847">
        <f t="shared" si="9"/>
        <v>114.97646010942869</v>
      </c>
      <c r="K45" s="846">
        <f t="shared" si="10"/>
        <v>7062</v>
      </c>
      <c r="L45" s="846">
        <f>SUMIF('Bieu 07 TT'!$C$25:$C$1099,C45,'Bieu 07 TT'!$AC$25:$AC$1099)</f>
        <v>1761</v>
      </c>
      <c r="M45" s="1350"/>
    </row>
    <row r="46" spans="1:14" ht="20.100000000000001" hidden="1" customHeight="1" outlineLevel="1">
      <c r="A46" s="1299"/>
      <c r="B46" s="1352" t="s">
        <v>744</v>
      </c>
      <c r="C46" s="302"/>
      <c r="D46" s="846">
        <v>30481</v>
      </c>
      <c r="E46" s="846">
        <v>30481</v>
      </c>
      <c r="F46" s="1350"/>
      <c r="G46" s="846">
        <f t="shared" si="5"/>
        <v>36071</v>
      </c>
      <c r="H46" s="846">
        <f t="shared" si="6"/>
        <v>36071</v>
      </c>
      <c r="I46" s="846">
        <f>I45-I47</f>
        <v>36071</v>
      </c>
      <c r="J46" s="847">
        <f t="shared" si="9"/>
        <v>118.33929333027132</v>
      </c>
      <c r="K46" s="846">
        <f t="shared" si="10"/>
        <v>5590</v>
      </c>
      <c r="L46" s="846"/>
      <c r="M46" s="1350"/>
    </row>
    <row r="47" spans="1:14" ht="20.100000000000001" hidden="1" customHeight="1" outlineLevel="1">
      <c r="A47" s="1299"/>
      <c r="B47" s="1352" t="s">
        <v>745</v>
      </c>
      <c r="C47" s="302"/>
      <c r="D47" s="846">
        <v>16673</v>
      </c>
      <c r="E47" s="846">
        <v>16673</v>
      </c>
      <c r="F47" s="1350"/>
      <c r="G47" s="846">
        <f t="shared" si="5"/>
        <v>18145</v>
      </c>
      <c r="H47" s="846">
        <f t="shared" si="6"/>
        <v>18145</v>
      </c>
      <c r="I47" s="846">
        <f>'Bieu 07 TT'!F483</f>
        <v>18145</v>
      </c>
      <c r="J47" s="847">
        <f t="shared" si="9"/>
        <v>108.82864511485634</v>
      </c>
      <c r="K47" s="846">
        <f t="shared" si="10"/>
        <v>1472</v>
      </c>
      <c r="L47" s="846"/>
      <c r="M47" s="1350"/>
    </row>
    <row r="48" spans="1:14" ht="15" customHeight="1" collapsed="1">
      <c r="A48" s="1299" t="s">
        <v>399</v>
      </c>
      <c r="B48" s="1352" t="s">
        <v>746</v>
      </c>
      <c r="C48" s="1299" t="s">
        <v>747</v>
      </c>
      <c r="D48" s="846">
        <v>18955</v>
      </c>
      <c r="E48" s="846">
        <v>18955</v>
      </c>
      <c r="F48" s="1350"/>
      <c r="G48" s="846">
        <f t="shared" si="5"/>
        <v>13565</v>
      </c>
      <c r="H48" s="846">
        <f t="shared" si="6"/>
        <v>13565</v>
      </c>
      <c r="I48" s="846">
        <f>SUMIF('Bieu 07 TT'!$C$25:$C$1099,C48,'Bieu 07 TT'!$F$25:$F$1099)</f>
        <v>13159</v>
      </c>
      <c r="J48" s="847">
        <f t="shared" si="9"/>
        <v>69.422316011606426</v>
      </c>
      <c r="K48" s="846">
        <f t="shared" si="10"/>
        <v>-5796</v>
      </c>
      <c r="L48" s="846">
        <f>SUMIF('Bieu 07 TT'!$C$25:$C$1099,C48,'Bieu 07 TT'!$AC$25:$AC$1099)</f>
        <v>406</v>
      </c>
      <c r="M48" s="1350"/>
    </row>
    <row r="49" spans="1:282" ht="15" customHeight="1">
      <c r="A49" s="1299" t="s">
        <v>400</v>
      </c>
      <c r="B49" s="1352" t="s">
        <v>748</v>
      </c>
      <c r="C49" s="1299" t="s">
        <v>749</v>
      </c>
      <c r="D49" s="846">
        <v>18336</v>
      </c>
      <c r="E49" s="846">
        <v>18336</v>
      </c>
      <c r="F49" s="1350"/>
      <c r="G49" s="846">
        <f t="shared" si="5"/>
        <v>22105</v>
      </c>
      <c r="H49" s="846">
        <f t="shared" si="6"/>
        <v>22105</v>
      </c>
      <c r="I49" s="846">
        <f>SUMIF('Bieu 07 TT'!$C$25:$C$1099,C49,'Bieu 07 TT'!$F$25:$F$1099)</f>
        <v>22105</v>
      </c>
      <c r="J49" s="847">
        <f t="shared" si="9"/>
        <v>120.55519197207678</v>
      </c>
      <c r="K49" s="846">
        <f t="shared" si="10"/>
        <v>3769</v>
      </c>
      <c r="L49" s="846">
        <f>SUMIF('Bieu 07 TT'!$C$25:$C$1099,C49,'Bieu 07 TT'!$AC$25:$AC$1099)</f>
        <v>0</v>
      </c>
      <c r="M49" s="1350"/>
    </row>
    <row r="50" spans="1:282" ht="15" customHeight="1">
      <c r="A50" s="1299" t="s">
        <v>750</v>
      </c>
      <c r="B50" s="1352" t="s">
        <v>751</v>
      </c>
      <c r="C50" s="1299" t="s">
        <v>752</v>
      </c>
      <c r="D50" s="846">
        <v>69514</v>
      </c>
      <c r="E50" s="846">
        <v>69514</v>
      </c>
      <c r="F50" s="1350"/>
      <c r="G50" s="846">
        <f t="shared" si="5"/>
        <v>62630</v>
      </c>
      <c r="H50" s="846">
        <f t="shared" si="6"/>
        <v>55630</v>
      </c>
      <c r="I50" s="846">
        <f>SUMIF('Bieu 07 TT'!$C$25:$C$1099,C50,'Bieu 07 TT'!$F$25:$F$1099)</f>
        <v>54357</v>
      </c>
      <c r="J50" s="847">
        <f t="shared" si="9"/>
        <v>78.195759127657738</v>
      </c>
      <c r="K50" s="846">
        <f t="shared" si="10"/>
        <v>-15157</v>
      </c>
      <c r="L50" s="846">
        <f>SUMIF('Bieu 07 TT'!$C$25:$C$1099,C50,'Bieu 07 TT'!$AC$25:$AC$1099)</f>
        <v>1273</v>
      </c>
      <c r="M50" s="1350">
        <v>7000</v>
      </c>
    </row>
    <row r="51" spans="1:282" ht="17.25" hidden="1" customHeight="1" outlineLevel="1">
      <c r="A51" s="1299"/>
      <c r="B51" s="1352" t="s">
        <v>753</v>
      </c>
      <c r="C51" s="1353"/>
      <c r="D51" s="846">
        <v>43442</v>
      </c>
      <c r="E51" s="846">
        <v>43442</v>
      </c>
      <c r="F51" s="1350"/>
      <c r="G51" s="846">
        <f t="shared" si="5"/>
        <v>47357</v>
      </c>
      <c r="H51" s="846">
        <f t="shared" si="6"/>
        <v>47357</v>
      </c>
      <c r="I51" s="846">
        <f>I50-I52-I53-I54</f>
        <v>47357</v>
      </c>
      <c r="J51" s="847">
        <f t="shared" si="9"/>
        <v>109.01201602136182</v>
      </c>
      <c r="K51" s="846">
        <f t="shared" si="10"/>
        <v>3915</v>
      </c>
      <c r="L51" s="846"/>
      <c r="M51" s="1350"/>
    </row>
    <row r="52" spans="1:282" ht="17.25" hidden="1" customHeight="1" outlineLevel="1">
      <c r="A52" s="1299"/>
      <c r="B52" s="1352" t="s">
        <v>1360</v>
      </c>
      <c r="C52" s="1353"/>
      <c r="D52" s="846">
        <v>14072</v>
      </c>
      <c r="E52" s="846">
        <v>14072</v>
      </c>
      <c r="F52" s="1350"/>
      <c r="G52" s="846">
        <f t="shared" si="5"/>
        <v>0</v>
      </c>
      <c r="H52" s="846">
        <f t="shared" si="6"/>
        <v>0</v>
      </c>
      <c r="I52" s="846">
        <f>'Bieu 07 TT'!F279</f>
        <v>0</v>
      </c>
      <c r="J52" s="847">
        <f t="shared" si="9"/>
        <v>0</v>
      </c>
      <c r="K52" s="846">
        <f t="shared" si="10"/>
        <v>-14072</v>
      </c>
      <c r="L52" s="846"/>
      <c r="M52" s="1350"/>
    </row>
    <row r="53" spans="1:282" ht="20.100000000000001" hidden="1" customHeight="1" outlineLevel="1">
      <c r="A53" s="1299"/>
      <c r="B53" s="1352" t="s">
        <v>1361</v>
      </c>
      <c r="C53" s="1353"/>
      <c r="D53" s="846">
        <v>5000</v>
      </c>
      <c r="E53" s="846">
        <v>5000</v>
      </c>
      <c r="F53" s="1350"/>
      <c r="G53" s="846">
        <f t="shared" si="5"/>
        <v>7000</v>
      </c>
      <c r="H53" s="846">
        <f t="shared" si="6"/>
        <v>7000</v>
      </c>
      <c r="I53" s="846">
        <f>'Bieu 07 TT'!F1078</f>
        <v>7000</v>
      </c>
      <c r="J53" s="847">
        <f t="shared" si="9"/>
        <v>140</v>
      </c>
      <c r="K53" s="846">
        <f t="shared" si="10"/>
        <v>2000</v>
      </c>
      <c r="L53" s="846"/>
      <c r="M53" s="1350"/>
    </row>
    <row r="54" spans="1:282" ht="20.100000000000001" hidden="1" customHeight="1" outlineLevel="1">
      <c r="A54" s="1299"/>
      <c r="B54" s="1352" t="s">
        <v>1362</v>
      </c>
      <c r="C54" s="1353"/>
      <c r="D54" s="846">
        <v>7000</v>
      </c>
      <c r="E54" s="846">
        <v>7000</v>
      </c>
      <c r="F54" s="1350"/>
      <c r="G54" s="846">
        <f t="shared" si="5"/>
        <v>0</v>
      </c>
      <c r="H54" s="846">
        <f t="shared" si="6"/>
        <v>0</v>
      </c>
      <c r="I54" s="846"/>
      <c r="J54" s="847">
        <f t="shared" si="9"/>
        <v>0</v>
      </c>
      <c r="K54" s="846">
        <f t="shared" si="10"/>
        <v>-7000</v>
      </c>
      <c r="L54" s="846"/>
      <c r="M54" s="1350"/>
    </row>
    <row r="55" spans="1:282" ht="15" customHeight="1" collapsed="1">
      <c r="A55" s="1299" t="s">
        <v>754</v>
      </c>
      <c r="B55" s="1352" t="s">
        <v>755</v>
      </c>
      <c r="C55" s="1299" t="s">
        <v>756</v>
      </c>
      <c r="D55" s="846">
        <v>334709</v>
      </c>
      <c r="E55" s="846">
        <v>334609</v>
      </c>
      <c r="F55" s="1350">
        <v>100</v>
      </c>
      <c r="G55" s="846">
        <f t="shared" si="5"/>
        <v>423357</v>
      </c>
      <c r="H55" s="846">
        <f t="shared" si="6"/>
        <v>408417</v>
      </c>
      <c r="I55" s="846">
        <f>SUMIF('Bieu 07 TT'!$C$25:$C$1099,C55,'Bieu 07 TT'!$F$25:$F$1099)</f>
        <v>370753</v>
      </c>
      <c r="J55" s="847">
        <f t="shared" si="9"/>
        <v>110.80186127689333</v>
      </c>
      <c r="K55" s="846">
        <f t="shared" si="10"/>
        <v>36144</v>
      </c>
      <c r="L55" s="846">
        <f>SUMIF('Bieu 07 TT'!$C$25:$C$1099,C55,'Bieu 07 TT'!$AC$25:$AC$1099)</f>
        <v>37664</v>
      </c>
      <c r="M55" s="1350">
        <v>14940</v>
      </c>
    </row>
    <row r="56" spans="1:282" ht="19.5" hidden="1" customHeight="1" outlineLevel="1">
      <c r="A56" s="1299"/>
      <c r="B56" s="1352" t="s">
        <v>757</v>
      </c>
      <c r="C56" s="1353"/>
      <c r="D56" s="846">
        <v>325109</v>
      </c>
      <c r="E56" s="846">
        <v>325109</v>
      </c>
      <c r="F56" s="1350"/>
      <c r="G56" s="846">
        <f t="shared" si="5"/>
        <v>358228</v>
      </c>
      <c r="H56" s="846">
        <f t="shared" si="6"/>
        <v>358228</v>
      </c>
      <c r="I56" s="846">
        <f>I55-I57-I58</f>
        <v>358228</v>
      </c>
      <c r="J56" s="847">
        <f t="shared" si="9"/>
        <v>110.18704496030563</v>
      </c>
      <c r="K56" s="846">
        <f t="shared" si="10"/>
        <v>33119</v>
      </c>
      <c r="L56" s="846"/>
      <c r="M56" s="1350"/>
    </row>
    <row r="57" spans="1:282" s="797" customFormat="1" ht="16.5" hidden="1" customHeight="1" outlineLevel="1">
      <c r="A57" s="1353"/>
      <c r="B57" s="324" t="s">
        <v>758</v>
      </c>
      <c r="C57" s="1356"/>
      <c r="D57" s="846">
        <v>6000</v>
      </c>
      <c r="E57" s="846">
        <v>6000</v>
      </c>
      <c r="F57" s="1357"/>
      <c r="G57" s="846">
        <f t="shared" si="5"/>
        <v>8000</v>
      </c>
      <c r="H57" s="846">
        <f t="shared" si="6"/>
        <v>8000</v>
      </c>
      <c r="I57" s="846">
        <f>'Bieu 07 TT'!F1077</f>
        <v>8000</v>
      </c>
      <c r="J57" s="847">
        <f t="shared" si="9"/>
        <v>133.33333333333331</v>
      </c>
      <c r="K57" s="846">
        <f t="shared" si="10"/>
        <v>2000</v>
      </c>
      <c r="L57" s="846"/>
      <c r="M57" s="1357"/>
      <c r="N57" s="1332"/>
      <c r="O57" s="1334"/>
      <c r="P57" s="1333"/>
      <c r="Q57" s="1332"/>
      <c r="R57" s="1332"/>
      <c r="S57" s="1332"/>
      <c r="T57" s="1332"/>
      <c r="U57" s="1332"/>
      <c r="V57" s="1332"/>
      <c r="W57" s="1332"/>
      <c r="X57" s="1332"/>
      <c r="Y57" s="1332"/>
      <c r="Z57" s="1332"/>
      <c r="AA57" s="1332"/>
      <c r="AB57" s="1332"/>
      <c r="AC57" s="1332"/>
      <c r="AD57" s="1332"/>
      <c r="AE57" s="1332"/>
      <c r="AF57" s="1332"/>
      <c r="AG57" s="1332"/>
      <c r="AH57" s="1332"/>
      <c r="AI57" s="1332"/>
      <c r="AJ57" s="1332"/>
      <c r="AK57" s="1332"/>
      <c r="AL57" s="1332"/>
      <c r="AM57" s="1332"/>
      <c r="AN57" s="1332"/>
      <c r="AO57" s="1332"/>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1332"/>
      <c r="DW57" s="1332"/>
      <c r="DX57" s="1332"/>
      <c r="DY57" s="1332"/>
      <c r="DZ57" s="1332"/>
      <c r="EA57" s="1332"/>
      <c r="EB57" s="1332"/>
      <c r="EC57" s="1332"/>
      <c r="ED57" s="1332"/>
      <c r="EE57" s="1332"/>
      <c r="EF57" s="1332"/>
      <c r="EG57" s="1332"/>
      <c r="EH57" s="1332"/>
      <c r="EI57" s="1332"/>
      <c r="EJ57" s="1332"/>
      <c r="EK57" s="1332"/>
      <c r="EL57" s="1332"/>
      <c r="EM57" s="1332"/>
      <c r="EN57" s="1332"/>
      <c r="EO57" s="1332"/>
      <c r="EP57" s="1332"/>
      <c r="EQ57" s="1332"/>
      <c r="ER57" s="1332"/>
      <c r="ES57" s="1332"/>
      <c r="ET57" s="1332"/>
      <c r="EU57" s="1332"/>
      <c r="EV57" s="1332"/>
      <c r="EW57" s="1332"/>
      <c r="EX57" s="1332"/>
      <c r="EY57" s="1332"/>
      <c r="EZ57" s="1332"/>
      <c r="FA57" s="1332"/>
      <c r="FB57" s="1332"/>
      <c r="FC57" s="1332"/>
      <c r="FD57" s="1332"/>
      <c r="FE57" s="1332"/>
      <c r="FF57" s="1332"/>
      <c r="FG57" s="1332"/>
      <c r="FH57" s="1332"/>
      <c r="FI57" s="1332"/>
      <c r="FJ57" s="1332"/>
      <c r="FK57" s="1332"/>
      <c r="FL57" s="1332"/>
      <c r="FM57" s="1332"/>
      <c r="FN57" s="1332"/>
      <c r="FO57" s="1332"/>
      <c r="FP57" s="1332"/>
      <c r="FQ57" s="1332"/>
      <c r="FR57" s="1332"/>
      <c r="FS57" s="1332"/>
      <c r="FT57" s="1332"/>
      <c r="FU57" s="1332"/>
      <c r="FV57" s="1332"/>
      <c r="FW57" s="1332"/>
      <c r="FX57" s="1332"/>
      <c r="FY57" s="1332"/>
      <c r="FZ57" s="1332"/>
      <c r="GA57" s="1332"/>
      <c r="GB57" s="1332"/>
      <c r="GC57" s="1332"/>
      <c r="GD57" s="1332"/>
      <c r="GE57" s="1332"/>
      <c r="GF57" s="1332"/>
      <c r="GG57" s="1332"/>
      <c r="GH57" s="1332"/>
      <c r="GI57" s="1332"/>
      <c r="GJ57" s="1332"/>
      <c r="GK57" s="1332"/>
      <c r="GL57" s="1332"/>
      <c r="GM57" s="1332"/>
      <c r="GN57" s="1332"/>
      <c r="GO57" s="1332"/>
      <c r="GP57" s="1332"/>
      <c r="GQ57" s="1332"/>
      <c r="GR57" s="1332"/>
      <c r="GS57" s="1332"/>
      <c r="GT57" s="1332"/>
      <c r="GU57" s="1332"/>
      <c r="GV57" s="1332"/>
      <c r="GW57" s="1332"/>
      <c r="GX57" s="1332"/>
      <c r="GY57" s="1332"/>
      <c r="GZ57" s="1332"/>
      <c r="HA57" s="1332"/>
      <c r="HB57" s="1332"/>
      <c r="HC57" s="1332"/>
      <c r="HD57" s="1332"/>
      <c r="HE57" s="1332"/>
      <c r="HF57" s="1332"/>
      <c r="HG57" s="1332"/>
      <c r="HH57" s="1332"/>
      <c r="HI57" s="1332"/>
      <c r="HJ57" s="1332"/>
      <c r="HK57" s="1332"/>
      <c r="HL57" s="1332"/>
      <c r="HM57" s="1332"/>
      <c r="HN57" s="1332"/>
      <c r="HO57" s="1332"/>
      <c r="HP57" s="1332"/>
      <c r="HQ57" s="1332"/>
      <c r="HR57" s="1332"/>
      <c r="HS57" s="1332"/>
      <c r="HT57" s="1332"/>
      <c r="HU57" s="1332"/>
      <c r="HV57" s="1332"/>
      <c r="HW57" s="1332"/>
      <c r="HX57" s="1332"/>
      <c r="HY57" s="1332"/>
      <c r="HZ57" s="1332"/>
      <c r="IA57" s="1332"/>
      <c r="IB57" s="1332"/>
      <c r="IC57" s="1332"/>
      <c r="ID57" s="1332"/>
      <c r="IE57" s="1332"/>
      <c r="IF57" s="1332"/>
      <c r="IG57" s="1332"/>
      <c r="IH57" s="1332"/>
      <c r="II57" s="1332"/>
      <c r="IJ57" s="1332"/>
      <c r="IK57" s="1332"/>
      <c r="IL57" s="1332"/>
      <c r="IM57" s="1332"/>
      <c r="IN57" s="1332"/>
      <c r="IO57" s="1332"/>
      <c r="IP57" s="1332"/>
      <c r="IQ57" s="1332"/>
      <c r="IR57" s="1332"/>
      <c r="IS57" s="1332"/>
      <c r="IT57" s="1332"/>
      <c r="IU57" s="1332"/>
      <c r="IV57" s="1332"/>
      <c r="IW57" s="1332"/>
      <c r="IX57" s="1332"/>
      <c r="IY57" s="1332"/>
      <c r="IZ57" s="1332"/>
      <c r="JA57" s="1332"/>
      <c r="JB57" s="1332"/>
      <c r="JC57" s="1332"/>
      <c r="JD57" s="1332"/>
      <c r="JE57" s="1332"/>
      <c r="JF57" s="1332"/>
      <c r="JG57" s="1332"/>
      <c r="JH57" s="1332"/>
      <c r="JI57" s="1332"/>
      <c r="JJ57" s="1332"/>
      <c r="JK57" s="1332"/>
      <c r="JL57" s="1332"/>
      <c r="JM57" s="1332"/>
      <c r="JN57" s="1332"/>
      <c r="JO57" s="1332"/>
      <c r="JP57" s="1332"/>
      <c r="JQ57" s="1332"/>
      <c r="JR57" s="1332"/>
      <c r="JS57" s="1332"/>
      <c r="JT57" s="1332"/>
      <c r="JU57" s="1332"/>
      <c r="JV57" s="1332"/>
    </row>
    <row r="58" spans="1:282" s="797" customFormat="1" ht="20.100000000000001" hidden="1" customHeight="1" outlineLevel="1">
      <c r="A58" s="1353"/>
      <c r="B58" s="324" t="s">
        <v>759</v>
      </c>
      <c r="C58" s="1356"/>
      <c r="D58" s="846">
        <v>3500</v>
      </c>
      <c r="E58" s="846">
        <v>3500</v>
      </c>
      <c r="F58" s="1357"/>
      <c r="G58" s="846">
        <f t="shared" si="5"/>
        <v>4525</v>
      </c>
      <c r="H58" s="846">
        <f t="shared" si="6"/>
        <v>4525</v>
      </c>
      <c r="I58" s="846">
        <f>'Bieu 07 TT'!F702</f>
        <v>4525</v>
      </c>
      <c r="J58" s="847">
        <f t="shared" si="9"/>
        <v>129.28571428571431</v>
      </c>
      <c r="K58" s="846">
        <f t="shared" si="10"/>
        <v>1025</v>
      </c>
      <c r="L58" s="846"/>
      <c r="M58" s="1357"/>
      <c r="N58" s="1332"/>
      <c r="O58" s="1334"/>
      <c r="P58" s="1333"/>
      <c r="Q58" s="1332"/>
      <c r="R58" s="1332"/>
      <c r="S58" s="1332"/>
      <c r="T58" s="1332"/>
      <c r="U58" s="1332"/>
      <c r="V58" s="1332"/>
      <c r="W58" s="1332"/>
      <c r="X58" s="1332"/>
      <c r="Y58" s="1332"/>
      <c r="Z58" s="1332"/>
      <c r="AA58" s="1332"/>
      <c r="AB58" s="1332"/>
      <c r="AC58" s="1332"/>
      <c r="AD58" s="1332"/>
      <c r="AE58" s="1332"/>
      <c r="AF58" s="1332"/>
      <c r="AG58" s="1332"/>
      <c r="AH58" s="1332"/>
      <c r="AI58" s="1332"/>
      <c r="AJ58" s="1332"/>
      <c r="AK58" s="1332"/>
      <c r="AL58" s="1332"/>
      <c r="AM58" s="1332"/>
      <c r="AN58" s="1332"/>
      <c r="AO58" s="1332"/>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c r="DV58" s="1332"/>
      <c r="DW58" s="1332"/>
      <c r="DX58" s="1332"/>
      <c r="DY58" s="1332"/>
      <c r="DZ58" s="1332"/>
      <c r="EA58" s="1332"/>
      <c r="EB58" s="1332"/>
      <c r="EC58" s="1332"/>
      <c r="ED58" s="1332"/>
      <c r="EE58" s="1332"/>
      <c r="EF58" s="1332"/>
      <c r="EG58" s="1332"/>
      <c r="EH58" s="1332"/>
      <c r="EI58" s="1332"/>
      <c r="EJ58" s="1332"/>
      <c r="EK58" s="1332"/>
      <c r="EL58" s="1332"/>
      <c r="EM58" s="1332"/>
      <c r="EN58" s="1332"/>
      <c r="EO58" s="1332"/>
      <c r="EP58" s="1332"/>
      <c r="EQ58" s="1332"/>
      <c r="ER58" s="1332"/>
      <c r="ES58" s="1332"/>
      <c r="ET58" s="1332"/>
      <c r="EU58" s="1332"/>
      <c r="EV58" s="1332"/>
      <c r="EW58" s="1332"/>
      <c r="EX58" s="1332"/>
      <c r="EY58" s="1332"/>
      <c r="EZ58" s="1332"/>
      <c r="FA58" s="1332"/>
      <c r="FB58" s="1332"/>
      <c r="FC58" s="1332"/>
      <c r="FD58" s="1332"/>
      <c r="FE58" s="1332"/>
      <c r="FF58" s="1332"/>
      <c r="FG58" s="1332"/>
      <c r="FH58" s="1332"/>
      <c r="FI58" s="1332"/>
      <c r="FJ58" s="1332"/>
      <c r="FK58" s="1332"/>
      <c r="FL58" s="1332"/>
      <c r="FM58" s="1332"/>
      <c r="FN58" s="1332"/>
      <c r="FO58" s="1332"/>
      <c r="FP58" s="1332"/>
      <c r="FQ58" s="1332"/>
      <c r="FR58" s="1332"/>
      <c r="FS58" s="1332"/>
      <c r="FT58" s="1332"/>
      <c r="FU58" s="1332"/>
      <c r="FV58" s="1332"/>
      <c r="FW58" s="1332"/>
      <c r="FX58" s="1332"/>
      <c r="FY58" s="1332"/>
      <c r="FZ58" s="1332"/>
      <c r="GA58" s="1332"/>
      <c r="GB58" s="1332"/>
      <c r="GC58" s="1332"/>
      <c r="GD58" s="1332"/>
      <c r="GE58" s="1332"/>
      <c r="GF58" s="1332"/>
      <c r="GG58" s="1332"/>
      <c r="GH58" s="1332"/>
      <c r="GI58" s="1332"/>
      <c r="GJ58" s="1332"/>
      <c r="GK58" s="1332"/>
      <c r="GL58" s="1332"/>
      <c r="GM58" s="1332"/>
      <c r="GN58" s="1332"/>
      <c r="GO58" s="1332"/>
      <c r="GP58" s="1332"/>
      <c r="GQ58" s="1332"/>
      <c r="GR58" s="1332"/>
      <c r="GS58" s="1332"/>
      <c r="GT58" s="1332"/>
      <c r="GU58" s="1332"/>
      <c r="GV58" s="1332"/>
      <c r="GW58" s="1332"/>
      <c r="GX58" s="1332"/>
      <c r="GY58" s="1332"/>
      <c r="GZ58" s="1332"/>
      <c r="HA58" s="1332"/>
      <c r="HB58" s="1332"/>
      <c r="HC58" s="1332"/>
      <c r="HD58" s="1332"/>
      <c r="HE58" s="1332"/>
      <c r="HF58" s="1332"/>
      <c r="HG58" s="1332"/>
      <c r="HH58" s="1332"/>
      <c r="HI58" s="1332"/>
      <c r="HJ58" s="1332"/>
      <c r="HK58" s="1332"/>
      <c r="HL58" s="1332"/>
      <c r="HM58" s="1332"/>
      <c r="HN58" s="1332"/>
      <c r="HO58" s="1332"/>
      <c r="HP58" s="1332"/>
      <c r="HQ58" s="1332"/>
      <c r="HR58" s="1332"/>
      <c r="HS58" s="1332"/>
      <c r="HT58" s="1332"/>
      <c r="HU58" s="1332"/>
      <c r="HV58" s="1332"/>
      <c r="HW58" s="1332"/>
      <c r="HX58" s="1332"/>
      <c r="HY58" s="1332"/>
      <c r="HZ58" s="1332"/>
      <c r="IA58" s="1332"/>
      <c r="IB58" s="1332"/>
      <c r="IC58" s="1332"/>
      <c r="ID58" s="1332"/>
      <c r="IE58" s="1332"/>
      <c r="IF58" s="1332"/>
      <c r="IG58" s="1332"/>
      <c r="IH58" s="1332"/>
      <c r="II58" s="1332"/>
      <c r="IJ58" s="1332"/>
      <c r="IK58" s="1332"/>
      <c r="IL58" s="1332"/>
      <c r="IM58" s="1332"/>
      <c r="IN58" s="1332"/>
      <c r="IO58" s="1332"/>
      <c r="IP58" s="1332"/>
      <c r="IQ58" s="1332"/>
      <c r="IR58" s="1332"/>
      <c r="IS58" s="1332"/>
      <c r="IT58" s="1332"/>
      <c r="IU58" s="1332"/>
      <c r="IV58" s="1332"/>
      <c r="IW58" s="1332"/>
      <c r="IX58" s="1332"/>
      <c r="IY58" s="1332"/>
      <c r="IZ58" s="1332"/>
      <c r="JA58" s="1332"/>
      <c r="JB58" s="1332"/>
      <c r="JC58" s="1332"/>
      <c r="JD58" s="1332"/>
      <c r="JE58" s="1332"/>
      <c r="JF58" s="1332"/>
      <c r="JG58" s="1332"/>
      <c r="JH58" s="1332"/>
      <c r="JI58" s="1332"/>
      <c r="JJ58" s="1332"/>
      <c r="JK58" s="1332"/>
      <c r="JL58" s="1332"/>
      <c r="JM58" s="1332"/>
      <c r="JN58" s="1332"/>
      <c r="JO58" s="1332"/>
      <c r="JP58" s="1332"/>
      <c r="JQ58" s="1332"/>
      <c r="JR58" s="1332"/>
      <c r="JS58" s="1332"/>
      <c r="JT58" s="1332"/>
      <c r="JU58" s="1332"/>
      <c r="JV58" s="1332"/>
    </row>
    <row r="59" spans="1:282" ht="15" customHeight="1" collapsed="1">
      <c r="A59" s="1299" t="s">
        <v>760</v>
      </c>
      <c r="B59" s="646" t="s">
        <v>761</v>
      </c>
      <c r="C59" s="1353"/>
      <c r="D59" s="1350">
        <v>83861</v>
      </c>
      <c r="E59" s="1350">
        <v>79661</v>
      </c>
      <c r="F59" s="1350">
        <v>4200</v>
      </c>
      <c r="G59" s="1350">
        <f t="shared" si="5"/>
        <v>95642</v>
      </c>
      <c r="H59" s="1350">
        <f t="shared" si="6"/>
        <v>84928</v>
      </c>
      <c r="I59" s="1350">
        <f t="shared" ref="I59" si="11">I60+I61</f>
        <v>84928</v>
      </c>
      <c r="J59" s="1354">
        <f t="shared" si="9"/>
        <v>106.61176736420582</v>
      </c>
      <c r="K59" s="1350">
        <f t="shared" si="10"/>
        <v>5267</v>
      </c>
      <c r="L59" s="846">
        <f>SUMIF('Bieu 07 TT'!$C$25:$C$1099,C59,'Bieu 07 TT'!$AC$25:$AC$1099)</f>
        <v>0</v>
      </c>
      <c r="M59" s="1350">
        <v>10714</v>
      </c>
    </row>
    <row r="60" spans="1:282" ht="15" customHeight="1">
      <c r="A60" s="1353" t="s">
        <v>45</v>
      </c>
      <c r="B60" s="1352" t="s">
        <v>237</v>
      </c>
      <c r="C60" s="1299" t="s">
        <v>762</v>
      </c>
      <c r="D60" s="846">
        <v>71382</v>
      </c>
      <c r="E60" s="846">
        <v>67182</v>
      </c>
      <c r="F60" s="1350">
        <v>4200</v>
      </c>
      <c r="G60" s="846">
        <f t="shared" si="5"/>
        <v>67451</v>
      </c>
      <c r="H60" s="846">
        <f t="shared" si="6"/>
        <v>67451</v>
      </c>
      <c r="I60" s="846">
        <f>SUMIF('Bieu 07 TT'!$C$25:$C$1099,C60,'Bieu 07 TT'!$F$25:$F$1099)</f>
        <v>67451</v>
      </c>
      <c r="J60" s="847">
        <f t="shared" si="9"/>
        <v>100.40040487035218</v>
      </c>
      <c r="K60" s="846">
        <f t="shared" si="10"/>
        <v>269</v>
      </c>
      <c r="L60" s="846"/>
      <c r="M60" s="1350"/>
    </row>
    <row r="61" spans="1:282" ht="15" customHeight="1">
      <c r="A61" s="1353" t="s">
        <v>47</v>
      </c>
      <c r="B61" s="1352" t="s">
        <v>763</v>
      </c>
      <c r="C61" s="1299" t="s">
        <v>764</v>
      </c>
      <c r="D61" s="846">
        <v>12479</v>
      </c>
      <c r="E61" s="846">
        <v>12479</v>
      </c>
      <c r="F61" s="1350"/>
      <c r="G61" s="846">
        <f t="shared" si="5"/>
        <v>17477</v>
      </c>
      <c r="H61" s="846">
        <f t="shared" si="6"/>
        <v>17477</v>
      </c>
      <c r="I61" s="846">
        <f>SUMIF('Bieu 07 TT'!$C$25:$C$1099,C61,'Bieu 07 TT'!$F$25:$F$1099)</f>
        <v>17477</v>
      </c>
      <c r="J61" s="847">
        <f t="shared" si="9"/>
        <v>140.05128616075007</v>
      </c>
      <c r="K61" s="846">
        <f t="shared" si="10"/>
        <v>4998</v>
      </c>
      <c r="L61" s="846"/>
      <c r="M61" s="1350"/>
    </row>
    <row r="62" spans="1:282" ht="15" customHeight="1">
      <c r="A62" s="1299" t="s">
        <v>765</v>
      </c>
      <c r="B62" s="1352" t="s">
        <v>766</v>
      </c>
      <c r="C62" s="1299" t="s">
        <v>767</v>
      </c>
      <c r="D62" s="1350">
        <v>42261</v>
      </c>
      <c r="E62" s="1350">
        <v>42261</v>
      </c>
      <c r="F62" s="1350">
        <v>0</v>
      </c>
      <c r="G62" s="1350">
        <f t="shared" si="5"/>
        <v>35473</v>
      </c>
      <c r="H62" s="1350">
        <f t="shared" si="6"/>
        <v>35473</v>
      </c>
      <c r="I62" s="1350">
        <f>I63+I64</f>
        <v>35473</v>
      </c>
      <c r="J62" s="1354">
        <f t="shared" si="9"/>
        <v>83.937909656657439</v>
      </c>
      <c r="K62" s="1350">
        <f t="shared" si="10"/>
        <v>-6788</v>
      </c>
      <c r="L62" s="846"/>
      <c r="M62" s="1350"/>
    </row>
    <row r="63" spans="1:282" ht="20.100000000000001" customHeight="1" outlineLevel="1">
      <c r="A63" s="1299" t="s">
        <v>23</v>
      </c>
      <c r="B63" s="1352" t="s">
        <v>768</v>
      </c>
      <c r="C63" s="1353"/>
      <c r="D63" s="846">
        <v>2000</v>
      </c>
      <c r="E63" s="846">
        <v>2000</v>
      </c>
      <c r="F63" s="1350"/>
      <c r="G63" s="846">
        <f t="shared" si="5"/>
        <v>3000</v>
      </c>
      <c r="H63" s="846">
        <f t="shared" si="6"/>
        <v>3000</v>
      </c>
      <c r="I63" s="846">
        <f>'Bieu 07 TT'!F1080</f>
        <v>3000</v>
      </c>
      <c r="J63" s="847">
        <f t="shared" si="9"/>
        <v>150</v>
      </c>
      <c r="K63" s="846">
        <f t="shared" si="10"/>
        <v>1000</v>
      </c>
      <c r="L63" s="846"/>
      <c r="M63" s="1350"/>
    </row>
    <row r="64" spans="1:282" ht="13.5" customHeight="1" outlineLevel="1">
      <c r="A64" s="1299" t="s">
        <v>23</v>
      </c>
      <c r="B64" s="316" t="s">
        <v>771</v>
      </c>
      <c r="C64" s="1353"/>
      <c r="D64" s="846">
        <v>30120</v>
      </c>
      <c r="E64" s="846">
        <v>30120</v>
      </c>
      <c r="F64" s="1350"/>
      <c r="G64" s="846">
        <f t="shared" si="5"/>
        <v>32473</v>
      </c>
      <c r="H64" s="846">
        <f t="shared" si="6"/>
        <v>32473</v>
      </c>
      <c r="I64" s="846">
        <f>'Bieu 07 TT'!F1061+'Bieu 07 TT'!F1089+'Bieu 07 TT'!F1062+'Bieu 07 TT'!E1086+'Bieu 07 TT'!E1087+'Bieu 07 TT'!E1088</f>
        <v>32473</v>
      </c>
      <c r="J64" s="847">
        <f t="shared" si="9"/>
        <v>107.8120849933599</v>
      </c>
      <c r="K64" s="846">
        <f t="shared" si="10"/>
        <v>2353</v>
      </c>
      <c r="L64" s="846"/>
      <c r="M64" s="1350"/>
    </row>
    <row r="65" spans="1:282" ht="13.5" customHeight="1">
      <c r="A65" s="1299" t="s">
        <v>2020</v>
      </c>
      <c r="B65" s="316" t="s">
        <v>1247</v>
      </c>
      <c r="C65" s="1353"/>
      <c r="D65" s="846"/>
      <c r="E65" s="846"/>
      <c r="F65" s="1350"/>
      <c r="G65" s="846">
        <f>G66+G67</f>
        <v>-19496</v>
      </c>
      <c r="H65" s="846">
        <f t="shared" ref="H65:M65" si="12">H66+H67</f>
        <v>-19496</v>
      </c>
      <c r="I65" s="846">
        <f t="shared" si="12"/>
        <v>4539</v>
      </c>
      <c r="J65" s="846">
        <f t="shared" si="12"/>
        <v>0</v>
      </c>
      <c r="K65" s="846">
        <f t="shared" si="12"/>
        <v>0</v>
      </c>
      <c r="L65" s="846">
        <f t="shared" si="12"/>
        <v>-24035</v>
      </c>
      <c r="M65" s="846">
        <f t="shared" si="12"/>
        <v>0</v>
      </c>
    </row>
    <row r="66" spans="1:282" ht="13.5" customHeight="1">
      <c r="A66" s="1299" t="s">
        <v>23</v>
      </c>
      <c r="B66" s="316" t="s">
        <v>2021</v>
      </c>
      <c r="C66" s="1299" t="s">
        <v>767</v>
      </c>
      <c r="D66" s="846"/>
      <c r="E66" s="846"/>
      <c r="F66" s="1350"/>
      <c r="G66" s="846">
        <f>H66+M66</f>
        <v>-24035</v>
      </c>
      <c r="H66" s="846">
        <f>I66+L66</f>
        <v>-24035</v>
      </c>
      <c r="I66" s="846"/>
      <c r="J66" s="847"/>
      <c r="K66" s="846"/>
      <c r="L66" s="846">
        <f>'Bieu 07 TT'!AC1096</f>
        <v>-24035</v>
      </c>
      <c r="M66" s="1350"/>
    </row>
    <row r="67" spans="1:282" ht="27.6">
      <c r="A67" s="1299" t="s">
        <v>23</v>
      </c>
      <c r="B67" s="316" t="s">
        <v>2274</v>
      </c>
      <c r="C67" s="1299"/>
      <c r="D67" s="846"/>
      <c r="E67" s="846"/>
      <c r="F67" s="1350"/>
      <c r="G67" s="846">
        <f>H67+M66</f>
        <v>4539</v>
      </c>
      <c r="H67" s="846">
        <f t="shared" ref="H67:H96" si="13">I67+L67</f>
        <v>4539</v>
      </c>
      <c r="I67" s="846">
        <f>'Bieu 07 TT'!F1100</f>
        <v>4539</v>
      </c>
      <c r="J67" s="847"/>
      <c r="K67" s="846"/>
      <c r="L67" s="846"/>
      <c r="M67" s="1350"/>
    </row>
    <row r="68" spans="1:282" s="787" customFormat="1" ht="20.100000000000001" customHeight="1">
      <c r="A68" s="1347" t="s">
        <v>91</v>
      </c>
      <c r="B68" s="1348" t="s">
        <v>2289</v>
      </c>
      <c r="C68" s="298"/>
      <c r="D68" s="845"/>
      <c r="E68" s="845"/>
      <c r="F68" s="760"/>
      <c r="G68" s="845">
        <f>H68+M68</f>
        <v>0</v>
      </c>
      <c r="H68" s="845">
        <f t="shared" si="13"/>
        <v>0</v>
      </c>
      <c r="I68" s="845">
        <f>'Bieu 07 TT'!F1101</f>
        <v>7530</v>
      </c>
      <c r="J68" s="844"/>
      <c r="K68" s="845"/>
      <c r="L68" s="845">
        <f>'Bieu 07 TT'!AC1101</f>
        <v>-7530</v>
      </c>
      <c r="M68" s="760"/>
      <c r="N68" s="1332"/>
      <c r="O68" s="1334"/>
      <c r="P68" s="1333"/>
      <c r="Q68" s="1332"/>
      <c r="R68" s="1332"/>
      <c r="S68" s="1332"/>
      <c r="T68" s="1332"/>
      <c r="U68" s="1332"/>
      <c r="V68" s="1332"/>
      <c r="W68" s="1332"/>
      <c r="X68" s="1332"/>
      <c r="Y68" s="1332"/>
      <c r="Z68" s="1332"/>
      <c r="AA68" s="1332"/>
      <c r="AB68" s="1332"/>
      <c r="AC68" s="1332"/>
      <c r="AD68" s="1332"/>
      <c r="AE68" s="1332"/>
      <c r="AF68" s="1332"/>
      <c r="AG68" s="1332"/>
      <c r="AH68" s="1332"/>
      <c r="AI68" s="1332"/>
      <c r="AJ68" s="1332"/>
      <c r="AK68" s="1332"/>
      <c r="AL68" s="1332"/>
      <c r="AM68" s="1332"/>
      <c r="AN68" s="1332"/>
      <c r="AO68" s="1332"/>
      <c r="AP68" s="1332"/>
      <c r="AQ68" s="1332"/>
      <c r="AR68" s="1332"/>
      <c r="AS68" s="1332"/>
      <c r="AT68" s="1332"/>
      <c r="AU68" s="1332"/>
      <c r="AV68" s="1332"/>
      <c r="AW68" s="1332"/>
      <c r="AX68" s="1332"/>
      <c r="AY68" s="1332"/>
      <c r="AZ68" s="1332"/>
      <c r="BA68" s="1332"/>
      <c r="BB68" s="1332"/>
      <c r="BC68" s="1332"/>
      <c r="BD68" s="1332"/>
      <c r="BE68" s="1332"/>
      <c r="BF68" s="1332"/>
      <c r="BG68" s="1332"/>
      <c r="BH68" s="1332"/>
      <c r="BI68" s="1332"/>
      <c r="BJ68" s="1332"/>
      <c r="BK68" s="1332"/>
      <c r="BL68" s="1332"/>
      <c r="BM68" s="1332"/>
      <c r="BN68" s="1332"/>
      <c r="BO68" s="1332"/>
      <c r="BP68" s="1332"/>
      <c r="BQ68" s="1332"/>
      <c r="BR68" s="1332"/>
      <c r="BS68" s="1332"/>
      <c r="BT68" s="1332"/>
      <c r="BU68" s="1332"/>
      <c r="BV68" s="1332"/>
      <c r="BW68" s="1332"/>
      <c r="BX68" s="1332"/>
      <c r="BY68" s="1332"/>
      <c r="BZ68" s="1332"/>
      <c r="CA68" s="1332"/>
      <c r="CB68" s="1332"/>
      <c r="CC68" s="1332"/>
      <c r="CD68" s="1332"/>
      <c r="CE68" s="1332"/>
      <c r="CF68" s="1332"/>
      <c r="CG68" s="1332"/>
      <c r="CH68" s="1332"/>
      <c r="CI68" s="1332"/>
      <c r="CJ68" s="1332"/>
      <c r="CK68" s="1332"/>
      <c r="CL68" s="1332"/>
      <c r="CM68" s="1332"/>
      <c r="CN68" s="1332"/>
      <c r="CO68" s="1332"/>
      <c r="CP68" s="1332"/>
      <c r="CQ68" s="1332"/>
      <c r="CR68" s="1332"/>
      <c r="CS68" s="1332"/>
      <c r="CT68" s="1332"/>
      <c r="CU68" s="1332"/>
      <c r="CV68" s="1332"/>
      <c r="CW68" s="1332"/>
      <c r="CX68" s="1332"/>
      <c r="CY68" s="1332"/>
      <c r="CZ68" s="1332"/>
      <c r="DA68" s="1332"/>
      <c r="DB68" s="1332"/>
      <c r="DC68" s="1332"/>
      <c r="DD68" s="1332"/>
      <c r="DE68" s="1332"/>
      <c r="DF68" s="1332"/>
      <c r="DG68" s="1332"/>
      <c r="DH68" s="1332"/>
      <c r="DI68" s="1332"/>
      <c r="DJ68" s="1332"/>
      <c r="DK68" s="1332"/>
      <c r="DL68" s="1332"/>
      <c r="DM68" s="1332"/>
      <c r="DN68" s="1332"/>
      <c r="DO68" s="1332"/>
      <c r="DP68" s="1332"/>
      <c r="DQ68" s="1332"/>
      <c r="DR68" s="1332"/>
      <c r="DS68" s="1332"/>
      <c r="DT68" s="1332"/>
      <c r="DU68" s="1332"/>
      <c r="DV68" s="1332"/>
      <c r="DW68" s="1332"/>
      <c r="DX68" s="1332"/>
      <c r="DY68" s="1332"/>
      <c r="DZ68" s="1332"/>
      <c r="EA68" s="1332"/>
      <c r="EB68" s="1332"/>
      <c r="EC68" s="1332"/>
      <c r="ED68" s="1332"/>
      <c r="EE68" s="1332"/>
      <c r="EF68" s="1332"/>
      <c r="EG68" s="1332"/>
      <c r="EH68" s="1332"/>
      <c r="EI68" s="1332"/>
      <c r="EJ68" s="1332"/>
      <c r="EK68" s="1332"/>
      <c r="EL68" s="1332"/>
      <c r="EM68" s="1332"/>
      <c r="EN68" s="1332"/>
      <c r="EO68" s="1332"/>
      <c r="EP68" s="1332"/>
      <c r="EQ68" s="1332"/>
      <c r="ER68" s="1332"/>
      <c r="ES68" s="1332"/>
      <c r="ET68" s="1332"/>
      <c r="EU68" s="1332"/>
      <c r="EV68" s="1332"/>
      <c r="EW68" s="1332"/>
      <c r="EX68" s="1332"/>
      <c r="EY68" s="1332"/>
      <c r="EZ68" s="1332"/>
      <c r="FA68" s="1332"/>
      <c r="FB68" s="1332"/>
      <c r="FC68" s="1332"/>
      <c r="FD68" s="1332"/>
      <c r="FE68" s="1332"/>
      <c r="FF68" s="1332"/>
      <c r="FG68" s="1332"/>
      <c r="FH68" s="1332"/>
      <c r="FI68" s="1332"/>
      <c r="FJ68" s="1332"/>
      <c r="FK68" s="1332"/>
      <c r="FL68" s="1332"/>
      <c r="FM68" s="1332"/>
      <c r="FN68" s="1332"/>
      <c r="FO68" s="1332"/>
      <c r="FP68" s="1332"/>
      <c r="FQ68" s="1332"/>
      <c r="FR68" s="1332"/>
      <c r="FS68" s="1332"/>
      <c r="FT68" s="1332"/>
      <c r="FU68" s="1332"/>
      <c r="FV68" s="1332"/>
      <c r="FW68" s="1332"/>
      <c r="FX68" s="1332"/>
      <c r="FY68" s="1332"/>
      <c r="FZ68" s="1332"/>
      <c r="GA68" s="1332"/>
      <c r="GB68" s="1332"/>
      <c r="GC68" s="1332"/>
      <c r="GD68" s="1332"/>
      <c r="GE68" s="1332"/>
      <c r="GF68" s="1332"/>
      <c r="GG68" s="1332"/>
      <c r="GH68" s="1332"/>
      <c r="GI68" s="1332"/>
      <c r="GJ68" s="1332"/>
      <c r="GK68" s="1332"/>
      <c r="GL68" s="1332"/>
      <c r="GM68" s="1332"/>
      <c r="GN68" s="1332"/>
      <c r="GO68" s="1332"/>
      <c r="GP68" s="1332"/>
      <c r="GQ68" s="1332"/>
      <c r="GR68" s="1332"/>
      <c r="GS68" s="1332"/>
      <c r="GT68" s="1332"/>
      <c r="GU68" s="1332"/>
      <c r="GV68" s="1332"/>
      <c r="GW68" s="1332"/>
      <c r="GX68" s="1332"/>
      <c r="GY68" s="1332"/>
      <c r="GZ68" s="1332"/>
      <c r="HA68" s="1332"/>
      <c r="HB68" s="1332"/>
      <c r="HC68" s="1332"/>
      <c r="HD68" s="1332"/>
      <c r="HE68" s="1332"/>
      <c r="HF68" s="1332"/>
      <c r="HG68" s="1332"/>
      <c r="HH68" s="1332"/>
      <c r="HI68" s="1332"/>
      <c r="HJ68" s="1332"/>
      <c r="HK68" s="1332"/>
      <c r="HL68" s="1332"/>
      <c r="HM68" s="1332"/>
      <c r="HN68" s="1332"/>
      <c r="HO68" s="1332"/>
      <c r="HP68" s="1332"/>
      <c r="HQ68" s="1332"/>
      <c r="HR68" s="1332"/>
      <c r="HS68" s="1332"/>
      <c r="HT68" s="1332"/>
      <c r="HU68" s="1332"/>
      <c r="HV68" s="1332"/>
      <c r="HW68" s="1332"/>
      <c r="HX68" s="1332"/>
      <c r="HY68" s="1332"/>
      <c r="HZ68" s="1332"/>
      <c r="IA68" s="1332"/>
      <c r="IB68" s="1332"/>
      <c r="IC68" s="1332"/>
      <c r="ID68" s="1332"/>
      <c r="IE68" s="1332"/>
      <c r="IF68" s="1332"/>
      <c r="IG68" s="1332"/>
      <c r="IH68" s="1332"/>
      <c r="II68" s="1332"/>
      <c r="IJ68" s="1332"/>
      <c r="IK68" s="1332"/>
      <c r="IL68" s="1332"/>
      <c r="IM68" s="1332"/>
      <c r="IN68" s="1332"/>
      <c r="IO68" s="1332"/>
      <c r="IP68" s="1332"/>
      <c r="IQ68" s="1332"/>
      <c r="IR68" s="1332"/>
      <c r="IS68" s="1332"/>
      <c r="IT68" s="1332"/>
      <c r="IU68" s="1332"/>
      <c r="IV68" s="1332"/>
      <c r="IW68" s="1332"/>
      <c r="IX68" s="1332"/>
      <c r="IY68" s="1332"/>
      <c r="IZ68" s="1332"/>
      <c r="JA68" s="1332"/>
      <c r="JB68" s="1332"/>
      <c r="JC68" s="1332"/>
      <c r="JD68" s="1332"/>
      <c r="JE68" s="1332"/>
      <c r="JF68" s="1332"/>
      <c r="JG68" s="1332"/>
      <c r="JH68" s="1332"/>
      <c r="JI68" s="1332"/>
      <c r="JJ68" s="1332"/>
      <c r="JK68" s="1332"/>
      <c r="JL68" s="1332"/>
      <c r="JM68" s="1332"/>
      <c r="JN68" s="1332"/>
      <c r="JO68" s="1332"/>
      <c r="JP68" s="1332"/>
      <c r="JQ68" s="1332"/>
      <c r="JR68" s="1332"/>
      <c r="JS68" s="1332"/>
      <c r="JT68" s="1332"/>
      <c r="JU68" s="1332"/>
      <c r="JV68" s="1332"/>
    </row>
    <row r="69" spans="1:282" s="787" customFormat="1" ht="20.100000000000001" customHeight="1">
      <c r="A69" s="1347" t="s">
        <v>93</v>
      </c>
      <c r="B69" s="1348" t="s">
        <v>772</v>
      </c>
      <c r="C69" s="298"/>
      <c r="D69" s="845">
        <v>2200</v>
      </c>
      <c r="E69" s="845">
        <v>2200</v>
      </c>
      <c r="F69" s="760"/>
      <c r="G69" s="845">
        <f>H69+M69</f>
        <v>2100</v>
      </c>
      <c r="H69" s="845">
        <f t="shared" si="13"/>
        <v>2100</v>
      </c>
      <c r="I69" s="845">
        <f>'Bieu 07 TT'!F1102</f>
        <v>2100</v>
      </c>
      <c r="J69" s="844">
        <f>IF(E69=0,0,I69/E69*100)</f>
        <v>95.454545454545453</v>
      </c>
      <c r="K69" s="845">
        <f>I69-E69</f>
        <v>-100</v>
      </c>
      <c r="L69" s="845"/>
      <c r="M69" s="760"/>
      <c r="N69" s="1332"/>
      <c r="O69" s="1334"/>
      <c r="P69" s="1333"/>
      <c r="Q69" s="1332"/>
      <c r="R69" s="1332"/>
      <c r="S69" s="1332"/>
      <c r="T69" s="1332"/>
      <c r="U69" s="1332"/>
      <c r="V69" s="1332"/>
      <c r="W69" s="1332"/>
      <c r="X69" s="1332"/>
      <c r="Y69" s="1332"/>
      <c r="Z69" s="1332"/>
      <c r="AA69" s="1332"/>
      <c r="AB69" s="1332"/>
      <c r="AC69" s="1332"/>
      <c r="AD69" s="1332"/>
      <c r="AE69" s="1332"/>
      <c r="AF69" s="1332"/>
      <c r="AG69" s="1332"/>
      <c r="AH69" s="1332"/>
      <c r="AI69" s="1332"/>
      <c r="AJ69" s="1332"/>
      <c r="AK69" s="1332"/>
      <c r="AL69" s="1332"/>
      <c r="AM69" s="1332"/>
      <c r="AN69" s="1332"/>
      <c r="AO69" s="1332"/>
      <c r="AP69" s="1332"/>
      <c r="AQ69" s="1332"/>
      <c r="AR69" s="1332"/>
      <c r="AS69" s="1332"/>
      <c r="AT69" s="1332"/>
      <c r="AU69" s="1332"/>
      <c r="AV69" s="1332"/>
      <c r="AW69" s="1332"/>
      <c r="AX69" s="1332"/>
      <c r="AY69" s="1332"/>
      <c r="AZ69" s="1332"/>
      <c r="BA69" s="1332"/>
      <c r="BB69" s="1332"/>
      <c r="BC69" s="1332"/>
      <c r="BD69" s="1332"/>
      <c r="BE69" s="1332"/>
      <c r="BF69" s="1332"/>
      <c r="BG69" s="1332"/>
      <c r="BH69" s="1332"/>
      <c r="BI69" s="1332"/>
      <c r="BJ69" s="1332"/>
      <c r="BK69" s="1332"/>
      <c r="BL69" s="1332"/>
      <c r="BM69" s="1332"/>
      <c r="BN69" s="1332"/>
      <c r="BO69" s="1332"/>
      <c r="BP69" s="1332"/>
      <c r="BQ69" s="1332"/>
      <c r="BR69" s="1332"/>
      <c r="BS69" s="1332"/>
      <c r="BT69" s="1332"/>
      <c r="BU69" s="1332"/>
      <c r="BV69" s="1332"/>
      <c r="BW69" s="1332"/>
      <c r="BX69" s="1332"/>
      <c r="BY69" s="1332"/>
      <c r="BZ69" s="1332"/>
      <c r="CA69" s="1332"/>
      <c r="CB69" s="1332"/>
      <c r="CC69" s="1332"/>
      <c r="CD69" s="1332"/>
      <c r="CE69" s="1332"/>
      <c r="CF69" s="1332"/>
      <c r="CG69" s="1332"/>
      <c r="CH69" s="1332"/>
      <c r="CI69" s="1332"/>
      <c r="CJ69" s="1332"/>
      <c r="CK69" s="1332"/>
      <c r="CL69" s="1332"/>
      <c r="CM69" s="1332"/>
      <c r="CN69" s="1332"/>
      <c r="CO69" s="1332"/>
      <c r="CP69" s="1332"/>
      <c r="CQ69" s="1332"/>
      <c r="CR69" s="1332"/>
      <c r="CS69" s="1332"/>
      <c r="CT69" s="1332"/>
      <c r="CU69" s="1332"/>
      <c r="CV69" s="1332"/>
      <c r="CW69" s="1332"/>
      <c r="CX69" s="1332"/>
      <c r="CY69" s="1332"/>
      <c r="CZ69" s="1332"/>
      <c r="DA69" s="1332"/>
      <c r="DB69" s="1332"/>
      <c r="DC69" s="1332"/>
      <c r="DD69" s="1332"/>
      <c r="DE69" s="1332"/>
      <c r="DF69" s="1332"/>
      <c r="DG69" s="1332"/>
      <c r="DH69" s="1332"/>
      <c r="DI69" s="1332"/>
      <c r="DJ69" s="1332"/>
      <c r="DK69" s="1332"/>
      <c r="DL69" s="1332"/>
      <c r="DM69" s="1332"/>
      <c r="DN69" s="1332"/>
      <c r="DO69" s="1332"/>
      <c r="DP69" s="1332"/>
      <c r="DQ69" s="1332"/>
      <c r="DR69" s="1332"/>
      <c r="DS69" s="1332"/>
      <c r="DT69" s="1332"/>
      <c r="DU69" s="1332"/>
      <c r="DV69" s="1332"/>
      <c r="DW69" s="1332"/>
      <c r="DX69" s="1332"/>
      <c r="DY69" s="1332"/>
      <c r="DZ69" s="1332"/>
      <c r="EA69" s="1332"/>
      <c r="EB69" s="1332"/>
      <c r="EC69" s="1332"/>
      <c r="ED69" s="1332"/>
      <c r="EE69" s="1332"/>
      <c r="EF69" s="1332"/>
      <c r="EG69" s="1332"/>
      <c r="EH69" s="1332"/>
      <c r="EI69" s="1332"/>
      <c r="EJ69" s="1332"/>
      <c r="EK69" s="1332"/>
      <c r="EL69" s="1332"/>
      <c r="EM69" s="1332"/>
      <c r="EN69" s="1332"/>
      <c r="EO69" s="1332"/>
      <c r="EP69" s="1332"/>
      <c r="EQ69" s="1332"/>
      <c r="ER69" s="1332"/>
      <c r="ES69" s="1332"/>
      <c r="ET69" s="1332"/>
      <c r="EU69" s="1332"/>
      <c r="EV69" s="1332"/>
      <c r="EW69" s="1332"/>
      <c r="EX69" s="1332"/>
      <c r="EY69" s="1332"/>
      <c r="EZ69" s="1332"/>
      <c r="FA69" s="1332"/>
      <c r="FB69" s="1332"/>
      <c r="FC69" s="1332"/>
      <c r="FD69" s="1332"/>
      <c r="FE69" s="1332"/>
      <c r="FF69" s="1332"/>
      <c r="FG69" s="1332"/>
      <c r="FH69" s="1332"/>
      <c r="FI69" s="1332"/>
      <c r="FJ69" s="1332"/>
      <c r="FK69" s="1332"/>
      <c r="FL69" s="1332"/>
      <c r="FM69" s="1332"/>
      <c r="FN69" s="1332"/>
      <c r="FO69" s="1332"/>
      <c r="FP69" s="1332"/>
      <c r="FQ69" s="1332"/>
      <c r="FR69" s="1332"/>
      <c r="FS69" s="1332"/>
      <c r="FT69" s="1332"/>
      <c r="FU69" s="1332"/>
      <c r="FV69" s="1332"/>
      <c r="FW69" s="1332"/>
      <c r="FX69" s="1332"/>
      <c r="FY69" s="1332"/>
      <c r="FZ69" s="1332"/>
      <c r="GA69" s="1332"/>
      <c r="GB69" s="1332"/>
      <c r="GC69" s="1332"/>
      <c r="GD69" s="1332"/>
      <c r="GE69" s="1332"/>
      <c r="GF69" s="1332"/>
      <c r="GG69" s="1332"/>
      <c r="GH69" s="1332"/>
      <c r="GI69" s="1332"/>
      <c r="GJ69" s="1332"/>
      <c r="GK69" s="1332"/>
      <c r="GL69" s="1332"/>
      <c r="GM69" s="1332"/>
      <c r="GN69" s="1332"/>
      <c r="GO69" s="1332"/>
      <c r="GP69" s="1332"/>
      <c r="GQ69" s="1332"/>
      <c r="GR69" s="1332"/>
      <c r="GS69" s="1332"/>
      <c r="GT69" s="1332"/>
      <c r="GU69" s="1332"/>
      <c r="GV69" s="1332"/>
      <c r="GW69" s="1332"/>
      <c r="GX69" s="1332"/>
      <c r="GY69" s="1332"/>
      <c r="GZ69" s="1332"/>
      <c r="HA69" s="1332"/>
      <c r="HB69" s="1332"/>
      <c r="HC69" s="1332"/>
      <c r="HD69" s="1332"/>
      <c r="HE69" s="1332"/>
      <c r="HF69" s="1332"/>
      <c r="HG69" s="1332"/>
      <c r="HH69" s="1332"/>
      <c r="HI69" s="1332"/>
      <c r="HJ69" s="1332"/>
      <c r="HK69" s="1332"/>
      <c r="HL69" s="1332"/>
      <c r="HM69" s="1332"/>
      <c r="HN69" s="1332"/>
      <c r="HO69" s="1332"/>
      <c r="HP69" s="1332"/>
      <c r="HQ69" s="1332"/>
      <c r="HR69" s="1332"/>
      <c r="HS69" s="1332"/>
      <c r="HT69" s="1332"/>
      <c r="HU69" s="1332"/>
      <c r="HV69" s="1332"/>
      <c r="HW69" s="1332"/>
      <c r="HX69" s="1332"/>
      <c r="HY69" s="1332"/>
      <c r="HZ69" s="1332"/>
      <c r="IA69" s="1332"/>
      <c r="IB69" s="1332"/>
      <c r="IC69" s="1332"/>
      <c r="ID69" s="1332"/>
      <c r="IE69" s="1332"/>
      <c r="IF69" s="1332"/>
      <c r="IG69" s="1332"/>
      <c r="IH69" s="1332"/>
      <c r="II69" s="1332"/>
      <c r="IJ69" s="1332"/>
      <c r="IK69" s="1332"/>
      <c r="IL69" s="1332"/>
      <c r="IM69" s="1332"/>
      <c r="IN69" s="1332"/>
      <c r="IO69" s="1332"/>
      <c r="IP69" s="1332"/>
      <c r="IQ69" s="1332"/>
      <c r="IR69" s="1332"/>
      <c r="IS69" s="1332"/>
      <c r="IT69" s="1332"/>
      <c r="IU69" s="1332"/>
      <c r="IV69" s="1332"/>
      <c r="IW69" s="1332"/>
      <c r="IX69" s="1332"/>
      <c r="IY69" s="1332"/>
      <c r="IZ69" s="1332"/>
      <c r="JA69" s="1332"/>
      <c r="JB69" s="1332"/>
      <c r="JC69" s="1332"/>
      <c r="JD69" s="1332"/>
      <c r="JE69" s="1332"/>
      <c r="JF69" s="1332"/>
      <c r="JG69" s="1332"/>
      <c r="JH69" s="1332"/>
      <c r="JI69" s="1332"/>
      <c r="JJ69" s="1332"/>
      <c r="JK69" s="1332"/>
      <c r="JL69" s="1332"/>
      <c r="JM69" s="1332"/>
      <c r="JN69" s="1332"/>
      <c r="JO69" s="1332"/>
      <c r="JP69" s="1332"/>
      <c r="JQ69" s="1332"/>
      <c r="JR69" s="1332"/>
      <c r="JS69" s="1332"/>
      <c r="JT69" s="1332"/>
      <c r="JU69" s="1332"/>
      <c r="JV69" s="1332"/>
    </row>
    <row r="70" spans="1:282" s="787" customFormat="1" ht="20.100000000000001" customHeight="1">
      <c r="A70" s="1344" t="s">
        <v>101</v>
      </c>
      <c r="B70" s="1345" t="s">
        <v>773</v>
      </c>
      <c r="C70" s="1347" t="s">
        <v>774</v>
      </c>
      <c r="D70" s="845">
        <v>1000</v>
      </c>
      <c r="E70" s="845">
        <v>1000</v>
      </c>
      <c r="F70" s="1346"/>
      <c r="G70" s="845">
        <f>H70+M70</f>
        <v>1000</v>
      </c>
      <c r="H70" s="845">
        <f t="shared" si="13"/>
        <v>1000</v>
      </c>
      <c r="I70" s="845">
        <v>1000</v>
      </c>
      <c r="J70" s="844">
        <f>IF(E70=0,0,I70/E70*100)</f>
        <v>100</v>
      </c>
      <c r="K70" s="845">
        <f>I70-E70</f>
        <v>0</v>
      </c>
      <c r="L70" s="845"/>
      <c r="M70" s="1346"/>
      <c r="N70" s="1332"/>
      <c r="O70" s="1334"/>
      <c r="P70" s="1333"/>
      <c r="Q70" s="1332"/>
      <c r="R70" s="1332"/>
      <c r="S70" s="1332"/>
      <c r="T70" s="1332"/>
      <c r="U70" s="1332"/>
      <c r="V70" s="1332"/>
      <c r="W70" s="1332"/>
      <c r="X70" s="1332"/>
      <c r="Y70" s="1332"/>
      <c r="Z70" s="1332"/>
      <c r="AA70" s="1332"/>
      <c r="AB70" s="1332"/>
      <c r="AC70" s="1332"/>
      <c r="AD70" s="1332"/>
      <c r="AE70" s="1332"/>
      <c r="AF70" s="1332"/>
      <c r="AG70" s="1332"/>
      <c r="AH70" s="1332"/>
      <c r="AI70" s="1332"/>
      <c r="AJ70" s="1332"/>
      <c r="AK70" s="1332"/>
      <c r="AL70" s="1332"/>
      <c r="AM70" s="1332"/>
      <c r="AN70" s="1332"/>
      <c r="AO70" s="1332"/>
      <c r="AP70" s="1332"/>
      <c r="AQ70" s="1332"/>
      <c r="AR70" s="1332"/>
      <c r="AS70" s="1332"/>
      <c r="AT70" s="1332"/>
      <c r="AU70" s="1332"/>
      <c r="AV70" s="1332"/>
      <c r="AW70" s="1332"/>
      <c r="AX70" s="1332"/>
      <c r="AY70" s="1332"/>
      <c r="AZ70" s="1332"/>
      <c r="BA70" s="1332"/>
      <c r="BB70" s="1332"/>
      <c r="BC70" s="1332"/>
      <c r="BD70" s="1332"/>
      <c r="BE70" s="1332"/>
      <c r="BF70" s="1332"/>
      <c r="BG70" s="1332"/>
      <c r="BH70" s="1332"/>
      <c r="BI70" s="1332"/>
      <c r="BJ70" s="1332"/>
      <c r="BK70" s="1332"/>
      <c r="BL70" s="1332"/>
      <c r="BM70" s="1332"/>
      <c r="BN70" s="1332"/>
      <c r="BO70" s="1332"/>
      <c r="BP70" s="1332"/>
      <c r="BQ70" s="1332"/>
      <c r="BR70" s="1332"/>
      <c r="BS70" s="1332"/>
      <c r="BT70" s="1332"/>
      <c r="BU70" s="1332"/>
      <c r="BV70" s="1332"/>
      <c r="BW70" s="1332"/>
      <c r="BX70" s="1332"/>
      <c r="BY70" s="1332"/>
      <c r="BZ70" s="1332"/>
      <c r="CA70" s="1332"/>
      <c r="CB70" s="1332"/>
      <c r="CC70" s="1332"/>
      <c r="CD70" s="1332"/>
      <c r="CE70" s="1332"/>
      <c r="CF70" s="1332"/>
      <c r="CG70" s="1332"/>
      <c r="CH70" s="1332"/>
      <c r="CI70" s="1332"/>
      <c r="CJ70" s="1332"/>
      <c r="CK70" s="1332"/>
      <c r="CL70" s="1332"/>
      <c r="CM70" s="1332"/>
      <c r="CN70" s="1332"/>
      <c r="CO70" s="1332"/>
      <c r="CP70" s="1332"/>
      <c r="CQ70" s="1332"/>
      <c r="CR70" s="1332"/>
      <c r="CS70" s="1332"/>
      <c r="CT70" s="1332"/>
      <c r="CU70" s="1332"/>
      <c r="CV70" s="1332"/>
      <c r="CW70" s="1332"/>
      <c r="CX70" s="1332"/>
      <c r="CY70" s="1332"/>
      <c r="CZ70" s="1332"/>
      <c r="DA70" s="1332"/>
      <c r="DB70" s="1332"/>
      <c r="DC70" s="1332"/>
      <c r="DD70" s="1332"/>
      <c r="DE70" s="1332"/>
      <c r="DF70" s="1332"/>
      <c r="DG70" s="1332"/>
      <c r="DH70" s="1332"/>
      <c r="DI70" s="1332"/>
      <c r="DJ70" s="1332"/>
      <c r="DK70" s="1332"/>
      <c r="DL70" s="1332"/>
      <c r="DM70" s="1332"/>
      <c r="DN70" s="1332"/>
      <c r="DO70" s="1332"/>
      <c r="DP70" s="1332"/>
      <c r="DQ70" s="1332"/>
      <c r="DR70" s="1332"/>
      <c r="DS70" s="1332"/>
      <c r="DT70" s="1332"/>
      <c r="DU70" s="1332"/>
      <c r="DV70" s="1332"/>
      <c r="DW70" s="1332"/>
      <c r="DX70" s="1332"/>
      <c r="DY70" s="1332"/>
      <c r="DZ70" s="1332"/>
      <c r="EA70" s="1332"/>
      <c r="EB70" s="1332"/>
      <c r="EC70" s="1332"/>
      <c r="ED70" s="1332"/>
      <c r="EE70" s="1332"/>
      <c r="EF70" s="1332"/>
      <c r="EG70" s="1332"/>
      <c r="EH70" s="1332"/>
      <c r="EI70" s="1332"/>
      <c r="EJ70" s="1332"/>
      <c r="EK70" s="1332"/>
      <c r="EL70" s="1332"/>
      <c r="EM70" s="1332"/>
      <c r="EN70" s="1332"/>
      <c r="EO70" s="1332"/>
      <c r="EP70" s="1332"/>
      <c r="EQ70" s="1332"/>
      <c r="ER70" s="1332"/>
      <c r="ES70" s="1332"/>
      <c r="ET70" s="1332"/>
      <c r="EU70" s="1332"/>
      <c r="EV70" s="1332"/>
      <c r="EW70" s="1332"/>
      <c r="EX70" s="1332"/>
      <c r="EY70" s="1332"/>
      <c r="EZ70" s="1332"/>
      <c r="FA70" s="1332"/>
      <c r="FB70" s="1332"/>
      <c r="FC70" s="1332"/>
      <c r="FD70" s="1332"/>
      <c r="FE70" s="1332"/>
      <c r="FF70" s="1332"/>
      <c r="FG70" s="1332"/>
      <c r="FH70" s="1332"/>
      <c r="FI70" s="1332"/>
      <c r="FJ70" s="1332"/>
      <c r="FK70" s="1332"/>
      <c r="FL70" s="1332"/>
      <c r="FM70" s="1332"/>
      <c r="FN70" s="1332"/>
      <c r="FO70" s="1332"/>
      <c r="FP70" s="1332"/>
      <c r="FQ70" s="1332"/>
      <c r="FR70" s="1332"/>
      <c r="FS70" s="1332"/>
      <c r="FT70" s="1332"/>
      <c r="FU70" s="1332"/>
      <c r="FV70" s="1332"/>
      <c r="FW70" s="1332"/>
      <c r="FX70" s="1332"/>
      <c r="FY70" s="1332"/>
      <c r="FZ70" s="1332"/>
      <c r="GA70" s="1332"/>
      <c r="GB70" s="1332"/>
      <c r="GC70" s="1332"/>
      <c r="GD70" s="1332"/>
      <c r="GE70" s="1332"/>
      <c r="GF70" s="1332"/>
      <c r="GG70" s="1332"/>
      <c r="GH70" s="1332"/>
      <c r="GI70" s="1332"/>
      <c r="GJ70" s="1332"/>
      <c r="GK70" s="1332"/>
      <c r="GL70" s="1332"/>
      <c r="GM70" s="1332"/>
      <c r="GN70" s="1332"/>
      <c r="GO70" s="1332"/>
      <c r="GP70" s="1332"/>
      <c r="GQ70" s="1332"/>
      <c r="GR70" s="1332"/>
      <c r="GS70" s="1332"/>
      <c r="GT70" s="1332"/>
      <c r="GU70" s="1332"/>
      <c r="GV70" s="1332"/>
      <c r="GW70" s="1332"/>
      <c r="GX70" s="1332"/>
      <c r="GY70" s="1332"/>
      <c r="GZ70" s="1332"/>
      <c r="HA70" s="1332"/>
      <c r="HB70" s="1332"/>
      <c r="HC70" s="1332"/>
      <c r="HD70" s="1332"/>
      <c r="HE70" s="1332"/>
      <c r="HF70" s="1332"/>
      <c r="HG70" s="1332"/>
      <c r="HH70" s="1332"/>
      <c r="HI70" s="1332"/>
      <c r="HJ70" s="1332"/>
      <c r="HK70" s="1332"/>
      <c r="HL70" s="1332"/>
      <c r="HM70" s="1332"/>
      <c r="HN70" s="1332"/>
      <c r="HO70" s="1332"/>
      <c r="HP70" s="1332"/>
      <c r="HQ70" s="1332"/>
      <c r="HR70" s="1332"/>
      <c r="HS70" s="1332"/>
      <c r="HT70" s="1332"/>
      <c r="HU70" s="1332"/>
      <c r="HV70" s="1332"/>
      <c r="HW70" s="1332"/>
      <c r="HX70" s="1332"/>
      <c r="HY70" s="1332"/>
      <c r="HZ70" s="1332"/>
      <c r="IA70" s="1332"/>
      <c r="IB70" s="1332"/>
      <c r="IC70" s="1332"/>
      <c r="ID70" s="1332"/>
      <c r="IE70" s="1332"/>
      <c r="IF70" s="1332"/>
      <c r="IG70" s="1332"/>
      <c r="IH70" s="1332"/>
      <c r="II70" s="1332"/>
      <c r="IJ70" s="1332"/>
      <c r="IK70" s="1332"/>
      <c r="IL70" s="1332"/>
      <c r="IM70" s="1332"/>
      <c r="IN70" s="1332"/>
      <c r="IO70" s="1332"/>
      <c r="IP70" s="1332"/>
      <c r="IQ70" s="1332"/>
      <c r="IR70" s="1332"/>
      <c r="IS70" s="1332"/>
      <c r="IT70" s="1332"/>
      <c r="IU70" s="1332"/>
      <c r="IV70" s="1332"/>
      <c r="IW70" s="1332"/>
      <c r="IX70" s="1332"/>
      <c r="IY70" s="1332"/>
      <c r="IZ70" s="1332"/>
      <c r="JA70" s="1332"/>
      <c r="JB70" s="1332"/>
      <c r="JC70" s="1332"/>
      <c r="JD70" s="1332"/>
      <c r="JE70" s="1332"/>
      <c r="JF70" s="1332"/>
      <c r="JG70" s="1332"/>
      <c r="JH70" s="1332"/>
      <c r="JI70" s="1332"/>
      <c r="JJ70" s="1332"/>
      <c r="JK70" s="1332"/>
      <c r="JL70" s="1332"/>
      <c r="JM70" s="1332"/>
      <c r="JN70" s="1332"/>
      <c r="JO70" s="1332"/>
      <c r="JP70" s="1332"/>
      <c r="JQ70" s="1332"/>
      <c r="JR70" s="1332"/>
      <c r="JS70" s="1332"/>
      <c r="JT70" s="1332"/>
      <c r="JU70" s="1332"/>
      <c r="JV70" s="1332"/>
    </row>
    <row r="71" spans="1:282" s="787" customFormat="1" ht="20.100000000000001" customHeight="1">
      <c r="A71" s="1344" t="s">
        <v>112</v>
      </c>
      <c r="B71" s="1345" t="s">
        <v>775</v>
      </c>
      <c r="C71" s="1347" t="s">
        <v>776</v>
      </c>
      <c r="D71" s="845">
        <v>67330</v>
      </c>
      <c r="E71" s="845">
        <v>67330</v>
      </c>
      <c r="F71" s="1346"/>
      <c r="G71" s="845">
        <f>H71+M71</f>
        <v>77933</v>
      </c>
      <c r="H71" s="845">
        <f t="shared" si="13"/>
        <v>77933</v>
      </c>
      <c r="I71" s="845">
        <f>'Bieu 07 TT'!F1104</f>
        <v>77933</v>
      </c>
      <c r="J71" s="844">
        <f>IF(E71=0,0,I71/E71*100)</f>
        <v>115.74780929748998</v>
      </c>
      <c r="K71" s="845">
        <f>I71-E71</f>
        <v>10603</v>
      </c>
      <c r="L71" s="845"/>
      <c r="M71" s="1346"/>
      <c r="N71" s="1332"/>
      <c r="O71" s="1334"/>
      <c r="P71" s="1333"/>
      <c r="Q71" s="1332"/>
      <c r="R71" s="1332"/>
      <c r="S71" s="1332"/>
      <c r="T71" s="1332"/>
      <c r="U71" s="1332"/>
      <c r="V71" s="1332"/>
      <c r="W71" s="1332"/>
      <c r="X71" s="1332"/>
      <c r="Y71" s="1332"/>
      <c r="Z71" s="1332"/>
      <c r="AA71" s="1332"/>
      <c r="AB71" s="1332"/>
      <c r="AC71" s="1332"/>
      <c r="AD71" s="1332"/>
      <c r="AE71" s="1332"/>
      <c r="AF71" s="1332"/>
      <c r="AG71" s="1332"/>
      <c r="AH71" s="1332"/>
      <c r="AI71" s="1332"/>
      <c r="AJ71" s="1332"/>
      <c r="AK71" s="1332"/>
      <c r="AL71" s="1332"/>
      <c r="AM71" s="1332"/>
      <c r="AN71" s="1332"/>
      <c r="AO71" s="1332"/>
      <c r="AP71" s="1332"/>
      <c r="AQ71" s="1332"/>
      <c r="AR71" s="1332"/>
      <c r="AS71" s="1332"/>
      <c r="AT71" s="1332"/>
      <c r="AU71" s="1332"/>
      <c r="AV71" s="1332"/>
      <c r="AW71" s="1332"/>
      <c r="AX71" s="1332"/>
      <c r="AY71" s="1332"/>
      <c r="AZ71" s="1332"/>
      <c r="BA71" s="1332"/>
      <c r="BB71" s="1332"/>
      <c r="BC71" s="1332"/>
      <c r="BD71" s="1332"/>
      <c r="BE71" s="1332"/>
      <c r="BF71" s="1332"/>
      <c r="BG71" s="1332"/>
      <c r="BH71" s="1332"/>
      <c r="BI71" s="1332"/>
      <c r="BJ71" s="1332"/>
      <c r="BK71" s="1332"/>
      <c r="BL71" s="1332"/>
      <c r="BM71" s="1332"/>
      <c r="BN71" s="1332"/>
      <c r="BO71" s="1332"/>
      <c r="BP71" s="1332"/>
      <c r="BQ71" s="1332"/>
      <c r="BR71" s="1332"/>
      <c r="BS71" s="1332"/>
      <c r="BT71" s="1332"/>
      <c r="BU71" s="1332"/>
      <c r="BV71" s="1332"/>
      <c r="BW71" s="1332"/>
      <c r="BX71" s="1332"/>
      <c r="BY71" s="1332"/>
      <c r="BZ71" s="1332"/>
      <c r="CA71" s="1332"/>
      <c r="CB71" s="1332"/>
      <c r="CC71" s="1332"/>
      <c r="CD71" s="1332"/>
      <c r="CE71" s="1332"/>
      <c r="CF71" s="1332"/>
      <c r="CG71" s="1332"/>
      <c r="CH71" s="1332"/>
      <c r="CI71" s="1332"/>
      <c r="CJ71" s="1332"/>
      <c r="CK71" s="1332"/>
      <c r="CL71" s="1332"/>
      <c r="CM71" s="1332"/>
      <c r="CN71" s="1332"/>
      <c r="CO71" s="1332"/>
      <c r="CP71" s="1332"/>
      <c r="CQ71" s="1332"/>
      <c r="CR71" s="1332"/>
      <c r="CS71" s="1332"/>
      <c r="CT71" s="1332"/>
      <c r="CU71" s="1332"/>
      <c r="CV71" s="1332"/>
      <c r="CW71" s="1332"/>
      <c r="CX71" s="1332"/>
      <c r="CY71" s="1332"/>
      <c r="CZ71" s="1332"/>
      <c r="DA71" s="1332"/>
      <c r="DB71" s="1332"/>
      <c r="DC71" s="1332"/>
      <c r="DD71" s="1332"/>
      <c r="DE71" s="1332"/>
      <c r="DF71" s="1332"/>
      <c r="DG71" s="1332"/>
      <c r="DH71" s="1332"/>
      <c r="DI71" s="1332"/>
      <c r="DJ71" s="1332"/>
      <c r="DK71" s="1332"/>
      <c r="DL71" s="1332"/>
      <c r="DM71" s="1332"/>
      <c r="DN71" s="1332"/>
      <c r="DO71" s="1332"/>
      <c r="DP71" s="1332"/>
      <c r="DQ71" s="1332"/>
      <c r="DR71" s="1332"/>
      <c r="DS71" s="1332"/>
      <c r="DT71" s="1332"/>
      <c r="DU71" s="1332"/>
      <c r="DV71" s="1332"/>
      <c r="DW71" s="1332"/>
      <c r="DX71" s="1332"/>
      <c r="DY71" s="1332"/>
      <c r="DZ71" s="1332"/>
      <c r="EA71" s="1332"/>
      <c r="EB71" s="1332"/>
      <c r="EC71" s="1332"/>
      <c r="ED71" s="1332"/>
      <c r="EE71" s="1332"/>
      <c r="EF71" s="1332"/>
      <c r="EG71" s="1332"/>
      <c r="EH71" s="1332"/>
      <c r="EI71" s="1332"/>
      <c r="EJ71" s="1332"/>
      <c r="EK71" s="1332"/>
      <c r="EL71" s="1332"/>
      <c r="EM71" s="1332"/>
      <c r="EN71" s="1332"/>
      <c r="EO71" s="1332"/>
      <c r="EP71" s="1332"/>
      <c r="EQ71" s="1332"/>
      <c r="ER71" s="1332"/>
      <c r="ES71" s="1332"/>
      <c r="ET71" s="1332"/>
      <c r="EU71" s="1332"/>
      <c r="EV71" s="1332"/>
      <c r="EW71" s="1332"/>
      <c r="EX71" s="1332"/>
      <c r="EY71" s="1332"/>
      <c r="EZ71" s="1332"/>
      <c r="FA71" s="1332"/>
      <c r="FB71" s="1332"/>
      <c r="FC71" s="1332"/>
      <c r="FD71" s="1332"/>
      <c r="FE71" s="1332"/>
      <c r="FF71" s="1332"/>
      <c r="FG71" s="1332"/>
      <c r="FH71" s="1332"/>
      <c r="FI71" s="1332"/>
      <c r="FJ71" s="1332"/>
      <c r="FK71" s="1332"/>
      <c r="FL71" s="1332"/>
      <c r="FM71" s="1332"/>
      <c r="FN71" s="1332"/>
      <c r="FO71" s="1332"/>
      <c r="FP71" s="1332"/>
      <c r="FQ71" s="1332"/>
      <c r="FR71" s="1332"/>
      <c r="FS71" s="1332"/>
      <c r="FT71" s="1332"/>
      <c r="FU71" s="1332"/>
      <c r="FV71" s="1332"/>
      <c r="FW71" s="1332"/>
      <c r="FX71" s="1332"/>
      <c r="FY71" s="1332"/>
      <c r="FZ71" s="1332"/>
      <c r="GA71" s="1332"/>
      <c r="GB71" s="1332"/>
      <c r="GC71" s="1332"/>
      <c r="GD71" s="1332"/>
      <c r="GE71" s="1332"/>
      <c r="GF71" s="1332"/>
      <c r="GG71" s="1332"/>
      <c r="GH71" s="1332"/>
      <c r="GI71" s="1332"/>
      <c r="GJ71" s="1332"/>
      <c r="GK71" s="1332"/>
      <c r="GL71" s="1332"/>
      <c r="GM71" s="1332"/>
      <c r="GN71" s="1332"/>
      <c r="GO71" s="1332"/>
      <c r="GP71" s="1332"/>
      <c r="GQ71" s="1332"/>
      <c r="GR71" s="1332"/>
      <c r="GS71" s="1332"/>
      <c r="GT71" s="1332"/>
      <c r="GU71" s="1332"/>
      <c r="GV71" s="1332"/>
      <c r="GW71" s="1332"/>
      <c r="GX71" s="1332"/>
      <c r="GY71" s="1332"/>
      <c r="GZ71" s="1332"/>
      <c r="HA71" s="1332"/>
      <c r="HB71" s="1332"/>
      <c r="HC71" s="1332"/>
      <c r="HD71" s="1332"/>
      <c r="HE71" s="1332"/>
      <c r="HF71" s="1332"/>
      <c r="HG71" s="1332"/>
      <c r="HH71" s="1332"/>
      <c r="HI71" s="1332"/>
      <c r="HJ71" s="1332"/>
      <c r="HK71" s="1332"/>
      <c r="HL71" s="1332"/>
      <c r="HM71" s="1332"/>
      <c r="HN71" s="1332"/>
      <c r="HO71" s="1332"/>
      <c r="HP71" s="1332"/>
      <c r="HQ71" s="1332"/>
      <c r="HR71" s="1332"/>
      <c r="HS71" s="1332"/>
      <c r="HT71" s="1332"/>
      <c r="HU71" s="1332"/>
      <c r="HV71" s="1332"/>
      <c r="HW71" s="1332"/>
      <c r="HX71" s="1332"/>
      <c r="HY71" s="1332"/>
      <c r="HZ71" s="1332"/>
      <c r="IA71" s="1332"/>
      <c r="IB71" s="1332"/>
      <c r="IC71" s="1332"/>
      <c r="ID71" s="1332"/>
      <c r="IE71" s="1332"/>
      <c r="IF71" s="1332"/>
      <c r="IG71" s="1332"/>
      <c r="IH71" s="1332"/>
      <c r="II71" s="1332"/>
      <c r="IJ71" s="1332"/>
      <c r="IK71" s="1332"/>
      <c r="IL71" s="1332"/>
      <c r="IM71" s="1332"/>
      <c r="IN71" s="1332"/>
      <c r="IO71" s="1332"/>
      <c r="IP71" s="1332"/>
      <c r="IQ71" s="1332"/>
      <c r="IR71" s="1332"/>
      <c r="IS71" s="1332"/>
      <c r="IT71" s="1332"/>
      <c r="IU71" s="1332"/>
      <c r="IV71" s="1332"/>
      <c r="IW71" s="1332"/>
      <c r="IX71" s="1332"/>
      <c r="IY71" s="1332"/>
      <c r="IZ71" s="1332"/>
      <c r="JA71" s="1332"/>
      <c r="JB71" s="1332"/>
      <c r="JC71" s="1332"/>
      <c r="JD71" s="1332"/>
      <c r="JE71" s="1332"/>
      <c r="JF71" s="1332"/>
      <c r="JG71" s="1332"/>
      <c r="JH71" s="1332"/>
      <c r="JI71" s="1332"/>
      <c r="JJ71" s="1332"/>
      <c r="JK71" s="1332"/>
      <c r="JL71" s="1332"/>
      <c r="JM71" s="1332"/>
      <c r="JN71" s="1332"/>
      <c r="JO71" s="1332"/>
      <c r="JP71" s="1332"/>
      <c r="JQ71" s="1332"/>
      <c r="JR71" s="1332"/>
      <c r="JS71" s="1332"/>
      <c r="JT71" s="1332"/>
      <c r="JU71" s="1332"/>
      <c r="JV71" s="1332"/>
    </row>
    <row r="72" spans="1:282" ht="29.25" customHeight="1">
      <c r="A72" s="1353"/>
      <c r="B72" s="977" t="s">
        <v>777</v>
      </c>
      <c r="C72" s="1299"/>
      <c r="D72" s="846">
        <v>16260</v>
      </c>
      <c r="E72" s="846">
        <v>16260</v>
      </c>
      <c r="F72" s="1350"/>
      <c r="G72" s="860">
        <f>H72+M72</f>
        <v>25179.999999999996</v>
      </c>
      <c r="H72" s="846">
        <f t="shared" si="13"/>
        <v>25179.999999999996</v>
      </c>
      <c r="I72" s="846">
        <v>25179.999999999996</v>
      </c>
      <c r="J72" s="847">
        <f>IF(E72=0,0,I72/E72*100)</f>
        <v>154.85854858548583</v>
      </c>
      <c r="K72" s="846">
        <f>I72-E72</f>
        <v>8919.9999999999964</v>
      </c>
      <c r="L72" s="846"/>
      <c r="M72" s="1350"/>
    </row>
    <row r="73" spans="1:282" s="797" customFormat="1" ht="20.100000000000001" hidden="1" customHeight="1" outlineLevel="1">
      <c r="A73" s="1356"/>
      <c r="B73" s="1358" t="s">
        <v>778</v>
      </c>
      <c r="C73" s="1356"/>
      <c r="D73" s="762"/>
      <c r="E73" s="762"/>
      <c r="F73" s="1357"/>
      <c r="G73" s="848">
        <f>G71/G13%</f>
        <v>1.9654519482772881</v>
      </c>
      <c r="H73" s="762">
        <f t="shared" si="13"/>
        <v>0</v>
      </c>
      <c r="I73" s="762"/>
      <c r="J73" s="847"/>
      <c r="K73" s="762"/>
      <c r="L73" s="762"/>
      <c r="M73" s="1357"/>
      <c r="N73" s="1332"/>
      <c r="O73" s="1334"/>
      <c r="P73" s="1333"/>
      <c r="Q73" s="1332"/>
      <c r="R73" s="1332"/>
      <c r="S73" s="1332"/>
      <c r="T73" s="1332"/>
      <c r="U73" s="1332"/>
      <c r="V73" s="1332"/>
      <c r="W73" s="1332"/>
      <c r="X73" s="1332"/>
      <c r="Y73" s="1332"/>
      <c r="Z73" s="1332"/>
      <c r="AA73" s="1332"/>
      <c r="AB73" s="1332"/>
      <c r="AC73" s="1332"/>
      <c r="AD73" s="1332"/>
      <c r="AE73" s="1332"/>
      <c r="AF73" s="1332"/>
      <c r="AG73" s="1332"/>
      <c r="AH73" s="1332"/>
      <c r="AI73" s="1332"/>
      <c r="AJ73" s="1332"/>
      <c r="AK73" s="1332"/>
      <c r="AL73" s="1332"/>
      <c r="AM73" s="1332"/>
      <c r="AN73" s="1332"/>
      <c r="AO73" s="1332"/>
      <c r="AP73" s="1332"/>
      <c r="AQ73" s="1332"/>
      <c r="AR73" s="1332"/>
      <c r="AS73" s="1332"/>
      <c r="AT73" s="1332"/>
      <c r="AU73" s="1332"/>
      <c r="AV73" s="1332"/>
      <c r="AW73" s="1332"/>
      <c r="AX73" s="1332"/>
      <c r="AY73" s="1332"/>
      <c r="AZ73" s="1332"/>
      <c r="BA73" s="1332"/>
      <c r="BB73" s="1332"/>
      <c r="BC73" s="1332"/>
      <c r="BD73" s="1332"/>
      <c r="BE73" s="1332"/>
      <c r="BF73" s="1332"/>
      <c r="BG73" s="1332"/>
      <c r="BH73" s="1332"/>
      <c r="BI73" s="1332"/>
      <c r="BJ73" s="1332"/>
      <c r="BK73" s="1332"/>
      <c r="BL73" s="1332"/>
      <c r="BM73" s="1332"/>
      <c r="BN73" s="1332"/>
      <c r="BO73" s="1332"/>
      <c r="BP73" s="1332"/>
      <c r="BQ73" s="1332"/>
      <c r="BR73" s="1332"/>
      <c r="BS73" s="1332"/>
      <c r="BT73" s="1332"/>
      <c r="BU73" s="1332"/>
      <c r="BV73" s="1332"/>
      <c r="BW73" s="1332"/>
      <c r="BX73" s="1332"/>
      <c r="BY73" s="1332"/>
      <c r="BZ73" s="1332"/>
      <c r="CA73" s="1332"/>
      <c r="CB73" s="1332"/>
      <c r="CC73" s="1332"/>
      <c r="CD73" s="1332"/>
      <c r="CE73" s="1332"/>
      <c r="CF73" s="1332"/>
      <c r="CG73" s="1332"/>
      <c r="CH73" s="1332"/>
      <c r="CI73" s="1332"/>
      <c r="CJ73" s="1332"/>
      <c r="CK73" s="1332"/>
      <c r="CL73" s="1332"/>
      <c r="CM73" s="1332"/>
      <c r="CN73" s="1332"/>
      <c r="CO73" s="1332"/>
      <c r="CP73" s="1332"/>
      <c r="CQ73" s="1332"/>
      <c r="CR73" s="1332"/>
      <c r="CS73" s="1332"/>
      <c r="CT73" s="1332"/>
      <c r="CU73" s="1332"/>
      <c r="CV73" s="1332"/>
      <c r="CW73" s="1332"/>
      <c r="CX73" s="1332"/>
      <c r="CY73" s="1332"/>
      <c r="CZ73" s="1332"/>
      <c r="DA73" s="1332"/>
      <c r="DB73" s="1332"/>
      <c r="DC73" s="1332"/>
      <c r="DD73" s="1332"/>
      <c r="DE73" s="1332"/>
      <c r="DF73" s="1332"/>
      <c r="DG73" s="1332"/>
      <c r="DH73" s="1332"/>
      <c r="DI73" s="1332"/>
      <c r="DJ73" s="1332"/>
      <c r="DK73" s="1332"/>
      <c r="DL73" s="1332"/>
      <c r="DM73" s="1332"/>
      <c r="DN73" s="1332"/>
      <c r="DO73" s="1332"/>
      <c r="DP73" s="1332"/>
      <c r="DQ73" s="1332"/>
      <c r="DR73" s="1332"/>
      <c r="DS73" s="1332"/>
      <c r="DT73" s="1332"/>
      <c r="DU73" s="1332"/>
      <c r="DV73" s="1332"/>
      <c r="DW73" s="1332"/>
      <c r="DX73" s="1332"/>
      <c r="DY73" s="1332"/>
      <c r="DZ73" s="1332"/>
      <c r="EA73" s="1332"/>
      <c r="EB73" s="1332"/>
      <c r="EC73" s="1332"/>
      <c r="ED73" s="1332"/>
      <c r="EE73" s="1332"/>
      <c r="EF73" s="1332"/>
      <c r="EG73" s="1332"/>
      <c r="EH73" s="1332"/>
      <c r="EI73" s="1332"/>
      <c r="EJ73" s="1332"/>
      <c r="EK73" s="1332"/>
      <c r="EL73" s="1332"/>
      <c r="EM73" s="1332"/>
      <c r="EN73" s="1332"/>
      <c r="EO73" s="1332"/>
      <c r="EP73" s="1332"/>
      <c r="EQ73" s="1332"/>
      <c r="ER73" s="1332"/>
      <c r="ES73" s="1332"/>
      <c r="ET73" s="1332"/>
      <c r="EU73" s="1332"/>
      <c r="EV73" s="1332"/>
      <c r="EW73" s="1332"/>
      <c r="EX73" s="1332"/>
      <c r="EY73" s="1332"/>
      <c r="EZ73" s="1332"/>
      <c r="FA73" s="1332"/>
      <c r="FB73" s="1332"/>
      <c r="FC73" s="1332"/>
      <c r="FD73" s="1332"/>
      <c r="FE73" s="1332"/>
      <c r="FF73" s="1332"/>
      <c r="FG73" s="1332"/>
      <c r="FH73" s="1332"/>
      <c r="FI73" s="1332"/>
      <c r="FJ73" s="1332"/>
      <c r="FK73" s="1332"/>
      <c r="FL73" s="1332"/>
      <c r="FM73" s="1332"/>
      <c r="FN73" s="1332"/>
      <c r="FO73" s="1332"/>
      <c r="FP73" s="1332"/>
      <c r="FQ73" s="1332"/>
      <c r="FR73" s="1332"/>
      <c r="FS73" s="1332"/>
      <c r="FT73" s="1332"/>
      <c r="FU73" s="1332"/>
      <c r="FV73" s="1332"/>
      <c r="FW73" s="1332"/>
      <c r="FX73" s="1332"/>
      <c r="FY73" s="1332"/>
      <c r="FZ73" s="1332"/>
      <c r="GA73" s="1332"/>
      <c r="GB73" s="1332"/>
      <c r="GC73" s="1332"/>
      <c r="GD73" s="1332"/>
      <c r="GE73" s="1332"/>
      <c r="GF73" s="1332"/>
      <c r="GG73" s="1332"/>
      <c r="GH73" s="1332"/>
      <c r="GI73" s="1332"/>
      <c r="GJ73" s="1332"/>
      <c r="GK73" s="1332"/>
      <c r="GL73" s="1332"/>
      <c r="GM73" s="1332"/>
      <c r="GN73" s="1332"/>
      <c r="GO73" s="1332"/>
      <c r="GP73" s="1332"/>
      <c r="GQ73" s="1332"/>
      <c r="GR73" s="1332"/>
      <c r="GS73" s="1332"/>
      <c r="GT73" s="1332"/>
      <c r="GU73" s="1332"/>
      <c r="GV73" s="1332"/>
      <c r="GW73" s="1332"/>
      <c r="GX73" s="1332"/>
      <c r="GY73" s="1332"/>
      <c r="GZ73" s="1332"/>
      <c r="HA73" s="1332"/>
      <c r="HB73" s="1332"/>
      <c r="HC73" s="1332"/>
      <c r="HD73" s="1332"/>
      <c r="HE73" s="1332"/>
      <c r="HF73" s="1332"/>
      <c r="HG73" s="1332"/>
      <c r="HH73" s="1332"/>
      <c r="HI73" s="1332"/>
      <c r="HJ73" s="1332"/>
      <c r="HK73" s="1332"/>
      <c r="HL73" s="1332"/>
      <c r="HM73" s="1332"/>
      <c r="HN73" s="1332"/>
      <c r="HO73" s="1332"/>
      <c r="HP73" s="1332"/>
      <c r="HQ73" s="1332"/>
      <c r="HR73" s="1332"/>
      <c r="HS73" s="1332"/>
      <c r="HT73" s="1332"/>
      <c r="HU73" s="1332"/>
      <c r="HV73" s="1332"/>
      <c r="HW73" s="1332"/>
      <c r="HX73" s="1332"/>
      <c r="HY73" s="1332"/>
      <c r="HZ73" s="1332"/>
      <c r="IA73" s="1332"/>
      <c r="IB73" s="1332"/>
      <c r="IC73" s="1332"/>
      <c r="ID73" s="1332"/>
      <c r="IE73" s="1332"/>
      <c r="IF73" s="1332"/>
      <c r="IG73" s="1332"/>
      <c r="IH73" s="1332"/>
      <c r="II73" s="1332"/>
      <c r="IJ73" s="1332"/>
      <c r="IK73" s="1332"/>
      <c r="IL73" s="1332"/>
      <c r="IM73" s="1332"/>
      <c r="IN73" s="1332"/>
      <c r="IO73" s="1332"/>
      <c r="IP73" s="1332"/>
      <c r="IQ73" s="1332"/>
      <c r="IR73" s="1332"/>
      <c r="IS73" s="1332"/>
      <c r="IT73" s="1332"/>
      <c r="IU73" s="1332"/>
      <c r="IV73" s="1332"/>
      <c r="IW73" s="1332"/>
      <c r="IX73" s="1332"/>
      <c r="IY73" s="1332"/>
      <c r="IZ73" s="1332"/>
      <c r="JA73" s="1332"/>
      <c r="JB73" s="1332"/>
      <c r="JC73" s="1332"/>
      <c r="JD73" s="1332"/>
      <c r="JE73" s="1332"/>
      <c r="JF73" s="1332"/>
      <c r="JG73" s="1332"/>
      <c r="JH73" s="1332"/>
      <c r="JI73" s="1332"/>
      <c r="JJ73" s="1332"/>
      <c r="JK73" s="1332"/>
      <c r="JL73" s="1332"/>
      <c r="JM73" s="1332"/>
      <c r="JN73" s="1332"/>
      <c r="JO73" s="1332"/>
      <c r="JP73" s="1332"/>
      <c r="JQ73" s="1332"/>
      <c r="JR73" s="1332"/>
      <c r="JS73" s="1332"/>
      <c r="JT73" s="1332"/>
      <c r="JU73" s="1332"/>
      <c r="JV73" s="1332"/>
    </row>
    <row r="74" spans="1:282" s="787" customFormat="1" ht="29.25" customHeight="1" collapsed="1">
      <c r="A74" s="1347" t="s">
        <v>230</v>
      </c>
      <c r="B74" s="320" t="s">
        <v>1786</v>
      </c>
      <c r="C74" s="1344"/>
      <c r="D74" s="1346">
        <v>1019004</v>
      </c>
      <c r="E74" s="1346">
        <v>1010785</v>
      </c>
      <c r="F74" s="1346">
        <v>8219</v>
      </c>
      <c r="G74" s="1346">
        <f>G75</f>
        <v>1230688</v>
      </c>
      <c r="H74" s="1346">
        <f t="shared" si="13"/>
        <v>1191688</v>
      </c>
      <c r="I74" s="1346">
        <f t="shared" ref="I74:M74" si="14">I75</f>
        <v>1191688</v>
      </c>
      <c r="J74" s="1346">
        <f t="shared" si="14"/>
        <v>0</v>
      </c>
      <c r="K74" s="1346">
        <f t="shared" ref="K74:K80" si="15">I74-E74</f>
        <v>180903</v>
      </c>
      <c r="L74" s="1346">
        <f>L75</f>
        <v>0</v>
      </c>
      <c r="M74" s="1346">
        <f t="shared" si="14"/>
        <v>39000</v>
      </c>
      <c r="N74" s="1332"/>
      <c r="O74" s="1334"/>
      <c r="P74" s="1333"/>
      <c r="Q74" s="1332"/>
      <c r="R74" s="1332"/>
      <c r="S74" s="1332"/>
      <c r="T74" s="1332"/>
      <c r="U74" s="1332"/>
      <c r="V74" s="1332"/>
      <c r="W74" s="1332"/>
      <c r="X74" s="1332"/>
      <c r="Y74" s="1332"/>
      <c r="Z74" s="1332"/>
      <c r="AA74" s="1332"/>
      <c r="AB74" s="1332"/>
      <c r="AC74" s="1332"/>
      <c r="AD74" s="1332"/>
      <c r="AE74" s="1332"/>
      <c r="AF74" s="1332"/>
      <c r="AG74" s="1332"/>
      <c r="AH74" s="1332"/>
      <c r="AI74" s="1332"/>
      <c r="AJ74" s="1332"/>
      <c r="AK74" s="1332"/>
      <c r="AL74" s="1332"/>
      <c r="AM74" s="1332"/>
      <c r="AN74" s="1332"/>
      <c r="AO74" s="1332"/>
      <c r="AP74" s="1332"/>
      <c r="AQ74" s="1332"/>
      <c r="AR74" s="1332"/>
      <c r="AS74" s="1332"/>
      <c r="AT74" s="1332"/>
      <c r="AU74" s="1332"/>
      <c r="AV74" s="1332"/>
      <c r="AW74" s="1332"/>
      <c r="AX74" s="1332"/>
      <c r="AY74" s="1332"/>
      <c r="AZ74" s="1332"/>
      <c r="BA74" s="1332"/>
      <c r="BB74" s="1332"/>
      <c r="BC74" s="1332"/>
      <c r="BD74" s="1332"/>
      <c r="BE74" s="1332"/>
      <c r="BF74" s="1332"/>
      <c r="BG74" s="1332"/>
      <c r="BH74" s="1332"/>
      <c r="BI74" s="1332"/>
      <c r="BJ74" s="1332"/>
      <c r="BK74" s="1332"/>
      <c r="BL74" s="1332"/>
      <c r="BM74" s="1332"/>
      <c r="BN74" s="1332"/>
      <c r="BO74" s="1332"/>
      <c r="BP74" s="1332"/>
      <c r="BQ74" s="1332"/>
      <c r="BR74" s="1332"/>
      <c r="BS74" s="1332"/>
      <c r="BT74" s="1332"/>
      <c r="BU74" s="1332"/>
      <c r="BV74" s="1332"/>
      <c r="BW74" s="1332"/>
      <c r="BX74" s="1332"/>
      <c r="BY74" s="1332"/>
      <c r="BZ74" s="1332"/>
      <c r="CA74" s="1332"/>
      <c r="CB74" s="1332"/>
      <c r="CC74" s="1332"/>
      <c r="CD74" s="1332"/>
      <c r="CE74" s="1332"/>
      <c r="CF74" s="1332"/>
      <c r="CG74" s="1332"/>
      <c r="CH74" s="1332"/>
      <c r="CI74" s="1332"/>
      <c r="CJ74" s="1332"/>
      <c r="CK74" s="1332"/>
      <c r="CL74" s="1332"/>
      <c r="CM74" s="1332"/>
      <c r="CN74" s="1332"/>
      <c r="CO74" s="1332"/>
      <c r="CP74" s="1332"/>
      <c r="CQ74" s="1332"/>
      <c r="CR74" s="1332"/>
      <c r="CS74" s="1332"/>
      <c r="CT74" s="1332"/>
      <c r="CU74" s="1332"/>
      <c r="CV74" s="1332"/>
      <c r="CW74" s="1332"/>
      <c r="CX74" s="1332"/>
      <c r="CY74" s="1332"/>
      <c r="CZ74" s="1332"/>
      <c r="DA74" s="1332"/>
      <c r="DB74" s="1332"/>
      <c r="DC74" s="1332"/>
      <c r="DD74" s="1332"/>
      <c r="DE74" s="1332"/>
      <c r="DF74" s="1332"/>
      <c r="DG74" s="1332"/>
      <c r="DH74" s="1332"/>
      <c r="DI74" s="1332"/>
      <c r="DJ74" s="1332"/>
      <c r="DK74" s="1332"/>
      <c r="DL74" s="1332"/>
      <c r="DM74" s="1332"/>
      <c r="DN74" s="1332"/>
      <c r="DO74" s="1332"/>
      <c r="DP74" s="1332"/>
      <c r="DQ74" s="1332"/>
      <c r="DR74" s="1332"/>
      <c r="DS74" s="1332"/>
      <c r="DT74" s="1332"/>
      <c r="DU74" s="1332"/>
      <c r="DV74" s="1332"/>
      <c r="DW74" s="1332"/>
      <c r="DX74" s="1332"/>
      <c r="DY74" s="1332"/>
      <c r="DZ74" s="1332"/>
      <c r="EA74" s="1332"/>
      <c r="EB74" s="1332"/>
      <c r="EC74" s="1332"/>
      <c r="ED74" s="1332"/>
      <c r="EE74" s="1332"/>
      <c r="EF74" s="1332"/>
      <c r="EG74" s="1332"/>
      <c r="EH74" s="1332"/>
      <c r="EI74" s="1332"/>
      <c r="EJ74" s="1332"/>
      <c r="EK74" s="1332"/>
      <c r="EL74" s="1332"/>
      <c r="EM74" s="1332"/>
      <c r="EN74" s="1332"/>
      <c r="EO74" s="1332"/>
      <c r="EP74" s="1332"/>
      <c r="EQ74" s="1332"/>
      <c r="ER74" s="1332"/>
      <c r="ES74" s="1332"/>
      <c r="ET74" s="1332"/>
      <c r="EU74" s="1332"/>
      <c r="EV74" s="1332"/>
      <c r="EW74" s="1332"/>
      <c r="EX74" s="1332"/>
      <c r="EY74" s="1332"/>
      <c r="EZ74" s="1332"/>
      <c r="FA74" s="1332"/>
      <c r="FB74" s="1332"/>
      <c r="FC74" s="1332"/>
      <c r="FD74" s="1332"/>
      <c r="FE74" s="1332"/>
      <c r="FF74" s="1332"/>
      <c r="FG74" s="1332"/>
      <c r="FH74" s="1332"/>
      <c r="FI74" s="1332"/>
      <c r="FJ74" s="1332"/>
      <c r="FK74" s="1332"/>
      <c r="FL74" s="1332"/>
      <c r="FM74" s="1332"/>
      <c r="FN74" s="1332"/>
      <c r="FO74" s="1332"/>
      <c r="FP74" s="1332"/>
      <c r="FQ74" s="1332"/>
      <c r="FR74" s="1332"/>
      <c r="FS74" s="1332"/>
      <c r="FT74" s="1332"/>
      <c r="FU74" s="1332"/>
      <c r="FV74" s="1332"/>
      <c r="FW74" s="1332"/>
      <c r="FX74" s="1332"/>
      <c r="FY74" s="1332"/>
      <c r="FZ74" s="1332"/>
      <c r="GA74" s="1332"/>
      <c r="GB74" s="1332"/>
      <c r="GC74" s="1332"/>
      <c r="GD74" s="1332"/>
      <c r="GE74" s="1332"/>
      <c r="GF74" s="1332"/>
      <c r="GG74" s="1332"/>
      <c r="GH74" s="1332"/>
      <c r="GI74" s="1332"/>
      <c r="GJ74" s="1332"/>
      <c r="GK74" s="1332"/>
      <c r="GL74" s="1332"/>
      <c r="GM74" s="1332"/>
      <c r="GN74" s="1332"/>
      <c r="GO74" s="1332"/>
      <c r="GP74" s="1332"/>
      <c r="GQ74" s="1332"/>
      <c r="GR74" s="1332"/>
      <c r="GS74" s="1332"/>
      <c r="GT74" s="1332"/>
      <c r="GU74" s="1332"/>
      <c r="GV74" s="1332"/>
      <c r="GW74" s="1332"/>
      <c r="GX74" s="1332"/>
      <c r="GY74" s="1332"/>
      <c r="GZ74" s="1332"/>
      <c r="HA74" s="1332"/>
      <c r="HB74" s="1332"/>
      <c r="HC74" s="1332"/>
      <c r="HD74" s="1332"/>
      <c r="HE74" s="1332"/>
      <c r="HF74" s="1332"/>
      <c r="HG74" s="1332"/>
      <c r="HH74" s="1332"/>
      <c r="HI74" s="1332"/>
      <c r="HJ74" s="1332"/>
      <c r="HK74" s="1332"/>
      <c r="HL74" s="1332"/>
      <c r="HM74" s="1332"/>
      <c r="HN74" s="1332"/>
      <c r="HO74" s="1332"/>
      <c r="HP74" s="1332"/>
      <c r="HQ74" s="1332"/>
      <c r="HR74" s="1332"/>
      <c r="HS74" s="1332"/>
      <c r="HT74" s="1332"/>
      <c r="HU74" s="1332"/>
      <c r="HV74" s="1332"/>
      <c r="HW74" s="1332"/>
      <c r="HX74" s="1332"/>
      <c r="HY74" s="1332"/>
      <c r="HZ74" s="1332"/>
      <c r="IA74" s="1332"/>
      <c r="IB74" s="1332"/>
      <c r="IC74" s="1332"/>
      <c r="ID74" s="1332"/>
      <c r="IE74" s="1332"/>
      <c r="IF74" s="1332"/>
      <c r="IG74" s="1332"/>
      <c r="IH74" s="1332"/>
      <c r="II74" s="1332"/>
      <c r="IJ74" s="1332"/>
      <c r="IK74" s="1332"/>
      <c r="IL74" s="1332"/>
      <c r="IM74" s="1332"/>
      <c r="IN74" s="1332"/>
      <c r="IO74" s="1332"/>
      <c r="IP74" s="1332"/>
      <c r="IQ74" s="1332"/>
      <c r="IR74" s="1332"/>
      <c r="IS74" s="1332"/>
      <c r="IT74" s="1332"/>
      <c r="IU74" s="1332"/>
      <c r="IV74" s="1332"/>
      <c r="IW74" s="1332"/>
      <c r="IX74" s="1332"/>
      <c r="IY74" s="1332"/>
      <c r="IZ74" s="1332"/>
      <c r="JA74" s="1332"/>
      <c r="JB74" s="1332"/>
      <c r="JC74" s="1332"/>
      <c r="JD74" s="1332"/>
      <c r="JE74" s="1332"/>
      <c r="JF74" s="1332"/>
      <c r="JG74" s="1332"/>
      <c r="JH74" s="1332"/>
      <c r="JI74" s="1332"/>
      <c r="JJ74" s="1332"/>
      <c r="JK74" s="1332"/>
      <c r="JL74" s="1332"/>
      <c r="JM74" s="1332"/>
      <c r="JN74" s="1332"/>
      <c r="JO74" s="1332"/>
      <c r="JP74" s="1332"/>
      <c r="JQ74" s="1332"/>
      <c r="JR74" s="1332"/>
      <c r="JS74" s="1332"/>
      <c r="JT74" s="1332"/>
      <c r="JU74" s="1332"/>
      <c r="JV74" s="1332"/>
    </row>
    <row r="75" spans="1:282" s="787" customFormat="1" ht="69.75" customHeight="1">
      <c r="A75" s="1347" t="s">
        <v>18</v>
      </c>
      <c r="B75" s="646" t="s">
        <v>2516</v>
      </c>
      <c r="C75" s="1344"/>
      <c r="D75" s="1346">
        <v>1019004</v>
      </c>
      <c r="E75" s="1346">
        <v>1010785</v>
      </c>
      <c r="F75" s="1346">
        <v>8219</v>
      </c>
      <c r="G75" s="1350">
        <f t="shared" ref="G75:H75" si="16">G76+G77+G78+G79</f>
        <v>1230688</v>
      </c>
      <c r="H75" s="1350">
        <f t="shared" si="16"/>
        <v>1191688</v>
      </c>
      <c r="I75" s="1350">
        <f>I76+I77+I78+I79</f>
        <v>1191688</v>
      </c>
      <c r="J75" s="1350">
        <f t="shared" ref="J75:M75" si="17">J76+J77+J78+J79</f>
        <v>0</v>
      </c>
      <c r="K75" s="1350">
        <f t="shared" si="17"/>
        <v>-111395</v>
      </c>
      <c r="L75" s="1350">
        <f t="shared" si="17"/>
        <v>0</v>
      </c>
      <c r="M75" s="1350">
        <f t="shared" si="17"/>
        <v>39000</v>
      </c>
      <c r="N75" s="1332"/>
      <c r="O75" s="1334"/>
      <c r="P75" s="1333"/>
      <c r="Q75" s="1332"/>
      <c r="R75" s="1332"/>
      <c r="S75" s="1332"/>
      <c r="T75" s="1332"/>
      <c r="U75" s="1332"/>
      <c r="V75" s="1332"/>
      <c r="W75" s="1332"/>
      <c r="X75" s="1332"/>
      <c r="Y75" s="1332"/>
      <c r="Z75" s="1332"/>
      <c r="AA75" s="1332"/>
      <c r="AB75" s="1332"/>
      <c r="AC75" s="1332"/>
      <c r="AD75" s="1332"/>
      <c r="AE75" s="1332"/>
      <c r="AF75" s="1332"/>
      <c r="AG75" s="1332"/>
      <c r="AH75" s="1332"/>
      <c r="AI75" s="1332"/>
      <c r="AJ75" s="1332"/>
      <c r="AK75" s="1332"/>
      <c r="AL75" s="1332"/>
      <c r="AM75" s="1332"/>
      <c r="AN75" s="1332"/>
      <c r="AO75" s="1332"/>
      <c r="AP75" s="1332"/>
      <c r="AQ75" s="1332"/>
      <c r="AR75" s="1332"/>
      <c r="AS75" s="1332"/>
      <c r="AT75" s="1332"/>
      <c r="AU75" s="1332"/>
      <c r="AV75" s="1332"/>
      <c r="AW75" s="1332"/>
      <c r="AX75" s="1332"/>
      <c r="AY75" s="1332"/>
      <c r="AZ75" s="1332"/>
      <c r="BA75" s="1332"/>
      <c r="BB75" s="1332"/>
      <c r="BC75" s="1332"/>
      <c r="BD75" s="1332"/>
      <c r="BE75" s="1332"/>
      <c r="BF75" s="1332"/>
      <c r="BG75" s="1332"/>
      <c r="BH75" s="1332"/>
      <c r="BI75" s="1332"/>
      <c r="BJ75" s="1332"/>
      <c r="BK75" s="1332"/>
      <c r="BL75" s="1332"/>
      <c r="BM75" s="1332"/>
      <c r="BN75" s="1332"/>
      <c r="BO75" s="1332"/>
      <c r="BP75" s="1332"/>
      <c r="BQ75" s="1332"/>
      <c r="BR75" s="1332"/>
      <c r="BS75" s="1332"/>
      <c r="BT75" s="1332"/>
      <c r="BU75" s="1332"/>
      <c r="BV75" s="1332"/>
      <c r="BW75" s="1332"/>
      <c r="BX75" s="1332"/>
      <c r="BY75" s="1332"/>
      <c r="BZ75" s="1332"/>
      <c r="CA75" s="1332"/>
      <c r="CB75" s="1332"/>
      <c r="CC75" s="1332"/>
      <c r="CD75" s="1332"/>
      <c r="CE75" s="1332"/>
      <c r="CF75" s="1332"/>
      <c r="CG75" s="1332"/>
      <c r="CH75" s="1332"/>
      <c r="CI75" s="1332"/>
      <c r="CJ75" s="1332"/>
      <c r="CK75" s="1332"/>
      <c r="CL75" s="1332"/>
      <c r="CM75" s="1332"/>
      <c r="CN75" s="1332"/>
      <c r="CO75" s="1332"/>
      <c r="CP75" s="1332"/>
      <c r="CQ75" s="1332"/>
      <c r="CR75" s="1332"/>
      <c r="CS75" s="1332"/>
      <c r="CT75" s="1332"/>
      <c r="CU75" s="1332"/>
      <c r="CV75" s="1332"/>
      <c r="CW75" s="1332"/>
      <c r="CX75" s="1332"/>
      <c r="CY75" s="1332"/>
      <c r="CZ75" s="1332"/>
      <c r="DA75" s="1332"/>
      <c r="DB75" s="1332"/>
      <c r="DC75" s="1332"/>
      <c r="DD75" s="1332"/>
      <c r="DE75" s="1332"/>
      <c r="DF75" s="1332"/>
      <c r="DG75" s="1332"/>
      <c r="DH75" s="1332"/>
      <c r="DI75" s="1332"/>
      <c r="DJ75" s="1332"/>
      <c r="DK75" s="1332"/>
      <c r="DL75" s="1332"/>
      <c r="DM75" s="1332"/>
      <c r="DN75" s="1332"/>
      <c r="DO75" s="1332"/>
      <c r="DP75" s="1332"/>
      <c r="DQ75" s="1332"/>
      <c r="DR75" s="1332"/>
      <c r="DS75" s="1332"/>
      <c r="DT75" s="1332"/>
      <c r="DU75" s="1332"/>
      <c r="DV75" s="1332"/>
      <c r="DW75" s="1332"/>
      <c r="DX75" s="1332"/>
      <c r="DY75" s="1332"/>
      <c r="DZ75" s="1332"/>
      <c r="EA75" s="1332"/>
      <c r="EB75" s="1332"/>
      <c r="EC75" s="1332"/>
      <c r="ED75" s="1332"/>
      <c r="EE75" s="1332"/>
      <c r="EF75" s="1332"/>
      <c r="EG75" s="1332"/>
      <c r="EH75" s="1332"/>
      <c r="EI75" s="1332"/>
      <c r="EJ75" s="1332"/>
      <c r="EK75" s="1332"/>
      <c r="EL75" s="1332"/>
      <c r="EM75" s="1332"/>
      <c r="EN75" s="1332"/>
      <c r="EO75" s="1332"/>
      <c r="EP75" s="1332"/>
      <c r="EQ75" s="1332"/>
      <c r="ER75" s="1332"/>
      <c r="ES75" s="1332"/>
      <c r="ET75" s="1332"/>
      <c r="EU75" s="1332"/>
      <c r="EV75" s="1332"/>
      <c r="EW75" s="1332"/>
      <c r="EX75" s="1332"/>
      <c r="EY75" s="1332"/>
      <c r="EZ75" s="1332"/>
      <c r="FA75" s="1332"/>
      <c r="FB75" s="1332"/>
      <c r="FC75" s="1332"/>
      <c r="FD75" s="1332"/>
      <c r="FE75" s="1332"/>
      <c r="FF75" s="1332"/>
      <c r="FG75" s="1332"/>
      <c r="FH75" s="1332"/>
      <c r="FI75" s="1332"/>
      <c r="FJ75" s="1332"/>
      <c r="FK75" s="1332"/>
      <c r="FL75" s="1332"/>
      <c r="FM75" s="1332"/>
      <c r="FN75" s="1332"/>
      <c r="FO75" s="1332"/>
      <c r="FP75" s="1332"/>
      <c r="FQ75" s="1332"/>
      <c r="FR75" s="1332"/>
      <c r="FS75" s="1332"/>
      <c r="FT75" s="1332"/>
      <c r="FU75" s="1332"/>
      <c r="FV75" s="1332"/>
      <c r="FW75" s="1332"/>
      <c r="FX75" s="1332"/>
      <c r="FY75" s="1332"/>
      <c r="FZ75" s="1332"/>
      <c r="GA75" s="1332"/>
      <c r="GB75" s="1332"/>
      <c r="GC75" s="1332"/>
      <c r="GD75" s="1332"/>
      <c r="GE75" s="1332"/>
      <c r="GF75" s="1332"/>
      <c r="GG75" s="1332"/>
      <c r="GH75" s="1332"/>
      <c r="GI75" s="1332"/>
      <c r="GJ75" s="1332"/>
      <c r="GK75" s="1332"/>
      <c r="GL75" s="1332"/>
      <c r="GM75" s="1332"/>
      <c r="GN75" s="1332"/>
      <c r="GO75" s="1332"/>
      <c r="GP75" s="1332"/>
      <c r="GQ75" s="1332"/>
      <c r="GR75" s="1332"/>
      <c r="GS75" s="1332"/>
      <c r="GT75" s="1332"/>
      <c r="GU75" s="1332"/>
      <c r="GV75" s="1332"/>
      <c r="GW75" s="1332"/>
      <c r="GX75" s="1332"/>
      <c r="GY75" s="1332"/>
      <c r="GZ75" s="1332"/>
      <c r="HA75" s="1332"/>
      <c r="HB75" s="1332"/>
      <c r="HC75" s="1332"/>
      <c r="HD75" s="1332"/>
      <c r="HE75" s="1332"/>
      <c r="HF75" s="1332"/>
      <c r="HG75" s="1332"/>
      <c r="HH75" s="1332"/>
      <c r="HI75" s="1332"/>
      <c r="HJ75" s="1332"/>
      <c r="HK75" s="1332"/>
      <c r="HL75" s="1332"/>
      <c r="HM75" s="1332"/>
      <c r="HN75" s="1332"/>
      <c r="HO75" s="1332"/>
      <c r="HP75" s="1332"/>
      <c r="HQ75" s="1332"/>
      <c r="HR75" s="1332"/>
      <c r="HS75" s="1332"/>
      <c r="HT75" s="1332"/>
      <c r="HU75" s="1332"/>
      <c r="HV75" s="1332"/>
      <c r="HW75" s="1332"/>
      <c r="HX75" s="1332"/>
      <c r="HY75" s="1332"/>
      <c r="HZ75" s="1332"/>
      <c r="IA75" s="1332"/>
      <c r="IB75" s="1332"/>
      <c r="IC75" s="1332"/>
      <c r="ID75" s="1332"/>
      <c r="IE75" s="1332"/>
      <c r="IF75" s="1332"/>
      <c r="IG75" s="1332"/>
      <c r="IH75" s="1332"/>
      <c r="II75" s="1332"/>
      <c r="IJ75" s="1332"/>
      <c r="IK75" s="1332"/>
      <c r="IL75" s="1332"/>
      <c r="IM75" s="1332"/>
      <c r="IN75" s="1332"/>
      <c r="IO75" s="1332"/>
      <c r="IP75" s="1332"/>
      <c r="IQ75" s="1332"/>
      <c r="IR75" s="1332"/>
      <c r="IS75" s="1332"/>
      <c r="IT75" s="1332"/>
      <c r="IU75" s="1332"/>
      <c r="IV75" s="1332"/>
      <c r="IW75" s="1332"/>
      <c r="IX75" s="1332"/>
      <c r="IY75" s="1332"/>
      <c r="IZ75" s="1332"/>
      <c r="JA75" s="1332"/>
      <c r="JB75" s="1332"/>
      <c r="JC75" s="1332"/>
      <c r="JD75" s="1332"/>
      <c r="JE75" s="1332"/>
      <c r="JF75" s="1332"/>
      <c r="JG75" s="1332"/>
      <c r="JH75" s="1332"/>
      <c r="JI75" s="1332"/>
      <c r="JJ75" s="1332"/>
      <c r="JK75" s="1332"/>
      <c r="JL75" s="1332"/>
      <c r="JM75" s="1332"/>
      <c r="JN75" s="1332"/>
      <c r="JO75" s="1332"/>
      <c r="JP75" s="1332"/>
      <c r="JQ75" s="1332"/>
      <c r="JR75" s="1332"/>
      <c r="JS75" s="1332"/>
      <c r="JT75" s="1332"/>
      <c r="JU75" s="1332"/>
      <c r="JV75" s="1332"/>
    </row>
    <row r="76" spans="1:282" ht="27.6">
      <c r="A76" s="849"/>
      <c r="B76" s="850" t="s">
        <v>368</v>
      </c>
      <c r="C76" s="1353"/>
      <c r="D76" s="846">
        <v>236619</v>
      </c>
      <c r="E76" s="846">
        <v>236619</v>
      </c>
      <c r="F76" s="1350"/>
      <c r="G76" s="1350">
        <f>H76+M76</f>
        <v>131571</v>
      </c>
      <c r="H76" s="1350">
        <f t="shared" si="13"/>
        <v>131571</v>
      </c>
      <c r="I76" s="1350">
        <f>'Bieu 07 TT'!F1107</f>
        <v>131571</v>
      </c>
      <c r="J76" s="847"/>
      <c r="K76" s="1350">
        <f t="shared" si="15"/>
        <v>-105048</v>
      </c>
      <c r="L76" s="1350"/>
      <c r="M76" s="1350"/>
    </row>
    <row r="77" spans="1:282" ht="69">
      <c r="A77" s="849"/>
      <c r="B77" s="646" t="s">
        <v>369</v>
      </c>
      <c r="C77" s="1353"/>
      <c r="D77" s="846">
        <v>112873</v>
      </c>
      <c r="E77" s="846">
        <v>104654</v>
      </c>
      <c r="F77" s="1350">
        <v>8219</v>
      </c>
      <c r="G77" s="1350">
        <f>H77+M77</f>
        <v>130593</v>
      </c>
      <c r="H77" s="1350">
        <f t="shared" si="13"/>
        <v>91593</v>
      </c>
      <c r="I77" s="1350">
        <f>'Bieu 07 TT'!F1108</f>
        <v>91593</v>
      </c>
      <c r="J77" s="847"/>
      <c r="K77" s="1350">
        <f t="shared" si="15"/>
        <v>-13061</v>
      </c>
      <c r="L77" s="1350"/>
      <c r="M77" s="1350">
        <v>39000</v>
      </c>
    </row>
    <row r="78" spans="1:282" ht="27.6">
      <c r="A78" s="849"/>
      <c r="B78" s="850" t="s">
        <v>1392</v>
      </c>
      <c r="C78" s="1353"/>
      <c r="D78" s="846">
        <v>15839</v>
      </c>
      <c r="E78" s="846">
        <v>15839</v>
      </c>
      <c r="F78" s="1350"/>
      <c r="G78" s="1350">
        <f>H78+M78</f>
        <v>22553</v>
      </c>
      <c r="H78" s="1350">
        <f t="shared" si="13"/>
        <v>22553</v>
      </c>
      <c r="I78" s="1350">
        <f>'Bieu 07 TT'!F1109</f>
        <v>22553</v>
      </c>
      <c r="J78" s="847"/>
      <c r="K78" s="1350">
        <f t="shared" si="15"/>
        <v>6714</v>
      </c>
      <c r="L78" s="1350"/>
      <c r="M78" s="1350"/>
    </row>
    <row r="79" spans="1:282">
      <c r="A79" s="1225"/>
      <c r="B79" s="850" t="s">
        <v>2406</v>
      </c>
      <c r="C79" s="1359"/>
      <c r="D79" s="1226"/>
      <c r="E79" s="1226"/>
      <c r="F79" s="1360"/>
      <c r="G79" s="1350">
        <f>H79+M79</f>
        <v>945971</v>
      </c>
      <c r="H79" s="1350">
        <f t="shared" si="13"/>
        <v>945971</v>
      </c>
      <c r="I79" s="1360">
        <v>945971</v>
      </c>
      <c r="J79" s="1227"/>
      <c r="K79" s="1360"/>
      <c r="L79" s="1360"/>
      <c r="M79" s="1360"/>
    </row>
    <row r="80" spans="1:282" s="787" customFormat="1" ht="29.25" customHeight="1" collapsed="1">
      <c r="A80" s="1361" t="s">
        <v>69</v>
      </c>
      <c r="B80" s="851" t="s">
        <v>779</v>
      </c>
      <c r="C80" s="1362"/>
      <c r="D80" s="1363">
        <v>48400</v>
      </c>
      <c r="E80" s="1363">
        <v>48400</v>
      </c>
      <c r="F80" s="1363"/>
      <c r="G80" s="1363">
        <f>H80+M80</f>
        <v>68500</v>
      </c>
      <c r="H80" s="1363">
        <f t="shared" si="13"/>
        <v>68500</v>
      </c>
      <c r="I80" s="1363">
        <f>'Bieu 07 TT'!Z1110</f>
        <v>68500</v>
      </c>
      <c r="J80" s="1363">
        <f>IF(E80=0,0,I80/E80*100)</f>
        <v>141.52892561983469</v>
      </c>
      <c r="K80" s="1363">
        <f t="shared" si="15"/>
        <v>20100</v>
      </c>
      <c r="L80" s="1363"/>
      <c r="M80" s="1363"/>
      <c r="N80" s="1332"/>
      <c r="O80" s="1334"/>
      <c r="P80" s="1333"/>
      <c r="Q80" s="1332"/>
      <c r="R80" s="1332"/>
      <c r="S80" s="1332"/>
      <c r="T80" s="1332"/>
      <c r="U80" s="1332"/>
      <c r="V80" s="1332"/>
      <c r="W80" s="1332"/>
      <c r="X80" s="1332"/>
      <c r="Y80" s="1332"/>
      <c r="Z80" s="1332"/>
      <c r="AA80" s="1332"/>
      <c r="AB80" s="1332"/>
      <c r="AC80" s="1332"/>
      <c r="AD80" s="1332"/>
      <c r="AE80" s="1332"/>
      <c r="AF80" s="1332"/>
      <c r="AG80" s="1332"/>
      <c r="AH80" s="1332"/>
      <c r="AI80" s="1332"/>
      <c r="AJ80" s="1332"/>
      <c r="AK80" s="1332"/>
      <c r="AL80" s="1332"/>
      <c r="AM80" s="1332"/>
      <c r="AN80" s="1332"/>
      <c r="AO80" s="1332"/>
      <c r="AP80" s="1332"/>
      <c r="AQ80" s="1332"/>
      <c r="AR80" s="1332"/>
      <c r="AS80" s="1332"/>
      <c r="AT80" s="1332"/>
      <c r="AU80" s="1332"/>
      <c r="AV80" s="1332"/>
      <c r="AW80" s="1332"/>
      <c r="AX80" s="1332"/>
      <c r="AY80" s="1332"/>
      <c r="AZ80" s="1332"/>
      <c r="BA80" s="1332"/>
      <c r="BB80" s="1332"/>
      <c r="BC80" s="1332"/>
      <c r="BD80" s="1332"/>
      <c r="BE80" s="1332"/>
      <c r="BF80" s="1332"/>
      <c r="BG80" s="1332"/>
      <c r="BH80" s="1332"/>
      <c r="BI80" s="1332"/>
      <c r="BJ80" s="1332"/>
      <c r="BK80" s="1332"/>
      <c r="BL80" s="1332"/>
      <c r="BM80" s="1332"/>
      <c r="BN80" s="1332"/>
      <c r="BO80" s="1332"/>
      <c r="BP80" s="1332"/>
      <c r="BQ80" s="1332"/>
      <c r="BR80" s="1332"/>
      <c r="BS80" s="1332"/>
      <c r="BT80" s="1332"/>
      <c r="BU80" s="1332"/>
      <c r="BV80" s="1332"/>
      <c r="BW80" s="1332"/>
      <c r="BX80" s="1332"/>
      <c r="BY80" s="1332"/>
      <c r="BZ80" s="1332"/>
      <c r="CA80" s="1332"/>
      <c r="CB80" s="1332"/>
      <c r="CC80" s="1332"/>
      <c r="CD80" s="1332"/>
      <c r="CE80" s="1332"/>
      <c r="CF80" s="1332"/>
      <c r="CG80" s="1332"/>
      <c r="CH80" s="1332"/>
      <c r="CI80" s="1332"/>
      <c r="CJ80" s="1332"/>
      <c r="CK80" s="1332"/>
      <c r="CL80" s="1332"/>
      <c r="CM80" s="1332"/>
      <c r="CN80" s="1332"/>
      <c r="CO80" s="1332"/>
      <c r="CP80" s="1332"/>
      <c r="CQ80" s="1332"/>
      <c r="CR80" s="1332"/>
      <c r="CS80" s="1332"/>
      <c r="CT80" s="1332"/>
      <c r="CU80" s="1332"/>
      <c r="CV80" s="1332"/>
      <c r="CW80" s="1332"/>
      <c r="CX80" s="1332"/>
      <c r="CY80" s="1332"/>
      <c r="CZ80" s="1332"/>
      <c r="DA80" s="1332"/>
      <c r="DB80" s="1332"/>
      <c r="DC80" s="1332"/>
      <c r="DD80" s="1332"/>
      <c r="DE80" s="1332"/>
      <c r="DF80" s="1332"/>
      <c r="DG80" s="1332"/>
      <c r="DH80" s="1332"/>
      <c r="DI80" s="1332"/>
      <c r="DJ80" s="1332"/>
      <c r="DK80" s="1332"/>
      <c r="DL80" s="1332"/>
      <c r="DM80" s="1332"/>
      <c r="DN80" s="1332"/>
      <c r="DO80" s="1332"/>
      <c r="DP80" s="1332"/>
      <c r="DQ80" s="1332"/>
      <c r="DR80" s="1332"/>
      <c r="DS80" s="1332"/>
      <c r="DT80" s="1332"/>
      <c r="DU80" s="1332"/>
      <c r="DV80" s="1332"/>
      <c r="DW80" s="1332"/>
      <c r="DX80" s="1332"/>
      <c r="DY80" s="1332"/>
      <c r="DZ80" s="1332"/>
      <c r="EA80" s="1332"/>
      <c r="EB80" s="1332"/>
      <c r="EC80" s="1332"/>
      <c r="ED80" s="1332"/>
      <c r="EE80" s="1332"/>
      <c r="EF80" s="1332"/>
      <c r="EG80" s="1332"/>
      <c r="EH80" s="1332"/>
      <c r="EI80" s="1332"/>
      <c r="EJ80" s="1332"/>
      <c r="EK80" s="1332"/>
      <c r="EL80" s="1332"/>
      <c r="EM80" s="1332"/>
      <c r="EN80" s="1332"/>
      <c r="EO80" s="1332"/>
      <c r="EP80" s="1332"/>
      <c r="EQ80" s="1332"/>
      <c r="ER80" s="1332"/>
      <c r="ES80" s="1332"/>
      <c r="ET80" s="1332"/>
      <c r="EU80" s="1332"/>
      <c r="EV80" s="1332"/>
      <c r="EW80" s="1332"/>
      <c r="EX80" s="1332"/>
      <c r="EY80" s="1332"/>
      <c r="EZ80" s="1332"/>
      <c r="FA80" s="1332"/>
      <c r="FB80" s="1332"/>
      <c r="FC80" s="1332"/>
      <c r="FD80" s="1332"/>
      <c r="FE80" s="1332"/>
      <c r="FF80" s="1332"/>
      <c r="FG80" s="1332"/>
      <c r="FH80" s="1332"/>
      <c r="FI80" s="1332"/>
      <c r="FJ80" s="1332"/>
      <c r="FK80" s="1332"/>
      <c r="FL80" s="1332"/>
      <c r="FM80" s="1332"/>
      <c r="FN80" s="1332"/>
      <c r="FO80" s="1332"/>
      <c r="FP80" s="1332"/>
      <c r="FQ80" s="1332"/>
      <c r="FR80" s="1332"/>
      <c r="FS80" s="1332"/>
      <c r="FT80" s="1332"/>
      <c r="FU80" s="1332"/>
      <c r="FV80" s="1332"/>
      <c r="FW80" s="1332"/>
      <c r="FX80" s="1332"/>
      <c r="FY80" s="1332"/>
      <c r="FZ80" s="1332"/>
      <c r="GA80" s="1332"/>
      <c r="GB80" s="1332"/>
      <c r="GC80" s="1332"/>
      <c r="GD80" s="1332"/>
      <c r="GE80" s="1332"/>
      <c r="GF80" s="1332"/>
      <c r="GG80" s="1332"/>
      <c r="GH80" s="1332"/>
      <c r="GI80" s="1332"/>
      <c r="GJ80" s="1332"/>
      <c r="GK80" s="1332"/>
      <c r="GL80" s="1332"/>
      <c r="GM80" s="1332"/>
      <c r="GN80" s="1332"/>
      <c r="GO80" s="1332"/>
      <c r="GP80" s="1332"/>
      <c r="GQ80" s="1332"/>
      <c r="GR80" s="1332"/>
      <c r="GS80" s="1332"/>
      <c r="GT80" s="1332"/>
      <c r="GU80" s="1332"/>
      <c r="GV80" s="1332"/>
      <c r="GW80" s="1332"/>
      <c r="GX80" s="1332"/>
      <c r="GY80" s="1332"/>
      <c r="GZ80" s="1332"/>
      <c r="HA80" s="1332"/>
      <c r="HB80" s="1332"/>
      <c r="HC80" s="1332"/>
      <c r="HD80" s="1332"/>
      <c r="HE80" s="1332"/>
      <c r="HF80" s="1332"/>
      <c r="HG80" s="1332"/>
      <c r="HH80" s="1332"/>
      <c r="HI80" s="1332"/>
      <c r="HJ80" s="1332"/>
      <c r="HK80" s="1332"/>
      <c r="HL80" s="1332"/>
      <c r="HM80" s="1332"/>
      <c r="HN80" s="1332"/>
      <c r="HO80" s="1332"/>
      <c r="HP80" s="1332"/>
      <c r="HQ80" s="1332"/>
      <c r="HR80" s="1332"/>
      <c r="HS80" s="1332"/>
      <c r="HT80" s="1332"/>
      <c r="HU80" s="1332"/>
      <c r="HV80" s="1332"/>
      <c r="HW80" s="1332"/>
      <c r="HX80" s="1332"/>
      <c r="HY80" s="1332"/>
      <c r="HZ80" s="1332"/>
      <c r="IA80" s="1332"/>
      <c r="IB80" s="1332"/>
      <c r="IC80" s="1332"/>
      <c r="ID80" s="1332"/>
      <c r="IE80" s="1332"/>
      <c r="IF80" s="1332"/>
      <c r="IG80" s="1332"/>
      <c r="IH80" s="1332"/>
      <c r="II80" s="1332"/>
      <c r="IJ80" s="1332"/>
      <c r="IK80" s="1332"/>
      <c r="IL80" s="1332"/>
      <c r="IM80" s="1332"/>
      <c r="IN80" s="1332"/>
      <c r="IO80" s="1332"/>
      <c r="IP80" s="1332"/>
      <c r="IQ80" s="1332"/>
      <c r="IR80" s="1332"/>
      <c r="IS80" s="1332"/>
      <c r="IT80" s="1332"/>
      <c r="IU80" s="1332"/>
      <c r="IV80" s="1332"/>
      <c r="IW80" s="1332"/>
      <c r="IX80" s="1332"/>
      <c r="IY80" s="1332"/>
      <c r="IZ80" s="1332"/>
      <c r="JA80" s="1332"/>
      <c r="JB80" s="1332"/>
      <c r="JC80" s="1332"/>
      <c r="JD80" s="1332"/>
      <c r="JE80" s="1332"/>
      <c r="JF80" s="1332"/>
      <c r="JG80" s="1332"/>
      <c r="JH80" s="1332"/>
      <c r="JI80" s="1332"/>
      <c r="JJ80" s="1332"/>
      <c r="JK80" s="1332"/>
      <c r="JL80" s="1332"/>
      <c r="JM80" s="1332"/>
      <c r="JN80" s="1332"/>
      <c r="JO80" s="1332"/>
      <c r="JP80" s="1332"/>
      <c r="JQ80" s="1332"/>
      <c r="JR80" s="1332"/>
      <c r="JS80" s="1332"/>
      <c r="JT80" s="1332"/>
      <c r="JU80" s="1332"/>
      <c r="JV80" s="1332"/>
    </row>
    <row r="81" spans="1:282" s="787" customFormat="1" ht="29.25" hidden="1" customHeight="1" outlineLevel="2" collapsed="1">
      <c r="A81" s="1364" t="s">
        <v>70</v>
      </c>
      <c r="B81" s="852" t="s">
        <v>334</v>
      </c>
      <c r="C81" s="1365"/>
      <c r="D81" s="1366">
        <v>1446731</v>
      </c>
      <c r="E81" s="1366">
        <v>1445431</v>
      </c>
      <c r="F81" s="1366">
        <v>1300</v>
      </c>
      <c r="G81" s="1366">
        <f>G82+G85+G88</f>
        <v>2341333</v>
      </c>
      <c r="H81" s="1366">
        <f t="shared" si="13"/>
        <v>2282122</v>
      </c>
      <c r="I81" s="1366">
        <f t="shared" ref="I81:M81" si="18">I82+I85+I88</f>
        <v>2282122</v>
      </c>
      <c r="J81" s="1366">
        <f t="shared" si="18"/>
        <v>0</v>
      </c>
      <c r="K81" s="1366">
        <f t="shared" si="18"/>
        <v>0</v>
      </c>
      <c r="L81" s="1366"/>
      <c r="M81" s="1366">
        <f t="shared" si="18"/>
        <v>59211</v>
      </c>
      <c r="N81" s="1332"/>
      <c r="O81" s="1334"/>
      <c r="P81" s="1333"/>
      <c r="Q81" s="1332"/>
      <c r="R81" s="1332"/>
      <c r="S81" s="1332"/>
      <c r="T81" s="1332"/>
      <c r="U81" s="1332"/>
      <c r="V81" s="1332"/>
      <c r="W81" s="1332"/>
      <c r="X81" s="1332"/>
      <c r="Y81" s="1332"/>
      <c r="Z81" s="1332"/>
      <c r="AA81" s="1332"/>
      <c r="AB81" s="1332"/>
      <c r="AC81" s="1332"/>
      <c r="AD81" s="1332"/>
      <c r="AE81" s="1332"/>
      <c r="AF81" s="1332"/>
      <c r="AG81" s="1332"/>
      <c r="AH81" s="1332"/>
      <c r="AI81" s="1332"/>
      <c r="AJ81" s="1332"/>
      <c r="AK81" s="1332"/>
      <c r="AL81" s="1332"/>
      <c r="AM81" s="1332"/>
      <c r="AN81" s="1332"/>
      <c r="AO81" s="1332"/>
      <c r="AP81" s="1332"/>
      <c r="AQ81" s="1332"/>
      <c r="AR81" s="1332"/>
      <c r="AS81" s="1332"/>
      <c r="AT81" s="1332"/>
      <c r="AU81" s="1332"/>
      <c r="AV81" s="1332"/>
      <c r="AW81" s="1332"/>
      <c r="AX81" s="1332"/>
      <c r="AY81" s="1332"/>
      <c r="AZ81" s="1332"/>
      <c r="BA81" s="1332"/>
      <c r="BB81" s="1332"/>
      <c r="BC81" s="1332"/>
      <c r="BD81" s="1332"/>
      <c r="BE81" s="1332"/>
      <c r="BF81" s="1332"/>
      <c r="BG81" s="1332"/>
      <c r="BH81" s="1332"/>
      <c r="BI81" s="1332"/>
      <c r="BJ81" s="1332"/>
      <c r="BK81" s="1332"/>
      <c r="BL81" s="1332"/>
      <c r="BM81" s="1332"/>
      <c r="BN81" s="1332"/>
      <c r="BO81" s="1332"/>
      <c r="BP81" s="1332"/>
      <c r="BQ81" s="1332"/>
      <c r="BR81" s="1332"/>
      <c r="BS81" s="1332"/>
      <c r="BT81" s="1332"/>
      <c r="BU81" s="1332"/>
      <c r="BV81" s="1332"/>
      <c r="BW81" s="1332"/>
      <c r="BX81" s="1332"/>
      <c r="BY81" s="1332"/>
      <c r="BZ81" s="1332"/>
      <c r="CA81" s="1332"/>
      <c r="CB81" s="1332"/>
      <c r="CC81" s="1332"/>
      <c r="CD81" s="1332"/>
      <c r="CE81" s="1332"/>
      <c r="CF81" s="1332"/>
      <c r="CG81" s="1332"/>
      <c r="CH81" s="1332"/>
      <c r="CI81" s="1332"/>
      <c r="CJ81" s="1332"/>
      <c r="CK81" s="1332"/>
      <c r="CL81" s="1332"/>
      <c r="CM81" s="1332"/>
      <c r="CN81" s="1332"/>
      <c r="CO81" s="1332"/>
      <c r="CP81" s="1332"/>
      <c r="CQ81" s="1332"/>
      <c r="CR81" s="1332"/>
      <c r="CS81" s="1332"/>
      <c r="CT81" s="1332"/>
      <c r="CU81" s="1332"/>
      <c r="CV81" s="1332"/>
      <c r="CW81" s="1332"/>
      <c r="CX81" s="1332"/>
      <c r="CY81" s="1332"/>
      <c r="CZ81" s="1332"/>
      <c r="DA81" s="1332"/>
      <c r="DB81" s="1332"/>
      <c r="DC81" s="1332"/>
      <c r="DD81" s="1332"/>
      <c r="DE81" s="1332"/>
      <c r="DF81" s="1332"/>
      <c r="DG81" s="1332"/>
      <c r="DH81" s="1332"/>
      <c r="DI81" s="1332"/>
      <c r="DJ81" s="1332"/>
      <c r="DK81" s="1332"/>
      <c r="DL81" s="1332"/>
      <c r="DM81" s="1332"/>
      <c r="DN81" s="1332"/>
      <c r="DO81" s="1332"/>
      <c r="DP81" s="1332"/>
      <c r="DQ81" s="1332"/>
      <c r="DR81" s="1332"/>
      <c r="DS81" s="1332"/>
      <c r="DT81" s="1332"/>
      <c r="DU81" s="1332"/>
      <c r="DV81" s="1332"/>
      <c r="DW81" s="1332"/>
      <c r="DX81" s="1332"/>
      <c r="DY81" s="1332"/>
      <c r="DZ81" s="1332"/>
      <c r="EA81" s="1332"/>
      <c r="EB81" s="1332"/>
      <c r="EC81" s="1332"/>
      <c r="ED81" s="1332"/>
      <c r="EE81" s="1332"/>
      <c r="EF81" s="1332"/>
      <c r="EG81" s="1332"/>
      <c r="EH81" s="1332"/>
      <c r="EI81" s="1332"/>
      <c r="EJ81" s="1332"/>
      <c r="EK81" s="1332"/>
      <c r="EL81" s="1332"/>
      <c r="EM81" s="1332"/>
      <c r="EN81" s="1332"/>
      <c r="EO81" s="1332"/>
      <c r="EP81" s="1332"/>
      <c r="EQ81" s="1332"/>
      <c r="ER81" s="1332"/>
      <c r="ES81" s="1332"/>
      <c r="ET81" s="1332"/>
      <c r="EU81" s="1332"/>
      <c r="EV81" s="1332"/>
      <c r="EW81" s="1332"/>
      <c r="EX81" s="1332"/>
      <c r="EY81" s="1332"/>
      <c r="EZ81" s="1332"/>
      <c r="FA81" s="1332"/>
      <c r="FB81" s="1332"/>
      <c r="FC81" s="1332"/>
      <c r="FD81" s="1332"/>
      <c r="FE81" s="1332"/>
      <c r="FF81" s="1332"/>
      <c r="FG81" s="1332"/>
      <c r="FH81" s="1332"/>
      <c r="FI81" s="1332"/>
      <c r="FJ81" s="1332"/>
      <c r="FK81" s="1332"/>
      <c r="FL81" s="1332"/>
      <c r="FM81" s="1332"/>
      <c r="FN81" s="1332"/>
      <c r="FO81" s="1332"/>
      <c r="FP81" s="1332"/>
      <c r="FQ81" s="1332"/>
      <c r="FR81" s="1332"/>
      <c r="FS81" s="1332"/>
      <c r="FT81" s="1332"/>
      <c r="FU81" s="1332"/>
      <c r="FV81" s="1332"/>
      <c r="FW81" s="1332"/>
      <c r="FX81" s="1332"/>
      <c r="FY81" s="1332"/>
      <c r="FZ81" s="1332"/>
      <c r="GA81" s="1332"/>
      <c r="GB81" s="1332"/>
      <c r="GC81" s="1332"/>
      <c r="GD81" s="1332"/>
      <c r="GE81" s="1332"/>
      <c r="GF81" s="1332"/>
      <c r="GG81" s="1332"/>
      <c r="GH81" s="1332"/>
      <c r="GI81" s="1332"/>
      <c r="GJ81" s="1332"/>
      <c r="GK81" s="1332"/>
      <c r="GL81" s="1332"/>
      <c r="GM81" s="1332"/>
      <c r="GN81" s="1332"/>
      <c r="GO81" s="1332"/>
      <c r="GP81" s="1332"/>
      <c r="GQ81" s="1332"/>
      <c r="GR81" s="1332"/>
      <c r="GS81" s="1332"/>
      <c r="GT81" s="1332"/>
      <c r="GU81" s="1332"/>
      <c r="GV81" s="1332"/>
      <c r="GW81" s="1332"/>
      <c r="GX81" s="1332"/>
      <c r="GY81" s="1332"/>
      <c r="GZ81" s="1332"/>
      <c r="HA81" s="1332"/>
      <c r="HB81" s="1332"/>
      <c r="HC81" s="1332"/>
      <c r="HD81" s="1332"/>
      <c r="HE81" s="1332"/>
      <c r="HF81" s="1332"/>
      <c r="HG81" s="1332"/>
      <c r="HH81" s="1332"/>
      <c r="HI81" s="1332"/>
      <c r="HJ81" s="1332"/>
      <c r="HK81" s="1332"/>
      <c r="HL81" s="1332"/>
      <c r="HM81" s="1332"/>
      <c r="HN81" s="1332"/>
      <c r="HO81" s="1332"/>
      <c r="HP81" s="1332"/>
      <c r="HQ81" s="1332"/>
      <c r="HR81" s="1332"/>
      <c r="HS81" s="1332"/>
      <c r="HT81" s="1332"/>
      <c r="HU81" s="1332"/>
      <c r="HV81" s="1332"/>
      <c r="HW81" s="1332"/>
      <c r="HX81" s="1332"/>
      <c r="HY81" s="1332"/>
      <c r="HZ81" s="1332"/>
      <c r="IA81" s="1332"/>
      <c r="IB81" s="1332"/>
      <c r="IC81" s="1332"/>
      <c r="ID81" s="1332"/>
      <c r="IE81" s="1332"/>
      <c r="IF81" s="1332"/>
      <c r="IG81" s="1332"/>
      <c r="IH81" s="1332"/>
      <c r="II81" s="1332"/>
      <c r="IJ81" s="1332"/>
      <c r="IK81" s="1332"/>
      <c r="IL81" s="1332"/>
      <c r="IM81" s="1332"/>
      <c r="IN81" s="1332"/>
      <c r="IO81" s="1332"/>
      <c r="IP81" s="1332"/>
      <c r="IQ81" s="1332"/>
      <c r="IR81" s="1332"/>
      <c r="IS81" s="1332"/>
      <c r="IT81" s="1332"/>
      <c r="IU81" s="1332"/>
      <c r="IV81" s="1332"/>
      <c r="IW81" s="1332"/>
      <c r="IX81" s="1332"/>
      <c r="IY81" s="1332"/>
      <c r="IZ81" s="1332"/>
      <c r="JA81" s="1332"/>
      <c r="JB81" s="1332"/>
      <c r="JC81" s="1332"/>
      <c r="JD81" s="1332"/>
      <c r="JE81" s="1332"/>
      <c r="JF81" s="1332"/>
      <c r="JG81" s="1332"/>
      <c r="JH81" s="1332"/>
      <c r="JI81" s="1332"/>
      <c r="JJ81" s="1332"/>
      <c r="JK81" s="1332"/>
      <c r="JL81" s="1332"/>
      <c r="JM81" s="1332"/>
      <c r="JN81" s="1332"/>
      <c r="JO81" s="1332"/>
      <c r="JP81" s="1332"/>
      <c r="JQ81" s="1332"/>
      <c r="JR81" s="1332"/>
      <c r="JS81" s="1332"/>
      <c r="JT81" s="1332"/>
      <c r="JU81" s="1332"/>
      <c r="JV81" s="1332"/>
    </row>
    <row r="82" spans="1:282" hidden="1" outlineLevel="2">
      <c r="A82" s="849" t="s">
        <v>18</v>
      </c>
      <c r="B82" s="850" t="s">
        <v>335</v>
      </c>
      <c r="C82" s="1353"/>
      <c r="D82" s="846">
        <v>1382515</v>
      </c>
      <c r="E82" s="846">
        <v>1382515</v>
      </c>
      <c r="F82" s="1350">
        <v>0</v>
      </c>
      <c r="G82" s="1350">
        <f t="shared" ref="G82:G91" si="19">I82+M82</f>
        <v>823220</v>
      </c>
      <c r="H82" s="1350">
        <f t="shared" si="13"/>
        <v>823220</v>
      </c>
      <c r="I82" s="1350">
        <f>I83+I84</f>
        <v>823220</v>
      </c>
      <c r="J82" s="847"/>
      <c r="K82" s="1350"/>
      <c r="L82" s="1350"/>
      <c r="M82" s="1350">
        <v>0</v>
      </c>
    </row>
    <row r="83" spans="1:282" hidden="1" outlineLevel="2">
      <c r="A83" s="849" t="s">
        <v>23</v>
      </c>
      <c r="B83" s="850" t="s">
        <v>336</v>
      </c>
      <c r="C83" s="1353"/>
      <c r="D83" s="846">
        <v>1090347</v>
      </c>
      <c r="E83" s="846">
        <v>1090347</v>
      </c>
      <c r="F83" s="1350"/>
      <c r="G83" s="1350">
        <f t="shared" si="19"/>
        <v>823220</v>
      </c>
      <c r="H83" s="1350">
        <f t="shared" si="13"/>
        <v>823220</v>
      </c>
      <c r="I83" s="1350">
        <f>'Bieu 07 TT'!F1113</f>
        <v>823220</v>
      </c>
      <c r="J83" s="847"/>
      <c r="K83" s="1350"/>
      <c r="L83" s="1350"/>
      <c r="M83" s="1350"/>
    </row>
    <row r="84" spans="1:282" hidden="1" outlineLevel="2">
      <c r="A84" s="849" t="s">
        <v>23</v>
      </c>
      <c r="B84" s="850" t="s">
        <v>701</v>
      </c>
      <c r="C84" s="1353"/>
      <c r="D84" s="846">
        <v>292168</v>
      </c>
      <c r="E84" s="846">
        <v>292168</v>
      </c>
      <c r="F84" s="1350"/>
      <c r="G84" s="1350">
        <f t="shared" si="19"/>
        <v>0</v>
      </c>
      <c r="H84" s="1350">
        <f t="shared" si="13"/>
        <v>0</v>
      </c>
      <c r="I84" s="1350">
        <f>'Bieu 07 TT'!F1114</f>
        <v>0</v>
      </c>
      <c r="J84" s="847"/>
      <c r="K84" s="1350"/>
      <c r="L84" s="1350"/>
      <c r="M84" s="1350"/>
    </row>
    <row r="85" spans="1:282" ht="27.6" hidden="1" outlineLevel="2">
      <c r="A85" s="849" t="s">
        <v>26</v>
      </c>
      <c r="B85" s="850" t="s">
        <v>340</v>
      </c>
      <c r="C85" s="1353"/>
      <c r="D85" s="846">
        <v>64216</v>
      </c>
      <c r="E85" s="846">
        <v>62916</v>
      </c>
      <c r="F85" s="1350">
        <v>1300</v>
      </c>
      <c r="G85" s="1350">
        <f t="shared" si="19"/>
        <v>164155</v>
      </c>
      <c r="H85" s="1350">
        <f t="shared" si="13"/>
        <v>104944</v>
      </c>
      <c r="I85" s="1350">
        <f>I86+I87</f>
        <v>104944</v>
      </c>
      <c r="J85" s="847"/>
      <c r="K85" s="1350"/>
      <c r="L85" s="1350"/>
      <c r="M85" s="1350">
        <f>M86+M87</f>
        <v>59211</v>
      </c>
    </row>
    <row r="86" spans="1:282" hidden="1" outlineLevel="2">
      <c r="A86" s="849" t="s">
        <v>23</v>
      </c>
      <c r="B86" s="850" t="s">
        <v>341</v>
      </c>
      <c r="C86" s="1353"/>
      <c r="D86" s="846">
        <v>3790</v>
      </c>
      <c r="E86" s="846">
        <v>3790</v>
      </c>
      <c r="F86" s="1350"/>
      <c r="G86" s="1350">
        <f t="shared" si="19"/>
        <v>0</v>
      </c>
      <c r="H86" s="1350">
        <f t="shared" si="13"/>
        <v>0</v>
      </c>
      <c r="I86" s="1350">
        <f>'Bieu 07 TT'!F1116</f>
        <v>0</v>
      </c>
      <c r="J86" s="847"/>
      <c r="K86" s="1350"/>
      <c r="L86" s="1350"/>
      <c r="M86" s="1350"/>
    </row>
    <row r="87" spans="1:282" hidden="1" outlineLevel="2">
      <c r="A87" s="849" t="s">
        <v>23</v>
      </c>
      <c r="B87" s="850" t="s">
        <v>336</v>
      </c>
      <c r="C87" s="1353"/>
      <c r="D87" s="846">
        <v>60426</v>
      </c>
      <c r="E87" s="846">
        <v>59126</v>
      </c>
      <c r="F87" s="1350">
        <v>1300</v>
      </c>
      <c r="G87" s="1350">
        <f t="shared" si="19"/>
        <v>164155</v>
      </c>
      <c r="H87" s="1350">
        <f t="shared" si="13"/>
        <v>104944</v>
      </c>
      <c r="I87" s="1350">
        <f>'Bieu 07 TT'!F1117</f>
        <v>104944</v>
      </c>
      <c r="J87" s="847"/>
      <c r="K87" s="1350"/>
      <c r="L87" s="1350"/>
      <c r="M87" s="1350">
        <v>59211</v>
      </c>
    </row>
    <row r="88" spans="1:282" hidden="1" outlineLevel="2">
      <c r="A88" s="849" t="s">
        <v>59</v>
      </c>
      <c r="B88" s="850" t="s">
        <v>1581</v>
      </c>
      <c r="C88" s="1353"/>
      <c r="D88" s="846"/>
      <c r="E88" s="846"/>
      <c r="F88" s="1350"/>
      <c r="G88" s="1350">
        <f t="shared" si="19"/>
        <v>1353958</v>
      </c>
      <c r="H88" s="1350">
        <f t="shared" si="13"/>
        <v>1353958</v>
      </c>
      <c r="I88" s="1350">
        <f>I89+I90+I91</f>
        <v>1353958</v>
      </c>
      <c r="J88" s="847"/>
      <c r="K88" s="1350"/>
      <c r="L88" s="1350"/>
      <c r="M88" s="1350"/>
    </row>
    <row r="89" spans="1:282" hidden="1" outlineLevel="2">
      <c r="A89" s="849" t="s">
        <v>23</v>
      </c>
      <c r="B89" s="850" t="s">
        <v>342</v>
      </c>
      <c r="C89" s="1353"/>
      <c r="D89" s="846"/>
      <c r="E89" s="846"/>
      <c r="F89" s="1350"/>
      <c r="G89" s="1350">
        <f t="shared" si="19"/>
        <v>160530</v>
      </c>
      <c r="H89" s="1350">
        <f t="shared" si="13"/>
        <v>160530</v>
      </c>
      <c r="I89" s="1350">
        <f>'Bieu 07 TT'!F1119</f>
        <v>160530</v>
      </c>
      <c r="J89" s="847"/>
      <c r="K89" s="1350"/>
      <c r="L89" s="1350"/>
      <c r="M89" s="1350"/>
    </row>
    <row r="90" spans="1:282" hidden="1" outlineLevel="2">
      <c r="A90" s="849" t="s">
        <v>23</v>
      </c>
      <c r="B90" s="850" t="s">
        <v>343</v>
      </c>
      <c r="C90" s="1353"/>
      <c r="D90" s="846"/>
      <c r="E90" s="846"/>
      <c r="F90" s="1350"/>
      <c r="G90" s="1350">
        <f t="shared" si="19"/>
        <v>325739</v>
      </c>
      <c r="H90" s="1350">
        <f t="shared" si="13"/>
        <v>325739</v>
      </c>
      <c r="I90" s="1350">
        <f>'Bieu 07 TT'!F1120</f>
        <v>325739</v>
      </c>
      <c r="J90" s="847"/>
      <c r="K90" s="1350"/>
      <c r="L90" s="1350"/>
      <c r="M90" s="1350"/>
    </row>
    <row r="91" spans="1:282" hidden="1" outlineLevel="2">
      <c r="A91" s="849" t="s">
        <v>23</v>
      </c>
      <c r="B91" s="850" t="s">
        <v>1582</v>
      </c>
      <c r="C91" s="1353"/>
      <c r="D91" s="846"/>
      <c r="E91" s="846"/>
      <c r="F91" s="1350"/>
      <c r="G91" s="1350">
        <f t="shared" si="19"/>
        <v>867689</v>
      </c>
      <c r="H91" s="1350">
        <f t="shared" si="13"/>
        <v>867689</v>
      </c>
      <c r="I91" s="1350">
        <f>'Bieu 07 TT'!F1121</f>
        <v>867689</v>
      </c>
      <c r="J91" s="847"/>
      <c r="K91" s="1350"/>
      <c r="L91" s="1350"/>
      <c r="M91" s="1350"/>
    </row>
    <row r="92" spans="1:282" s="787" customFormat="1" ht="19.2" hidden="1" outlineLevel="2">
      <c r="A92" s="853"/>
      <c r="B92" s="854" t="s">
        <v>1389</v>
      </c>
      <c r="C92" s="1344"/>
      <c r="D92" s="845">
        <v>4861647</v>
      </c>
      <c r="E92" s="845">
        <v>4639439</v>
      </c>
      <c r="F92" s="845">
        <v>222208</v>
      </c>
      <c r="G92" s="845">
        <f>G13+G81</f>
        <v>6306477</v>
      </c>
      <c r="H92" s="845">
        <f t="shared" si="13"/>
        <v>5891253</v>
      </c>
      <c r="I92" s="845">
        <f>I13+I81</f>
        <v>5891253</v>
      </c>
      <c r="J92" s="845"/>
      <c r="K92" s="845">
        <f>K13+K81</f>
        <v>415123</v>
      </c>
      <c r="L92" s="845"/>
      <c r="M92" s="845">
        <f>M13+M81</f>
        <v>341082</v>
      </c>
      <c r="N92" s="1367"/>
      <c r="O92" s="1368"/>
      <c r="P92" s="1369"/>
      <c r="Q92" s="1367"/>
      <c r="R92" s="1367"/>
      <c r="S92" s="1367"/>
      <c r="T92" s="1367"/>
      <c r="U92" s="1367"/>
      <c r="V92" s="1367"/>
      <c r="W92" s="1367"/>
      <c r="X92" s="1367"/>
      <c r="Y92" s="1367"/>
      <c r="Z92" s="1367"/>
      <c r="AA92" s="1367"/>
      <c r="AB92" s="1367"/>
      <c r="AC92" s="1367"/>
      <c r="AD92" s="1367"/>
      <c r="AE92" s="1367"/>
      <c r="AF92" s="1367"/>
      <c r="AG92" s="1367"/>
      <c r="AH92" s="1367"/>
      <c r="AI92" s="1367"/>
      <c r="AJ92" s="1367"/>
      <c r="AK92" s="1367"/>
      <c r="AL92" s="1367"/>
      <c r="AM92" s="1367"/>
      <c r="AN92" s="1367"/>
      <c r="AO92" s="1367"/>
      <c r="AP92" s="1367"/>
      <c r="AQ92" s="1367"/>
      <c r="AR92" s="1367"/>
      <c r="AS92" s="1367"/>
      <c r="AT92" s="1367"/>
      <c r="AU92" s="1367"/>
      <c r="AV92" s="1367"/>
      <c r="AW92" s="1367"/>
      <c r="AX92" s="1367"/>
      <c r="AY92" s="1367"/>
      <c r="AZ92" s="1367"/>
      <c r="BA92" s="1367"/>
      <c r="BB92" s="1367"/>
      <c r="BC92" s="1367"/>
      <c r="BD92" s="1367"/>
      <c r="BE92" s="1367"/>
      <c r="BF92" s="1367"/>
      <c r="BG92" s="1367"/>
      <c r="BH92" s="1367"/>
      <c r="BI92" s="1367"/>
      <c r="BJ92" s="1367"/>
      <c r="BK92" s="1367"/>
      <c r="BL92" s="1367"/>
      <c r="BM92" s="1367"/>
      <c r="BN92" s="1367"/>
      <c r="BO92" s="1367"/>
      <c r="BP92" s="1367"/>
      <c r="BQ92" s="1367"/>
      <c r="BR92" s="1367"/>
      <c r="BS92" s="1367"/>
      <c r="BT92" s="1367"/>
      <c r="BU92" s="1367"/>
      <c r="BV92" s="1367"/>
      <c r="BW92" s="1367"/>
      <c r="BX92" s="1367"/>
      <c r="BY92" s="1367"/>
      <c r="BZ92" s="1367"/>
      <c r="CA92" s="1367"/>
      <c r="CB92" s="1367"/>
      <c r="CC92" s="1367"/>
      <c r="CD92" s="1367"/>
      <c r="CE92" s="1367"/>
      <c r="CF92" s="1367"/>
      <c r="CG92" s="1367"/>
      <c r="CH92" s="1367"/>
      <c r="CI92" s="1367"/>
      <c r="CJ92" s="1367"/>
      <c r="CK92" s="1367"/>
      <c r="CL92" s="1367"/>
      <c r="CM92" s="1367"/>
      <c r="CN92" s="1367"/>
      <c r="CO92" s="1367"/>
      <c r="CP92" s="1367"/>
      <c r="CQ92" s="1367"/>
      <c r="CR92" s="1367"/>
      <c r="CS92" s="1367"/>
      <c r="CT92" s="1367"/>
      <c r="CU92" s="1367"/>
      <c r="CV92" s="1367"/>
      <c r="CW92" s="1367"/>
      <c r="CX92" s="1367"/>
      <c r="CY92" s="1367"/>
      <c r="CZ92" s="1367"/>
      <c r="DA92" s="1367"/>
      <c r="DB92" s="1367"/>
      <c r="DC92" s="1367"/>
      <c r="DD92" s="1367"/>
      <c r="DE92" s="1367"/>
      <c r="DF92" s="1367"/>
      <c r="DG92" s="1367"/>
      <c r="DH92" s="1367"/>
      <c r="DI92" s="1367"/>
      <c r="DJ92" s="1367"/>
      <c r="DK92" s="1367"/>
      <c r="DL92" s="1367"/>
      <c r="DM92" s="1367"/>
      <c r="DN92" s="1367"/>
      <c r="DO92" s="1367"/>
      <c r="DP92" s="1367"/>
      <c r="DQ92" s="1367"/>
      <c r="DR92" s="1367"/>
      <c r="DS92" s="1367"/>
      <c r="DT92" s="1367"/>
      <c r="DU92" s="1367"/>
      <c r="DV92" s="1367"/>
      <c r="DW92" s="1367"/>
      <c r="DX92" s="1367"/>
      <c r="DY92" s="1367"/>
      <c r="DZ92" s="1367"/>
      <c r="EA92" s="1367"/>
      <c r="EB92" s="1367"/>
      <c r="EC92" s="1367"/>
      <c r="ED92" s="1367"/>
      <c r="EE92" s="1367"/>
      <c r="EF92" s="1367"/>
      <c r="EG92" s="1367"/>
      <c r="EH92" s="1367"/>
      <c r="EI92" s="1367"/>
      <c r="EJ92" s="1367"/>
      <c r="EK92" s="1367"/>
      <c r="EL92" s="1367"/>
      <c r="EM92" s="1367"/>
      <c r="EN92" s="1367"/>
      <c r="EO92" s="1367"/>
      <c r="EP92" s="1367"/>
      <c r="EQ92" s="1367"/>
      <c r="ER92" s="1367"/>
      <c r="ES92" s="1367"/>
      <c r="ET92" s="1367"/>
      <c r="EU92" s="1367"/>
      <c r="EV92" s="1367"/>
      <c r="EW92" s="1367"/>
      <c r="EX92" s="1367"/>
      <c r="EY92" s="1367"/>
      <c r="EZ92" s="1367"/>
      <c r="FA92" s="1367"/>
      <c r="FB92" s="1367"/>
      <c r="FC92" s="1367"/>
      <c r="FD92" s="1367"/>
      <c r="FE92" s="1367"/>
      <c r="FF92" s="1367"/>
      <c r="FG92" s="1367"/>
      <c r="FH92" s="1367"/>
      <c r="FI92" s="1367"/>
      <c r="FJ92" s="1367"/>
      <c r="FK92" s="1367"/>
      <c r="FL92" s="1367"/>
      <c r="FM92" s="1367"/>
      <c r="FN92" s="1367"/>
      <c r="FO92" s="1367"/>
      <c r="FP92" s="1367"/>
      <c r="FQ92" s="1367"/>
      <c r="FR92" s="1367"/>
      <c r="FS92" s="1367"/>
      <c r="FT92" s="1367"/>
      <c r="FU92" s="1367"/>
      <c r="FV92" s="1367"/>
      <c r="FW92" s="1367"/>
      <c r="FX92" s="1367"/>
      <c r="FY92" s="1367"/>
      <c r="FZ92" s="1367"/>
      <c r="GA92" s="1367"/>
      <c r="GB92" s="1367"/>
      <c r="GC92" s="1367"/>
      <c r="GD92" s="1367"/>
      <c r="GE92" s="1367"/>
      <c r="GF92" s="1367"/>
      <c r="GG92" s="1367"/>
      <c r="GH92" s="1367"/>
      <c r="GI92" s="1367"/>
      <c r="GJ92" s="1367"/>
      <c r="GK92" s="1367"/>
      <c r="GL92" s="1367"/>
      <c r="GM92" s="1367"/>
      <c r="GN92" s="1367"/>
      <c r="GO92" s="1367"/>
      <c r="GP92" s="1367"/>
      <c r="GQ92" s="1367"/>
      <c r="GR92" s="1367"/>
      <c r="GS92" s="1367"/>
      <c r="GT92" s="1367"/>
      <c r="GU92" s="1367"/>
      <c r="GV92" s="1367"/>
      <c r="GW92" s="1367"/>
      <c r="GX92" s="1367"/>
      <c r="GY92" s="1367"/>
      <c r="GZ92" s="1367"/>
      <c r="HA92" s="1367"/>
      <c r="HB92" s="1367"/>
      <c r="HC92" s="1367"/>
      <c r="HD92" s="1367"/>
      <c r="HE92" s="1367"/>
      <c r="HF92" s="1367"/>
      <c r="HG92" s="1367"/>
      <c r="HH92" s="1367"/>
      <c r="HI92" s="1367"/>
      <c r="HJ92" s="1367"/>
      <c r="HK92" s="1367"/>
      <c r="HL92" s="1367"/>
      <c r="HM92" s="1367"/>
      <c r="HN92" s="1367"/>
      <c r="HO92" s="1367"/>
      <c r="HP92" s="1367"/>
      <c r="HQ92" s="1367"/>
      <c r="HR92" s="1367"/>
      <c r="HS92" s="1367"/>
      <c r="HT92" s="1367"/>
      <c r="HU92" s="1367"/>
      <c r="HV92" s="1367"/>
      <c r="HW92" s="1367"/>
      <c r="HX92" s="1367"/>
      <c r="HY92" s="1367"/>
      <c r="HZ92" s="1367"/>
      <c r="IA92" s="1367"/>
      <c r="IB92" s="1367"/>
      <c r="IC92" s="1367"/>
      <c r="ID92" s="1367"/>
      <c r="IE92" s="1367"/>
      <c r="IF92" s="1367"/>
      <c r="IG92" s="1367"/>
      <c r="IH92" s="1367"/>
      <c r="II92" s="1367"/>
      <c r="IJ92" s="1367"/>
      <c r="IK92" s="1367"/>
      <c r="IL92" s="1367"/>
      <c r="IM92" s="1367"/>
      <c r="IN92" s="1367"/>
      <c r="IO92" s="1367"/>
      <c r="IP92" s="1367"/>
      <c r="IQ92" s="1367"/>
      <c r="IR92" s="1367"/>
      <c r="IS92" s="1367"/>
      <c r="IT92" s="1367"/>
      <c r="IU92" s="1367"/>
      <c r="IV92" s="1367"/>
      <c r="IW92" s="1367"/>
      <c r="IX92" s="1367"/>
      <c r="IY92" s="1367"/>
      <c r="IZ92" s="1367"/>
      <c r="JA92" s="1367"/>
      <c r="JB92" s="1367"/>
      <c r="JC92" s="1367"/>
      <c r="JD92" s="1367"/>
      <c r="JE92" s="1367"/>
      <c r="JF92" s="1367"/>
      <c r="JG92" s="1367"/>
      <c r="JH92" s="1367"/>
      <c r="JI92" s="1367"/>
      <c r="JJ92" s="1367"/>
      <c r="JK92" s="1367"/>
      <c r="JL92" s="1367"/>
      <c r="JM92" s="1367"/>
      <c r="JN92" s="1367"/>
      <c r="JO92" s="1367"/>
      <c r="JP92" s="1367"/>
      <c r="JQ92" s="1367"/>
      <c r="JR92" s="1367"/>
      <c r="JS92" s="1367"/>
      <c r="JT92" s="1367"/>
      <c r="JU92" s="1367"/>
      <c r="JV92" s="1367"/>
    </row>
    <row r="93" spans="1:282" s="787" customFormat="1" ht="19.2" hidden="1" outlineLevel="2">
      <c r="A93" s="853" t="s">
        <v>71</v>
      </c>
      <c r="B93" s="854" t="s">
        <v>470</v>
      </c>
      <c r="C93" s="1344"/>
      <c r="D93" s="845">
        <v>48400</v>
      </c>
      <c r="E93" s="845">
        <v>48400</v>
      </c>
      <c r="F93" s="1346"/>
      <c r="G93" s="1346">
        <f>I93+M93</f>
        <v>68500</v>
      </c>
      <c r="H93" s="1346">
        <f t="shared" si="13"/>
        <v>68500</v>
      </c>
      <c r="I93" s="1346">
        <f>'Bieu 07 TT'!F1124</f>
        <v>68500</v>
      </c>
      <c r="J93" s="844"/>
      <c r="K93" s="1346"/>
      <c r="L93" s="1346"/>
      <c r="M93" s="1346"/>
      <c r="N93" s="1367"/>
      <c r="O93" s="1368"/>
      <c r="P93" s="1369"/>
      <c r="Q93" s="1367"/>
      <c r="R93" s="1367"/>
      <c r="S93" s="1367"/>
      <c r="T93" s="1367"/>
      <c r="U93" s="1367"/>
      <c r="V93" s="1367"/>
      <c r="W93" s="1367"/>
      <c r="X93" s="1367"/>
      <c r="Y93" s="1367"/>
      <c r="Z93" s="1367"/>
      <c r="AA93" s="1367"/>
      <c r="AB93" s="1367"/>
      <c r="AC93" s="1367"/>
      <c r="AD93" s="1367"/>
      <c r="AE93" s="1367"/>
      <c r="AF93" s="1367"/>
      <c r="AG93" s="1367"/>
      <c r="AH93" s="1367"/>
      <c r="AI93" s="1367"/>
      <c r="AJ93" s="1367"/>
      <c r="AK93" s="1367"/>
      <c r="AL93" s="1367"/>
      <c r="AM93" s="1367"/>
      <c r="AN93" s="1367"/>
      <c r="AO93" s="1367"/>
      <c r="AP93" s="1367"/>
      <c r="AQ93" s="1367"/>
      <c r="AR93" s="1367"/>
      <c r="AS93" s="1367"/>
      <c r="AT93" s="1367"/>
      <c r="AU93" s="1367"/>
      <c r="AV93" s="1367"/>
      <c r="AW93" s="1367"/>
      <c r="AX93" s="1367"/>
      <c r="AY93" s="1367"/>
      <c r="AZ93" s="1367"/>
      <c r="BA93" s="1367"/>
      <c r="BB93" s="1367"/>
      <c r="BC93" s="1367"/>
      <c r="BD93" s="1367"/>
      <c r="BE93" s="1367"/>
      <c r="BF93" s="1367"/>
      <c r="BG93" s="1367"/>
      <c r="BH93" s="1367"/>
      <c r="BI93" s="1367"/>
      <c r="BJ93" s="1367"/>
      <c r="BK93" s="1367"/>
      <c r="BL93" s="1367"/>
      <c r="BM93" s="1367"/>
      <c r="BN93" s="1367"/>
      <c r="BO93" s="1367"/>
      <c r="BP93" s="1367"/>
      <c r="BQ93" s="1367"/>
      <c r="BR93" s="1367"/>
      <c r="BS93" s="1367"/>
      <c r="BT93" s="1367"/>
      <c r="BU93" s="1367"/>
      <c r="BV93" s="1367"/>
      <c r="BW93" s="1367"/>
      <c r="BX93" s="1367"/>
      <c r="BY93" s="1367"/>
      <c r="BZ93" s="1367"/>
      <c r="CA93" s="1367"/>
      <c r="CB93" s="1367"/>
      <c r="CC93" s="1367"/>
      <c r="CD93" s="1367"/>
      <c r="CE93" s="1367"/>
      <c r="CF93" s="1367"/>
      <c r="CG93" s="1367"/>
      <c r="CH93" s="1367"/>
      <c r="CI93" s="1367"/>
      <c r="CJ93" s="1367"/>
      <c r="CK93" s="1367"/>
      <c r="CL93" s="1367"/>
      <c r="CM93" s="1367"/>
      <c r="CN93" s="1367"/>
      <c r="CO93" s="1367"/>
      <c r="CP93" s="1367"/>
      <c r="CQ93" s="1367"/>
      <c r="CR93" s="1367"/>
      <c r="CS93" s="1367"/>
      <c r="CT93" s="1367"/>
      <c r="CU93" s="1367"/>
      <c r="CV93" s="1367"/>
      <c r="CW93" s="1367"/>
      <c r="CX93" s="1367"/>
      <c r="CY93" s="1367"/>
      <c r="CZ93" s="1367"/>
      <c r="DA93" s="1367"/>
      <c r="DB93" s="1367"/>
      <c r="DC93" s="1367"/>
      <c r="DD93" s="1367"/>
      <c r="DE93" s="1367"/>
      <c r="DF93" s="1367"/>
      <c r="DG93" s="1367"/>
      <c r="DH93" s="1367"/>
      <c r="DI93" s="1367"/>
      <c r="DJ93" s="1367"/>
      <c r="DK93" s="1367"/>
      <c r="DL93" s="1367"/>
      <c r="DM93" s="1367"/>
      <c r="DN93" s="1367"/>
      <c r="DO93" s="1367"/>
      <c r="DP93" s="1367"/>
      <c r="DQ93" s="1367"/>
      <c r="DR93" s="1367"/>
      <c r="DS93" s="1367"/>
      <c r="DT93" s="1367"/>
      <c r="DU93" s="1367"/>
      <c r="DV93" s="1367"/>
      <c r="DW93" s="1367"/>
      <c r="DX93" s="1367"/>
      <c r="DY93" s="1367"/>
      <c r="DZ93" s="1367"/>
      <c r="EA93" s="1367"/>
      <c r="EB93" s="1367"/>
      <c r="EC93" s="1367"/>
      <c r="ED93" s="1367"/>
      <c r="EE93" s="1367"/>
      <c r="EF93" s="1367"/>
      <c r="EG93" s="1367"/>
      <c r="EH93" s="1367"/>
      <c r="EI93" s="1367"/>
      <c r="EJ93" s="1367"/>
      <c r="EK93" s="1367"/>
      <c r="EL93" s="1367"/>
      <c r="EM93" s="1367"/>
      <c r="EN93" s="1367"/>
      <c r="EO93" s="1367"/>
      <c r="EP93" s="1367"/>
      <c r="EQ93" s="1367"/>
      <c r="ER93" s="1367"/>
      <c r="ES93" s="1367"/>
      <c r="ET93" s="1367"/>
      <c r="EU93" s="1367"/>
      <c r="EV93" s="1367"/>
      <c r="EW93" s="1367"/>
      <c r="EX93" s="1367"/>
      <c r="EY93" s="1367"/>
      <c r="EZ93" s="1367"/>
      <c r="FA93" s="1367"/>
      <c r="FB93" s="1367"/>
      <c r="FC93" s="1367"/>
      <c r="FD93" s="1367"/>
      <c r="FE93" s="1367"/>
      <c r="FF93" s="1367"/>
      <c r="FG93" s="1367"/>
      <c r="FH93" s="1367"/>
      <c r="FI93" s="1367"/>
      <c r="FJ93" s="1367"/>
      <c r="FK93" s="1367"/>
      <c r="FL93" s="1367"/>
      <c r="FM93" s="1367"/>
      <c r="FN93" s="1367"/>
      <c r="FO93" s="1367"/>
      <c r="FP93" s="1367"/>
      <c r="FQ93" s="1367"/>
      <c r="FR93" s="1367"/>
      <c r="FS93" s="1367"/>
      <c r="FT93" s="1367"/>
      <c r="FU93" s="1367"/>
      <c r="FV93" s="1367"/>
      <c r="FW93" s="1367"/>
      <c r="FX93" s="1367"/>
      <c r="FY93" s="1367"/>
      <c r="FZ93" s="1367"/>
      <c r="GA93" s="1367"/>
      <c r="GB93" s="1367"/>
      <c r="GC93" s="1367"/>
      <c r="GD93" s="1367"/>
      <c r="GE93" s="1367"/>
      <c r="GF93" s="1367"/>
      <c r="GG93" s="1367"/>
      <c r="GH93" s="1367"/>
      <c r="GI93" s="1367"/>
      <c r="GJ93" s="1367"/>
      <c r="GK93" s="1367"/>
      <c r="GL93" s="1367"/>
      <c r="GM93" s="1367"/>
      <c r="GN93" s="1367"/>
      <c r="GO93" s="1367"/>
      <c r="GP93" s="1367"/>
      <c r="GQ93" s="1367"/>
      <c r="GR93" s="1367"/>
      <c r="GS93" s="1367"/>
      <c r="GT93" s="1367"/>
      <c r="GU93" s="1367"/>
      <c r="GV93" s="1367"/>
      <c r="GW93" s="1367"/>
      <c r="GX93" s="1367"/>
      <c r="GY93" s="1367"/>
      <c r="GZ93" s="1367"/>
      <c r="HA93" s="1367"/>
      <c r="HB93" s="1367"/>
      <c r="HC93" s="1367"/>
      <c r="HD93" s="1367"/>
      <c r="HE93" s="1367"/>
      <c r="HF93" s="1367"/>
      <c r="HG93" s="1367"/>
      <c r="HH93" s="1367"/>
      <c r="HI93" s="1367"/>
      <c r="HJ93" s="1367"/>
      <c r="HK93" s="1367"/>
      <c r="HL93" s="1367"/>
      <c r="HM93" s="1367"/>
      <c r="HN93" s="1367"/>
      <c r="HO93" s="1367"/>
      <c r="HP93" s="1367"/>
      <c r="HQ93" s="1367"/>
      <c r="HR93" s="1367"/>
      <c r="HS93" s="1367"/>
      <c r="HT93" s="1367"/>
      <c r="HU93" s="1367"/>
      <c r="HV93" s="1367"/>
      <c r="HW93" s="1367"/>
      <c r="HX93" s="1367"/>
      <c r="HY93" s="1367"/>
      <c r="HZ93" s="1367"/>
      <c r="IA93" s="1367"/>
      <c r="IB93" s="1367"/>
      <c r="IC93" s="1367"/>
      <c r="ID93" s="1367"/>
      <c r="IE93" s="1367"/>
      <c r="IF93" s="1367"/>
      <c r="IG93" s="1367"/>
      <c r="IH93" s="1367"/>
      <c r="II93" s="1367"/>
      <c r="IJ93" s="1367"/>
      <c r="IK93" s="1367"/>
      <c r="IL93" s="1367"/>
      <c r="IM93" s="1367"/>
      <c r="IN93" s="1367"/>
      <c r="IO93" s="1367"/>
      <c r="IP93" s="1367"/>
      <c r="IQ93" s="1367"/>
      <c r="IR93" s="1367"/>
      <c r="IS93" s="1367"/>
      <c r="IT93" s="1367"/>
      <c r="IU93" s="1367"/>
      <c r="IV93" s="1367"/>
      <c r="IW93" s="1367"/>
      <c r="IX93" s="1367"/>
      <c r="IY93" s="1367"/>
      <c r="IZ93" s="1367"/>
      <c r="JA93" s="1367"/>
      <c r="JB93" s="1367"/>
      <c r="JC93" s="1367"/>
      <c r="JD93" s="1367"/>
      <c r="JE93" s="1367"/>
      <c r="JF93" s="1367"/>
      <c r="JG93" s="1367"/>
      <c r="JH93" s="1367"/>
      <c r="JI93" s="1367"/>
      <c r="JJ93" s="1367"/>
      <c r="JK93" s="1367"/>
      <c r="JL93" s="1367"/>
      <c r="JM93" s="1367"/>
      <c r="JN93" s="1367"/>
      <c r="JO93" s="1367"/>
      <c r="JP93" s="1367"/>
      <c r="JQ93" s="1367"/>
      <c r="JR93" s="1367"/>
      <c r="JS93" s="1367"/>
      <c r="JT93" s="1367"/>
      <c r="JU93" s="1367"/>
      <c r="JV93" s="1367"/>
    </row>
    <row r="94" spans="1:282" s="787" customFormat="1" ht="19.2" hidden="1" outlineLevel="2">
      <c r="A94" s="853" t="s">
        <v>1390</v>
      </c>
      <c r="B94" s="854" t="s">
        <v>471</v>
      </c>
      <c r="C94" s="1344"/>
      <c r="D94" s="845">
        <v>57000</v>
      </c>
      <c r="E94" s="845">
        <v>57000</v>
      </c>
      <c r="F94" s="1346">
        <v>0</v>
      </c>
      <c r="G94" s="1346">
        <f>I94+M94</f>
        <v>77100</v>
      </c>
      <c r="H94" s="1346">
        <f t="shared" si="13"/>
        <v>77100</v>
      </c>
      <c r="I94" s="1346">
        <f>I95+I96</f>
        <v>77100</v>
      </c>
      <c r="J94" s="844"/>
      <c r="K94" s="1346"/>
      <c r="L94" s="1346"/>
      <c r="M94" s="1346">
        <v>0</v>
      </c>
      <c r="N94" s="1367"/>
      <c r="O94" s="1368"/>
      <c r="P94" s="1369"/>
      <c r="Q94" s="1367"/>
      <c r="R94" s="1367"/>
      <c r="S94" s="1367"/>
      <c r="T94" s="1367"/>
      <c r="U94" s="1367"/>
      <c r="V94" s="1367"/>
      <c r="W94" s="1367"/>
      <c r="X94" s="1367"/>
      <c r="Y94" s="1367"/>
      <c r="Z94" s="1367"/>
      <c r="AA94" s="1367"/>
      <c r="AB94" s="1367"/>
      <c r="AC94" s="1367"/>
      <c r="AD94" s="1367"/>
      <c r="AE94" s="1367"/>
      <c r="AF94" s="1367"/>
      <c r="AG94" s="1367"/>
      <c r="AH94" s="1367"/>
      <c r="AI94" s="1367"/>
      <c r="AJ94" s="1367"/>
      <c r="AK94" s="1367"/>
      <c r="AL94" s="1367"/>
      <c r="AM94" s="1367"/>
      <c r="AN94" s="1367"/>
      <c r="AO94" s="1367"/>
      <c r="AP94" s="1367"/>
      <c r="AQ94" s="1367"/>
      <c r="AR94" s="1367"/>
      <c r="AS94" s="1367"/>
      <c r="AT94" s="1367"/>
      <c r="AU94" s="1367"/>
      <c r="AV94" s="1367"/>
      <c r="AW94" s="1367"/>
      <c r="AX94" s="1367"/>
      <c r="AY94" s="1367"/>
      <c r="AZ94" s="1367"/>
      <c r="BA94" s="1367"/>
      <c r="BB94" s="1367"/>
      <c r="BC94" s="1367"/>
      <c r="BD94" s="1367"/>
      <c r="BE94" s="1367"/>
      <c r="BF94" s="1367"/>
      <c r="BG94" s="1367"/>
      <c r="BH94" s="1367"/>
      <c r="BI94" s="1367"/>
      <c r="BJ94" s="1367"/>
      <c r="BK94" s="1367"/>
      <c r="BL94" s="1367"/>
      <c r="BM94" s="1367"/>
      <c r="BN94" s="1367"/>
      <c r="BO94" s="1367"/>
      <c r="BP94" s="1367"/>
      <c r="BQ94" s="1367"/>
      <c r="BR94" s="1367"/>
      <c r="BS94" s="1367"/>
      <c r="BT94" s="1367"/>
      <c r="BU94" s="1367"/>
      <c r="BV94" s="1367"/>
      <c r="BW94" s="1367"/>
      <c r="BX94" s="1367"/>
      <c r="BY94" s="1367"/>
      <c r="BZ94" s="1367"/>
      <c r="CA94" s="1367"/>
      <c r="CB94" s="1367"/>
      <c r="CC94" s="1367"/>
      <c r="CD94" s="1367"/>
      <c r="CE94" s="1367"/>
      <c r="CF94" s="1367"/>
      <c r="CG94" s="1367"/>
      <c r="CH94" s="1367"/>
      <c r="CI94" s="1367"/>
      <c r="CJ94" s="1367"/>
      <c r="CK94" s="1367"/>
      <c r="CL94" s="1367"/>
      <c r="CM94" s="1367"/>
      <c r="CN94" s="1367"/>
      <c r="CO94" s="1367"/>
      <c r="CP94" s="1367"/>
      <c r="CQ94" s="1367"/>
      <c r="CR94" s="1367"/>
      <c r="CS94" s="1367"/>
      <c r="CT94" s="1367"/>
      <c r="CU94" s="1367"/>
      <c r="CV94" s="1367"/>
      <c r="CW94" s="1367"/>
      <c r="CX94" s="1367"/>
      <c r="CY94" s="1367"/>
      <c r="CZ94" s="1367"/>
      <c r="DA94" s="1367"/>
      <c r="DB94" s="1367"/>
      <c r="DC94" s="1367"/>
      <c r="DD94" s="1367"/>
      <c r="DE94" s="1367"/>
      <c r="DF94" s="1367"/>
      <c r="DG94" s="1367"/>
      <c r="DH94" s="1367"/>
      <c r="DI94" s="1367"/>
      <c r="DJ94" s="1367"/>
      <c r="DK94" s="1367"/>
      <c r="DL94" s="1367"/>
      <c r="DM94" s="1367"/>
      <c r="DN94" s="1367"/>
      <c r="DO94" s="1367"/>
      <c r="DP94" s="1367"/>
      <c r="DQ94" s="1367"/>
      <c r="DR94" s="1367"/>
      <c r="DS94" s="1367"/>
      <c r="DT94" s="1367"/>
      <c r="DU94" s="1367"/>
      <c r="DV94" s="1367"/>
      <c r="DW94" s="1367"/>
      <c r="DX94" s="1367"/>
      <c r="DY94" s="1367"/>
      <c r="DZ94" s="1367"/>
      <c r="EA94" s="1367"/>
      <c r="EB94" s="1367"/>
      <c r="EC94" s="1367"/>
      <c r="ED94" s="1367"/>
      <c r="EE94" s="1367"/>
      <c r="EF94" s="1367"/>
      <c r="EG94" s="1367"/>
      <c r="EH94" s="1367"/>
      <c r="EI94" s="1367"/>
      <c r="EJ94" s="1367"/>
      <c r="EK94" s="1367"/>
      <c r="EL94" s="1367"/>
      <c r="EM94" s="1367"/>
      <c r="EN94" s="1367"/>
      <c r="EO94" s="1367"/>
      <c r="EP94" s="1367"/>
      <c r="EQ94" s="1367"/>
      <c r="ER94" s="1367"/>
      <c r="ES94" s="1367"/>
      <c r="ET94" s="1367"/>
      <c r="EU94" s="1367"/>
      <c r="EV94" s="1367"/>
      <c r="EW94" s="1367"/>
      <c r="EX94" s="1367"/>
      <c r="EY94" s="1367"/>
      <c r="EZ94" s="1367"/>
      <c r="FA94" s="1367"/>
      <c r="FB94" s="1367"/>
      <c r="FC94" s="1367"/>
      <c r="FD94" s="1367"/>
      <c r="FE94" s="1367"/>
      <c r="FF94" s="1367"/>
      <c r="FG94" s="1367"/>
      <c r="FH94" s="1367"/>
      <c r="FI94" s="1367"/>
      <c r="FJ94" s="1367"/>
      <c r="FK94" s="1367"/>
      <c r="FL94" s="1367"/>
      <c r="FM94" s="1367"/>
      <c r="FN94" s="1367"/>
      <c r="FO94" s="1367"/>
      <c r="FP94" s="1367"/>
      <c r="FQ94" s="1367"/>
      <c r="FR94" s="1367"/>
      <c r="FS94" s="1367"/>
      <c r="FT94" s="1367"/>
      <c r="FU94" s="1367"/>
      <c r="FV94" s="1367"/>
      <c r="FW94" s="1367"/>
      <c r="FX94" s="1367"/>
      <c r="FY94" s="1367"/>
      <c r="FZ94" s="1367"/>
      <c r="GA94" s="1367"/>
      <c r="GB94" s="1367"/>
      <c r="GC94" s="1367"/>
      <c r="GD94" s="1367"/>
      <c r="GE94" s="1367"/>
      <c r="GF94" s="1367"/>
      <c r="GG94" s="1367"/>
      <c r="GH94" s="1367"/>
      <c r="GI94" s="1367"/>
      <c r="GJ94" s="1367"/>
      <c r="GK94" s="1367"/>
      <c r="GL94" s="1367"/>
      <c r="GM94" s="1367"/>
      <c r="GN94" s="1367"/>
      <c r="GO94" s="1367"/>
      <c r="GP94" s="1367"/>
      <c r="GQ94" s="1367"/>
      <c r="GR94" s="1367"/>
      <c r="GS94" s="1367"/>
      <c r="GT94" s="1367"/>
      <c r="GU94" s="1367"/>
      <c r="GV94" s="1367"/>
      <c r="GW94" s="1367"/>
      <c r="GX94" s="1367"/>
      <c r="GY94" s="1367"/>
      <c r="GZ94" s="1367"/>
      <c r="HA94" s="1367"/>
      <c r="HB94" s="1367"/>
      <c r="HC94" s="1367"/>
      <c r="HD94" s="1367"/>
      <c r="HE94" s="1367"/>
      <c r="HF94" s="1367"/>
      <c r="HG94" s="1367"/>
      <c r="HH94" s="1367"/>
      <c r="HI94" s="1367"/>
      <c r="HJ94" s="1367"/>
      <c r="HK94" s="1367"/>
      <c r="HL94" s="1367"/>
      <c r="HM94" s="1367"/>
      <c r="HN94" s="1367"/>
      <c r="HO94" s="1367"/>
      <c r="HP94" s="1367"/>
      <c r="HQ94" s="1367"/>
      <c r="HR94" s="1367"/>
      <c r="HS94" s="1367"/>
      <c r="HT94" s="1367"/>
      <c r="HU94" s="1367"/>
      <c r="HV94" s="1367"/>
      <c r="HW94" s="1367"/>
      <c r="HX94" s="1367"/>
      <c r="HY94" s="1367"/>
      <c r="HZ94" s="1367"/>
      <c r="IA94" s="1367"/>
      <c r="IB94" s="1367"/>
      <c r="IC94" s="1367"/>
      <c r="ID94" s="1367"/>
      <c r="IE94" s="1367"/>
      <c r="IF94" s="1367"/>
      <c r="IG94" s="1367"/>
      <c r="IH94" s="1367"/>
      <c r="II94" s="1367"/>
      <c r="IJ94" s="1367"/>
      <c r="IK94" s="1367"/>
      <c r="IL94" s="1367"/>
      <c r="IM94" s="1367"/>
      <c r="IN94" s="1367"/>
      <c r="IO94" s="1367"/>
      <c r="IP94" s="1367"/>
      <c r="IQ94" s="1367"/>
      <c r="IR94" s="1367"/>
      <c r="IS94" s="1367"/>
      <c r="IT94" s="1367"/>
      <c r="IU94" s="1367"/>
      <c r="IV94" s="1367"/>
      <c r="IW94" s="1367"/>
      <c r="IX94" s="1367"/>
      <c r="IY94" s="1367"/>
      <c r="IZ94" s="1367"/>
      <c r="JA94" s="1367"/>
      <c r="JB94" s="1367"/>
      <c r="JC94" s="1367"/>
      <c r="JD94" s="1367"/>
      <c r="JE94" s="1367"/>
      <c r="JF94" s="1367"/>
      <c r="JG94" s="1367"/>
      <c r="JH94" s="1367"/>
      <c r="JI94" s="1367"/>
      <c r="JJ94" s="1367"/>
      <c r="JK94" s="1367"/>
      <c r="JL94" s="1367"/>
      <c r="JM94" s="1367"/>
      <c r="JN94" s="1367"/>
      <c r="JO94" s="1367"/>
      <c r="JP94" s="1367"/>
      <c r="JQ94" s="1367"/>
      <c r="JR94" s="1367"/>
      <c r="JS94" s="1367"/>
      <c r="JT94" s="1367"/>
      <c r="JU94" s="1367"/>
      <c r="JV94" s="1367"/>
    </row>
    <row r="95" spans="1:282" hidden="1" outlineLevel="2">
      <c r="A95" s="849" t="s">
        <v>18</v>
      </c>
      <c r="B95" s="850" t="s">
        <v>1259</v>
      </c>
      <c r="C95" s="1353"/>
      <c r="D95" s="846">
        <v>48400</v>
      </c>
      <c r="E95" s="846">
        <v>48400</v>
      </c>
      <c r="F95" s="1350"/>
      <c r="G95" s="1350">
        <f>I95+M95</f>
        <v>68500</v>
      </c>
      <c r="H95" s="1350">
        <f t="shared" si="13"/>
        <v>68500</v>
      </c>
      <c r="I95" s="1350">
        <f>'Bieu 07 TT'!Z1126</f>
        <v>68500</v>
      </c>
      <c r="J95" s="847"/>
      <c r="K95" s="1350"/>
      <c r="L95" s="1350"/>
      <c r="M95" s="1350"/>
    </row>
    <row r="96" spans="1:282" hidden="1" outlineLevel="2">
      <c r="A96" s="855" t="s">
        <v>26</v>
      </c>
      <c r="B96" s="856" t="s">
        <v>345</v>
      </c>
      <c r="C96" s="1370"/>
      <c r="D96" s="857">
        <v>8600</v>
      </c>
      <c r="E96" s="857">
        <v>8600</v>
      </c>
      <c r="F96" s="1371"/>
      <c r="G96" s="1371">
        <f>I96+M96</f>
        <v>8600</v>
      </c>
      <c r="H96" s="1371">
        <f t="shared" si="13"/>
        <v>8600</v>
      </c>
      <c r="I96" s="1371">
        <f>'Bieu 07 TT'!Z1127</f>
        <v>8600</v>
      </c>
      <c r="J96" s="858"/>
      <c r="K96" s="1371"/>
      <c r="L96" s="1371"/>
      <c r="M96" s="1371"/>
    </row>
    <row r="97" collapsed="1"/>
    <row r="210" spans="1:13">
      <c r="A210" s="777"/>
      <c r="D210" s="730"/>
      <c r="F210" s="730"/>
      <c r="G210" s="730"/>
      <c r="H210" s="730"/>
      <c r="M210" s="730"/>
    </row>
    <row r="219" spans="1:13">
      <c r="A219" s="777"/>
      <c r="E219" s="777"/>
      <c r="I219" s="777"/>
      <c r="J219" s="777"/>
      <c r="K219" s="777"/>
      <c r="L219" s="777"/>
    </row>
    <row r="418" spans="1:12">
      <c r="A418" s="777"/>
      <c r="E418" s="777"/>
      <c r="I418" s="777"/>
      <c r="J418" s="777"/>
      <c r="K418" s="777"/>
      <c r="L418" s="777"/>
    </row>
    <row r="440" spans="1:12">
      <c r="A440" s="777"/>
      <c r="E440" s="777"/>
      <c r="I440" s="777"/>
      <c r="J440" s="777"/>
      <c r="K440" s="777"/>
      <c r="L440" s="777"/>
    </row>
    <row r="465" spans="1:13">
      <c r="A465" s="777"/>
      <c r="D465" s="1372">
        <f t="shared" ref="D465:M465" si="20">D466+D485+D495+D496+D498+D503+D520+D532+D538+D545+D547+D571+D582+D601+D610+D623+D637+D660+D669+D685+D468+D467+D490</f>
        <v>0</v>
      </c>
      <c r="E465" s="1372">
        <f t="shared" si="20"/>
        <v>0</v>
      </c>
      <c r="F465" s="1372">
        <f t="shared" si="20"/>
        <v>0</v>
      </c>
      <c r="G465" s="1372">
        <f t="shared" si="20"/>
        <v>0</v>
      </c>
      <c r="H465" s="1372"/>
      <c r="I465" s="1372">
        <f t="shared" si="20"/>
        <v>0</v>
      </c>
      <c r="J465" s="1372">
        <f t="shared" si="20"/>
        <v>0</v>
      </c>
      <c r="K465" s="1372"/>
      <c r="L465" s="1372"/>
      <c r="M465" s="1372">
        <f t="shared" si="20"/>
        <v>0</v>
      </c>
    </row>
    <row r="490" spans="1:282" s="787" customFormat="1" ht="151.80000000000001">
      <c r="A490" s="1373" t="s">
        <v>74</v>
      </c>
      <c r="C490" s="1374" t="s">
        <v>780</v>
      </c>
      <c r="D490" s="859">
        <f t="shared" ref="D490:M490" si="21">D491+D492+D493+D494</f>
        <v>0</v>
      </c>
      <c r="E490" s="859">
        <f t="shared" si="21"/>
        <v>0</v>
      </c>
      <c r="F490" s="859">
        <f t="shared" si="21"/>
        <v>0</v>
      </c>
      <c r="G490" s="859">
        <f t="shared" si="21"/>
        <v>0</v>
      </c>
      <c r="H490" s="859"/>
      <c r="I490" s="859">
        <f t="shared" si="21"/>
        <v>0</v>
      </c>
      <c r="J490" s="859">
        <f t="shared" si="21"/>
        <v>0</v>
      </c>
      <c r="K490" s="859"/>
      <c r="L490" s="859"/>
      <c r="M490" s="859">
        <f t="shared" si="21"/>
        <v>0</v>
      </c>
      <c r="N490" s="1332"/>
      <c r="O490" s="1334"/>
      <c r="P490" s="1333"/>
      <c r="Q490" s="1332"/>
      <c r="R490" s="1332"/>
      <c r="S490" s="1332"/>
      <c r="T490" s="1332"/>
      <c r="U490" s="1332"/>
      <c r="V490" s="1332"/>
      <c r="W490" s="1332"/>
      <c r="X490" s="1332"/>
      <c r="Y490" s="1332"/>
      <c r="Z490" s="1332"/>
      <c r="AA490" s="1332"/>
      <c r="AB490" s="1332"/>
      <c r="AC490" s="1332"/>
      <c r="AD490" s="1332"/>
      <c r="AE490" s="1332"/>
      <c r="AF490" s="1332"/>
      <c r="AG490" s="1332"/>
      <c r="AH490" s="1332"/>
      <c r="AI490" s="1332"/>
      <c r="AJ490" s="1332"/>
      <c r="AK490" s="1332"/>
      <c r="AL490" s="1332"/>
      <c r="AM490" s="1332"/>
      <c r="AN490" s="1332"/>
      <c r="AO490" s="1332"/>
      <c r="AP490" s="1332"/>
      <c r="AQ490" s="1332"/>
      <c r="AR490" s="1332"/>
      <c r="AS490" s="1332"/>
      <c r="AT490" s="1332"/>
      <c r="AU490" s="1332"/>
      <c r="AV490" s="1332"/>
      <c r="AW490" s="1332"/>
      <c r="AX490" s="1332"/>
      <c r="AY490" s="1332"/>
      <c r="AZ490" s="1332"/>
      <c r="BA490" s="1332"/>
      <c r="BB490" s="1332"/>
      <c r="BC490" s="1332"/>
      <c r="BD490" s="1332"/>
      <c r="BE490" s="1332"/>
      <c r="BF490" s="1332"/>
      <c r="BG490" s="1332"/>
      <c r="BH490" s="1332"/>
      <c r="BI490" s="1332"/>
      <c r="BJ490" s="1332"/>
      <c r="BK490" s="1332"/>
      <c r="BL490" s="1332"/>
      <c r="BM490" s="1332"/>
      <c r="BN490" s="1332"/>
      <c r="BO490" s="1332"/>
      <c r="BP490" s="1332"/>
      <c r="BQ490" s="1332"/>
      <c r="BR490" s="1332"/>
      <c r="BS490" s="1332"/>
      <c r="BT490" s="1332"/>
      <c r="BU490" s="1332"/>
      <c r="BV490" s="1332"/>
      <c r="BW490" s="1332"/>
      <c r="BX490" s="1332"/>
      <c r="BY490" s="1332"/>
      <c r="BZ490" s="1332"/>
      <c r="CA490" s="1332"/>
      <c r="CB490" s="1332"/>
      <c r="CC490" s="1332"/>
      <c r="CD490" s="1332"/>
      <c r="CE490" s="1332"/>
      <c r="CF490" s="1332"/>
      <c r="CG490" s="1332"/>
      <c r="CH490" s="1332"/>
      <c r="CI490" s="1332"/>
      <c r="CJ490" s="1332"/>
      <c r="CK490" s="1332"/>
      <c r="CL490" s="1332"/>
      <c r="CM490" s="1332"/>
      <c r="CN490" s="1332"/>
      <c r="CO490" s="1332"/>
      <c r="CP490" s="1332"/>
      <c r="CQ490" s="1332"/>
      <c r="CR490" s="1332"/>
      <c r="CS490" s="1332"/>
      <c r="CT490" s="1332"/>
      <c r="CU490" s="1332"/>
      <c r="CV490" s="1332"/>
      <c r="CW490" s="1332"/>
      <c r="CX490" s="1332"/>
      <c r="CY490" s="1332"/>
      <c r="CZ490" s="1332"/>
      <c r="DA490" s="1332"/>
      <c r="DB490" s="1332"/>
      <c r="DC490" s="1332"/>
      <c r="DD490" s="1332"/>
      <c r="DE490" s="1332"/>
      <c r="DF490" s="1332"/>
      <c r="DG490" s="1332"/>
      <c r="DH490" s="1332"/>
      <c r="DI490" s="1332"/>
      <c r="DJ490" s="1332"/>
      <c r="DK490" s="1332"/>
      <c r="DL490" s="1332"/>
      <c r="DM490" s="1332"/>
      <c r="DN490" s="1332"/>
      <c r="DO490" s="1332"/>
      <c r="DP490" s="1332"/>
      <c r="DQ490" s="1332"/>
      <c r="DR490" s="1332"/>
      <c r="DS490" s="1332"/>
      <c r="DT490" s="1332"/>
      <c r="DU490" s="1332"/>
      <c r="DV490" s="1332"/>
      <c r="DW490" s="1332"/>
      <c r="DX490" s="1332"/>
      <c r="DY490" s="1332"/>
      <c r="DZ490" s="1332"/>
      <c r="EA490" s="1332"/>
      <c r="EB490" s="1332"/>
      <c r="EC490" s="1332"/>
      <c r="ED490" s="1332"/>
      <c r="EE490" s="1332"/>
      <c r="EF490" s="1332"/>
      <c r="EG490" s="1332"/>
      <c r="EH490" s="1332"/>
      <c r="EI490" s="1332"/>
      <c r="EJ490" s="1332"/>
      <c r="EK490" s="1332"/>
      <c r="EL490" s="1332"/>
      <c r="EM490" s="1332"/>
      <c r="EN490" s="1332"/>
      <c r="EO490" s="1332"/>
      <c r="EP490" s="1332"/>
      <c r="EQ490" s="1332"/>
      <c r="ER490" s="1332"/>
      <c r="ES490" s="1332"/>
      <c r="ET490" s="1332"/>
      <c r="EU490" s="1332"/>
      <c r="EV490" s="1332"/>
      <c r="EW490" s="1332"/>
      <c r="EX490" s="1332"/>
      <c r="EY490" s="1332"/>
      <c r="EZ490" s="1332"/>
      <c r="FA490" s="1332"/>
      <c r="FB490" s="1332"/>
      <c r="FC490" s="1332"/>
      <c r="FD490" s="1332"/>
      <c r="FE490" s="1332"/>
      <c r="FF490" s="1332"/>
      <c r="FG490" s="1332"/>
      <c r="FH490" s="1332"/>
      <c r="FI490" s="1332"/>
      <c r="FJ490" s="1332"/>
      <c r="FK490" s="1332"/>
      <c r="FL490" s="1332"/>
      <c r="FM490" s="1332"/>
      <c r="FN490" s="1332"/>
      <c r="FO490" s="1332"/>
      <c r="FP490" s="1332"/>
      <c r="FQ490" s="1332"/>
      <c r="FR490" s="1332"/>
      <c r="FS490" s="1332"/>
      <c r="FT490" s="1332"/>
      <c r="FU490" s="1332"/>
      <c r="FV490" s="1332"/>
      <c r="FW490" s="1332"/>
      <c r="FX490" s="1332"/>
      <c r="FY490" s="1332"/>
      <c r="FZ490" s="1332"/>
      <c r="GA490" s="1332"/>
      <c r="GB490" s="1332"/>
      <c r="GC490" s="1332"/>
      <c r="GD490" s="1332"/>
      <c r="GE490" s="1332"/>
      <c r="GF490" s="1332"/>
      <c r="GG490" s="1332"/>
      <c r="GH490" s="1332"/>
      <c r="GI490" s="1332"/>
      <c r="GJ490" s="1332"/>
      <c r="GK490" s="1332"/>
      <c r="GL490" s="1332"/>
      <c r="GM490" s="1332"/>
      <c r="GN490" s="1332"/>
      <c r="GO490" s="1332"/>
      <c r="GP490" s="1332"/>
      <c r="GQ490" s="1332"/>
      <c r="GR490" s="1332"/>
      <c r="GS490" s="1332"/>
      <c r="GT490" s="1332"/>
      <c r="GU490" s="1332"/>
      <c r="GV490" s="1332"/>
      <c r="GW490" s="1332"/>
      <c r="GX490" s="1332"/>
      <c r="GY490" s="1332"/>
      <c r="GZ490" s="1332"/>
      <c r="HA490" s="1332"/>
      <c r="HB490" s="1332"/>
      <c r="HC490" s="1332"/>
      <c r="HD490" s="1332"/>
      <c r="HE490" s="1332"/>
      <c r="HF490" s="1332"/>
      <c r="HG490" s="1332"/>
      <c r="HH490" s="1332"/>
      <c r="HI490" s="1332"/>
      <c r="HJ490" s="1332"/>
      <c r="HK490" s="1332"/>
      <c r="HL490" s="1332"/>
      <c r="HM490" s="1332"/>
      <c r="HN490" s="1332"/>
      <c r="HO490" s="1332"/>
      <c r="HP490" s="1332"/>
      <c r="HQ490" s="1332"/>
      <c r="HR490" s="1332"/>
      <c r="HS490" s="1332"/>
      <c r="HT490" s="1332"/>
      <c r="HU490" s="1332"/>
      <c r="HV490" s="1332"/>
      <c r="HW490" s="1332"/>
      <c r="HX490" s="1332"/>
      <c r="HY490" s="1332"/>
      <c r="HZ490" s="1332"/>
      <c r="IA490" s="1332"/>
      <c r="IB490" s="1332"/>
      <c r="IC490" s="1332"/>
      <c r="ID490" s="1332"/>
      <c r="IE490" s="1332"/>
      <c r="IF490" s="1332"/>
      <c r="IG490" s="1332"/>
      <c r="IH490" s="1332"/>
      <c r="II490" s="1332"/>
      <c r="IJ490" s="1332"/>
      <c r="IK490" s="1332"/>
      <c r="IL490" s="1332"/>
      <c r="IM490" s="1332"/>
      <c r="IN490" s="1332"/>
      <c r="IO490" s="1332"/>
      <c r="IP490" s="1332"/>
      <c r="IQ490" s="1332"/>
      <c r="IR490" s="1332"/>
      <c r="IS490" s="1332"/>
      <c r="IT490" s="1332"/>
      <c r="IU490" s="1332"/>
      <c r="IV490" s="1332"/>
      <c r="IW490" s="1332"/>
      <c r="IX490" s="1332"/>
      <c r="IY490" s="1332"/>
      <c r="IZ490" s="1332"/>
      <c r="JA490" s="1332"/>
      <c r="JB490" s="1332"/>
      <c r="JC490" s="1332"/>
      <c r="JD490" s="1332"/>
      <c r="JE490" s="1332"/>
      <c r="JF490" s="1332"/>
      <c r="JG490" s="1332"/>
      <c r="JH490" s="1332"/>
      <c r="JI490" s="1332"/>
      <c r="JJ490" s="1332"/>
      <c r="JK490" s="1332"/>
      <c r="JL490" s="1332"/>
      <c r="JM490" s="1332"/>
      <c r="JN490" s="1332"/>
      <c r="JO490" s="1332"/>
      <c r="JP490" s="1332"/>
      <c r="JQ490" s="1332"/>
      <c r="JR490" s="1332"/>
      <c r="JS490" s="1332"/>
      <c r="JT490" s="1332"/>
      <c r="JU490" s="1332"/>
      <c r="JV490" s="1332"/>
    </row>
    <row r="491" spans="1:282">
      <c r="A491" s="1375" t="s">
        <v>23</v>
      </c>
    </row>
    <row r="494" spans="1:282">
      <c r="A494" s="1375" t="s">
        <v>23</v>
      </c>
    </row>
    <row r="496" spans="1:282">
      <c r="A496" s="1375" t="s">
        <v>76</v>
      </c>
    </row>
    <row r="498" spans="1:1">
      <c r="A498" s="1375" t="s">
        <v>77</v>
      </c>
    </row>
    <row r="503" spans="1:1">
      <c r="A503" s="1375" t="s">
        <v>78</v>
      </c>
    </row>
    <row r="504" spans="1:1">
      <c r="A504" s="1375" t="s">
        <v>781</v>
      </c>
    </row>
    <row r="510" spans="1:1">
      <c r="A510" s="1375" t="s">
        <v>782</v>
      </c>
    </row>
    <row r="520" spans="1:12">
      <c r="A520" s="1375" t="s">
        <v>79</v>
      </c>
      <c r="E520" s="777"/>
      <c r="I520" s="777"/>
      <c r="J520" s="777"/>
      <c r="K520" s="777"/>
      <c r="L520" s="777"/>
    </row>
    <row r="521" spans="1:12">
      <c r="A521" s="1375" t="s">
        <v>409</v>
      </c>
      <c r="E521" s="777"/>
      <c r="I521" s="777"/>
      <c r="J521" s="777"/>
      <c r="K521" s="777"/>
      <c r="L521" s="777"/>
    </row>
    <row r="526" spans="1:12">
      <c r="A526" s="1375" t="s">
        <v>411</v>
      </c>
      <c r="E526" s="777"/>
      <c r="I526" s="777"/>
      <c r="J526" s="777"/>
      <c r="K526" s="777"/>
      <c r="L526" s="777"/>
    </row>
    <row r="529" spans="1:12">
      <c r="A529" s="1375" t="s">
        <v>783</v>
      </c>
      <c r="E529" s="777"/>
      <c r="I529" s="777"/>
      <c r="J529" s="777"/>
      <c r="K529" s="777"/>
      <c r="L529" s="777"/>
    </row>
    <row r="532" spans="1:12">
      <c r="A532" s="1375" t="s">
        <v>80</v>
      </c>
      <c r="E532" s="777"/>
      <c r="I532" s="777"/>
      <c r="J532" s="777"/>
      <c r="K532" s="777"/>
      <c r="L532" s="777"/>
    </row>
    <row r="538" spans="1:12">
      <c r="A538" s="1375" t="s">
        <v>81</v>
      </c>
      <c r="E538" s="777"/>
      <c r="I538" s="777"/>
      <c r="J538" s="777"/>
      <c r="K538" s="777"/>
      <c r="L538" s="777"/>
    </row>
    <row r="539" spans="1:12">
      <c r="A539" s="1375" t="s">
        <v>784</v>
      </c>
      <c r="E539" s="777"/>
      <c r="I539" s="777"/>
      <c r="J539" s="777"/>
      <c r="K539" s="777"/>
      <c r="L539" s="777"/>
    </row>
    <row r="544" spans="1:12">
      <c r="A544" s="1375" t="s">
        <v>785</v>
      </c>
      <c r="E544" s="777"/>
      <c r="I544" s="777"/>
      <c r="J544" s="777"/>
      <c r="K544" s="777"/>
      <c r="L544" s="777"/>
    </row>
    <row r="545" spans="1:12">
      <c r="A545" s="1375" t="s">
        <v>82</v>
      </c>
      <c r="E545" s="777"/>
      <c r="I545" s="777"/>
      <c r="J545" s="777"/>
      <c r="K545" s="777"/>
      <c r="L545" s="777"/>
    </row>
    <row r="547" spans="1:12">
      <c r="A547" s="1375" t="s">
        <v>421</v>
      </c>
      <c r="E547" s="777"/>
      <c r="I547" s="777"/>
      <c r="J547" s="777"/>
      <c r="K547" s="777"/>
      <c r="L547" s="777"/>
    </row>
    <row r="548" spans="1:12">
      <c r="A548" s="1375" t="s">
        <v>424</v>
      </c>
      <c r="E548" s="777"/>
      <c r="I548" s="777"/>
      <c r="J548" s="777"/>
      <c r="K548" s="777"/>
      <c r="L548" s="777"/>
    </row>
    <row r="553" spans="1:12">
      <c r="A553" s="1375" t="s">
        <v>430</v>
      </c>
      <c r="E553" s="777"/>
      <c r="I553" s="777"/>
      <c r="J553" s="777"/>
      <c r="K553" s="777"/>
      <c r="L553" s="777"/>
    </row>
    <row r="571" spans="1:12">
      <c r="A571" s="1375" t="s">
        <v>786</v>
      </c>
      <c r="E571" s="777"/>
      <c r="I571" s="777"/>
      <c r="J571" s="777"/>
      <c r="K571" s="777"/>
      <c r="L571" s="777"/>
    </row>
    <row r="582" spans="1:12">
      <c r="A582" s="1375" t="s">
        <v>787</v>
      </c>
      <c r="E582" s="777"/>
      <c r="I582" s="777"/>
      <c r="J582" s="777"/>
      <c r="K582" s="777"/>
      <c r="L582" s="777"/>
    </row>
    <row r="583" spans="1:12">
      <c r="A583" s="1375" t="s">
        <v>788</v>
      </c>
      <c r="E583" s="777"/>
      <c r="I583" s="777"/>
      <c r="J583" s="777"/>
      <c r="K583" s="777"/>
      <c r="L583" s="777"/>
    </row>
    <row r="598" spans="1:12">
      <c r="A598" s="1375" t="s">
        <v>789</v>
      </c>
      <c r="E598" s="777"/>
      <c r="I598" s="777"/>
      <c r="J598" s="777"/>
      <c r="K598" s="777"/>
      <c r="L598" s="777"/>
    </row>
    <row r="601" spans="1:12">
      <c r="A601" s="1375" t="s">
        <v>437</v>
      </c>
      <c r="E601" s="777"/>
      <c r="I601" s="777"/>
      <c r="J601" s="777"/>
      <c r="K601" s="777"/>
      <c r="L601" s="777"/>
    </row>
    <row r="610" spans="1:12">
      <c r="A610" s="1375" t="s">
        <v>438</v>
      </c>
      <c r="E610" s="777"/>
      <c r="I610" s="777"/>
      <c r="J610" s="777"/>
      <c r="K610" s="777"/>
      <c r="L610" s="777"/>
    </row>
    <row r="611" spans="1:12">
      <c r="A611" s="1375" t="s">
        <v>790</v>
      </c>
      <c r="E611" s="777"/>
      <c r="I611" s="777"/>
      <c r="J611" s="777"/>
      <c r="K611" s="777"/>
      <c r="L611" s="777"/>
    </row>
    <row r="618" spans="1:12">
      <c r="A618" s="1375" t="s">
        <v>791</v>
      </c>
      <c r="E618" s="777"/>
      <c r="I618" s="777"/>
      <c r="J618" s="777"/>
      <c r="K618" s="777"/>
      <c r="L618" s="777"/>
    </row>
    <row r="620" spans="1:12">
      <c r="A620" s="780" t="s">
        <v>792</v>
      </c>
      <c r="E620" s="777"/>
      <c r="I620" s="777"/>
      <c r="J620" s="777"/>
      <c r="K620" s="777"/>
      <c r="L620" s="777"/>
    </row>
    <row r="623" spans="1:12">
      <c r="A623" s="1375" t="s">
        <v>440</v>
      </c>
      <c r="E623" s="777"/>
      <c r="I623" s="777"/>
      <c r="J623" s="777"/>
      <c r="K623" s="777"/>
      <c r="L623" s="777"/>
    </row>
    <row r="637" spans="1:12">
      <c r="A637" s="1375" t="s">
        <v>464</v>
      </c>
      <c r="E637" s="777"/>
      <c r="I637" s="777"/>
      <c r="J637" s="777"/>
      <c r="K637" s="777"/>
      <c r="L637" s="777"/>
    </row>
    <row r="638" spans="1:12">
      <c r="A638" s="1375" t="s">
        <v>793</v>
      </c>
      <c r="E638" s="777"/>
      <c r="I638" s="777"/>
      <c r="J638" s="777"/>
      <c r="K638" s="777"/>
      <c r="L638" s="777"/>
    </row>
    <row r="655" spans="1:12">
      <c r="A655" s="1375" t="s">
        <v>793</v>
      </c>
      <c r="E655" s="777"/>
      <c r="I655" s="777"/>
      <c r="J655" s="777"/>
      <c r="K655" s="777"/>
      <c r="L655" s="777"/>
    </row>
    <row r="660" spans="1:12">
      <c r="A660" s="1375" t="s">
        <v>605</v>
      </c>
      <c r="E660" s="777"/>
      <c r="I660" s="777"/>
      <c r="J660" s="777"/>
      <c r="K660" s="777"/>
      <c r="L660" s="777"/>
    </row>
    <row r="669" spans="1:12">
      <c r="A669" s="1375" t="s">
        <v>608</v>
      </c>
      <c r="E669" s="777"/>
      <c r="I669" s="777"/>
      <c r="J669" s="777"/>
      <c r="K669" s="777"/>
      <c r="L669" s="777"/>
    </row>
    <row r="685" spans="1:12">
      <c r="A685" s="1375" t="s">
        <v>794</v>
      </c>
      <c r="E685" s="777"/>
      <c r="I685" s="777"/>
      <c r="J685" s="777"/>
      <c r="K685" s="777"/>
      <c r="L685" s="777"/>
    </row>
    <row r="810" spans="1:12">
      <c r="A810" s="777"/>
      <c r="E810" s="777"/>
      <c r="I810" s="777"/>
      <c r="J810" s="777"/>
      <c r="K810" s="777"/>
      <c r="L810" s="777"/>
    </row>
    <row r="811" spans="1:12">
      <c r="A811" s="777"/>
      <c r="E811" s="777"/>
      <c r="I811" s="777"/>
      <c r="J811" s="777"/>
      <c r="K811" s="777"/>
      <c r="L811" s="777"/>
    </row>
    <row r="813" spans="1:12">
      <c r="A813" s="777"/>
      <c r="E813" s="777"/>
      <c r="I813" s="777"/>
      <c r="J813" s="777"/>
      <c r="K813" s="777"/>
      <c r="L813" s="777"/>
    </row>
    <row r="1109" spans="26:26">
      <c r="Z1109" s="1332">
        <v>91593</v>
      </c>
    </row>
  </sheetData>
  <mergeCells count="19">
    <mergeCell ref="A2:M2"/>
    <mergeCell ref="A3:M3"/>
    <mergeCell ref="I6:M6"/>
    <mergeCell ref="A7:A11"/>
    <mergeCell ref="B7:B11"/>
    <mergeCell ref="C7:C11"/>
    <mergeCell ref="D7:D11"/>
    <mergeCell ref="E7:F7"/>
    <mergeCell ref="G7:G11"/>
    <mergeCell ref="H7:M7"/>
    <mergeCell ref="E8:E11"/>
    <mergeCell ref="F8:F11"/>
    <mergeCell ref="H8:H11"/>
    <mergeCell ref="I8:L8"/>
    <mergeCell ref="M8:M11"/>
    <mergeCell ref="I9:I11"/>
    <mergeCell ref="J9:J11"/>
    <mergeCell ref="K9:K11"/>
    <mergeCell ref="L9:L11"/>
  </mergeCells>
  <printOptions horizontalCentered="1"/>
  <pageMargins left="0.39370078740157499" right="0.39370078740157499" top="0.55118110236220497" bottom="0.35433070866141703" header="0.196850393700787" footer="0"/>
  <pageSetup paperSize="9" scale="85" fitToHeight="0" orientation="portrait" blackAndWhite="1" r:id="rId1"/>
  <headerFooter>
    <oddFooter>&amp;R&amp;P/&amp;N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Q1130"/>
  <sheetViews>
    <sheetView zoomScaleNormal="100" zoomScalePageLayoutView="80" workbookViewId="0">
      <pane xSplit="3" ySplit="15" topLeftCell="D16" activePane="bottomRight" state="frozen"/>
      <selection activeCell="H13" sqref="H13"/>
      <selection pane="topRight" activeCell="H13" sqref="H13"/>
      <selection pane="bottomLeft" activeCell="H13" sqref="H13"/>
      <selection pane="bottomRight" activeCell="U18" sqref="U18"/>
    </sheetView>
  </sheetViews>
  <sheetFormatPr defaultColWidth="8" defaultRowHeight="18" outlineLevelRow="3" outlineLevelCol="1"/>
  <cols>
    <col min="1" max="1" width="4.5546875" style="581" customWidth="1"/>
    <col min="2" max="2" width="31.88671875" style="345" customWidth="1"/>
    <col min="3" max="3" width="5.33203125" style="293" customWidth="1"/>
    <col min="4" max="4" width="9.109375" style="292" hidden="1" customWidth="1" outlineLevel="1"/>
    <col min="5" max="5" width="8.88671875" style="292" customWidth="1" collapsed="1"/>
    <col min="6" max="6" width="9.88671875" style="292" customWidth="1"/>
    <col min="7" max="7" width="9.44140625" style="292" hidden="1" customWidth="1" outlineLevel="1"/>
    <col min="8" max="8" width="8.6640625" style="292" customWidth="1" collapsed="1"/>
    <col min="9" max="9" width="8.44140625" style="292" customWidth="1"/>
    <col min="10" max="10" width="6.33203125" style="292" customWidth="1" collapsed="1"/>
    <col min="11" max="11" width="5.6640625" style="292" hidden="1" customWidth="1" outlineLevel="1"/>
    <col min="12" max="12" width="5.44140625" style="292" hidden="1" customWidth="1" outlineLevel="1"/>
    <col min="13" max="13" width="7.44140625" style="292" customWidth="1" collapsed="1"/>
    <col min="14" max="14" width="7.33203125" style="292" hidden="1" customWidth="1" outlineLevel="1"/>
    <col min="15" max="15" width="6.44140625" style="292" hidden="1" customWidth="1" outlineLevel="1"/>
    <col min="16" max="16" width="7.44140625" style="292" customWidth="1" collapsed="1"/>
    <col min="17" max="17" width="5.44140625" style="292" customWidth="1"/>
    <col min="18" max="18" width="4.88671875" style="292" customWidth="1"/>
    <col min="19" max="20" width="7.44140625" style="292" customWidth="1"/>
    <col min="21" max="21" width="9.109375" style="292" customWidth="1" outlineLevel="1"/>
    <col min="22" max="22" width="7.6640625" style="292" customWidth="1" outlineLevel="1"/>
    <col min="23" max="23" width="8.6640625" style="292" customWidth="1"/>
    <col min="24" max="24" width="5.88671875" style="292" customWidth="1"/>
    <col min="25" max="25" width="5.109375" style="292" customWidth="1"/>
    <col min="26" max="26" width="9" style="292" hidden="1" customWidth="1" outlineLevel="1"/>
    <col min="27" max="27" width="7.88671875" style="292" hidden="1" customWidth="1" outlineLevel="1"/>
    <col min="28" max="28" width="10.6640625" style="292" customWidth="1" collapsed="1"/>
    <col min="29" max="29" width="7.5546875" style="292" customWidth="1"/>
    <col min="30" max="30" width="7.109375" style="292" hidden="1" customWidth="1" outlineLevel="1"/>
    <col min="31" max="31" width="8.33203125" style="292" hidden="1" customWidth="1" outlineLevel="1"/>
    <col min="32" max="32" width="32.44140625" style="582" customWidth="1" collapsed="1"/>
    <col min="33" max="33" width="8.109375" style="292" hidden="1" customWidth="1" outlineLevel="1"/>
    <col min="34" max="34" width="9.88671875" style="323" hidden="1" customWidth="1" outlineLevel="1"/>
    <col min="35" max="35" width="6" style="292" hidden="1" customWidth="1" outlineLevel="1"/>
    <col min="36" max="36" width="5.5546875" style="292" hidden="1" customWidth="1" outlineLevel="1"/>
    <col min="37" max="37" width="7.44140625" style="292" hidden="1" customWidth="1" outlineLevel="1"/>
    <col min="38" max="38" width="5" style="292" hidden="1" customWidth="1" outlineLevel="1"/>
    <col min="39" max="39" width="6.5546875" style="292" hidden="1" customWidth="1" outlineLevel="1"/>
    <col min="40" max="40" width="8.6640625" style="292" hidden="1" customWidth="1" outlineLevel="1"/>
    <col min="41" max="41" width="8" style="292" hidden="1" customWidth="1" outlineLevel="1"/>
    <col min="42" max="42" width="0" style="292" hidden="1" customWidth="1" outlineLevel="1"/>
    <col min="43" max="43" width="8" style="292" collapsed="1"/>
    <col min="44" max="16384" width="8" style="292"/>
  </cols>
  <sheetData>
    <row r="1" spans="1:42" hidden="1" outlineLevel="3" collapsed="1">
      <c r="D1" s="292">
        <v>3532642.2628682284</v>
      </c>
      <c r="E1" s="292">
        <v>3616032</v>
      </c>
      <c r="F1" s="292">
        <v>3541890</v>
      </c>
      <c r="G1" s="292">
        <v>14399.737131771559</v>
      </c>
      <c r="H1" s="292">
        <v>3541890</v>
      </c>
      <c r="I1" s="292">
        <v>941431</v>
      </c>
      <c r="J1" s="292">
        <v>3132</v>
      </c>
      <c r="K1" s="292">
        <v>2921</v>
      </c>
      <c r="L1" s="292">
        <v>211</v>
      </c>
      <c r="M1" s="292">
        <v>382495</v>
      </c>
      <c r="N1" s="292">
        <v>366512</v>
      </c>
      <c r="O1" s="292">
        <v>15983</v>
      </c>
      <c r="P1" s="292">
        <v>558936</v>
      </c>
      <c r="S1" s="292">
        <v>128799</v>
      </c>
      <c r="T1" s="292">
        <v>430137</v>
      </c>
      <c r="U1" s="292">
        <v>413682</v>
      </c>
      <c r="V1" s="292">
        <v>16455</v>
      </c>
      <c r="W1" s="292">
        <v>2600459</v>
      </c>
      <c r="Z1" s="292">
        <v>2541475</v>
      </c>
      <c r="AA1" s="292">
        <v>58984</v>
      </c>
      <c r="AB1" s="292">
        <v>0</v>
      </c>
      <c r="AC1" s="292">
        <v>74142</v>
      </c>
      <c r="AD1" s="292">
        <v>5483</v>
      </c>
      <c r="AE1" s="292">
        <v>3843778.3819800001</v>
      </c>
    </row>
    <row r="2" spans="1:42" hidden="1" outlineLevel="3">
      <c r="A2" s="583"/>
      <c r="B2" s="584"/>
      <c r="D2" s="292">
        <f>D15-D1</f>
        <v>0</v>
      </c>
      <c r="E2" s="292">
        <f t="shared" ref="E2:AE2" si="0">E15-E1</f>
        <v>67241</v>
      </c>
      <c r="F2" s="292">
        <f t="shared" si="0"/>
        <v>67241</v>
      </c>
      <c r="G2" s="292">
        <f t="shared" si="0"/>
        <v>67241</v>
      </c>
      <c r="H2" s="292">
        <f t="shared" si="0"/>
        <v>67241</v>
      </c>
      <c r="I2" s="292">
        <f t="shared" si="0"/>
        <v>67882</v>
      </c>
      <c r="J2" s="292">
        <f t="shared" si="0"/>
        <v>0</v>
      </c>
      <c r="K2" s="292">
        <f t="shared" si="0"/>
        <v>0</v>
      </c>
      <c r="L2" s="292">
        <f t="shared" si="0"/>
        <v>0</v>
      </c>
      <c r="M2" s="292">
        <f t="shared" si="0"/>
        <v>0</v>
      </c>
      <c r="N2" s="292">
        <f t="shared" si="0"/>
        <v>0</v>
      </c>
      <c r="O2" s="292">
        <f t="shared" si="0"/>
        <v>0</v>
      </c>
      <c r="P2" s="292">
        <f t="shared" si="0"/>
        <v>67882</v>
      </c>
      <c r="Q2" s="292">
        <f t="shared" si="0"/>
        <v>0</v>
      </c>
      <c r="R2" s="292">
        <f t="shared" si="0"/>
        <v>0</v>
      </c>
      <c r="S2" s="292">
        <f t="shared" si="0"/>
        <v>0</v>
      </c>
      <c r="T2" s="292">
        <f t="shared" si="0"/>
        <v>67882</v>
      </c>
      <c r="U2" s="292">
        <f t="shared" si="0"/>
        <v>67250</v>
      </c>
      <c r="V2" s="292">
        <f t="shared" si="0"/>
        <v>632</v>
      </c>
      <c r="W2" s="292">
        <f t="shared" si="0"/>
        <v>-641</v>
      </c>
      <c r="X2" s="292">
        <f t="shared" si="0"/>
        <v>0</v>
      </c>
      <c r="Y2" s="292">
        <f t="shared" si="0"/>
        <v>0</v>
      </c>
      <c r="Z2" s="292">
        <f t="shared" si="0"/>
        <v>-769</v>
      </c>
      <c r="AA2" s="292">
        <f t="shared" si="0"/>
        <v>128</v>
      </c>
      <c r="AB2" s="292">
        <f t="shared" si="0"/>
        <v>0</v>
      </c>
      <c r="AC2" s="292">
        <f t="shared" si="0"/>
        <v>0</v>
      </c>
      <c r="AD2" s="292">
        <f t="shared" si="0"/>
        <v>0</v>
      </c>
      <c r="AE2" s="292">
        <f t="shared" si="0"/>
        <v>-180582.38198000006</v>
      </c>
      <c r="AF2" s="1263"/>
      <c r="AG2" s="1264"/>
    </row>
    <row r="3" spans="1:42" s="1268" customFormat="1" collapsed="1">
      <c r="A3" s="1265" t="s">
        <v>1837</v>
      </c>
      <c r="B3" s="1266"/>
      <c r="C3" s="1267"/>
      <c r="D3" s="1264"/>
      <c r="E3" s="1264"/>
      <c r="F3" s="1264"/>
      <c r="G3" s="1264"/>
      <c r="H3" s="1264"/>
      <c r="I3" s="1264"/>
      <c r="M3" s="1264"/>
      <c r="P3" s="1264"/>
      <c r="S3" s="1264"/>
      <c r="T3" s="1264"/>
      <c r="U3" s="1264"/>
      <c r="V3" s="1264"/>
      <c r="W3" s="1264"/>
      <c r="Z3" s="1264"/>
      <c r="AA3" s="1264"/>
      <c r="AB3" s="1264"/>
      <c r="AF3" s="1269"/>
      <c r="AH3" s="1270"/>
    </row>
    <row r="4" spans="1:42">
      <c r="A4" s="1664" t="s">
        <v>2022</v>
      </c>
      <c r="B4" s="1664"/>
      <c r="C4" s="1664"/>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row>
    <row r="5" spans="1:42">
      <c r="A5" s="1665" t="str">
        <f>'Bieu 06 TT'!A3:M3</f>
        <v>(Kèm theo Tờ trình số        /TTr-UBND ngày       tháng 11 năm 2023 của Ủy ban nhân dân tỉnh Kon Tum)</v>
      </c>
      <c r="B5" s="1665"/>
      <c r="C5" s="1665"/>
      <c r="D5" s="1665"/>
      <c r="E5" s="1665"/>
      <c r="F5" s="1665"/>
      <c r="G5" s="1665"/>
      <c r="H5" s="1665"/>
      <c r="I5" s="1665"/>
      <c r="J5" s="1665"/>
      <c r="K5" s="1665"/>
      <c r="L5" s="1665"/>
      <c r="M5" s="1665"/>
      <c r="N5" s="1665"/>
      <c r="O5" s="1665"/>
      <c r="P5" s="1665"/>
      <c r="Q5" s="1665"/>
      <c r="R5" s="1665"/>
      <c r="S5" s="1665"/>
      <c r="T5" s="1665"/>
      <c r="U5" s="1665"/>
      <c r="V5" s="1665"/>
      <c r="W5" s="1665"/>
      <c r="X5" s="1665"/>
      <c r="Y5" s="1665"/>
      <c r="Z5" s="1665"/>
      <c r="AA5" s="1665"/>
      <c r="AB5" s="1665"/>
      <c r="AC5" s="1324"/>
      <c r="AD5" s="1324"/>
      <c r="AE5" s="1324"/>
    </row>
    <row r="6" spans="1:42">
      <c r="A6" s="585"/>
      <c r="B6" s="586"/>
      <c r="C6" s="1325"/>
      <c r="D6" s="1325"/>
      <c r="E6" s="1325"/>
      <c r="F6" s="1325"/>
      <c r="G6" s="1325"/>
      <c r="H6" s="1325"/>
      <c r="I6" s="1325"/>
      <c r="J6" s="1325"/>
      <c r="K6" s="1325"/>
      <c r="L6" s="1325"/>
      <c r="M6" s="1325"/>
      <c r="N6" s="1325"/>
      <c r="O6" s="1325"/>
      <c r="P6" s="1325"/>
      <c r="Q6" s="1325"/>
      <c r="R6" s="1325"/>
      <c r="S6" s="1666" t="s">
        <v>0</v>
      </c>
      <c r="T6" s="1667"/>
      <c r="U6" s="1667"/>
      <c r="V6" s="1667"/>
      <c r="W6" s="1667"/>
      <c r="X6" s="1667"/>
      <c r="Y6" s="1667"/>
      <c r="Z6" s="1667"/>
      <c r="AA6" s="1667"/>
      <c r="AB6" s="1667"/>
      <c r="AC6" s="1325"/>
      <c r="AD6" s="1325"/>
      <c r="AE6" s="1325"/>
    </row>
    <row r="7" spans="1:42">
      <c r="A7" s="1668" t="s">
        <v>1</v>
      </c>
      <c r="B7" s="1671" t="s">
        <v>795</v>
      </c>
      <c r="C7" s="1662" t="s">
        <v>796</v>
      </c>
      <c r="D7" s="1624" t="s">
        <v>1583</v>
      </c>
      <c r="E7" s="1624" t="s">
        <v>2023</v>
      </c>
      <c r="F7" s="1662" t="s">
        <v>65</v>
      </c>
      <c r="G7" s="1662"/>
      <c r="H7" s="1662"/>
      <c r="I7" s="1662"/>
      <c r="J7" s="1662"/>
      <c r="K7" s="1662"/>
      <c r="L7" s="1662"/>
      <c r="M7" s="1662"/>
      <c r="N7" s="1662"/>
      <c r="O7" s="1662"/>
      <c r="P7" s="1662"/>
      <c r="Q7" s="1662"/>
      <c r="R7" s="1662"/>
      <c r="S7" s="1662"/>
      <c r="T7" s="1662"/>
      <c r="U7" s="1662"/>
      <c r="V7" s="1662"/>
      <c r="W7" s="1662"/>
      <c r="X7" s="1662"/>
      <c r="Y7" s="1662"/>
      <c r="Z7" s="1662"/>
      <c r="AA7" s="1662"/>
      <c r="AB7" s="1662"/>
      <c r="AC7" s="1662"/>
      <c r="AD7" s="1674" t="s">
        <v>2024</v>
      </c>
      <c r="AE7" s="1624" t="s">
        <v>2025</v>
      </c>
      <c r="AF7" s="1658" t="s">
        <v>663</v>
      </c>
    </row>
    <row r="8" spans="1:42" ht="18" customHeight="1">
      <c r="A8" s="1669"/>
      <c r="B8" s="1672"/>
      <c r="C8" s="1662"/>
      <c r="D8" s="1625"/>
      <c r="E8" s="1625"/>
      <c r="F8" s="1625" t="s">
        <v>2014</v>
      </c>
      <c r="G8" s="1624" t="s">
        <v>2026</v>
      </c>
      <c r="H8" s="1659" t="s">
        <v>65</v>
      </c>
      <c r="I8" s="1660"/>
      <c r="J8" s="1660"/>
      <c r="K8" s="1660"/>
      <c r="L8" s="1660"/>
      <c r="M8" s="1660"/>
      <c r="N8" s="1660"/>
      <c r="O8" s="1660"/>
      <c r="P8" s="1660"/>
      <c r="Q8" s="1660"/>
      <c r="R8" s="1660"/>
      <c r="S8" s="1660"/>
      <c r="T8" s="1660"/>
      <c r="U8" s="1660"/>
      <c r="V8" s="1660"/>
      <c r="W8" s="1660"/>
      <c r="X8" s="1660"/>
      <c r="Y8" s="1660"/>
      <c r="Z8" s="1660"/>
      <c r="AA8" s="1660"/>
      <c r="AB8" s="1661"/>
      <c r="AC8" s="1625" t="s">
        <v>2017</v>
      </c>
      <c r="AD8" s="1675"/>
      <c r="AE8" s="1625"/>
      <c r="AF8" s="1658"/>
    </row>
    <row r="9" spans="1:42" ht="18" customHeight="1">
      <c r="A9" s="1669"/>
      <c r="B9" s="1672"/>
      <c r="C9" s="1662"/>
      <c r="D9" s="1625"/>
      <c r="E9" s="1625"/>
      <c r="F9" s="1625"/>
      <c r="G9" s="1625"/>
      <c r="H9" s="1625" t="s">
        <v>2027</v>
      </c>
      <c r="I9" s="1659" t="s">
        <v>797</v>
      </c>
      <c r="J9" s="1660"/>
      <c r="K9" s="1660"/>
      <c r="L9" s="1660"/>
      <c r="M9" s="1660"/>
      <c r="N9" s="1660"/>
      <c r="O9" s="1660"/>
      <c r="P9" s="1660"/>
      <c r="Q9" s="1660"/>
      <c r="R9" s="1660"/>
      <c r="S9" s="1660"/>
      <c r="T9" s="1660"/>
      <c r="U9" s="1660"/>
      <c r="V9" s="1660"/>
      <c r="W9" s="1660"/>
      <c r="X9" s="1660"/>
      <c r="Y9" s="1660"/>
      <c r="Z9" s="1660"/>
      <c r="AA9" s="1661"/>
      <c r="AB9" s="1624" t="s">
        <v>2028</v>
      </c>
      <c r="AC9" s="1625"/>
      <c r="AD9" s="1675"/>
      <c r="AE9" s="1625"/>
      <c r="AF9" s="1658"/>
    </row>
    <row r="10" spans="1:42" ht="18" customHeight="1">
      <c r="A10" s="1669"/>
      <c r="B10" s="1672"/>
      <c r="C10" s="1662"/>
      <c r="D10" s="1625"/>
      <c r="E10" s="1625"/>
      <c r="F10" s="1625"/>
      <c r="G10" s="1625"/>
      <c r="H10" s="1625"/>
      <c r="I10" s="1624" t="s">
        <v>798</v>
      </c>
      <c r="J10" s="1659" t="s">
        <v>277</v>
      </c>
      <c r="K10" s="1660"/>
      <c r="L10" s="1660"/>
      <c r="M10" s="1660"/>
      <c r="N10" s="1660"/>
      <c r="O10" s="1660"/>
      <c r="P10" s="1660"/>
      <c r="Q10" s="1660"/>
      <c r="R10" s="1660"/>
      <c r="S10" s="1660"/>
      <c r="T10" s="1660"/>
      <c r="U10" s="1660"/>
      <c r="V10" s="1661"/>
      <c r="W10" s="1624" t="s">
        <v>799</v>
      </c>
      <c r="X10" s="1651" t="s">
        <v>65</v>
      </c>
      <c r="Y10" s="1652"/>
      <c r="Z10" s="1651" t="s">
        <v>65</v>
      </c>
      <c r="AA10" s="1652"/>
      <c r="AB10" s="1625"/>
      <c r="AC10" s="1625"/>
      <c r="AD10" s="1675"/>
      <c r="AE10" s="1625"/>
      <c r="AF10" s="1658"/>
    </row>
    <row r="11" spans="1:42" ht="18" customHeight="1">
      <c r="A11" s="1669"/>
      <c r="B11" s="1672"/>
      <c r="C11" s="1662"/>
      <c r="D11" s="1625"/>
      <c r="E11" s="1625"/>
      <c r="F11" s="1625"/>
      <c r="G11" s="1625"/>
      <c r="H11" s="1625"/>
      <c r="I11" s="1625"/>
      <c r="J11" s="1624" t="s">
        <v>2464</v>
      </c>
      <c r="K11" s="1659" t="s">
        <v>65</v>
      </c>
      <c r="L11" s="1661"/>
      <c r="M11" s="1624" t="s">
        <v>800</v>
      </c>
      <c r="N11" s="1662" t="s">
        <v>65</v>
      </c>
      <c r="O11" s="1662"/>
      <c r="P11" s="1624" t="s">
        <v>801</v>
      </c>
      <c r="Q11" s="1659" t="s">
        <v>277</v>
      </c>
      <c r="R11" s="1660"/>
      <c r="S11" s="1660"/>
      <c r="T11" s="1660"/>
      <c r="U11" s="1660"/>
      <c r="V11" s="1661"/>
      <c r="W11" s="1625"/>
      <c r="X11" s="1624" t="s">
        <v>802</v>
      </c>
      <c r="Y11" s="1624" t="s">
        <v>674</v>
      </c>
      <c r="Z11" s="1624" t="s">
        <v>803</v>
      </c>
      <c r="AA11" s="1624" t="s">
        <v>804</v>
      </c>
      <c r="AB11" s="1625"/>
      <c r="AC11" s="1625"/>
      <c r="AD11" s="1675"/>
      <c r="AE11" s="1625"/>
      <c r="AF11" s="1658"/>
    </row>
    <row r="12" spans="1:42" ht="18" customHeight="1">
      <c r="A12" s="1669"/>
      <c r="B12" s="1672"/>
      <c r="C12" s="1662"/>
      <c r="D12" s="1625"/>
      <c r="E12" s="1625"/>
      <c r="F12" s="1625"/>
      <c r="G12" s="1625"/>
      <c r="H12" s="1625"/>
      <c r="I12" s="1625"/>
      <c r="J12" s="1625"/>
      <c r="K12" s="1624" t="s">
        <v>2029</v>
      </c>
      <c r="L12" s="1624" t="s">
        <v>805</v>
      </c>
      <c r="M12" s="1625"/>
      <c r="N12" s="1662" t="s">
        <v>806</v>
      </c>
      <c r="O12" s="1662" t="s">
        <v>807</v>
      </c>
      <c r="P12" s="1625"/>
      <c r="Q12" s="1651" t="s">
        <v>808</v>
      </c>
      <c r="R12" s="1663"/>
      <c r="S12" s="1652"/>
      <c r="T12" s="1624" t="s">
        <v>809</v>
      </c>
      <c r="U12" s="1651" t="s">
        <v>65</v>
      </c>
      <c r="V12" s="1652"/>
      <c r="W12" s="1625"/>
      <c r="X12" s="1625"/>
      <c r="Y12" s="1625"/>
      <c r="Z12" s="1625"/>
      <c r="AA12" s="1625"/>
      <c r="AB12" s="1625"/>
      <c r="AC12" s="1625"/>
      <c r="AD12" s="1675"/>
      <c r="AE12" s="1625"/>
      <c r="AF12" s="1658"/>
    </row>
    <row r="13" spans="1:42" ht="66.75" customHeight="1">
      <c r="A13" s="1670"/>
      <c r="B13" s="1673"/>
      <c r="C13" s="1662"/>
      <c r="D13" s="1626"/>
      <c r="E13" s="1626"/>
      <c r="F13" s="1626"/>
      <c r="G13" s="1626"/>
      <c r="H13" s="1626"/>
      <c r="I13" s="1626"/>
      <c r="J13" s="1626"/>
      <c r="K13" s="1626"/>
      <c r="L13" s="1626"/>
      <c r="M13" s="1626"/>
      <c r="N13" s="1662"/>
      <c r="O13" s="1662"/>
      <c r="P13" s="1626"/>
      <c r="Q13" s="1323" t="s">
        <v>674</v>
      </c>
      <c r="R13" s="1322" t="s">
        <v>810</v>
      </c>
      <c r="S13" s="1312" t="s">
        <v>811</v>
      </c>
      <c r="T13" s="1626"/>
      <c r="U13" s="1323" t="s">
        <v>812</v>
      </c>
      <c r="V13" s="1323" t="s">
        <v>804</v>
      </c>
      <c r="W13" s="1626"/>
      <c r="X13" s="1626"/>
      <c r="Y13" s="1626"/>
      <c r="Z13" s="1626"/>
      <c r="AA13" s="1626"/>
      <c r="AB13" s="1626"/>
      <c r="AC13" s="1626"/>
      <c r="AD13" s="1676"/>
      <c r="AE13" s="1626"/>
      <c r="AF13" s="1658"/>
    </row>
    <row r="14" spans="1:42" s="581" customFormat="1">
      <c r="A14" s="1326" t="s">
        <v>14</v>
      </c>
      <c r="B14" s="1326" t="s">
        <v>69</v>
      </c>
      <c r="C14" s="1326" t="s">
        <v>70</v>
      </c>
      <c r="D14" s="1112" t="s">
        <v>71</v>
      </c>
      <c r="E14" s="1112" t="s">
        <v>2030</v>
      </c>
      <c r="F14" s="1113" t="s">
        <v>2031</v>
      </c>
      <c r="G14" s="1112" t="s">
        <v>2032</v>
      </c>
      <c r="H14" s="1112" t="s">
        <v>2033</v>
      </c>
      <c r="I14" s="1112" t="s">
        <v>2034</v>
      </c>
      <c r="J14" s="1112" t="s">
        <v>74</v>
      </c>
      <c r="K14" s="1112" t="s">
        <v>815</v>
      </c>
      <c r="L14" s="1112" t="s">
        <v>816</v>
      </c>
      <c r="M14" s="1112" t="s">
        <v>75</v>
      </c>
      <c r="N14" s="1112" t="s">
        <v>1442</v>
      </c>
      <c r="O14" s="1112" t="s">
        <v>1443</v>
      </c>
      <c r="P14" s="1112" t="s">
        <v>2035</v>
      </c>
      <c r="Q14" s="1112" t="s">
        <v>2036</v>
      </c>
      <c r="R14" s="1112" t="s">
        <v>2037</v>
      </c>
      <c r="S14" s="1112" t="s">
        <v>77</v>
      </c>
      <c r="T14" s="1112" t="s">
        <v>78</v>
      </c>
      <c r="U14" s="1112" t="s">
        <v>817</v>
      </c>
      <c r="V14" s="1113" t="s">
        <v>818</v>
      </c>
      <c r="W14" s="1112" t="s">
        <v>79</v>
      </c>
      <c r="X14" s="1112" t="s">
        <v>2038</v>
      </c>
      <c r="Y14" s="1112" t="s">
        <v>2039</v>
      </c>
      <c r="Z14" s="1113" t="s">
        <v>2519</v>
      </c>
      <c r="AA14" s="1113" t="s">
        <v>2520</v>
      </c>
      <c r="AB14" s="1112" t="s">
        <v>80</v>
      </c>
      <c r="AC14" s="1112" t="s">
        <v>81</v>
      </c>
      <c r="AD14" s="1112" t="s">
        <v>82</v>
      </c>
      <c r="AE14" s="1112" t="s">
        <v>2040</v>
      </c>
      <c r="AF14" s="295" t="s">
        <v>786</v>
      </c>
      <c r="AH14" s="861"/>
    </row>
    <row r="15" spans="1:42" s="314" customFormat="1" ht="27.6">
      <c r="A15" s="587" t="s">
        <v>14</v>
      </c>
      <c r="B15" s="588" t="s">
        <v>819</v>
      </c>
      <c r="C15" s="589"/>
      <c r="D15" s="589">
        <f t="shared" ref="D15:P15" si="1">D16+D1110</f>
        <v>3532642.2628682284</v>
      </c>
      <c r="E15" s="589">
        <f t="shared" si="1"/>
        <v>3683273</v>
      </c>
      <c r="F15" s="589">
        <f t="shared" si="1"/>
        <v>3609131</v>
      </c>
      <c r="G15" s="589">
        <f t="shared" si="1"/>
        <v>81640.737131771559</v>
      </c>
      <c r="H15" s="589">
        <f t="shared" si="1"/>
        <v>3609131</v>
      </c>
      <c r="I15" s="589">
        <f t="shared" si="1"/>
        <v>1009313</v>
      </c>
      <c r="J15" s="589">
        <f t="shared" si="1"/>
        <v>3132</v>
      </c>
      <c r="K15" s="589">
        <f t="shared" si="1"/>
        <v>2921</v>
      </c>
      <c r="L15" s="589">
        <f t="shared" si="1"/>
        <v>211</v>
      </c>
      <c r="M15" s="589">
        <f t="shared" si="1"/>
        <v>382495</v>
      </c>
      <c r="N15" s="589">
        <f t="shared" si="1"/>
        <v>366512</v>
      </c>
      <c r="O15" s="589">
        <f t="shared" si="1"/>
        <v>15983</v>
      </c>
      <c r="P15" s="589">
        <f t="shared" si="1"/>
        <v>626818</v>
      </c>
      <c r="Q15" s="589"/>
      <c r="R15" s="589"/>
      <c r="S15" s="589">
        <f>S16+S1110</f>
        <v>128799</v>
      </c>
      <c r="T15" s="589">
        <f>T16+T1110</f>
        <v>498019</v>
      </c>
      <c r="U15" s="589">
        <f>U16+U1110</f>
        <v>480932</v>
      </c>
      <c r="V15" s="589">
        <f>V16+V1110</f>
        <v>17087</v>
      </c>
      <c r="W15" s="589">
        <f>W16+W1110</f>
        <v>2599818</v>
      </c>
      <c r="X15" s="589"/>
      <c r="Y15" s="589"/>
      <c r="Z15" s="589">
        <f t="shared" ref="Z15:AE15" si="2">Z16+Z1110</f>
        <v>2540706</v>
      </c>
      <c r="AA15" s="589">
        <f t="shared" si="2"/>
        <v>59112</v>
      </c>
      <c r="AB15" s="589">
        <f t="shared" si="2"/>
        <v>0</v>
      </c>
      <c r="AC15" s="589">
        <f t="shared" si="2"/>
        <v>74142</v>
      </c>
      <c r="AD15" s="589">
        <f t="shared" si="2"/>
        <v>5483</v>
      </c>
      <c r="AE15" s="589">
        <f t="shared" si="2"/>
        <v>3663196</v>
      </c>
      <c r="AF15" s="590"/>
      <c r="AG15" s="314">
        <f>E15-F15-AC15</f>
        <v>0</v>
      </c>
      <c r="AH15" s="696">
        <f>F15-H15+AB15</f>
        <v>0</v>
      </c>
      <c r="AI15" s="314">
        <f>H15-I15-W15</f>
        <v>0</v>
      </c>
      <c r="AJ15" s="314">
        <f>I15-M15-P15</f>
        <v>0</v>
      </c>
      <c r="AK15" s="314">
        <f>J15-K15-L15</f>
        <v>0</v>
      </c>
      <c r="AL15" s="314">
        <f>M15-N15-O15</f>
        <v>0</v>
      </c>
      <c r="AM15" s="314">
        <f>P15-S15-T15</f>
        <v>0</v>
      </c>
      <c r="AN15" s="314">
        <f>T15-U15-V15</f>
        <v>0</v>
      </c>
      <c r="AO15" s="314">
        <f>W15-Z15-AA15</f>
        <v>0</v>
      </c>
      <c r="AP15" s="314">
        <f>AC15+AA15+Z15+V15+U15+S15+O15+N15-AB15-E15</f>
        <v>0</v>
      </c>
    </row>
    <row r="16" spans="1:42" s="314" customFormat="1">
      <c r="A16" s="591" t="s">
        <v>508</v>
      </c>
      <c r="B16" s="296" t="s">
        <v>820</v>
      </c>
      <c r="C16" s="297"/>
      <c r="D16" s="297">
        <f t="shared" ref="D16:AC16" si="3">D17+D25+D1103+D1104+D1102+D1105+D1101</f>
        <v>3455442.2628682284</v>
      </c>
      <c r="E16" s="297">
        <f t="shared" si="3"/>
        <v>3614773</v>
      </c>
      <c r="F16" s="297">
        <f t="shared" si="3"/>
        <v>3540631</v>
      </c>
      <c r="G16" s="297">
        <f t="shared" si="3"/>
        <v>90340.737131771559</v>
      </c>
      <c r="H16" s="297">
        <f t="shared" si="3"/>
        <v>3540631</v>
      </c>
      <c r="I16" s="297">
        <f t="shared" si="3"/>
        <v>1009313</v>
      </c>
      <c r="J16" s="297">
        <f t="shared" si="3"/>
        <v>3132</v>
      </c>
      <c r="K16" s="297">
        <f t="shared" si="3"/>
        <v>2921</v>
      </c>
      <c r="L16" s="297">
        <f t="shared" si="3"/>
        <v>211</v>
      </c>
      <c r="M16" s="297">
        <f t="shared" si="3"/>
        <v>382495</v>
      </c>
      <c r="N16" s="297">
        <f t="shared" si="3"/>
        <v>366512</v>
      </c>
      <c r="O16" s="297">
        <f t="shared" si="3"/>
        <v>15983</v>
      </c>
      <c r="P16" s="297">
        <f t="shared" si="3"/>
        <v>626818</v>
      </c>
      <c r="Q16" s="297">
        <f t="shared" si="3"/>
        <v>0</v>
      </c>
      <c r="R16" s="297">
        <f t="shared" si="3"/>
        <v>0</v>
      </c>
      <c r="S16" s="297">
        <f t="shared" si="3"/>
        <v>128799</v>
      </c>
      <c r="T16" s="297">
        <f t="shared" si="3"/>
        <v>498019</v>
      </c>
      <c r="U16" s="297">
        <f t="shared" si="3"/>
        <v>480932</v>
      </c>
      <c r="V16" s="297">
        <f t="shared" si="3"/>
        <v>17087</v>
      </c>
      <c r="W16" s="297">
        <f t="shared" si="3"/>
        <v>2531318</v>
      </c>
      <c r="X16" s="297">
        <f t="shared" si="3"/>
        <v>0</v>
      </c>
      <c r="Y16" s="297">
        <f t="shared" si="3"/>
        <v>0</v>
      </c>
      <c r="Z16" s="297">
        <f t="shared" si="3"/>
        <v>2472206</v>
      </c>
      <c r="AA16" s="297">
        <f t="shared" si="3"/>
        <v>59112</v>
      </c>
      <c r="AB16" s="297">
        <f t="shared" si="3"/>
        <v>0</v>
      </c>
      <c r="AC16" s="297">
        <f t="shared" si="3"/>
        <v>74142</v>
      </c>
      <c r="AD16" s="297">
        <f>AD17+AD25+AD1103+AD1104+AD1102+AD1105</f>
        <v>5483</v>
      </c>
      <c r="AE16" s="297">
        <f>AE17+AE25+AE1103+AE1104+AE1102+AE1105</f>
        <v>3594696</v>
      </c>
      <c r="AF16" s="590"/>
      <c r="AG16" s="314">
        <f t="shared" ref="AG16:AG79" si="4">E16-F16-AC16</f>
        <v>0</v>
      </c>
      <c r="AH16" s="696">
        <f t="shared" ref="AH16:AH79" si="5">F16-H16+AB16</f>
        <v>0</v>
      </c>
      <c r="AI16" s="314">
        <f t="shared" ref="AI16:AI79" si="6">H16-I16-W16</f>
        <v>0</v>
      </c>
      <c r="AJ16" s="314">
        <f t="shared" ref="AJ16:AJ79" si="7">I16-M16-P16</f>
        <v>0</v>
      </c>
      <c r="AK16" s="314">
        <f t="shared" ref="AK16:AK79" si="8">J16-K16-L16</f>
        <v>0</v>
      </c>
      <c r="AL16" s="314">
        <f t="shared" ref="AL16:AL79" si="9">M16-N16-O16</f>
        <v>0</v>
      </c>
      <c r="AM16" s="314">
        <f t="shared" ref="AM16:AM79" si="10">P16-S16-T16</f>
        <v>0</v>
      </c>
      <c r="AN16" s="314">
        <f t="shared" ref="AN16:AN79" si="11">T16-U16-V16</f>
        <v>0</v>
      </c>
      <c r="AO16" s="314">
        <f t="shared" ref="AO16:AO79" si="12">W16-Z16-AA16</f>
        <v>0</v>
      </c>
      <c r="AP16" s="314">
        <f t="shared" ref="AP16:AP79" si="13">AC16+AA16+Z16+V16+U16+S16+O16+N16-AB16-E16</f>
        <v>0</v>
      </c>
    </row>
    <row r="17" spans="1:42" s="314" customFormat="1">
      <c r="A17" s="591" t="s">
        <v>821</v>
      </c>
      <c r="B17" s="296" t="s">
        <v>822</v>
      </c>
      <c r="C17" s="297"/>
      <c r="D17" s="297">
        <f t="shared" ref="D17" si="14">D18+D19+D23+D24</f>
        <v>369061</v>
      </c>
      <c r="E17" s="297">
        <f>E18+E19+E23+E24</f>
        <v>415220</v>
      </c>
      <c r="F17" s="297">
        <f>F18+F19+F23+F24</f>
        <v>415220</v>
      </c>
      <c r="G17" s="297">
        <f>G18+G19+G23+G24</f>
        <v>46159</v>
      </c>
      <c r="H17" s="297">
        <f t="shared" ref="H17:AE17" si="15">H18+H19+H23+H24</f>
        <v>415220</v>
      </c>
      <c r="I17" s="297">
        <f t="shared" si="15"/>
        <v>415220</v>
      </c>
      <c r="J17" s="297">
        <f t="shared" si="15"/>
        <v>0</v>
      </c>
      <c r="K17" s="297">
        <f t="shared" si="15"/>
        <v>0</v>
      </c>
      <c r="L17" s="297">
        <f t="shared" si="15"/>
        <v>0</v>
      </c>
      <c r="M17" s="297">
        <f t="shared" si="15"/>
        <v>0</v>
      </c>
      <c r="N17" s="297">
        <f t="shared" si="15"/>
        <v>0</v>
      </c>
      <c r="O17" s="297">
        <f t="shared" si="15"/>
        <v>0</v>
      </c>
      <c r="P17" s="297">
        <f t="shared" si="15"/>
        <v>415220</v>
      </c>
      <c r="Q17" s="297">
        <f t="shared" si="15"/>
        <v>0</v>
      </c>
      <c r="R17" s="297">
        <f t="shared" si="15"/>
        <v>0</v>
      </c>
      <c r="S17" s="297">
        <f t="shared" si="15"/>
        <v>0</v>
      </c>
      <c r="T17" s="297">
        <f t="shared" si="15"/>
        <v>415220</v>
      </c>
      <c r="U17" s="297">
        <f t="shared" si="15"/>
        <v>415220</v>
      </c>
      <c r="V17" s="297">
        <f t="shared" si="15"/>
        <v>0</v>
      </c>
      <c r="W17" s="297">
        <f t="shared" si="15"/>
        <v>0</v>
      </c>
      <c r="X17" s="297">
        <f t="shared" si="15"/>
        <v>0</v>
      </c>
      <c r="Y17" s="297">
        <f t="shared" si="15"/>
        <v>0</v>
      </c>
      <c r="Z17" s="297">
        <f t="shared" si="15"/>
        <v>0</v>
      </c>
      <c r="AA17" s="297">
        <f t="shared" si="15"/>
        <v>0</v>
      </c>
      <c r="AB17" s="297">
        <f t="shared" si="15"/>
        <v>0</v>
      </c>
      <c r="AC17" s="297">
        <f t="shared" si="15"/>
        <v>0</v>
      </c>
      <c r="AD17" s="297">
        <f t="shared" si="15"/>
        <v>0</v>
      </c>
      <c r="AE17" s="297">
        <f t="shared" si="15"/>
        <v>415220</v>
      </c>
      <c r="AF17" s="590"/>
      <c r="AG17" s="314">
        <f t="shared" si="4"/>
        <v>0</v>
      </c>
      <c r="AH17" s="696">
        <f t="shared" si="5"/>
        <v>0</v>
      </c>
      <c r="AI17" s="314">
        <f t="shared" si="6"/>
        <v>0</v>
      </c>
      <c r="AJ17" s="314">
        <f t="shared" si="7"/>
        <v>0</v>
      </c>
      <c r="AK17" s="314">
        <f t="shared" si="8"/>
        <v>0</v>
      </c>
      <c r="AL17" s="314">
        <f t="shared" si="9"/>
        <v>0</v>
      </c>
      <c r="AM17" s="314">
        <f t="shared" si="10"/>
        <v>0</v>
      </c>
      <c r="AN17" s="314">
        <f t="shared" si="11"/>
        <v>0</v>
      </c>
      <c r="AO17" s="314">
        <f t="shared" si="12"/>
        <v>0</v>
      </c>
      <c r="AP17" s="314">
        <f t="shared" si="13"/>
        <v>0</v>
      </c>
    </row>
    <row r="18" spans="1:42" s="314" customFormat="1" ht="27.6">
      <c r="A18" s="592" t="s">
        <v>16</v>
      </c>
      <c r="B18" s="645" t="s">
        <v>319</v>
      </c>
      <c r="C18" s="298"/>
      <c r="D18" s="297">
        <v>272356</v>
      </c>
      <c r="E18" s="297">
        <f>F18+AC18</f>
        <v>307220</v>
      </c>
      <c r="F18" s="297">
        <f>H18-AB18</f>
        <v>307220</v>
      </c>
      <c r="G18" s="297">
        <f>F18-D18</f>
        <v>34864</v>
      </c>
      <c r="H18" s="299">
        <f>I18+W18</f>
        <v>307220</v>
      </c>
      <c r="I18" s="299">
        <f>M18+P18</f>
        <v>307220</v>
      </c>
      <c r="J18" s="300"/>
      <c r="K18" s="300"/>
      <c r="L18" s="300"/>
      <c r="M18" s="297"/>
      <c r="N18" s="300"/>
      <c r="O18" s="300"/>
      <c r="P18" s="299">
        <f>S18+T18</f>
        <v>307220</v>
      </c>
      <c r="Q18" s="300"/>
      <c r="R18" s="301"/>
      <c r="S18" s="297"/>
      <c r="T18" s="299">
        <f>U18+V18</f>
        <v>307220</v>
      </c>
      <c r="U18" s="299">
        <v>307220</v>
      </c>
      <c r="V18" s="297"/>
      <c r="W18" s="299">
        <f>Z18+AA18</f>
        <v>0</v>
      </c>
      <c r="X18" s="299"/>
      <c r="Y18" s="299"/>
      <c r="Z18" s="299"/>
      <c r="AA18" s="299"/>
      <c r="AB18" s="299"/>
      <c r="AC18" s="299"/>
      <c r="AD18" s="299"/>
      <c r="AE18" s="299">
        <f>E18-AD18</f>
        <v>307220</v>
      </c>
      <c r="AF18" s="1271"/>
      <c r="AG18" s="314">
        <f t="shared" si="4"/>
        <v>0</v>
      </c>
      <c r="AH18" s="696">
        <f t="shared" si="5"/>
        <v>0</v>
      </c>
      <c r="AI18" s="314">
        <f t="shared" si="6"/>
        <v>0</v>
      </c>
      <c r="AJ18" s="314">
        <f t="shared" si="7"/>
        <v>0</v>
      </c>
      <c r="AK18" s="314">
        <f t="shared" si="8"/>
        <v>0</v>
      </c>
      <c r="AL18" s="314">
        <f t="shared" si="9"/>
        <v>0</v>
      </c>
      <c r="AM18" s="314">
        <f t="shared" si="10"/>
        <v>0</v>
      </c>
      <c r="AN18" s="314">
        <f t="shared" si="11"/>
        <v>0</v>
      </c>
      <c r="AO18" s="314">
        <f t="shared" si="12"/>
        <v>0</v>
      </c>
      <c r="AP18" s="314">
        <f t="shared" si="13"/>
        <v>0</v>
      </c>
    </row>
    <row r="19" spans="1:42" s="314" customFormat="1">
      <c r="A19" s="592" t="s">
        <v>28</v>
      </c>
      <c r="B19" s="645" t="s">
        <v>717</v>
      </c>
      <c r="C19" s="297"/>
      <c r="D19" s="297">
        <v>28000</v>
      </c>
      <c r="E19" s="297">
        <f t="shared" ref="E19:E84" si="16">F19+AC19</f>
        <v>28000</v>
      </c>
      <c r="F19" s="297">
        <f>F21+F22</f>
        <v>28000</v>
      </c>
      <c r="G19" s="297">
        <f>G21+G22</f>
        <v>0</v>
      </c>
      <c r="H19" s="297">
        <f t="shared" ref="H19:AE19" si="17">H21+H22</f>
        <v>28000</v>
      </c>
      <c r="I19" s="297">
        <f t="shared" si="17"/>
        <v>28000</v>
      </c>
      <c r="J19" s="297">
        <f t="shared" si="17"/>
        <v>0</v>
      </c>
      <c r="K19" s="297">
        <f t="shared" si="17"/>
        <v>0</v>
      </c>
      <c r="L19" s="297">
        <f t="shared" si="17"/>
        <v>0</v>
      </c>
      <c r="M19" s="297">
        <f t="shared" si="17"/>
        <v>0</v>
      </c>
      <c r="N19" s="297">
        <f t="shared" si="17"/>
        <v>0</v>
      </c>
      <c r="O19" s="297">
        <f t="shared" si="17"/>
        <v>0</v>
      </c>
      <c r="P19" s="297">
        <f t="shared" si="17"/>
        <v>28000</v>
      </c>
      <c r="Q19" s="297">
        <f t="shared" si="17"/>
        <v>0</v>
      </c>
      <c r="R19" s="297">
        <f t="shared" si="17"/>
        <v>0</v>
      </c>
      <c r="S19" s="297">
        <f t="shared" si="17"/>
        <v>0</v>
      </c>
      <c r="T19" s="297">
        <f t="shared" si="17"/>
        <v>28000</v>
      </c>
      <c r="U19" s="297">
        <f t="shared" si="17"/>
        <v>28000</v>
      </c>
      <c r="V19" s="297">
        <f t="shared" si="17"/>
        <v>0</v>
      </c>
      <c r="W19" s="297">
        <f t="shared" si="17"/>
        <v>0</v>
      </c>
      <c r="X19" s="297">
        <f t="shared" si="17"/>
        <v>0</v>
      </c>
      <c r="Y19" s="297">
        <f t="shared" si="17"/>
        <v>0</v>
      </c>
      <c r="Z19" s="297">
        <f t="shared" si="17"/>
        <v>0</v>
      </c>
      <c r="AA19" s="297">
        <f t="shared" si="17"/>
        <v>0</v>
      </c>
      <c r="AB19" s="297">
        <f t="shared" si="17"/>
        <v>0</v>
      </c>
      <c r="AC19" s="297">
        <f t="shared" si="17"/>
        <v>0</v>
      </c>
      <c r="AD19" s="297">
        <f t="shared" si="17"/>
        <v>0</v>
      </c>
      <c r="AE19" s="297">
        <f t="shared" si="17"/>
        <v>28000</v>
      </c>
      <c r="AF19" s="1271"/>
      <c r="AG19" s="314">
        <f t="shared" si="4"/>
        <v>0</v>
      </c>
      <c r="AH19" s="696">
        <f t="shared" si="5"/>
        <v>0</v>
      </c>
      <c r="AI19" s="314">
        <f t="shared" si="6"/>
        <v>0</v>
      </c>
      <c r="AJ19" s="314">
        <f t="shared" si="7"/>
        <v>0</v>
      </c>
      <c r="AK19" s="314">
        <f t="shared" si="8"/>
        <v>0</v>
      </c>
      <c r="AL19" s="314">
        <f t="shared" si="9"/>
        <v>0</v>
      </c>
      <c r="AM19" s="314">
        <f t="shared" si="10"/>
        <v>0</v>
      </c>
      <c r="AN19" s="314">
        <f t="shared" si="11"/>
        <v>0</v>
      </c>
      <c r="AO19" s="314">
        <f t="shared" si="12"/>
        <v>0</v>
      </c>
      <c r="AP19" s="314">
        <f t="shared" si="13"/>
        <v>0</v>
      </c>
    </row>
    <row r="20" spans="1:42">
      <c r="A20" s="593"/>
      <c r="B20" s="646" t="s">
        <v>338</v>
      </c>
      <c r="C20" s="304"/>
      <c r="D20" s="304"/>
      <c r="E20" s="304">
        <f t="shared" si="16"/>
        <v>0</v>
      </c>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1272"/>
      <c r="AG20" s="314">
        <f t="shared" si="4"/>
        <v>0</v>
      </c>
      <c r="AH20" s="696">
        <f t="shared" si="5"/>
        <v>0</v>
      </c>
      <c r="AI20" s="314">
        <f t="shared" si="6"/>
        <v>0</v>
      </c>
      <c r="AJ20" s="314">
        <f t="shared" si="7"/>
        <v>0</v>
      </c>
      <c r="AK20" s="314">
        <f t="shared" si="8"/>
        <v>0</v>
      </c>
      <c r="AL20" s="314">
        <f t="shared" si="9"/>
        <v>0</v>
      </c>
      <c r="AM20" s="314">
        <f t="shared" si="10"/>
        <v>0</v>
      </c>
      <c r="AN20" s="314">
        <f t="shared" si="11"/>
        <v>0</v>
      </c>
      <c r="AO20" s="314">
        <f t="shared" si="12"/>
        <v>0</v>
      </c>
      <c r="AP20" s="314">
        <f t="shared" si="13"/>
        <v>0</v>
      </c>
    </row>
    <row r="21" spans="1:42" ht="19.5" customHeight="1">
      <c r="A21" s="593" t="s">
        <v>23</v>
      </c>
      <c r="B21" s="977" t="s">
        <v>1391</v>
      </c>
      <c r="C21" s="302"/>
      <c r="D21" s="304">
        <v>8000</v>
      </c>
      <c r="E21" s="304">
        <f t="shared" si="16"/>
        <v>8000</v>
      </c>
      <c r="F21" s="304">
        <f>H21-AB21</f>
        <v>8000</v>
      </c>
      <c r="G21" s="304">
        <f>F21-D21</f>
        <v>0</v>
      </c>
      <c r="H21" s="303">
        <f t="shared" ref="H21:H24" si="18">I21+W21</f>
        <v>8000</v>
      </c>
      <c r="I21" s="303">
        <f t="shared" ref="I21:I24" si="19">M21+P21</f>
        <v>8000</v>
      </c>
      <c r="J21" s="294"/>
      <c r="K21" s="294"/>
      <c r="L21" s="294"/>
      <c r="M21" s="304"/>
      <c r="N21" s="294"/>
      <c r="O21" s="294"/>
      <c r="P21" s="303">
        <f t="shared" ref="P21:P24" si="20">S21+T21</f>
        <v>8000</v>
      </c>
      <c r="Q21" s="294"/>
      <c r="R21" s="305"/>
      <c r="S21" s="304"/>
      <c r="T21" s="303">
        <f>U21+V21</f>
        <v>8000</v>
      </c>
      <c r="U21" s="303">
        <v>8000</v>
      </c>
      <c r="V21" s="304"/>
      <c r="W21" s="303">
        <f>Z21+AA21</f>
        <v>0</v>
      </c>
      <c r="X21" s="303"/>
      <c r="Y21" s="303"/>
      <c r="Z21" s="303"/>
      <c r="AA21" s="303"/>
      <c r="AB21" s="303"/>
      <c r="AC21" s="303"/>
      <c r="AD21" s="303"/>
      <c r="AE21" s="303">
        <f>E21-AD21</f>
        <v>8000</v>
      </c>
      <c r="AF21" s="1272"/>
      <c r="AG21" s="314">
        <f t="shared" si="4"/>
        <v>0</v>
      </c>
      <c r="AH21" s="696">
        <f t="shared" si="5"/>
        <v>0</v>
      </c>
      <c r="AI21" s="314">
        <f t="shared" si="6"/>
        <v>0</v>
      </c>
      <c r="AJ21" s="314">
        <f t="shared" si="7"/>
        <v>0</v>
      </c>
      <c r="AK21" s="314">
        <f t="shared" si="8"/>
        <v>0</v>
      </c>
      <c r="AL21" s="314">
        <f t="shared" si="9"/>
        <v>0</v>
      </c>
      <c r="AM21" s="314">
        <f t="shared" si="10"/>
        <v>0</v>
      </c>
      <c r="AN21" s="314">
        <f t="shared" si="11"/>
        <v>0</v>
      </c>
      <c r="AO21" s="314">
        <f t="shared" si="12"/>
        <v>0</v>
      </c>
      <c r="AP21" s="314">
        <f t="shared" si="13"/>
        <v>0</v>
      </c>
    </row>
    <row r="22" spans="1:42" ht="27.75" customHeight="1">
      <c r="A22" s="593" t="s">
        <v>23</v>
      </c>
      <c r="B22" s="646" t="s">
        <v>321</v>
      </c>
      <c r="C22" s="302"/>
      <c r="D22" s="304">
        <v>20000</v>
      </c>
      <c r="E22" s="304">
        <f t="shared" si="16"/>
        <v>20000</v>
      </c>
      <c r="F22" s="304">
        <f>H22-AB22</f>
        <v>20000</v>
      </c>
      <c r="G22" s="304">
        <f>F22-D22</f>
        <v>0</v>
      </c>
      <c r="H22" s="303">
        <f t="shared" si="18"/>
        <v>20000</v>
      </c>
      <c r="I22" s="303">
        <f t="shared" si="19"/>
        <v>20000</v>
      </c>
      <c r="J22" s="294"/>
      <c r="K22" s="294"/>
      <c r="L22" s="294"/>
      <c r="M22" s="304"/>
      <c r="N22" s="294"/>
      <c r="O22" s="294"/>
      <c r="P22" s="303">
        <f t="shared" si="20"/>
        <v>20000</v>
      </c>
      <c r="Q22" s="294"/>
      <c r="R22" s="305"/>
      <c r="S22" s="304"/>
      <c r="T22" s="303">
        <f t="shared" ref="T22:T24" si="21">U22+V22</f>
        <v>20000</v>
      </c>
      <c r="U22" s="303">
        <v>20000</v>
      </c>
      <c r="V22" s="304"/>
      <c r="W22" s="303">
        <f t="shared" ref="W22:W24" si="22">Z22+AA22</f>
        <v>0</v>
      </c>
      <c r="X22" s="303"/>
      <c r="Y22" s="303"/>
      <c r="Z22" s="303"/>
      <c r="AA22" s="303"/>
      <c r="AB22" s="303"/>
      <c r="AC22" s="303"/>
      <c r="AD22" s="303"/>
      <c r="AE22" s="303">
        <f>E22-AD22</f>
        <v>20000</v>
      </c>
      <c r="AF22" s="1272"/>
      <c r="AG22" s="314">
        <f t="shared" si="4"/>
        <v>0</v>
      </c>
      <c r="AH22" s="696">
        <f t="shared" si="5"/>
        <v>0</v>
      </c>
      <c r="AI22" s="314">
        <f t="shared" si="6"/>
        <v>0</v>
      </c>
      <c r="AJ22" s="314">
        <f t="shared" si="7"/>
        <v>0</v>
      </c>
      <c r="AK22" s="314">
        <f t="shared" si="8"/>
        <v>0</v>
      </c>
      <c r="AL22" s="314">
        <f t="shared" si="9"/>
        <v>0</v>
      </c>
      <c r="AM22" s="314">
        <f t="shared" si="10"/>
        <v>0</v>
      </c>
      <c r="AN22" s="314">
        <f t="shared" si="11"/>
        <v>0</v>
      </c>
      <c r="AO22" s="314">
        <f t="shared" si="12"/>
        <v>0</v>
      </c>
      <c r="AP22" s="314">
        <f t="shared" si="13"/>
        <v>0</v>
      </c>
    </row>
    <row r="23" spans="1:42" s="314" customFormat="1" ht="27.6">
      <c r="A23" s="592" t="s">
        <v>91</v>
      </c>
      <c r="B23" s="645" t="s">
        <v>39</v>
      </c>
      <c r="C23" s="298"/>
      <c r="D23" s="297">
        <v>68705</v>
      </c>
      <c r="E23" s="297">
        <f t="shared" si="16"/>
        <v>80000</v>
      </c>
      <c r="F23" s="297">
        <f>H23-AB23</f>
        <v>80000</v>
      </c>
      <c r="G23" s="297">
        <f>F23-D23</f>
        <v>11295</v>
      </c>
      <c r="H23" s="299">
        <f t="shared" si="18"/>
        <v>80000</v>
      </c>
      <c r="I23" s="299">
        <f t="shared" si="19"/>
        <v>80000</v>
      </c>
      <c r="J23" s="300"/>
      <c r="K23" s="300"/>
      <c r="L23" s="300"/>
      <c r="M23" s="297"/>
      <c r="N23" s="300"/>
      <c r="O23" s="300"/>
      <c r="P23" s="299">
        <f t="shared" si="20"/>
        <v>80000</v>
      </c>
      <c r="Q23" s="300"/>
      <c r="R23" s="301"/>
      <c r="S23" s="297"/>
      <c r="T23" s="299">
        <f t="shared" si="21"/>
        <v>80000</v>
      </c>
      <c r="U23" s="299">
        <v>80000</v>
      </c>
      <c r="V23" s="297"/>
      <c r="W23" s="299">
        <f t="shared" si="22"/>
        <v>0</v>
      </c>
      <c r="X23" s="299"/>
      <c r="Y23" s="299"/>
      <c r="Z23" s="299"/>
      <c r="AA23" s="299"/>
      <c r="AB23" s="299"/>
      <c r="AC23" s="299"/>
      <c r="AD23" s="299"/>
      <c r="AE23" s="299">
        <f>E23-AD23</f>
        <v>80000</v>
      </c>
      <c r="AF23" s="1271"/>
      <c r="AG23" s="314">
        <f t="shared" si="4"/>
        <v>0</v>
      </c>
      <c r="AH23" s="696">
        <f t="shared" si="5"/>
        <v>0</v>
      </c>
      <c r="AI23" s="314">
        <f t="shared" si="6"/>
        <v>0</v>
      </c>
      <c r="AJ23" s="314">
        <f t="shared" si="7"/>
        <v>0</v>
      </c>
      <c r="AK23" s="314">
        <f t="shared" si="8"/>
        <v>0</v>
      </c>
      <c r="AL23" s="314">
        <f t="shared" si="9"/>
        <v>0</v>
      </c>
      <c r="AM23" s="314">
        <f t="shared" si="10"/>
        <v>0</v>
      </c>
      <c r="AN23" s="314">
        <f t="shared" si="11"/>
        <v>0</v>
      </c>
      <c r="AO23" s="314">
        <f t="shared" si="12"/>
        <v>0</v>
      </c>
      <c r="AP23" s="314">
        <f t="shared" si="13"/>
        <v>0</v>
      </c>
    </row>
    <row r="24" spans="1:42" s="314" customFormat="1" ht="41.4" hidden="1" outlineLevel="3">
      <c r="A24" s="592" t="s">
        <v>93</v>
      </c>
      <c r="B24" s="974" t="s">
        <v>323</v>
      </c>
      <c r="C24" s="298"/>
      <c r="D24" s="297">
        <v>0</v>
      </c>
      <c r="E24" s="297">
        <f t="shared" si="16"/>
        <v>0</v>
      </c>
      <c r="F24" s="297">
        <f>H24-AB24</f>
        <v>0</v>
      </c>
      <c r="G24" s="297">
        <f>F24-D24</f>
        <v>0</v>
      </c>
      <c r="H24" s="299">
        <f t="shared" si="18"/>
        <v>0</v>
      </c>
      <c r="I24" s="299">
        <f t="shared" si="19"/>
        <v>0</v>
      </c>
      <c r="J24" s="300"/>
      <c r="K24" s="300"/>
      <c r="L24" s="300"/>
      <c r="M24" s="297"/>
      <c r="N24" s="300"/>
      <c r="O24" s="300"/>
      <c r="P24" s="299">
        <f t="shared" si="20"/>
        <v>0</v>
      </c>
      <c r="Q24" s="300"/>
      <c r="R24" s="301"/>
      <c r="S24" s="297"/>
      <c r="T24" s="299">
        <f t="shared" si="21"/>
        <v>0</v>
      </c>
      <c r="U24" s="299"/>
      <c r="V24" s="297"/>
      <c r="W24" s="299">
        <f t="shared" si="22"/>
        <v>0</v>
      </c>
      <c r="X24" s="299"/>
      <c r="Y24" s="299"/>
      <c r="Z24" s="299"/>
      <c r="AA24" s="299"/>
      <c r="AB24" s="299"/>
      <c r="AC24" s="299"/>
      <c r="AD24" s="299"/>
      <c r="AE24" s="299">
        <f>E24-AD24</f>
        <v>0</v>
      </c>
      <c r="AF24" s="1271"/>
      <c r="AG24" s="314">
        <f t="shared" si="4"/>
        <v>0</v>
      </c>
      <c r="AH24" s="696">
        <f t="shared" si="5"/>
        <v>0</v>
      </c>
      <c r="AI24" s="314">
        <f t="shared" si="6"/>
        <v>0</v>
      </c>
      <c r="AJ24" s="314">
        <f t="shared" si="7"/>
        <v>0</v>
      </c>
      <c r="AK24" s="314">
        <f t="shared" si="8"/>
        <v>0</v>
      </c>
      <c r="AL24" s="314">
        <f t="shared" si="9"/>
        <v>0</v>
      </c>
      <c r="AM24" s="314">
        <f t="shared" si="10"/>
        <v>0</v>
      </c>
      <c r="AN24" s="314">
        <f t="shared" si="11"/>
        <v>0</v>
      </c>
      <c r="AO24" s="314">
        <f t="shared" si="12"/>
        <v>0</v>
      </c>
      <c r="AP24" s="314">
        <f t="shared" si="13"/>
        <v>0</v>
      </c>
    </row>
    <row r="25" spans="1:42" s="313" customFormat="1" collapsed="1">
      <c r="A25" s="591" t="s">
        <v>823</v>
      </c>
      <c r="B25" s="357" t="s">
        <v>2041</v>
      </c>
      <c r="C25" s="298"/>
      <c r="D25" s="297">
        <f t="shared" ref="D25:P25" si="23">D26+D623+D919+D1077+D1078+D1079+D1092</f>
        <v>1830275.26</v>
      </c>
      <c r="E25" s="297">
        <f t="shared" si="23"/>
        <v>1926832</v>
      </c>
      <c r="F25" s="297">
        <f t="shared" si="23"/>
        <v>1845160</v>
      </c>
      <c r="G25" s="297">
        <f t="shared" si="23"/>
        <v>20036.740000000093</v>
      </c>
      <c r="H25" s="297">
        <f t="shared" si="23"/>
        <v>1845160</v>
      </c>
      <c r="I25" s="297">
        <f t="shared" si="23"/>
        <v>594093</v>
      </c>
      <c r="J25" s="297">
        <f t="shared" si="23"/>
        <v>3132</v>
      </c>
      <c r="K25" s="297">
        <f t="shared" si="23"/>
        <v>2921</v>
      </c>
      <c r="L25" s="297">
        <f t="shared" si="23"/>
        <v>211</v>
      </c>
      <c r="M25" s="297">
        <f t="shared" si="23"/>
        <v>382495</v>
      </c>
      <c r="N25" s="297">
        <f t="shared" si="23"/>
        <v>366512</v>
      </c>
      <c r="O25" s="297">
        <f t="shared" si="23"/>
        <v>15983</v>
      </c>
      <c r="P25" s="297">
        <f t="shared" si="23"/>
        <v>211598</v>
      </c>
      <c r="Q25" s="297"/>
      <c r="R25" s="297"/>
      <c r="S25" s="297">
        <f>S26+S623+S919+S1077+S1078+S1079+S1092</f>
        <v>128799</v>
      </c>
      <c r="T25" s="297">
        <f>T26+T623+T919+T1077+T1078+T1079+T1092</f>
        <v>82799</v>
      </c>
      <c r="U25" s="297">
        <f>U26+U623+U919+U1077+U1078+U1079+U1092</f>
        <v>65712</v>
      </c>
      <c r="V25" s="297">
        <f>V26+V623+V919+V1077+V1078+V1079+V1092</f>
        <v>17087</v>
      </c>
      <c r="W25" s="297">
        <f>W26+W623+W919+W1077+W1078+W1079+W1092</f>
        <v>1251067</v>
      </c>
      <c r="X25" s="297"/>
      <c r="Y25" s="297"/>
      <c r="Z25" s="297">
        <f t="shared" ref="Z25:AE25" si="24">Z26+Z623+Z919+Z1077+Z1078+Z1079+Z1092</f>
        <v>1191955</v>
      </c>
      <c r="AA25" s="297">
        <f t="shared" si="24"/>
        <v>59112</v>
      </c>
      <c r="AB25" s="297">
        <f t="shared" si="24"/>
        <v>0</v>
      </c>
      <c r="AC25" s="297">
        <f t="shared" si="24"/>
        <v>81672</v>
      </c>
      <c r="AD25" s="297">
        <f t="shared" si="24"/>
        <v>5483</v>
      </c>
      <c r="AE25" s="297">
        <f t="shared" si="24"/>
        <v>1906755</v>
      </c>
      <c r="AF25" s="321"/>
      <c r="AG25" s="314">
        <f t="shared" si="4"/>
        <v>0</v>
      </c>
      <c r="AH25" s="696">
        <f t="shared" si="5"/>
        <v>0</v>
      </c>
      <c r="AI25" s="314">
        <f t="shared" si="6"/>
        <v>0</v>
      </c>
      <c r="AJ25" s="314">
        <f t="shared" si="7"/>
        <v>0</v>
      </c>
      <c r="AK25" s="314">
        <f t="shared" si="8"/>
        <v>0</v>
      </c>
      <c r="AL25" s="314">
        <f t="shared" si="9"/>
        <v>0</v>
      </c>
      <c r="AM25" s="314">
        <f t="shared" si="10"/>
        <v>0</v>
      </c>
      <c r="AN25" s="314">
        <f t="shared" si="11"/>
        <v>0</v>
      </c>
      <c r="AO25" s="314">
        <f t="shared" si="12"/>
        <v>0</v>
      </c>
      <c r="AP25" s="314">
        <f t="shared" si="13"/>
        <v>0</v>
      </c>
    </row>
    <row r="26" spans="1:42" s="313" customFormat="1">
      <c r="A26" s="594" t="s">
        <v>16</v>
      </c>
      <c r="B26" s="357" t="s">
        <v>824</v>
      </c>
      <c r="C26" s="297"/>
      <c r="D26" s="297">
        <f>D27+D86+D101+D118+D152+D176+D229+D281+D352+D416+D441+D499+D510+D539+D576+D592</f>
        <v>1452632.4</v>
      </c>
      <c r="E26" s="297">
        <f>E27+E86+E101+E118+E152+E176+E229+E281+E352+E416+E441+E499+E510+E539+E576+E592</f>
        <v>1577248</v>
      </c>
      <c r="F26" s="297">
        <f>F27+F86+F101+F118+F152+F176+F229+F281+F352+F416+F441+F499+F510+F539+F576+F592</f>
        <v>1459526</v>
      </c>
      <c r="G26" s="297">
        <f>F26-D26</f>
        <v>6893.6000000000931</v>
      </c>
      <c r="H26" s="297">
        <f t="shared" ref="H26:P26" si="25">H27+H86+H101+H118+H152+H176+H229+H281+H352+H416+H441+H499+H510+H539+H576+H592</f>
        <v>1460643</v>
      </c>
      <c r="I26" s="297">
        <f t="shared" si="25"/>
        <v>458012</v>
      </c>
      <c r="J26" s="297">
        <f t="shared" si="25"/>
        <v>2651</v>
      </c>
      <c r="K26" s="297">
        <f t="shared" si="25"/>
        <v>2462</v>
      </c>
      <c r="L26" s="297">
        <f t="shared" si="25"/>
        <v>189</v>
      </c>
      <c r="M26" s="297">
        <f t="shared" si="25"/>
        <v>322971</v>
      </c>
      <c r="N26" s="297">
        <f t="shared" si="25"/>
        <v>308391</v>
      </c>
      <c r="O26" s="297">
        <f t="shared" si="25"/>
        <v>14580</v>
      </c>
      <c r="P26" s="297">
        <f t="shared" si="25"/>
        <v>135041</v>
      </c>
      <c r="Q26" s="297"/>
      <c r="R26" s="297"/>
      <c r="S26" s="297">
        <f t="shared" ref="S26:AE26" si="26">S27+S86+S101+S118+S152+S176+S229+S281+S352+S416+S441+S499+S510+S539+S576+S592</f>
        <v>100733</v>
      </c>
      <c r="T26" s="297">
        <f t="shared" si="26"/>
        <v>34308</v>
      </c>
      <c r="U26" s="297">
        <f t="shared" si="26"/>
        <v>25816</v>
      </c>
      <c r="V26" s="297">
        <f t="shared" si="26"/>
        <v>8492</v>
      </c>
      <c r="W26" s="297">
        <f t="shared" si="26"/>
        <v>1002631</v>
      </c>
      <c r="X26" s="297">
        <f t="shared" si="26"/>
        <v>180</v>
      </c>
      <c r="Y26" s="297">
        <f t="shared" si="26"/>
        <v>0</v>
      </c>
      <c r="Z26" s="297">
        <f t="shared" si="26"/>
        <v>964232</v>
      </c>
      <c r="AA26" s="297">
        <f t="shared" si="26"/>
        <v>38399</v>
      </c>
      <c r="AB26" s="297">
        <f t="shared" si="26"/>
        <v>1117</v>
      </c>
      <c r="AC26" s="297">
        <f t="shared" si="26"/>
        <v>117722</v>
      </c>
      <c r="AD26" s="297">
        <f t="shared" si="26"/>
        <v>37045</v>
      </c>
      <c r="AE26" s="297">
        <f t="shared" si="26"/>
        <v>1525769</v>
      </c>
      <c r="AF26" s="321"/>
      <c r="AG26" s="314">
        <f t="shared" si="4"/>
        <v>0</v>
      </c>
      <c r="AH26" s="696">
        <f t="shared" si="5"/>
        <v>0</v>
      </c>
      <c r="AI26" s="314">
        <f t="shared" si="6"/>
        <v>0</v>
      </c>
      <c r="AJ26" s="314">
        <f t="shared" si="7"/>
        <v>0</v>
      </c>
      <c r="AK26" s="314">
        <f t="shared" si="8"/>
        <v>0</v>
      </c>
      <c r="AL26" s="314">
        <f t="shared" si="9"/>
        <v>0</v>
      </c>
      <c r="AM26" s="314">
        <f t="shared" si="10"/>
        <v>0</v>
      </c>
      <c r="AN26" s="314">
        <f t="shared" si="11"/>
        <v>0</v>
      </c>
      <c r="AO26" s="314">
        <f t="shared" si="12"/>
        <v>0</v>
      </c>
      <c r="AP26" s="314">
        <f t="shared" si="13"/>
        <v>0</v>
      </c>
    </row>
    <row r="27" spans="1:42" s="313" customFormat="1">
      <c r="A27" s="595" t="s">
        <v>18</v>
      </c>
      <c r="B27" s="357" t="s">
        <v>1427</v>
      </c>
      <c r="C27" s="297"/>
      <c r="D27" s="299">
        <f t="shared" ref="D27:AE27" si="27">D28+D82</f>
        <v>167763</v>
      </c>
      <c r="E27" s="299">
        <f t="shared" si="27"/>
        <v>177918</v>
      </c>
      <c r="F27" s="299">
        <f t="shared" si="27"/>
        <v>165679</v>
      </c>
      <c r="G27" s="299">
        <f t="shared" si="27"/>
        <v>-2084</v>
      </c>
      <c r="H27" s="299">
        <f t="shared" si="27"/>
        <v>170994</v>
      </c>
      <c r="I27" s="299">
        <f t="shared" si="27"/>
        <v>106087</v>
      </c>
      <c r="J27" s="299">
        <f t="shared" si="27"/>
        <v>648</v>
      </c>
      <c r="K27" s="299">
        <f t="shared" si="27"/>
        <v>581</v>
      </c>
      <c r="L27" s="299">
        <f t="shared" si="27"/>
        <v>67</v>
      </c>
      <c r="M27" s="299">
        <f t="shared" si="27"/>
        <v>82668</v>
      </c>
      <c r="N27" s="299">
        <f t="shared" si="27"/>
        <v>77207</v>
      </c>
      <c r="O27" s="299">
        <f t="shared" si="27"/>
        <v>5461</v>
      </c>
      <c r="P27" s="299">
        <f t="shared" si="27"/>
        <v>23419</v>
      </c>
      <c r="Q27" s="299">
        <f t="shared" si="27"/>
        <v>0</v>
      </c>
      <c r="R27" s="299">
        <f t="shared" si="27"/>
        <v>0</v>
      </c>
      <c r="S27" s="299">
        <f t="shared" si="27"/>
        <v>23386</v>
      </c>
      <c r="T27" s="299">
        <f t="shared" si="27"/>
        <v>33</v>
      </c>
      <c r="U27" s="299">
        <f t="shared" si="27"/>
        <v>33</v>
      </c>
      <c r="V27" s="299">
        <f t="shared" si="27"/>
        <v>0</v>
      </c>
      <c r="W27" s="299">
        <f t="shared" si="27"/>
        <v>64907</v>
      </c>
      <c r="X27" s="299">
        <f t="shared" si="27"/>
        <v>0</v>
      </c>
      <c r="Y27" s="299">
        <f t="shared" si="27"/>
        <v>0</v>
      </c>
      <c r="Z27" s="299">
        <f t="shared" si="27"/>
        <v>63907</v>
      </c>
      <c r="AA27" s="299">
        <f t="shared" si="27"/>
        <v>1000</v>
      </c>
      <c r="AB27" s="299">
        <f t="shared" si="27"/>
        <v>5315</v>
      </c>
      <c r="AC27" s="299">
        <f t="shared" si="27"/>
        <v>12239</v>
      </c>
      <c r="AD27" s="299">
        <f t="shared" si="27"/>
        <v>6114</v>
      </c>
      <c r="AE27" s="299">
        <f t="shared" si="27"/>
        <v>171804</v>
      </c>
      <c r="AF27" s="321"/>
      <c r="AG27" s="314">
        <f t="shared" si="4"/>
        <v>0</v>
      </c>
      <c r="AH27" s="696">
        <f t="shared" si="5"/>
        <v>0</v>
      </c>
      <c r="AI27" s="314">
        <f t="shared" si="6"/>
        <v>0</v>
      </c>
      <c r="AJ27" s="314">
        <f t="shared" si="7"/>
        <v>0</v>
      </c>
      <c r="AK27" s="314">
        <f t="shared" si="8"/>
        <v>0</v>
      </c>
      <c r="AL27" s="314">
        <f t="shared" si="9"/>
        <v>0</v>
      </c>
      <c r="AM27" s="314">
        <f t="shared" si="10"/>
        <v>0</v>
      </c>
      <c r="AN27" s="314">
        <f t="shared" si="11"/>
        <v>0</v>
      </c>
      <c r="AO27" s="314">
        <f t="shared" si="12"/>
        <v>0</v>
      </c>
      <c r="AP27" s="314">
        <f t="shared" si="13"/>
        <v>0</v>
      </c>
    </row>
    <row r="28" spans="1:42" s="313" customFormat="1">
      <c r="A28" s="595" t="s">
        <v>34</v>
      </c>
      <c r="B28" s="357" t="s">
        <v>825</v>
      </c>
      <c r="C28" s="297"/>
      <c r="D28" s="299">
        <f t="shared" ref="D28:AE28" si="28">D29+D47</f>
        <v>137885</v>
      </c>
      <c r="E28" s="299">
        <f>E29+E47</f>
        <v>147040</v>
      </c>
      <c r="F28" s="299">
        <f>F29+F47</f>
        <v>134801</v>
      </c>
      <c r="G28" s="299">
        <f>G29+G47</f>
        <v>-3084</v>
      </c>
      <c r="H28" s="299">
        <f t="shared" si="28"/>
        <v>140116</v>
      </c>
      <c r="I28" s="299">
        <f t="shared" si="28"/>
        <v>106087</v>
      </c>
      <c r="J28" s="299">
        <f t="shared" si="28"/>
        <v>648</v>
      </c>
      <c r="K28" s="299">
        <f t="shared" si="28"/>
        <v>581</v>
      </c>
      <c r="L28" s="299">
        <f t="shared" si="28"/>
        <v>67</v>
      </c>
      <c r="M28" s="299">
        <f t="shared" si="28"/>
        <v>82668</v>
      </c>
      <c r="N28" s="299">
        <f t="shared" si="28"/>
        <v>77207</v>
      </c>
      <c r="O28" s="299">
        <f t="shared" si="28"/>
        <v>5461</v>
      </c>
      <c r="P28" s="299">
        <f t="shared" si="28"/>
        <v>23419</v>
      </c>
      <c r="Q28" s="299">
        <f t="shared" si="28"/>
        <v>0</v>
      </c>
      <c r="R28" s="299">
        <f t="shared" si="28"/>
        <v>0</v>
      </c>
      <c r="S28" s="299">
        <f t="shared" si="28"/>
        <v>23386</v>
      </c>
      <c r="T28" s="299">
        <f t="shared" si="28"/>
        <v>33</v>
      </c>
      <c r="U28" s="299">
        <f t="shared" si="28"/>
        <v>33</v>
      </c>
      <c r="V28" s="299">
        <f t="shared" si="28"/>
        <v>0</v>
      </c>
      <c r="W28" s="299">
        <f t="shared" si="28"/>
        <v>34029</v>
      </c>
      <c r="X28" s="299">
        <f t="shared" si="28"/>
        <v>0</v>
      </c>
      <c r="Y28" s="299">
        <f t="shared" si="28"/>
        <v>0</v>
      </c>
      <c r="Z28" s="299">
        <f t="shared" si="28"/>
        <v>34029</v>
      </c>
      <c r="AA28" s="299">
        <f t="shared" si="28"/>
        <v>0</v>
      </c>
      <c r="AB28" s="299">
        <f t="shared" si="28"/>
        <v>5315</v>
      </c>
      <c r="AC28" s="299">
        <f t="shared" si="28"/>
        <v>12239</v>
      </c>
      <c r="AD28" s="299">
        <f t="shared" si="28"/>
        <v>5041</v>
      </c>
      <c r="AE28" s="299">
        <f t="shared" si="28"/>
        <v>141999</v>
      </c>
      <c r="AF28" s="321"/>
      <c r="AG28" s="314">
        <f t="shared" si="4"/>
        <v>0</v>
      </c>
      <c r="AH28" s="696">
        <f t="shared" si="5"/>
        <v>0</v>
      </c>
      <c r="AI28" s="314">
        <f t="shared" si="6"/>
        <v>0</v>
      </c>
      <c r="AJ28" s="314">
        <f t="shared" si="7"/>
        <v>0</v>
      </c>
      <c r="AK28" s="314">
        <f t="shared" si="8"/>
        <v>0</v>
      </c>
      <c r="AL28" s="314">
        <f t="shared" si="9"/>
        <v>0</v>
      </c>
      <c r="AM28" s="314">
        <f t="shared" si="10"/>
        <v>0</v>
      </c>
      <c r="AN28" s="314">
        <f t="shared" si="11"/>
        <v>0</v>
      </c>
      <c r="AO28" s="314">
        <f t="shared" si="12"/>
        <v>0</v>
      </c>
      <c r="AP28" s="314">
        <f t="shared" si="13"/>
        <v>0</v>
      </c>
    </row>
    <row r="29" spans="1:42" s="313" customFormat="1">
      <c r="A29" s="592" t="s">
        <v>1428</v>
      </c>
      <c r="B29" s="357" t="s">
        <v>826</v>
      </c>
      <c r="C29" s="298" t="s">
        <v>756</v>
      </c>
      <c r="D29" s="297">
        <f t="shared" ref="D29" si="29">D30+D45+D38</f>
        <v>70787</v>
      </c>
      <c r="E29" s="297">
        <f>E30+E45+E38</f>
        <v>83439</v>
      </c>
      <c r="F29" s="297">
        <f>F30+F45+F38</f>
        <v>71933</v>
      </c>
      <c r="G29" s="297">
        <f t="shared" ref="G29:G44" si="30">F29-D29</f>
        <v>1146</v>
      </c>
      <c r="H29" s="297">
        <f t="shared" ref="H29:Z29" si="31">H30+H45+H38</f>
        <v>71933</v>
      </c>
      <c r="I29" s="297">
        <f t="shared" si="31"/>
        <v>71933</v>
      </c>
      <c r="J29" s="297">
        <f t="shared" si="31"/>
        <v>392</v>
      </c>
      <c r="K29" s="297">
        <f t="shared" si="31"/>
        <v>355</v>
      </c>
      <c r="L29" s="297">
        <f t="shared" si="31"/>
        <v>37</v>
      </c>
      <c r="M29" s="297">
        <f t="shared" si="31"/>
        <v>55305</v>
      </c>
      <c r="N29" s="297">
        <f t="shared" si="31"/>
        <v>52319</v>
      </c>
      <c r="O29" s="297">
        <f t="shared" si="31"/>
        <v>2986</v>
      </c>
      <c r="P29" s="297">
        <f t="shared" si="31"/>
        <v>16628</v>
      </c>
      <c r="Q29" s="297"/>
      <c r="R29" s="297">
        <f t="shared" si="31"/>
        <v>0</v>
      </c>
      <c r="S29" s="297">
        <f t="shared" si="31"/>
        <v>16595</v>
      </c>
      <c r="T29" s="297">
        <f t="shared" si="31"/>
        <v>33</v>
      </c>
      <c r="U29" s="297">
        <f t="shared" si="31"/>
        <v>33</v>
      </c>
      <c r="V29" s="297">
        <f t="shared" si="31"/>
        <v>0</v>
      </c>
      <c r="W29" s="297">
        <f>W30+W45+W38</f>
        <v>0</v>
      </c>
      <c r="X29" s="297"/>
      <c r="Y29" s="297"/>
      <c r="Z29" s="297">
        <f t="shared" si="31"/>
        <v>0</v>
      </c>
      <c r="AA29" s="297">
        <f>AA30+AA45+AA38</f>
        <v>0</v>
      </c>
      <c r="AB29" s="297">
        <f>AB30+AB45+AB38</f>
        <v>0</v>
      </c>
      <c r="AC29" s="297">
        <f>AC30+AC45+AC38</f>
        <v>11506</v>
      </c>
      <c r="AD29" s="297">
        <f>AD30+AD45+AD38</f>
        <v>1584</v>
      </c>
      <c r="AE29" s="297">
        <f>AE30+AE45+AE38</f>
        <v>81855</v>
      </c>
      <c r="AF29" s="321"/>
      <c r="AG29" s="314">
        <f t="shared" si="4"/>
        <v>0</v>
      </c>
      <c r="AH29" s="696">
        <f t="shared" si="5"/>
        <v>0</v>
      </c>
      <c r="AI29" s="314">
        <f t="shared" si="6"/>
        <v>0</v>
      </c>
      <c r="AJ29" s="314">
        <f t="shared" si="7"/>
        <v>0</v>
      </c>
      <c r="AK29" s="314">
        <f t="shared" si="8"/>
        <v>0</v>
      </c>
      <c r="AL29" s="314">
        <f t="shared" si="9"/>
        <v>0</v>
      </c>
      <c r="AM29" s="314">
        <f t="shared" si="10"/>
        <v>0</v>
      </c>
      <c r="AN29" s="314">
        <f t="shared" si="11"/>
        <v>0</v>
      </c>
      <c r="AO29" s="314">
        <f t="shared" si="12"/>
        <v>0</v>
      </c>
      <c r="AP29" s="314">
        <f t="shared" si="13"/>
        <v>0</v>
      </c>
    </row>
    <row r="30" spans="1:42" s="293" customFormat="1">
      <c r="A30" s="583" t="s">
        <v>45</v>
      </c>
      <c r="B30" s="324" t="s">
        <v>827</v>
      </c>
      <c r="C30" s="304"/>
      <c r="D30" s="304">
        <f t="shared" ref="D30" si="32">D31+D32+D33+D34+D35+D36+D37</f>
        <v>69634</v>
      </c>
      <c r="E30" s="304">
        <f>E31+E32+E33+E34+E35+E36+E37</f>
        <v>83406</v>
      </c>
      <c r="F30" s="304">
        <f>F31+F32+F33+F34+F35+F36+F37</f>
        <v>71900</v>
      </c>
      <c r="G30" s="304">
        <f t="shared" si="30"/>
        <v>2266</v>
      </c>
      <c r="H30" s="304">
        <f t="shared" ref="H30:Z30" si="33">H31+H32+H33+H34+H35+H36+H37</f>
        <v>71900</v>
      </c>
      <c r="I30" s="304">
        <f t="shared" si="33"/>
        <v>71900</v>
      </c>
      <c r="J30" s="304">
        <f t="shared" si="33"/>
        <v>392</v>
      </c>
      <c r="K30" s="304">
        <f t="shared" si="33"/>
        <v>355</v>
      </c>
      <c r="L30" s="304">
        <f t="shared" si="33"/>
        <v>37</v>
      </c>
      <c r="M30" s="304">
        <f t="shared" si="33"/>
        <v>55305</v>
      </c>
      <c r="N30" s="304">
        <f t="shared" si="33"/>
        <v>52319</v>
      </c>
      <c r="O30" s="304">
        <f t="shared" si="33"/>
        <v>2986</v>
      </c>
      <c r="P30" s="304">
        <f t="shared" si="33"/>
        <v>16595</v>
      </c>
      <c r="Q30" s="304"/>
      <c r="R30" s="304"/>
      <c r="S30" s="304">
        <f t="shared" si="33"/>
        <v>16595</v>
      </c>
      <c r="T30" s="304">
        <f t="shared" si="33"/>
        <v>0</v>
      </c>
      <c r="U30" s="304">
        <f t="shared" si="33"/>
        <v>0</v>
      </c>
      <c r="V30" s="304">
        <f t="shared" si="33"/>
        <v>0</v>
      </c>
      <c r="W30" s="304">
        <f>W31+W32+W33+W34+W35+W36+W37</f>
        <v>0</v>
      </c>
      <c r="X30" s="304"/>
      <c r="Y30" s="304"/>
      <c r="Z30" s="304">
        <f t="shared" si="33"/>
        <v>0</v>
      </c>
      <c r="AA30" s="304">
        <f>AA31+AA32+AA33+AA34+AA35+AA36+AA37</f>
        <v>0</v>
      </c>
      <c r="AB30" s="304">
        <f>AB31+AB32+AB33+AB34+AB35+AB36+AB37</f>
        <v>0</v>
      </c>
      <c r="AC30" s="304">
        <f t="shared" ref="AC30:AE30" si="34">AC31+AC32+AC33+AC34+AC35+AC36+AC37</f>
        <v>11506</v>
      </c>
      <c r="AD30" s="304">
        <f t="shared" si="34"/>
        <v>1584</v>
      </c>
      <c r="AE30" s="304">
        <f t="shared" si="34"/>
        <v>81822</v>
      </c>
      <c r="AF30" s="317"/>
      <c r="AG30" s="314">
        <f t="shared" si="4"/>
        <v>0</v>
      </c>
      <c r="AH30" s="696">
        <f t="shared" si="5"/>
        <v>0</v>
      </c>
      <c r="AI30" s="314">
        <f t="shared" si="6"/>
        <v>0</v>
      </c>
      <c r="AJ30" s="314">
        <f t="shared" si="7"/>
        <v>0</v>
      </c>
      <c r="AK30" s="314">
        <f t="shared" si="8"/>
        <v>0</v>
      </c>
      <c r="AL30" s="314">
        <f t="shared" si="9"/>
        <v>0</v>
      </c>
      <c r="AM30" s="314">
        <f t="shared" si="10"/>
        <v>0</v>
      </c>
      <c r="AN30" s="314">
        <f t="shared" si="11"/>
        <v>0</v>
      </c>
      <c r="AO30" s="314">
        <f t="shared" si="12"/>
        <v>0</v>
      </c>
      <c r="AP30" s="314">
        <f t="shared" si="13"/>
        <v>0</v>
      </c>
    </row>
    <row r="31" spans="1:42" s="293" customFormat="1" outlineLevel="1">
      <c r="A31" s="583" t="s">
        <v>23</v>
      </c>
      <c r="B31" s="310" t="s">
        <v>828</v>
      </c>
      <c r="C31" s="308"/>
      <c r="D31" s="304">
        <v>6527</v>
      </c>
      <c r="E31" s="304">
        <f t="shared" si="16"/>
        <v>7851</v>
      </c>
      <c r="F31" s="304">
        <f t="shared" ref="F31:F37" si="35">H31-AB31</f>
        <v>6844</v>
      </c>
      <c r="G31" s="304">
        <f t="shared" si="30"/>
        <v>317</v>
      </c>
      <c r="H31" s="303">
        <f t="shared" ref="H31:H37" si="36">I31+W31</f>
        <v>6844</v>
      </c>
      <c r="I31" s="303">
        <f t="shared" ref="I31:I37" si="37">M31+P31</f>
        <v>6844</v>
      </c>
      <c r="J31" s="294">
        <v>38</v>
      </c>
      <c r="K31" s="294">
        <v>34</v>
      </c>
      <c r="L31" s="294">
        <f t="shared" ref="L31:L37" si="38">J31-K31</f>
        <v>4</v>
      </c>
      <c r="M31" s="304">
        <f t="shared" ref="M31:M37" si="39">N31+O31</f>
        <v>4841</v>
      </c>
      <c r="N31" s="294">
        <v>4580</v>
      </c>
      <c r="O31" s="294">
        <v>261</v>
      </c>
      <c r="P31" s="303">
        <f>S31+T31</f>
        <v>2003</v>
      </c>
      <c r="Q31" s="294">
        <v>31</v>
      </c>
      <c r="R31" s="305">
        <v>1.7000000000000002</v>
      </c>
      <c r="S31" s="304">
        <f t="shared" ref="S31:S37" si="40">ROUND(J31*Q31*R31,0)</f>
        <v>2003</v>
      </c>
      <c r="T31" s="303">
        <f>U31+V31</f>
        <v>0</v>
      </c>
      <c r="U31" s="304"/>
      <c r="V31" s="304"/>
      <c r="W31" s="303">
        <f t="shared" ref="W31:W37" si="41">Z31+AA31</f>
        <v>0</v>
      </c>
      <c r="X31" s="303"/>
      <c r="Y31" s="303"/>
      <c r="Z31" s="304"/>
      <c r="AA31" s="304"/>
      <c r="AB31" s="304"/>
      <c r="AC31" s="304">
        <v>1007</v>
      </c>
      <c r="AD31" s="304">
        <v>196</v>
      </c>
      <c r="AE31" s="303">
        <f t="shared" ref="AE31:AE37" si="42">E31-AD31</f>
        <v>7655</v>
      </c>
      <c r="AF31" s="332"/>
      <c r="AG31" s="314">
        <f t="shared" si="4"/>
        <v>0</v>
      </c>
      <c r="AH31" s="696">
        <f t="shared" si="5"/>
        <v>0</v>
      </c>
      <c r="AI31" s="314">
        <f t="shared" si="6"/>
        <v>0</v>
      </c>
      <c r="AJ31" s="314">
        <f t="shared" si="7"/>
        <v>0</v>
      </c>
      <c r="AK31" s="314">
        <f t="shared" si="8"/>
        <v>0</v>
      </c>
      <c r="AL31" s="314">
        <f t="shared" si="9"/>
        <v>0</v>
      </c>
      <c r="AM31" s="314">
        <f t="shared" si="10"/>
        <v>0</v>
      </c>
      <c r="AN31" s="314">
        <f t="shared" si="11"/>
        <v>0</v>
      </c>
      <c r="AO31" s="314">
        <f t="shared" si="12"/>
        <v>0</v>
      </c>
      <c r="AP31" s="314">
        <f t="shared" si="13"/>
        <v>0</v>
      </c>
    </row>
    <row r="32" spans="1:42" s="293" customFormat="1" outlineLevel="1">
      <c r="A32" s="583" t="s">
        <v>23</v>
      </c>
      <c r="B32" s="310" t="s">
        <v>829</v>
      </c>
      <c r="C32" s="308"/>
      <c r="D32" s="304">
        <v>1673</v>
      </c>
      <c r="E32" s="304">
        <f t="shared" si="16"/>
        <v>2055</v>
      </c>
      <c r="F32" s="304">
        <f t="shared" si="35"/>
        <v>1790</v>
      </c>
      <c r="G32" s="304">
        <f t="shared" si="30"/>
        <v>117</v>
      </c>
      <c r="H32" s="303">
        <f t="shared" si="36"/>
        <v>1790</v>
      </c>
      <c r="I32" s="303">
        <f t="shared" si="37"/>
        <v>1790</v>
      </c>
      <c r="J32" s="294">
        <v>12</v>
      </c>
      <c r="K32" s="294">
        <v>9</v>
      </c>
      <c r="L32" s="294">
        <f t="shared" si="38"/>
        <v>3</v>
      </c>
      <c r="M32" s="304">
        <f t="shared" si="39"/>
        <v>1272</v>
      </c>
      <c r="N32" s="294">
        <v>1076</v>
      </c>
      <c r="O32" s="294">
        <v>196</v>
      </c>
      <c r="P32" s="303">
        <f>S32+T32</f>
        <v>518</v>
      </c>
      <c r="Q32" s="294">
        <v>36</v>
      </c>
      <c r="R32" s="305">
        <v>1.2</v>
      </c>
      <c r="S32" s="304">
        <f t="shared" si="40"/>
        <v>518</v>
      </c>
      <c r="T32" s="303">
        <f>U32+V32</f>
        <v>0</v>
      </c>
      <c r="U32" s="304"/>
      <c r="V32" s="304"/>
      <c r="W32" s="303">
        <f t="shared" si="41"/>
        <v>0</v>
      </c>
      <c r="X32" s="303"/>
      <c r="Y32" s="303"/>
      <c r="Z32" s="304"/>
      <c r="AA32" s="304"/>
      <c r="AB32" s="304"/>
      <c r="AC32" s="304">
        <v>265</v>
      </c>
      <c r="AD32" s="304">
        <v>48</v>
      </c>
      <c r="AE32" s="303">
        <f t="shared" si="42"/>
        <v>2007</v>
      </c>
      <c r="AF32" s="332"/>
      <c r="AG32" s="314">
        <f t="shared" si="4"/>
        <v>0</v>
      </c>
      <c r="AH32" s="696">
        <f t="shared" si="5"/>
        <v>0</v>
      </c>
      <c r="AI32" s="314">
        <f t="shared" si="6"/>
        <v>0</v>
      </c>
      <c r="AJ32" s="314">
        <f t="shared" si="7"/>
        <v>0</v>
      </c>
      <c r="AK32" s="314">
        <f t="shared" si="8"/>
        <v>0</v>
      </c>
      <c r="AL32" s="314">
        <f t="shared" si="9"/>
        <v>0</v>
      </c>
      <c r="AM32" s="314">
        <f t="shared" si="10"/>
        <v>0</v>
      </c>
      <c r="AN32" s="314">
        <f t="shared" si="11"/>
        <v>0</v>
      </c>
      <c r="AO32" s="314">
        <f t="shared" si="12"/>
        <v>0</v>
      </c>
      <c r="AP32" s="314">
        <f t="shared" si="13"/>
        <v>0</v>
      </c>
    </row>
    <row r="33" spans="1:42" s="293" customFormat="1" outlineLevel="1">
      <c r="A33" s="583" t="s">
        <v>23</v>
      </c>
      <c r="B33" s="310" t="s">
        <v>830</v>
      </c>
      <c r="C33" s="308"/>
      <c r="D33" s="304">
        <v>1766</v>
      </c>
      <c r="E33" s="304">
        <f t="shared" si="16"/>
        <v>1999</v>
      </c>
      <c r="F33" s="304">
        <f t="shared" si="35"/>
        <v>1744</v>
      </c>
      <c r="G33" s="304">
        <f t="shared" si="30"/>
        <v>-22</v>
      </c>
      <c r="H33" s="303">
        <f t="shared" si="36"/>
        <v>1744</v>
      </c>
      <c r="I33" s="303">
        <f t="shared" si="37"/>
        <v>1744</v>
      </c>
      <c r="J33" s="294">
        <v>12</v>
      </c>
      <c r="K33" s="294">
        <v>10</v>
      </c>
      <c r="L33" s="294">
        <f t="shared" si="38"/>
        <v>2</v>
      </c>
      <c r="M33" s="304">
        <f t="shared" si="39"/>
        <v>1226</v>
      </c>
      <c r="N33" s="294">
        <v>1095</v>
      </c>
      <c r="O33" s="294">
        <v>131</v>
      </c>
      <c r="P33" s="303">
        <f>S33+T33</f>
        <v>518</v>
      </c>
      <c r="Q33" s="294">
        <v>36</v>
      </c>
      <c r="R33" s="305">
        <v>1.2</v>
      </c>
      <c r="S33" s="304">
        <f t="shared" si="40"/>
        <v>518</v>
      </c>
      <c r="T33" s="303">
        <f>U33+V33</f>
        <v>0</v>
      </c>
      <c r="U33" s="304"/>
      <c r="V33" s="304"/>
      <c r="W33" s="303">
        <f t="shared" si="41"/>
        <v>0</v>
      </c>
      <c r="X33" s="303"/>
      <c r="Y33" s="303"/>
      <c r="Z33" s="304"/>
      <c r="AA33" s="304"/>
      <c r="AB33" s="304"/>
      <c r="AC33" s="304">
        <v>255</v>
      </c>
      <c r="AD33" s="304">
        <v>44</v>
      </c>
      <c r="AE33" s="303">
        <f t="shared" si="42"/>
        <v>1955</v>
      </c>
      <c r="AF33" s="332"/>
      <c r="AG33" s="314">
        <f t="shared" si="4"/>
        <v>0</v>
      </c>
      <c r="AH33" s="696">
        <f t="shared" si="5"/>
        <v>0</v>
      </c>
      <c r="AI33" s="314">
        <f t="shared" si="6"/>
        <v>0</v>
      </c>
      <c r="AJ33" s="314">
        <f t="shared" si="7"/>
        <v>0</v>
      </c>
      <c r="AK33" s="314">
        <f t="shared" si="8"/>
        <v>0</v>
      </c>
      <c r="AL33" s="314">
        <f t="shared" si="9"/>
        <v>0</v>
      </c>
      <c r="AM33" s="314">
        <f t="shared" si="10"/>
        <v>0</v>
      </c>
      <c r="AN33" s="314">
        <f t="shared" si="11"/>
        <v>0</v>
      </c>
      <c r="AO33" s="314">
        <f t="shared" si="12"/>
        <v>0</v>
      </c>
      <c r="AP33" s="314">
        <f t="shared" si="13"/>
        <v>0</v>
      </c>
    </row>
    <row r="34" spans="1:42" s="293" customFormat="1" outlineLevel="1">
      <c r="A34" s="583" t="s">
        <v>23</v>
      </c>
      <c r="B34" s="310" t="s">
        <v>621</v>
      </c>
      <c r="C34" s="308"/>
      <c r="D34" s="304">
        <v>50846</v>
      </c>
      <c r="E34" s="304">
        <f t="shared" si="16"/>
        <v>60587</v>
      </c>
      <c r="F34" s="304">
        <f t="shared" si="35"/>
        <v>52033</v>
      </c>
      <c r="G34" s="304">
        <f t="shared" si="30"/>
        <v>1187</v>
      </c>
      <c r="H34" s="303">
        <f t="shared" si="36"/>
        <v>52033</v>
      </c>
      <c r="I34" s="303">
        <f t="shared" si="37"/>
        <v>52033</v>
      </c>
      <c r="J34" s="294">
        <v>269</v>
      </c>
      <c r="K34" s="294">
        <v>245</v>
      </c>
      <c r="L34" s="294">
        <f t="shared" si="38"/>
        <v>24</v>
      </c>
      <c r="M34" s="304">
        <f t="shared" si="39"/>
        <v>41112</v>
      </c>
      <c r="N34" s="294">
        <v>38975</v>
      </c>
      <c r="O34" s="294">
        <v>2137</v>
      </c>
      <c r="P34" s="303">
        <f>S34+T34</f>
        <v>10921</v>
      </c>
      <c r="Q34" s="294">
        <v>29</v>
      </c>
      <c r="R34" s="305">
        <v>1.4</v>
      </c>
      <c r="S34" s="304">
        <f t="shared" si="40"/>
        <v>10921</v>
      </c>
      <c r="T34" s="303">
        <f>U34+V34</f>
        <v>0</v>
      </c>
      <c r="U34" s="304"/>
      <c r="V34" s="304"/>
      <c r="W34" s="303">
        <f t="shared" si="41"/>
        <v>0</v>
      </c>
      <c r="X34" s="303"/>
      <c r="Y34" s="303"/>
      <c r="Z34" s="304"/>
      <c r="AA34" s="304"/>
      <c r="AB34" s="304"/>
      <c r="AC34" s="304">
        <v>8554</v>
      </c>
      <c r="AD34" s="304">
        <v>1051</v>
      </c>
      <c r="AE34" s="303">
        <f t="shared" si="42"/>
        <v>59536</v>
      </c>
      <c r="AF34" s="332"/>
      <c r="AG34" s="314">
        <f t="shared" si="4"/>
        <v>0</v>
      </c>
      <c r="AH34" s="696">
        <f t="shared" si="5"/>
        <v>0</v>
      </c>
      <c r="AI34" s="314">
        <f t="shared" si="6"/>
        <v>0</v>
      </c>
      <c r="AJ34" s="314">
        <f t="shared" si="7"/>
        <v>0</v>
      </c>
      <c r="AK34" s="314">
        <f t="shared" si="8"/>
        <v>0</v>
      </c>
      <c r="AL34" s="314">
        <f t="shared" si="9"/>
        <v>0</v>
      </c>
      <c r="AM34" s="314">
        <f t="shared" si="10"/>
        <v>0</v>
      </c>
      <c r="AN34" s="314">
        <f t="shared" si="11"/>
        <v>0</v>
      </c>
      <c r="AO34" s="314">
        <f t="shared" si="12"/>
        <v>0</v>
      </c>
      <c r="AP34" s="314">
        <f t="shared" si="13"/>
        <v>0</v>
      </c>
    </row>
    <row r="35" spans="1:42" s="293" customFormat="1" outlineLevel="1">
      <c r="A35" s="583" t="s">
        <v>23</v>
      </c>
      <c r="B35" s="310" t="s">
        <v>831</v>
      </c>
      <c r="C35" s="308"/>
      <c r="D35" s="304">
        <v>2907</v>
      </c>
      <c r="E35" s="304">
        <f t="shared" si="16"/>
        <v>3583</v>
      </c>
      <c r="F35" s="304">
        <f t="shared" si="35"/>
        <v>3115</v>
      </c>
      <c r="G35" s="304">
        <f t="shared" si="30"/>
        <v>208</v>
      </c>
      <c r="H35" s="303">
        <f t="shared" si="36"/>
        <v>3115</v>
      </c>
      <c r="I35" s="303">
        <f t="shared" si="37"/>
        <v>3115</v>
      </c>
      <c r="J35" s="294">
        <v>20</v>
      </c>
      <c r="K35" s="294">
        <v>19</v>
      </c>
      <c r="L35" s="294">
        <f t="shared" si="38"/>
        <v>1</v>
      </c>
      <c r="M35" s="304">
        <f t="shared" si="39"/>
        <v>2251</v>
      </c>
      <c r="N35" s="294">
        <v>2186</v>
      </c>
      <c r="O35" s="294">
        <v>65</v>
      </c>
      <c r="P35" s="303">
        <f t="shared" ref="P35:P37" si="43">S35+T35</f>
        <v>864</v>
      </c>
      <c r="Q35" s="294">
        <v>36</v>
      </c>
      <c r="R35" s="305">
        <v>1.2</v>
      </c>
      <c r="S35" s="304">
        <f t="shared" si="40"/>
        <v>864</v>
      </c>
      <c r="T35" s="303">
        <f t="shared" ref="T35:T37" si="44">U35+V35</f>
        <v>0</v>
      </c>
      <c r="U35" s="304"/>
      <c r="V35" s="304"/>
      <c r="W35" s="303">
        <f t="shared" si="41"/>
        <v>0</v>
      </c>
      <c r="X35" s="303"/>
      <c r="Y35" s="303"/>
      <c r="Z35" s="304"/>
      <c r="AA35" s="304"/>
      <c r="AB35" s="304"/>
      <c r="AC35" s="304">
        <v>468</v>
      </c>
      <c r="AD35" s="304">
        <v>81</v>
      </c>
      <c r="AE35" s="303">
        <f t="shared" si="42"/>
        <v>3502</v>
      </c>
      <c r="AF35" s="332"/>
      <c r="AG35" s="314">
        <f t="shared" si="4"/>
        <v>0</v>
      </c>
      <c r="AH35" s="696">
        <f t="shared" si="5"/>
        <v>0</v>
      </c>
      <c r="AI35" s="314">
        <f t="shared" si="6"/>
        <v>0</v>
      </c>
      <c r="AJ35" s="314">
        <f t="shared" si="7"/>
        <v>0</v>
      </c>
      <c r="AK35" s="314">
        <f t="shared" si="8"/>
        <v>0</v>
      </c>
      <c r="AL35" s="314">
        <f t="shared" si="9"/>
        <v>0</v>
      </c>
      <c r="AM35" s="314">
        <f t="shared" si="10"/>
        <v>0</v>
      </c>
      <c r="AN35" s="314">
        <f t="shared" si="11"/>
        <v>0</v>
      </c>
      <c r="AO35" s="314">
        <f t="shared" si="12"/>
        <v>0</v>
      </c>
      <c r="AP35" s="314">
        <f t="shared" si="13"/>
        <v>0</v>
      </c>
    </row>
    <row r="36" spans="1:42" s="293" customFormat="1" outlineLevel="1">
      <c r="A36" s="583" t="s">
        <v>23</v>
      </c>
      <c r="B36" s="310" t="s">
        <v>832</v>
      </c>
      <c r="C36" s="308"/>
      <c r="D36" s="304">
        <v>4319</v>
      </c>
      <c r="E36" s="304">
        <f t="shared" si="16"/>
        <v>5343</v>
      </c>
      <c r="F36" s="304">
        <f t="shared" si="35"/>
        <v>4639</v>
      </c>
      <c r="G36" s="304">
        <f t="shared" si="30"/>
        <v>320</v>
      </c>
      <c r="H36" s="303">
        <f t="shared" si="36"/>
        <v>4639</v>
      </c>
      <c r="I36" s="303">
        <f t="shared" si="37"/>
        <v>4639</v>
      </c>
      <c r="J36" s="294">
        <v>29</v>
      </c>
      <c r="K36" s="294">
        <v>27</v>
      </c>
      <c r="L36" s="294">
        <f t="shared" si="38"/>
        <v>2</v>
      </c>
      <c r="M36" s="304">
        <f t="shared" si="39"/>
        <v>3386</v>
      </c>
      <c r="N36" s="294">
        <v>3255</v>
      </c>
      <c r="O36" s="294">
        <v>131</v>
      </c>
      <c r="P36" s="303">
        <f t="shared" si="43"/>
        <v>1253</v>
      </c>
      <c r="Q36" s="294">
        <v>36</v>
      </c>
      <c r="R36" s="305">
        <v>1.2</v>
      </c>
      <c r="S36" s="304">
        <f t="shared" si="40"/>
        <v>1253</v>
      </c>
      <c r="T36" s="303">
        <f t="shared" si="44"/>
        <v>0</v>
      </c>
      <c r="U36" s="304"/>
      <c r="V36" s="304"/>
      <c r="W36" s="303">
        <f t="shared" si="41"/>
        <v>0</v>
      </c>
      <c r="X36" s="303"/>
      <c r="Y36" s="303"/>
      <c r="Z36" s="304"/>
      <c r="AA36" s="304"/>
      <c r="AB36" s="304"/>
      <c r="AC36" s="304">
        <v>704</v>
      </c>
      <c r="AD36" s="304">
        <v>118</v>
      </c>
      <c r="AE36" s="303">
        <f t="shared" si="42"/>
        <v>5225</v>
      </c>
      <c r="AF36" s="332"/>
      <c r="AG36" s="314">
        <f t="shared" si="4"/>
        <v>0</v>
      </c>
      <c r="AH36" s="696">
        <f t="shared" si="5"/>
        <v>0</v>
      </c>
      <c r="AI36" s="314">
        <f t="shared" si="6"/>
        <v>0</v>
      </c>
      <c r="AJ36" s="314">
        <f t="shared" si="7"/>
        <v>0</v>
      </c>
      <c r="AK36" s="314">
        <f t="shared" si="8"/>
        <v>0</v>
      </c>
      <c r="AL36" s="314">
        <f t="shared" si="9"/>
        <v>0</v>
      </c>
      <c r="AM36" s="314">
        <f t="shared" si="10"/>
        <v>0</v>
      </c>
      <c r="AN36" s="314">
        <f t="shared" si="11"/>
        <v>0</v>
      </c>
      <c r="AO36" s="314">
        <f t="shared" si="12"/>
        <v>0</v>
      </c>
      <c r="AP36" s="314">
        <f t="shared" si="13"/>
        <v>0</v>
      </c>
    </row>
    <row r="37" spans="1:42" ht="27.6" outlineLevel="1">
      <c r="A37" s="583" t="s">
        <v>23</v>
      </c>
      <c r="B37" s="310" t="s">
        <v>833</v>
      </c>
      <c r="C37" s="308"/>
      <c r="D37" s="304">
        <v>1596</v>
      </c>
      <c r="E37" s="304">
        <f t="shared" si="16"/>
        <v>1988</v>
      </c>
      <c r="F37" s="304">
        <f t="shared" si="35"/>
        <v>1735</v>
      </c>
      <c r="G37" s="304">
        <f t="shared" si="30"/>
        <v>139</v>
      </c>
      <c r="H37" s="303">
        <f t="shared" si="36"/>
        <v>1735</v>
      </c>
      <c r="I37" s="303">
        <f t="shared" si="37"/>
        <v>1735</v>
      </c>
      <c r="J37" s="294">
        <v>12</v>
      </c>
      <c r="K37" s="294">
        <v>11</v>
      </c>
      <c r="L37" s="294">
        <f t="shared" si="38"/>
        <v>1</v>
      </c>
      <c r="M37" s="304">
        <f t="shared" si="39"/>
        <v>1217</v>
      </c>
      <c r="N37" s="294">
        <v>1152</v>
      </c>
      <c r="O37" s="294">
        <v>65</v>
      </c>
      <c r="P37" s="303">
        <f t="shared" si="43"/>
        <v>518</v>
      </c>
      <c r="Q37" s="294">
        <v>36</v>
      </c>
      <c r="R37" s="305">
        <v>1.2</v>
      </c>
      <c r="S37" s="304">
        <f t="shared" si="40"/>
        <v>518</v>
      </c>
      <c r="T37" s="303">
        <f t="shared" si="44"/>
        <v>0</v>
      </c>
      <c r="U37" s="304"/>
      <c r="V37" s="304"/>
      <c r="W37" s="303">
        <f t="shared" si="41"/>
        <v>0</v>
      </c>
      <c r="X37" s="303"/>
      <c r="Y37" s="303"/>
      <c r="Z37" s="304"/>
      <c r="AA37" s="304"/>
      <c r="AB37" s="304"/>
      <c r="AC37" s="304">
        <v>253</v>
      </c>
      <c r="AD37" s="304">
        <v>46</v>
      </c>
      <c r="AE37" s="303">
        <f t="shared" si="42"/>
        <v>1942</v>
      </c>
      <c r="AF37" s="332"/>
      <c r="AG37" s="314">
        <f t="shared" si="4"/>
        <v>0</v>
      </c>
      <c r="AH37" s="696">
        <f t="shared" si="5"/>
        <v>0</v>
      </c>
      <c r="AI37" s="314">
        <f t="shared" si="6"/>
        <v>0</v>
      </c>
      <c r="AJ37" s="314">
        <f t="shared" si="7"/>
        <v>0</v>
      </c>
      <c r="AK37" s="314">
        <f t="shared" si="8"/>
        <v>0</v>
      </c>
      <c r="AL37" s="314">
        <f t="shared" si="9"/>
        <v>0</v>
      </c>
      <c r="AM37" s="314">
        <f t="shared" si="10"/>
        <v>0</v>
      </c>
      <c r="AN37" s="314">
        <f t="shared" si="11"/>
        <v>0</v>
      </c>
      <c r="AO37" s="314">
        <f t="shared" si="12"/>
        <v>0</v>
      </c>
      <c r="AP37" s="314">
        <f t="shared" si="13"/>
        <v>0</v>
      </c>
    </row>
    <row r="38" spans="1:42" ht="27.6" hidden="1" outlineLevel="3">
      <c r="A38" s="596" t="s">
        <v>47</v>
      </c>
      <c r="B38" s="310" t="s">
        <v>1521</v>
      </c>
      <c r="C38" s="308"/>
      <c r="D38" s="304">
        <f t="shared" ref="D38:AE38" si="45">SUM(D39:D44)</f>
        <v>1120</v>
      </c>
      <c r="E38" s="304">
        <f>SUM(E39:E44)</f>
        <v>0</v>
      </c>
      <c r="F38" s="304">
        <f>SUM(F39:F44)</f>
        <v>0</v>
      </c>
      <c r="G38" s="304">
        <f t="shared" si="30"/>
        <v>-1120</v>
      </c>
      <c r="H38" s="304">
        <f t="shared" ref="H38" si="46">SUM(H39:H44)</f>
        <v>0</v>
      </c>
      <c r="I38" s="304">
        <f t="shared" si="45"/>
        <v>0</v>
      </c>
      <c r="J38" s="304">
        <f t="shared" si="45"/>
        <v>0</v>
      </c>
      <c r="K38" s="304">
        <f t="shared" si="45"/>
        <v>0</v>
      </c>
      <c r="L38" s="304">
        <f t="shared" si="45"/>
        <v>0</v>
      </c>
      <c r="M38" s="304">
        <f t="shared" si="45"/>
        <v>0</v>
      </c>
      <c r="N38" s="304">
        <f t="shared" si="45"/>
        <v>0</v>
      </c>
      <c r="O38" s="304">
        <f t="shared" si="45"/>
        <v>0</v>
      </c>
      <c r="P38" s="304">
        <f t="shared" si="45"/>
        <v>0</v>
      </c>
      <c r="Q38" s="304"/>
      <c r="R38" s="304">
        <f t="shared" si="45"/>
        <v>0</v>
      </c>
      <c r="S38" s="304">
        <f t="shared" si="45"/>
        <v>0</v>
      </c>
      <c r="T38" s="304">
        <f t="shared" si="45"/>
        <v>0</v>
      </c>
      <c r="U38" s="304">
        <f t="shared" si="45"/>
        <v>0</v>
      </c>
      <c r="V38" s="304">
        <f t="shared" si="45"/>
        <v>0</v>
      </c>
      <c r="W38" s="304">
        <f>SUM(W39:W44)</f>
        <v>0</v>
      </c>
      <c r="X38" s="304"/>
      <c r="Y38" s="304"/>
      <c r="Z38" s="304">
        <f t="shared" si="45"/>
        <v>0</v>
      </c>
      <c r="AA38" s="304">
        <f>SUM(AA39:AA44)</f>
        <v>0</v>
      </c>
      <c r="AB38" s="304">
        <f>SUM(AB39:AB44)</f>
        <v>0</v>
      </c>
      <c r="AC38" s="304">
        <f t="shared" ref="AC38" si="47">SUM(AC39:AC44)</f>
        <v>0</v>
      </c>
      <c r="AD38" s="304">
        <f t="shared" si="45"/>
        <v>0</v>
      </c>
      <c r="AE38" s="304">
        <f t="shared" si="45"/>
        <v>0</v>
      </c>
      <c r="AF38" s="332" t="s">
        <v>2042</v>
      </c>
      <c r="AG38" s="314">
        <f t="shared" si="4"/>
        <v>0</v>
      </c>
      <c r="AH38" s="696">
        <f t="shared" si="5"/>
        <v>0</v>
      </c>
      <c r="AI38" s="314">
        <f t="shared" si="6"/>
        <v>0</v>
      </c>
      <c r="AJ38" s="314">
        <f t="shared" si="7"/>
        <v>0</v>
      </c>
      <c r="AK38" s="314">
        <f t="shared" si="8"/>
        <v>0</v>
      </c>
      <c r="AL38" s="314">
        <f t="shared" si="9"/>
        <v>0</v>
      </c>
      <c r="AM38" s="314">
        <f t="shared" si="10"/>
        <v>0</v>
      </c>
      <c r="AN38" s="314">
        <f t="shared" si="11"/>
        <v>0</v>
      </c>
      <c r="AO38" s="314">
        <f t="shared" si="12"/>
        <v>0</v>
      </c>
      <c r="AP38" s="314">
        <f t="shared" si="13"/>
        <v>0</v>
      </c>
    </row>
    <row r="39" spans="1:42" hidden="1" outlineLevel="3">
      <c r="A39" s="596" t="s">
        <v>23</v>
      </c>
      <c r="B39" s="310" t="s">
        <v>828</v>
      </c>
      <c r="C39" s="308"/>
      <c r="D39" s="304">
        <v>210</v>
      </c>
      <c r="E39" s="304">
        <f t="shared" si="16"/>
        <v>0</v>
      </c>
      <c r="F39" s="304">
        <f t="shared" ref="F39:F44" si="48">H39-AB39</f>
        <v>0</v>
      </c>
      <c r="G39" s="304">
        <f t="shared" si="30"/>
        <v>-210</v>
      </c>
      <c r="H39" s="303">
        <f t="shared" ref="H39:H44" si="49">I39+W39</f>
        <v>0</v>
      </c>
      <c r="I39" s="303">
        <f t="shared" ref="I39:I44" si="50">M39+P39</f>
        <v>0</v>
      </c>
      <c r="J39" s="294"/>
      <c r="K39" s="294"/>
      <c r="L39" s="294"/>
      <c r="M39" s="304">
        <f t="shared" ref="M39:M44" si="51">N39+O39</f>
        <v>0</v>
      </c>
      <c r="N39" s="311"/>
      <c r="O39" s="311"/>
      <c r="P39" s="303">
        <f t="shared" ref="P39:P44" si="52">S39+T39</f>
        <v>0</v>
      </c>
      <c r="Q39" s="311">
        <v>0</v>
      </c>
      <c r="R39" s="312"/>
      <c r="S39" s="304">
        <f>ROUND(J39*Q39,0)</f>
        <v>0</v>
      </c>
      <c r="T39" s="303">
        <f t="shared" ref="T39:T44" si="53">U39+V39</f>
        <v>0</v>
      </c>
      <c r="U39" s="304"/>
      <c r="V39" s="304"/>
      <c r="W39" s="303">
        <f t="shared" ref="W39:W44" si="54">Z39+AA39</f>
        <v>0</v>
      </c>
      <c r="X39" s="303"/>
      <c r="Y39" s="303"/>
      <c r="Z39" s="304"/>
      <c r="AA39" s="304"/>
      <c r="AB39" s="304"/>
      <c r="AC39" s="304"/>
      <c r="AD39" s="304"/>
      <c r="AE39" s="303">
        <f t="shared" ref="AE39:AE46" si="55">E39-AD39</f>
        <v>0</v>
      </c>
      <c r="AF39" s="332"/>
      <c r="AG39" s="314">
        <f t="shared" si="4"/>
        <v>0</v>
      </c>
      <c r="AH39" s="696">
        <f t="shared" si="5"/>
        <v>0</v>
      </c>
      <c r="AI39" s="314">
        <f t="shared" si="6"/>
        <v>0</v>
      </c>
      <c r="AJ39" s="314">
        <f t="shared" si="7"/>
        <v>0</v>
      </c>
      <c r="AK39" s="314">
        <f t="shared" si="8"/>
        <v>0</v>
      </c>
      <c r="AL39" s="314">
        <f t="shared" si="9"/>
        <v>0</v>
      </c>
      <c r="AM39" s="314">
        <f t="shared" si="10"/>
        <v>0</v>
      </c>
      <c r="AN39" s="314">
        <f t="shared" si="11"/>
        <v>0</v>
      </c>
      <c r="AO39" s="314">
        <f t="shared" si="12"/>
        <v>0</v>
      </c>
      <c r="AP39" s="314">
        <f t="shared" si="13"/>
        <v>0</v>
      </c>
    </row>
    <row r="40" spans="1:42" hidden="1" outlineLevel="3">
      <c r="A40" s="596" t="s">
        <v>23</v>
      </c>
      <c r="B40" s="310" t="s">
        <v>621</v>
      </c>
      <c r="C40" s="308"/>
      <c r="D40" s="304">
        <v>630</v>
      </c>
      <c r="E40" s="304">
        <f t="shared" si="16"/>
        <v>0</v>
      </c>
      <c r="F40" s="304">
        <f t="shared" si="48"/>
        <v>0</v>
      </c>
      <c r="G40" s="304">
        <f t="shared" si="30"/>
        <v>-630</v>
      </c>
      <c r="H40" s="303">
        <f t="shared" si="49"/>
        <v>0</v>
      </c>
      <c r="I40" s="303">
        <f t="shared" si="50"/>
        <v>0</v>
      </c>
      <c r="J40" s="294"/>
      <c r="K40" s="294"/>
      <c r="L40" s="294"/>
      <c r="M40" s="304">
        <f t="shared" si="51"/>
        <v>0</v>
      </c>
      <c r="N40" s="311"/>
      <c r="O40" s="311"/>
      <c r="P40" s="303">
        <f t="shared" si="52"/>
        <v>0</v>
      </c>
      <c r="Q40" s="311">
        <v>0</v>
      </c>
      <c r="R40" s="312"/>
      <c r="S40" s="304">
        <f t="shared" ref="S40:S44" si="56">ROUND(J40*Q40,0)</f>
        <v>0</v>
      </c>
      <c r="T40" s="303">
        <f t="shared" si="53"/>
        <v>0</v>
      </c>
      <c r="U40" s="304"/>
      <c r="V40" s="304"/>
      <c r="W40" s="303">
        <f t="shared" si="54"/>
        <v>0</v>
      </c>
      <c r="X40" s="303"/>
      <c r="Y40" s="303"/>
      <c r="Z40" s="304"/>
      <c r="AA40" s="304"/>
      <c r="AB40" s="304"/>
      <c r="AC40" s="304"/>
      <c r="AD40" s="304"/>
      <c r="AE40" s="303">
        <f t="shared" si="55"/>
        <v>0</v>
      </c>
      <c r="AF40" s="332"/>
      <c r="AG40" s="314">
        <f t="shared" si="4"/>
        <v>0</v>
      </c>
      <c r="AH40" s="696">
        <f t="shared" si="5"/>
        <v>0</v>
      </c>
      <c r="AI40" s="314">
        <f t="shared" si="6"/>
        <v>0</v>
      </c>
      <c r="AJ40" s="314">
        <f t="shared" si="7"/>
        <v>0</v>
      </c>
      <c r="AK40" s="314">
        <f t="shared" si="8"/>
        <v>0</v>
      </c>
      <c r="AL40" s="314">
        <f t="shared" si="9"/>
        <v>0</v>
      </c>
      <c r="AM40" s="314">
        <f t="shared" si="10"/>
        <v>0</v>
      </c>
      <c r="AN40" s="314">
        <f t="shared" si="11"/>
        <v>0</v>
      </c>
      <c r="AO40" s="314">
        <f t="shared" si="12"/>
        <v>0</v>
      </c>
      <c r="AP40" s="314">
        <f t="shared" si="13"/>
        <v>0</v>
      </c>
    </row>
    <row r="41" spans="1:42" hidden="1" outlineLevel="3">
      <c r="A41" s="596" t="s">
        <v>23</v>
      </c>
      <c r="B41" s="310" t="s">
        <v>834</v>
      </c>
      <c r="C41" s="308"/>
      <c r="D41" s="304">
        <v>70</v>
      </c>
      <c r="E41" s="304">
        <f t="shared" si="16"/>
        <v>0</v>
      </c>
      <c r="F41" s="304">
        <f t="shared" si="48"/>
        <v>0</v>
      </c>
      <c r="G41" s="304">
        <f t="shared" si="30"/>
        <v>-70</v>
      </c>
      <c r="H41" s="303">
        <f t="shared" si="49"/>
        <v>0</v>
      </c>
      <c r="I41" s="303">
        <f t="shared" si="50"/>
        <v>0</v>
      </c>
      <c r="J41" s="294"/>
      <c r="K41" s="294"/>
      <c r="L41" s="294"/>
      <c r="M41" s="304">
        <f t="shared" si="51"/>
        <v>0</v>
      </c>
      <c r="N41" s="311"/>
      <c r="O41" s="311"/>
      <c r="P41" s="303">
        <f t="shared" si="52"/>
        <v>0</v>
      </c>
      <c r="Q41" s="311">
        <v>0</v>
      </c>
      <c r="R41" s="312"/>
      <c r="S41" s="304">
        <f t="shared" si="56"/>
        <v>0</v>
      </c>
      <c r="T41" s="303">
        <f t="shared" si="53"/>
        <v>0</v>
      </c>
      <c r="U41" s="304"/>
      <c r="V41" s="304"/>
      <c r="W41" s="303">
        <f t="shared" si="54"/>
        <v>0</v>
      </c>
      <c r="X41" s="303"/>
      <c r="Y41" s="303"/>
      <c r="Z41" s="304"/>
      <c r="AA41" s="304"/>
      <c r="AB41" s="304"/>
      <c r="AC41" s="304"/>
      <c r="AD41" s="304"/>
      <c r="AE41" s="303">
        <f t="shared" si="55"/>
        <v>0</v>
      </c>
      <c r="AF41" s="332"/>
      <c r="AG41" s="314">
        <f t="shared" si="4"/>
        <v>0</v>
      </c>
      <c r="AH41" s="696">
        <f t="shared" si="5"/>
        <v>0</v>
      </c>
      <c r="AI41" s="314">
        <f t="shared" si="6"/>
        <v>0</v>
      </c>
      <c r="AJ41" s="314">
        <f t="shared" si="7"/>
        <v>0</v>
      </c>
      <c r="AK41" s="314">
        <f t="shared" si="8"/>
        <v>0</v>
      </c>
      <c r="AL41" s="314">
        <f t="shared" si="9"/>
        <v>0</v>
      </c>
      <c r="AM41" s="314">
        <f t="shared" si="10"/>
        <v>0</v>
      </c>
      <c r="AN41" s="314">
        <f t="shared" si="11"/>
        <v>0</v>
      </c>
      <c r="AO41" s="314">
        <f t="shared" si="12"/>
        <v>0</v>
      </c>
      <c r="AP41" s="314">
        <f t="shared" si="13"/>
        <v>0</v>
      </c>
    </row>
    <row r="42" spans="1:42" hidden="1" outlineLevel="3">
      <c r="A42" s="596" t="s">
        <v>23</v>
      </c>
      <c r="B42" s="310" t="s">
        <v>835</v>
      </c>
      <c r="C42" s="308"/>
      <c r="D42" s="304">
        <v>70</v>
      </c>
      <c r="E42" s="304">
        <f t="shared" si="16"/>
        <v>0</v>
      </c>
      <c r="F42" s="304">
        <f t="shared" si="48"/>
        <v>0</v>
      </c>
      <c r="G42" s="304">
        <f t="shared" si="30"/>
        <v>-70</v>
      </c>
      <c r="H42" s="303">
        <f t="shared" si="49"/>
        <v>0</v>
      </c>
      <c r="I42" s="303">
        <f t="shared" si="50"/>
        <v>0</v>
      </c>
      <c r="J42" s="294"/>
      <c r="K42" s="294"/>
      <c r="L42" s="294"/>
      <c r="M42" s="304">
        <f t="shared" si="51"/>
        <v>0</v>
      </c>
      <c r="N42" s="311"/>
      <c r="O42" s="311"/>
      <c r="P42" s="303">
        <f t="shared" si="52"/>
        <v>0</v>
      </c>
      <c r="Q42" s="311">
        <v>0</v>
      </c>
      <c r="R42" s="312"/>
      <c r="S42" s="304">
        <f t="shared" si="56"/>
        <v>0</v>
      </c>
      <c r="T42" s="303">
        <f t="shared" si="53"/>
        <v>0</v>
      </c>
      <c r="U42" s="304"/>
      <c r="V42" s="304"/>
      <c r="W42" s="303">
        <f t="shared" si="54"/>
        <v>0</v>
      </c>
      <c r="X42" s="303"/>
      <c r="Y42" s="303"/>
      <c r="Z42" s="304"/>
      <c r="AA42" s="304"/>
      <c r="AB42" s="304"/>
      <c r="AC42" s="304"/>
      <c r="AD42" s="304"/>
      <c r="AE42" s="303">
        <f t="shared" si="55"/>
        <v>0</v>
      </c>
      <c r="AF42" s="332"/>
      <c r="AG42" s="314">
        <f t="shared" si="4"/>
        <v>0</v>
      </c>
      <c r="AH42" s="696">
        <f t="shared" si="5"/>
        <v>0</v>
      </c>
      <c r="AI42" s="314">
        <f t="shared" si="6"/>
        <v>0</v>
      </c>
      <c r="AJ42" s="314">
        <f t="shared" si="7"/>
        <v>0</v>
      </c>
      <c r="AK42" s="314">
        <f t="shared" si="8"/>
        <v>0</v>
      </c>
      <c r="AL42" s="314">
        <f t="shared" si="9"/>
        <v>0</v>
      </c>
      <c r="AM42" s="314">
        <f t="shared" si="10"/>
        <v>0</v>
      </c>
      <c r="AN42" s="314">
        <f t="shared" si="11"/>
        <v>0</v>
      </c>
      <c r="AO42" s="314">
        <f t="shared" si="12"/>
        <v>0</v>
      </c>
      <c r="AP42" s="314">
        <f t="shared" si="13"/>
        <v>0</v>
      </c>
    </row>
    <row r="43" spans="1:42" hidden="1" outlineLevel="3">
      <c r="A43" s="596" t="s">
        <v>23</v>
      </c>
      <c r="B43" s="310" t="s">
        <v>836</v>
      </c>
      <c r="C43" s="308"/>
      <c r="D43" s="304">
        <v>70</v>
      </c>
      <c r="E43" s="304">
        <f t="shared" si="16"/>
        <v>0</v>
      </c>
      <c r="F43" s="304">
        <f t="shared" si="48"/>
        <v>0</v>
      </c>
      <c r="G43" s="304">
        <f t="shared" si="30"/>
        <v>-70</v>
      </c>
      <c r="H43" s="303">
        <f t="shared" si="49"/>
        <v>0</v>
      </c>
      <c r="I43" s="303">
        <f t="shared" si="50"/>
        <v>0</v>
      </c>
      <c r="J43" s="294"/>
      <c r="K43" s="294"/>
      <c r="L43" s="294"/>
      <c r="M43" s="304">
        <f t="shared" si="51"/>
        <v>0</v>
      </c>
      <c r="N43" s="311"/>
      <c r="O43" s="311"/>
      <c r="P43" s="303">
        <f t="shared" si="52"/>
        <v>0</v>
      </c>
      <c r="Q43" s="311">
        <v>0</v>
      </c>
      <c r="R43" s="312"/>
      <c r="S43" s="304">
        <f t="shared" si="56"/>
        <v>0</v>
      </c>
      <c r="T43" s="303">
        <f t="shared" si="53"/>
        <v>0</v>
      </c>
      <c r="U43" s="304"/>
      <c r="V43" s="304"/>
      <c r="W43" s="303">
        <f t="shared" si="54"/>
        <v>0</v>
      </c>
      <c r="X43" s="303"/>
      <c r="Y43" s="303"/>
      <c r="Z43" s="304"/>
      <c r="AA43" s="304"/>
      <c r="AB43" s="304"/>
      <c r="AC43" s="304"/>
      <c r="AD43" s="304"/>
      <c r="AE43" s="303">
        <f t="shared" si="55"/>
        <v>0</v>
      </c>
      <c r="AF43" s="332"/>
      <c r="AG43" s="314">
        <f t="shared" si="4"/>
        <v>0</v>
      </c>
      <c r="AH43" s="696">
        <f t="shared" si="5"/>
        <v>0</v>
      </c>
      <c r="AI43" s="314">
        <f t="shared" si="6"/>
        <v>0</v>
      </c>
      <c r="AJ43" s="314">
        <f t="shared" si="7"/>
        <v>0</v>
      </c>
      <c r="AK43" s="314">
        <f t="shared" si="8"/>
        <v>0</v>
      </c>
      <c r="AL43" s="314">
        <f t="shared" si="9"/>
        <v>0</v>
      </c>
      <c r="AM43" s="314">
        <f t="shared" si="10"/>
        <v>0</v>
      </c>
      <c r="AN43" s="314">
        <f t="shared" si="11"/>
        <v>0</v>
      </c>
      <c r="AO43" s="314">
        <f t="shared" si="12"/>
        <v>0</v>
      </c>
      <c r="AP43" s="314">
        <f t="shared" si="13"/>
        <v>0</v>
      </c>
    </row>
    <row r="44" spans="1:42" ht="27.6" hidden="1" outlineLevel="3">
      <c r="A44" s="596" t="s">
        <v>23</v>
      </c>
      <c r="B44" s="310" t="s">
        <v>837</v>
      </c>
      <c r="C44" s="308"/>
      <c r="D44" s="304">
        <v>70</v>
      </c>
      <c r="E44" s="304">
        <f t="shared" si="16"/>
        <v>0</v>
      </c>
      <c r="F44" s="304">
        <f t="shared" si="48"/>
        <v>0</v>
      </c>
      <c r="G44" s="304">
        <f t="shared" si="30"/>
        <v>-70</v>
      </c>
      <c r="H44" s="303">
        <f t="shared" si="49"/>
        <v>0</v>
      </c>
      <c r="I44" s="303">
        <f t="shared" si="50"/>
        <v>0</v>
      </c>
      <c r="J44" s="294"/>
      <c r="K44" s="294"/>
      <c r="L44" s="294"/>
      <c r="M44" s="304">
        <f t="shared" si="51"/>
        <v>0</v>
      </c>
      <c r="N44" s="311"/>
      <c r="O44" s="311"/>
      <c r="P44" s="303">
        <f t="shared" si="52"/>
        <v>0</v>
      </c>
      <c r="Q44" s="311">
        <v>0</v>
      </c>
      <c r="R44" s="312"/>
      <c r="S44" s="304">
        <f t="shared" si="56"/>
        <v>0</v>
      </c>
      <c r="T44" s="303">
        <f t="shared" si="53"/>
        <v>0</v>
      </c>
      <c r="U44" s="304"/>
      <c r="V44" s="304"/>
      <c r="W44" s="303">
        <f t="shared" si="54"/>
        <v>0</v>
      </c>
      <c r="X44" s="303"/>
      <c r="Y44" s="303"/>
      <c r="Z44" s="304"/>
      <c r="AA44" s="304"/>
      <c r="AB44" s="304"/>
      <c r="AC44" s="304"/>
      <c r="AD44" s="304"/>
      <c r="AE44" s="303">
        <f t="shared" si="55"/>
        <v>0</v>
      </c>
      <c r="AF44" s="332"/>
      <c r="AG44" s="314">
        <f t="shared" si="4"/>
        <v>0</v>
      </c>
      <c r="AH44" s="696">
        <f t="shared" si="5"/>
        <v>0</v>
      </c>
      <c r="AI44" s="314">
        <f t="shared" si="6"/>
        <v>0</v>
      </c>
      <c r="AJ44" s="314">
        <f t="shared" si="7"/>
        <v>0</v>
      </c>
      <c r="AK44" s="314">
        <f t="shared" si="8"/>
        <v>0</v>
      </c>
      <c r="AL44" s="314">
        <f t="shared" si="9"/>
        <v>0</v>
      </c>
      <c r="AM44" s="314">
        <f t="shared" si="10"/>
        <v>0</v>
      </c>
      <c r="AN44" s="314">
        <f t="shared" si="11"/>
        <v>0</v>
      </c>
      <c r="AO44" s="314">
        <f t="shared" si="12"/>
        <v>0</v>
      </c>
      <c r="AP44" s="314">
        <f t="shared" si="13"/>
        <v>0</v>
      </c>
    </row>
    <row r="45" spans="1:42" s="293" customFormat="1" ht="27.6" collapsed="1">
      <c r="A45" s="583" t="s">
        <v>47</v>
      </c>
      <c r="B45" s="1273" t="s">
        <v>1737</v>
      </c>
      <c r="C45" s="304"/>
      <c r="D45" s="303">
        <f>D46</f>
        <v>33</v>
      </c>
      <c r="E45" s="303">
        <f>E46</f>
        <v>33</v>
      </c>
      <c r="F45" s="303">
        <f>F46</f>
        <v>33</v>
      </c>
      <c r="G45" s="303">
        <f>G46</f>
        <v>0</v>
      </c>
      <c r="H45" s="303">
        <f t="shared" ref="H45:AB45" si="57">H46</f>
        <v>33</v>
      </c>
      <c r="I45" s="303">
        <f t="shared" si="57"/>
        <v>33</v>
      </c>
      <c r="J45" s="303">
        <f t="shared" si="57"/>
        <v>0</v>
      </c>
      <c r="K45" s="303">
        <f t="shared" si="57"/>
        <v>0</v>
      </c>
      <c r="L45" s="303">
        <f t="shared" si="57"/>
        <v>0</v>
      </c>
      <c r="M45" s="303">
        <f t="shared" si="57"/>
        <v>0</v>
      </c>
      <c r="N45" s="303">
        <f t="shared" si="57"/>
        <v>0</v>
      </c>
      <c r="O45" s="303">
        <f t="shared" si="57"/>
        <v>0</v>
      </c>
      <c r="P45" s="303">
        <f t="shared" si="57"/>
        <v>33</v>
      </c>
      <c r="Q45" s="303">
        <f t="shared" si="57"/>
        <v>0</v>
      </c>
      <c r="R45" s="303">
        <f t="shared" si="57"/>
        <v>0</v>
      </c>
      <c r="S45" s="303">
        <f t="shared" si="57"/>
        <v>0</v>
      </c>
      <c r="T45" s="303">
        <f t="shared" si="57"/>
        <v>33</v>
      </c>
      <c r="U45" s="303">
        <f t="shared" si="57"/>
        <v>33</v>
      </c>
      <c r="V45" s="303">
        <f t="shared" si="57"/>
        <v>0</v>
      </c>
      <c r="W45" s="303">
        <f t="shared" si="57"/>
        <v>0</v>
      </c>
      <c r="X45" s="303">
        <f t="shared" si="57"/>
        <v>0</v>
      </c>
      <c r="Y45" s="303">
        <f t="shared" si="57"/>
        <v>0</v>
      </c>
      <c r="Z45" s="303">
        <f t="shared" si="57"/>
        <v>0</v>
      </c>
      <c r="AA45" s="303">
        <f t="shared" si="57"/>
        <v>0</v>
      </c>
      <c r="AB45" s="303">
        <f t="shared" si="57"/>
        <v>0</v>
      </c>
      <c r="AC45" s="303"/>
      <c r="AD45" s="303">
        <v>0</v>
      </c>
      <c r="AE45" s="303">
        <f t="shared" si="55"/>
        <v>33</v>
      </c>
      <c r="AF45" s="317"/>
      <c r="AG45" s="314">
        <f t="shared" si="4"/>
        <v>0</v>
      </c>
      <c r="AH45" s="696">
        <f t="shared" si="5"/>
        <v>0</v>
      </c>
      <c r="AI45" s="314">
        <f t="shared" si="6"/>
        <v>0</v>
      </c>
      <c r="AJ45" s="314">
        <f t="shared" si="7"/>
        <v>0</v>
      </c>
      <c r="AK45" s="314">
        <f t="shared" si="8"/>
        <v>0</v>
      </c>
      <c r="AL45" s="314">
        <f t="shared" si="9"/>
        <v>0</v>
      </c>
      <c r="AM45" s="314">
        <f t="shared" si="10"/>
        <v>0</v>
      </c>
      <c r="AN45" s="314">
        <f t="shared" si="11"/>
        <v>0</v>
      </c>
      <c r="AO45" s="314">
        <f t="shared" si="12"/>
        <v>0</v>
      </c>
      <c r="AP45" s="314">
        <f t="shared" si="13"/>
        <v>0</v>
      </c>
    </row>
    <row r="46" spans="1:42" outlineLevel="1">
      <c r="A46" s="593" t="s">
        <v>23</v>
      </c>
      <c r="B46" s="310" t="s">
        <v>838</v>
      </c>
      <c r="C46" s="308"/>
      <c r="D46" s="304">
        <v>33</v>
      </c>
      <c r="E46" s="304">
        <f t="shared" si="16"/>
        <v>33</v>
      </c>
      <c r="F46" s="304">
        <f>H46-AB46</f>
        <v>33</v>
      </c>
      <c r="G46" s="304">
        <f>F46-D46</f>
        <v>0</v>
      </c>
      <c r="H46" s="303">
        <f t="shared" ref="H46" si="58">I46+W46</f>
        <v>33</v>
      </c>
      <c r="I46" s="303">
        <f t="shared" ref="I46" si="59">M46+P46</f>
        <v>33</v>
      </c>
      <c r="J46" s="311"/>
      <c r="K46" s="311"/>
      <c r="L46" s="311"/>
      <c r="M46" s="303"/>
      <c r="N46" s="311"/>
      <c r="O46" s="311"/>
      <c r="P46" s="303">
        <f t="shared" ref="P46" si="60">S46+T46</f>
        <v>33</v>
      </c>
      <c r="Q46" s="311"/>
      <c r="R46" s="312"/>
      <c r="S46" s="304"/>
      <c r="T46" s="303">
        <f t="shared" ref="T46" si="61">U46+V46</f>
        <v>33</v>
      </c>
      <c r="U46" s="304">
        <v>33</v>
      </c>
      <c r="V46" s="304"/>
      <c r="W46" s="303">
        <f t="shared" ref="W46" si="62">Z46+AA46</f>
        <v>0</v>
      </c>
      <c r="X46" s="303"/>
      <c r="Y46" s="303"/>
      <c r="Z46" s="304"/>
      <c r="AA46" s="304"/>
      <c r="AB46" s="304"/>
      <c r="AC46" s="304"/>
      <c r="AD46" s="304"/>
      <c r="AE46" s="303">
        <f t="shared" si="55"/>
        <v>33</v>
      </c>
      <c r="AF46" s="332"/>
      <c r="AG46" s="314">
        <f t="shared" si="4"/>
        <v>0</v>
      </c>
      <c r="AH46" s="696">
        <f t="shared" si="5"/>
        <v>0</v>
      </c>
      <c r="AI46" s="314">
        <f t="shared" si="6"/>
        <v>0</v>
      </c>
      <c r="AJ46" s="314">
        <f t="shared" si="7"/>
        <v>0</v>
      </c>
      <c r="AK46" s="314">
        <f t="shared" si="8"/>
        <v>0</v>
      </c>
      <c r="AL46" s="314">
        <f t="shared" si="9"/>
        <v>0</v>
      </c>
      <c r="AM46" s="314">
        <f t="shared" si="10"/>
        <v>0</v>
      </c>
      <c r="AN46" s="314">
        <f t="shared" si="11"/>
        <v>0</v>
      </c>
      <c r="AO46" s="314">
        <f t="shared" si="12"/>
        <v>0</v>
      </c>
      <c r="AP46" s="314">
        <f t="shared" si="13"/>
        <v>0</v>
      </c>
    </row>
    <row r="47" spans="1:42" s="313" customFormat="1">
      <c r="A47" s="592" t="s">
        <v>1429</v>
      </c>
      <c r="B47" s="645" t="s">
        <v>1430</v>
      </c>
      <c r="C47" s="315" t="s">
        <v>728</v>
      </c>
      <c r="D47" s="299">
        <f t="shared" ref="D47:AE47" si="63">D48+D62+D81</f>
        <v>67098</v>
      </c>
      <c r="E47" s="299">
        <f t="shared" si="63"/>
        <v>63601</v>
      </c>
      <c r="F47" s="299">
        <f t="shared" si="63"/>
        <v>62868</v>
      </c>
      <c r="G47" s="299">
        <f t="shared" si="63"/>
        <v>-4230</v>
      </c>
      <c r="H47" s="299">
        <f t="shared" si="63"/>
        <v>68183</v>
      </c>
      <c r="I47" s="299">
        <f t="shared" si="63"/>
        <v>34154</v>
      </c>
      <c r="J47" s="299">
        <f t="shared" si="63"/>
        <v>256</v>
      </c>
      <c r="K47" s="299">
        <f t="shared" si="63"/>
        <v>226</v>
      </c>
      <c r="L47" s="299">
        <f t="shared" si="63"/>
        <v>30</v>
      </c>
      <c r="M47" s="299">
        <f t="shared" si="63"/>
        <v>27363</v>
      </c>
      <c r="N47" s="299">
        <f t="shared" si="63"/>
        <v>24888</v>
      </c>
      <c r="O47" s="299">
        <f t="shared" si="63"/>
        <v>2475</v>
      </c>
      <c r="P47" s="299">
        <f t="shared" si="63"/>
        <v>6791</v>
      </c>
      <c r="Q47" s="299">
        <f t="shared" si="63"/>
        <v>0</v>
      </c>
      <c r="R47" s="299">
        <f t="shared" si="63"/>
        <v>0</v>
      </c>
      <c r="S47" s="299">
        <f t="shared" si="63"/>
        <v>6791</v>
      </c>
      <c r="T47" s="299">
        <f t="shared" si="63"/>
        <v>0</v>
      </c>
      <c r="U47" s="299">
        <f t="shared" si="63"/>
        <v>0</v>
      </c>
      <c r="V47" s="299">
        <f t="shared" si="63"/>
        <v>0</v>
      </c>
      <c r="W47" s="299">
        <f t="shared" si="63"/>
        <v>34029</v>
      </c>
      <c r="X47" s="299">
        <f t="shared" si="63"/>
        <v>0</v>
      </c>
      <c r="Y47" s="299">
        <f t="shared" si="63"/>
        <v>0</v>
      </c>
      <c r="Z47" s="299">
        <f t="shared" si="63"/>
        <v>34029</v>
      </c>
      <c r="AA47" s="299">
        <f t="shared" si="63"/>
        <v>0</v>
      </c>
      <c r="AB47" s="299">
        <f t="shared" si="63"/>
        <v>5315</v>
      </c>
      <c r="AC47" s="299">
        <f t="shared" si="63"/>
        <v>733</v>
      </c>
      <c r="AD47" s="299">
        <f t="shared" si="63"/>
        <v>3457</v>
      </c>
      <c r="AE47" s="299">
        <f t="shared" si="63"/>
        <v>60144</v>
      </c>
      <c r="AF47" s="1271"/>
      <c r="AG47" s="314">
        <f t="shared" si="4"/>
        <v>0</v>
      </c>
      <c r="AH47" s="696">
        <f t="shared" si="5"/>
        <v>0</v>
      </c>
      <c r="AI47" s="314">
        <f t="shared" si="6"/>
        <v>0</v>
      </c>
      <c r="AJ47" s="314">
        <f t="shared" si="7"/>
        <v>0</v>
      </c>
      <c r="AK47" s="314">
        <f t="shared" si="8"/>
        <v>0</v>
      </c>
      <c r="AL47" s="314">
        <f t="shared" si="9"/>
        <v>0</v>
      </c>
      <c r="AM47" s="314">
        <f t="shared" si="10"/>
        <v>0</v>
      </c>
      <c r="AN47" s="314">
        <f t="shared" si="11"/>
        <v>0</v>
      </c>
      <c r="AO47" s="314">
        <f t="shared" si="12"/>
        <v>0</v>
      </c>
      <c r="AP47" s="314">
        <f t="shared" si="13"/>
        <v>0</v>
      </c>
    </row>
    <row r="48" spans="1:42" s="314" customFormat="1">
      <c r="A48" s="591" t="s">
        <v>45</v>
      </c>
      <c r="B48" s="320" t="s">
        <v>840</v>
      </c>
      <c r="C48" s="298"/>
      <c r="D48" s="299">
        <f>D49+D52</f>
        <v>29872</v>
      </c>
      <c r="E48" s="299">
        <f>E49+E52</f>
        <v>30939</v>
      </c>
      <c r="F48" s="299">
        <f>F49+F52</f>
        <v>30348</v>
      </c>
      <c r="G48" s="299">
        <f t="shared" ref="G48:G71" si="64">F48-D48</f>
        <v>476</v>
      </c>
      <c r="H48" s="299">
        <f t="shared" ref="H48:AE48" si="65">H49+H52</f>
        <v>30379</v>
      </c>
      <c r="I48" s="299">
        <f t="shared" si="65"/>
        <v>3741</v>
      </c>
      <c r="J48" s="299">
        <f t="shared" si="65"/>
        <v>31</v>
      </c>
      <c r="K48" s="299">
        <f t="shared" si="65"/>
        <v>28</v>
      </c>
      <c r="L48" s="299">
        <f t="shared" si="65"/>
        <v>3</v>
      </c>
      <c r="M48" s="299">
        <f t="shared" si="65"/>
        <v>2842</v>
      </c>
      <c r="N48" s="299">
        <f t="shared" si="65"/>
        <v>2676</v>
      </c>
      <c r="O48" s="299">
        <f t="shared" si="65"/>
        <v>166</v>
      </c>
      <c r="P48" s="299">
        <f t="shared" si="65"/>
        <v>899</v>
      </c>
      <c r="Q48" s="299"/>
      <c r="R48" s="299"/>
      <c r="S48" s="299">
        <f t="shared" si="65"/>
        <v>899</v>
      </c>
      <c r="T48" s="299">
        <f t="shared" si="65"/>
        <v>0</v>
      </c>
      <c r="U48" s="299">
        <f t="shared" si="65"/>
        <v>0</v>
      </c>
      <c r="V48" s="299">
        <f t="shared" si="65"/>
        <v>0</v>
      </c>
      <c r="W48" s="299">
        <f>W49+W52</f>
        <v>26638</v>
      </c>
      <c r="X48" s="299"/>
      <c r="Y48" s="299"/>
      <c r="Z48" s="299">
        <f t="shared" si="65"/>
        <v>26638</v>
      </c>
      <c r="AA48" s="299">
        <f t="shared" si="65"/>
        <v>0</v>
      </c>
      <c r="AB48" s="299">
        <f t="shared" si="65"/>
        <v>31</v>
      </c>
      <c r="AC48" s="299">
        <f t="shared" si="65"/>
        <v>591</v>
      </c>
      <c r="AD48" s="299">
        <f t="shared" si="65"/>
        <v>2730</v>
      </c>
      <c r="AE48" s="299">
        <f t="shared" si="65"/>
        <v>28209</v>
      </c>
      <c r="AF48" s="321"/>
      <c r="AG48" s="314">
        <f t="shared" si="4"/>
        <v>0</v>
      </c>
      <c r="AH48" s="696">
        <f t="shared" si="5"/>
        <v>0</v>
      </c>
      <c r="AI48" s="314">
        <f t="shared" si="6"/>
        <v>0</v>
      </c>
      <c r="AJ48" s="314">
        <f t="shared" si="7"/>
        <v>0</v>
      </c>
      <c r="AK48" s="314">
        <f t="shared" si="8"/>
        <v>0</v>
      </c>
      <c r="AL48" s="314">
        <f t="shared" si="9"/>
        <v>0</v>
      </c>
      <c r="AM48" s="314">
        <f t="shared" si="10"/>
        <v>0</v>
      </c>
      <c r="AN48" s="314">
        <f t="shared" si="11"/>
        <v>0</v>
      </c>
      <c r="AO48" s="314">
        <f t="shared" si="12"/>
        <v>0</v>
      </c>
      <c r="AP48" s="314">
        <f t="shared" si="13"/>
        <v>0</v>
      </c>
    </row>
    <row r="49" spans="1:42" s="314" customFormat="1">
      <c r="A49" s="591" t="s">
        <v>1108</v>
      </c>
      <c r="B49" s="320" t="s">
        <v>841</v>
      </c>
      <c r="C49" s="297"/>
      <c r="D49" s="297">
        <f t="shared" ref="D49" si="66">D50+D51</f>
        <v>3788</v>
      </c>
      <c r="E49" s="297">
        <f>E50+E51</f>
        <v>4301</v>
      </c>
      <c r="F49" s="297">
        <f>F50+F51</f>
        <v>3710</v>
      </c>
      <c r="G49" s="297">
        <f t="shared" si="64"/>
        <v>-78</v>
      </c>
      <c r="H49" s="297">
        <f t="shared" ref="H49:AE49" si="67">H50+H51</f>
        <v>3741</v>
      </c>
      <c r="I49" s="297">
        <f t="shared" si="67"/>
        <v>3741</v>
      </c>
      <c r="J49" s="297">
        <f t="shared" si="67"/>
        <v>31</v>
      </c>
      <c r="K49" s="297">
        <f t="shared" si="67"/>
        <v>28</v>
      </c>
      <c r="L49" s="297">
        <f t="shared" si="67"/>
        <v>3</v>
      </c>
      <c r="M49" s="297">
        <f t="shared" si="67"/>
        <v>2842</v>
      </c>
      <c r="N49" s="297">
        <f>N50+N51</f>
        <v>2676</v>
      </c>
      <c r="O49" s="297">
        <f t="shared" si="67"/>
        <v>166</v>
      </c>
      <c r="P49" s="297">
        <f t="shared" si="67"/>
        <v>899</v>
      </c>
      <c r="Q49" s="297"/>
      <c r="R49" s="297"/>
      <c r="S49" s="297">
        <f t="shared" si="67"/>
        <v>899</v>
      </c>
      <c r="T49" s="297">
        <f t="shared" si="67"/>
        <v>0</v>
      </c>
      <c r="U49" s="297">
        <f t="shared" si="67"/>
        <v>0</v>
      </c>
      <c r="V49" s="297">
        <f t="shared" si="67"/>
        <v>0</v>
      </c>
      <c r="W49" s="297">
        <f>W50+W51</f>
        <v>0</v>
      </c>
      <c r="X49" s="297"/>
      <c r="Y49" s="297"/>
      <c r="Z49" s="297">
        <f t="shared" si="67"/>
        <v>0</v>
      </c>
      <c r="AA49" s="297">
        <f>AA50+AA51</f>
        <v>0</v>
      </c>
      <c r="AB49" s="297">
        <f>AB50+AB51</f>
        <v>31</v>
      </c>
      <c r="AC49" s="297">
        <f t="shared" ref="AC49" si="68">AC50+AC51</f>
        <v>591</v>
      </c>
      <c r="AD49" s="297">
        <f t="shared" si="67"/>
        <v>66</v>
      </c>
      <c r="AE49" s="297">
        <f t="shared" si="67"/>
        <v>4235</v>
      </c>
      <c r="AF49" s="321"/>
      <c r="AG49" s="314">
        <f t="shared" si="4"/>
        <v>0</v>
      </c>
      <c r="AH49" s="696">
        <f t="shared" si="5"/>
        <v>0</v>
      </c>
      <c r="AI49" s="314">
        <f t="shared" si="6"/>
        <v>0</v>
      </c>
      <c r="AJ49" s="314">
        <f t="shared" si="7"/>
        <v>0</v>
      </c>
      <c r="AK49" s="314">
        <f t="shared" si="8"/>
        <v>0</v>
      </c>
      <c r="AL49" s="314">
        <f t="shared" si="9"/>
        <v>0</v>
      </c>
      <c r="AM49" s="314">
        <f t="shared" si="10"/>
        <v>0</v>
      </c>
      <c r="AN49" s="314">
        <f t="shared" si="11"/>
        <v>0</v>
      </c>
      <c r="AO49" s="314">
        <f t="shared" si="12"/>
        <v>0</v>
      </c>
      <c r="AP49" s="314">
        <f t="shared" si="13"/>
        <v>0</v>
      </c>
    </row>
    <row r="50" spans="1:42" outlineLevel="1">
      <c r="A50" s="583" t="s">
        <v>23</v>
      </c>
      <c r="B50" s="316" t="s">
        <v>842</v>
      </c>
      <c r="C50" s="317"/>
      <c r="D50" s="304">
        <v>2311</v>
      </c>
      <c r="E50" s="304">
        <f t="shared" si="16"/>
        <v>2619</v>
      </c>
      <c r="F50" s="304">
        <f t="shared" ref="F50:F60" si="69">H50-AB50</f>
        <v>2258</v>
      </c>
      <c r="G50" s="304">
        <f t="shared" si="64"/>
        <v>-53</v>
      </c>
      <c r="H50" s="303">
        <f t="shared" ref="H50:H52" si="70">I50+W50</f>
        <v>2258</v>
      </c>
      <c r="I50" s="303">
        <f t="shared" ref="I50" si="71">M50+P50</f>
        <v>2258</v>
      </c>
      <c r="J50" s="294">
        <v>18</v>
      </c>
      <c r="K50" s="294">
        <v>18</v>
      </c>
      <c r="L50" s="294">
        <f>J50-K50</f>
        <v>0</v>
      </c>
      <c r="M50" s="304">
        <f>N50+O50</f>
        <v>1736</v>
      </c>
      <c r="N50" s="294">
        <v>1736</v>
      </c>
      <c r="O50" s="294">
        <v>0</v>
      </c>
      <c r="P50" s="303">
        <f t="shared" ref="P50:P51" si="72">S50+T50</f>
        <v>522</v>
      </c>
      <c r="Q50" s="294">
        <v>29</v>
      </c>
      <c r="R50" s="305">
        <v>1</v>
      </c>
      <c r="S50" s="304">
        <f t="shared" ref="S50:S51" si="73">ROUND(J50*Q50*R50,0)</f>
        <v>522</v>
      </c>
      <c r="T50" s="303">
        <f t="shared" ref="T50" si="74">U50+V50</f>
        <v>0</v>
      </c>
      <c r="U50" s="304"/>
      <c r="V50" s="304"/>
      <c r="W50" s="303">
        <f>Z50+AA50</f>
        <v>0</v>
      </c>
      <c r="X50" s="303"/>
      <c r="Y50" s="303"/>
      <c r="Z50" s="304"/>
      <c r="AA50" s="304"/>
      <c r="AB50" s="304"/>
      <c r="AC50" s="304">
        <v>361</v>
      </c>
      <c r="AD50" s="304">
        <v>44</v>
      </c>
      <c r="AE50" s="303">
        <f>E50-AD50</f>
        <v>2575</v>
      </c>
      <c r="AF50" s="317"/>
      <c r="AG50" s="314">
        <f t="shared" si="4"/>
        <v>0</v>
      </c>
      <c r="AH50" s="696">
        <f t="shared" si="5"/>
        <v>0</v>
      </c>
      <c r="AI50" s="314">
        <f t="shared" si="6"/>
        <v>0</v>
      </c>
      <c r="AJ50" s="314">
        <f t="shared" si="7"/>
        <v>0</v>
      </c>
      <c r="AK50" s="314">
        <f t="shared" si="8"/>
        <v>0</v>
      </c>
      <c r="AL50" s="314">
        <f t="shared" si="9"/>
        <v>0</v>
      </c>
      <c r="AM50" s="314">
        <f t="shared" si="10"/>
        <v>0</v>
      </c>
      <c r="AN50" s="314">
        <f t="shared" si="11"/>
        <v>0</v>
      </c>
      <c r="AO50" s="314">
        <f t="shared" si="12"/>
        <v>0</v>
      </c>
      <c r="AP50" s="314">
        <f t="shared" si="13"/>
        <v>0</v>
      </c>
    </row>
    <row r="51" spans="1:42" outlineLevel="1">
      <c r="A51" s="583" t="s">
        <v>23</v>
      </c>
      <c r="B51" s="316" t="s">
        <v>843</v>
      </c>
      <c r="C51" s="317"/>
      <c r="D51" s="304">
        <v>1477</v>
      </c>
      <c r="E51" s="304">
        <f t="shared" si="16"/>
        <v>1682</v>
      </c>
      <c r="F51" s="304">
        <f t="shared" si="69"/>
        <v>1452</v>
      </c>
      <c r="G51" s="304">
        <f t="shared" si="64"/>
        <v>-25</v>
      </c>
      <c r="H51" s="303">
        <f t="shared" si="70"/>
        <v>1483</v>
      </c>
      <c r="I51" s="303">
        <f>M51+P51</f>
        <v>1483</v>
      </c>
      <c r="J51" s="294">
        <v>13</v>
      </c>
      <c r="K51" s="294">
        <v>10</v>
      </c>
      <c r="L51" s="294">
        <f>J51-K51</f>
        <v>3</v>
      </c>
      <c r="M51" s="304">
        <f>N51+O51</f>
        <v>1106</v>
      </c>
      <c r="N51" s="294">
        <v>940</v>
      </c>
      <c r="O51" s="294">
        <v>166</v>
      </c>
      <c r="P51" s="303">
        <f t="shared" si="72"/>
        <v>377</v>
      </c>
      <c r="Q51" s="294">
        <v>29</v>
      </c>
      <c r="R51" s="305">
        <v>1</v>
      </c>
      <c r="S51" s="304">
        <f t="shared" si="73"/>
        <v>377</v>
      </c>
      <c r="T51" s="303">
        <f>U51+V51</f>
        <v>0</v>
      </c>
      <c r="U51" s="304"/>
      <c r="V51" s="304"/>
      <c r="W51" s="303">
        <f>Z51+AA51</f>
        <v>0</v>
      </c>
      <c r="X51" s="303"/>
      <c r="Y51" s="303"/>
      <c r="Z51" s="304"/>
      <c r="AA51" s="304"/>
      <c r="AB51" s="304">
        <v>31</v>
      </c>
      <c r="AC51" s="304">
        <v>230</v>
      </c>
      <c r="AD51" s="304">
        <v>22</v>
      </c>
      <c r="AE51" s="303">
        <f>E51-AD51</f>
        <v>1660</v>
      </c>
      <c r="AF51" s="317"/>
      <c r="AG51" s="314">
        <f t="shared" si="4"/>
        <v>0</v>
      </c>
      <c r="AH51" s="696">
        <f t="shared" si="5"/>
        <v>0</v>
      </c>
      <c r="AI51" s="314">
        <f t="shared" si="6"/>
        <v>0</v>
      </c>
      <c r="AJ51" s="314">
        <f t="shared" si="7"/>
        <v>0</v>
      </c>
      <c r="AK51" s="314">
        <f t="shared" si="8"/>
        <v>0</v>
      </c>
      <c r="AL51" s="314">
        <f t="shared" si="9"/>
        <v>0</v>
      </c>
      <c r="AM51" s="314">
        <f t="shared" si="10"/>
        <v>0</v>
      </c>
      <c r="AN51" s="314">
        <f t="shared" si="11"/>
        <v>0</v>
      </c>
      <c r="AO51" s="314">
        <f t="shared" si="12"/>
        <v>0</v>
      </c>
      <c r="AP51" s="314">
        <f t="shared" si="13"/>
        <v>0</v>
      </c>
    </row>
    <row r="52" spans="1:42" s="314" customFormat="1">
      <c r="A52" s="591" t="s">
        <v>1110</v>
      </c>
      <c r="B52" s="320" t="s">
        <v>844</v>
      </c>
      <c r="C52" s="297"/>
      <c r="D52" s="297">
        <v>26084</v>
      </c>
      <c r="E52" s="297">
        <f t="shared" si="16"/>
        <v>26638</v>
      </c>
      <c r="F52" s="297">
        <f t="shared" si="69"/>
        <v>26638</v>
      </c>
      <c r="G52" s="297">
        <f t="shared" si="64"/>
        <v>554</v>
      </c>
      <c r="H52" s="299">
        <f t="shared" si="70"/>
        <v>26638</v>
      </c>
      <c r="I52" s="299"/>
      <c r="J52" s="297"/>
      <c r="K52" s="297"/>
      <c r="L52" s="297"/>
      <c r="M52" s="297"/>
      <c r="N52" s="297"/>
      <c r="O52" s="297"/>
      <c r="P52" s="297"/>
      <c r="Q52" s="297"/>
      <c r="R52" s="297"/>
      <c r="S52" s="297"/>
      <c r="T52" s="297"/>
      <c r="U52" s="297"/>
      <c r="V52" s="297"/>
      <c r="W52" s="299">
        <f>Z52+AA52</f>
        <v>26638</v>
      </c>
      <c r="X52" s="299"/>
      <c r="Y52" s="299"/>
      <c r="Z52" s="297">
        <f>25288+1350</f>
        <v>26638</v>
      </c>
      <c r="AA52" s="297">
        <f>AA53+AA61</f>
        <v>0</v>
      </c>
      <c r="AB52" s="297"/>
      <c r="AC52" s="297"/>
      <c r="AD52" s="297">
        <v>2664</v>
      </c>
      <c r="AE52" s="299">
        <f>E52-AD52</f>
        <v>23974</v>
      </c>
      <c r="AF52" s="321"/>
      <c r="AG52" s="314">
        <f t="shared" si="4"/>
        <v>0</v>
      </c>
      <c r="AH52" s="696">
        <f t="shared" si="5"/>
        <v>0</v>
      </c>
      <c r="AI52" s="314">
        <f t="shared" si="6"/>
        <v>0</v>
      </c>
      <c r="AJ52" s="314">
        <f t="shared" si="7"/>
        <v>0</v>
      </c>
      <c r="AK52" s="314">
        <f t="shared" si="8"/>
        <v>0</v>
      </c>
      <c r="AL52" s="314">
        <f t="shared" si="9"/>
        <v>0</v>
      </c>
      <c r="AM52" s="314">
        <f t="shared" si="10"/>
        <v>0</v>
      </c>
      <c r="AN52" s="314">
        <f t="shared" si="11"/>
        <v>0</v>
      </c>
      <c r="AO52" s="314">
        <f t="shared" si="12"/>
        <v>0</v>
      </c>
      <c r="AP52" s="314">
        <f t="shared" si="13"/>
        <v>0</v>
      </c>
    </row>
    <row r="53" spans="1:42" ht="110.4" outlineLevel="1">
      <c r="A53" s="583" t="s">
        <v>23</v>
      </c>
      <c r="B53" s="316" t="s">
        <v>1690</v>
      </c>
      <c r="C53" s="304"/>
      <c r="D53" s="304">
        <v>8127</v>
      </c>
      <c r="E53" s="304">
        <f t="shared" si="16"/>
        <v>9829</v>
      </c>
      <c r="F53" s="304">
        <f t="shared" si="69"/>
        <v>9829</v>
      </c>
      <c r="G53" s="304">
        <f t="shared" si="64"/>
        <v>1702</v>
      </c>
      <c r="H53" s="303">
        <f>I53+W53</f>
        <v>9829</v>
      </c>
      <c r="I53" s="303"/>
      <c r="J53" s="304"/>
      <c r="K53" s="304"/>
      <c r="L53" s="304"/>
      <c r="M53" s="304"/>
      <c r="N53" s="304"/>
      <c r="O53" s="304"/>
      <c r="P53" s="304"/>
      <c r="Q53" s="304"/>
      <c r="R53" s="304"/>
      <c r="S53" s="304"/>
      <c r="T53" s="304"/>
      <c r="U53" s="304"/>
      <c r="V53" s="304"/>
      <c r="W53" s="303">
        <f>Z53+AA53</f>
        <v>9829</v>
      </c>
      <c r="X53" s="303"/>
      <c r="Y53" s="303"/>
      <c r="Z53" s="304">
        <v>9829</v>
      </c>
      <c r="AA53" s="304"/>
      <c r="AB53" s="304"/>
      <c r="AC53" s="304"/>
      <c r="AD53" s="304"/>
      <c r="AE53" s="304"/>
      <c r="AF53" s="1263" t="s">
        <v>2043</v>
      </c>
      <c r="AG53" s="314">
        <f t="shared" si="4"/>
        <v>0</v>
      </c>
      <c r="AH53" s="696">
        <f t="shared" si="5"/>
        <v>0</v>
      </c>
      <c r="AI53" s="314">
        <f t="shared" si="6"/>
        <v>0</v>
      </c>
      <c r="AJ53" s="314">
        <f t="shared" si="7"/>
        <v>0</v>
      </c>
      <c r="AK53" s="314">
        <f t="shared" si="8"/>
        <v>0</v>
      </c>
      <c r="AL53" s="314">
        <f t="shared" si="9"/>
        <v>0</v>
      </c>
      <c r="AM53" s="314">
        <f t="shared" si="10"/>
        <v>0</v>
      </c>
      <c r="AN53" s="314">
        <f t="shared" si="11"/>
        <v>0</v>
      </c>
      <c r="AO53" s="314">
        <f t="shared" si="12"/>
        <v>0</v>
      </c>
      <c r="AP53" s="314">
        <f t="shared" si="13"/>
        <v>0</v>
      </c>
    </row>
    <row r="54" spans="1:42" ht="55.2" outlineLevel="1">
      <c r="A54" s="583" t="s">
        <v>23</v>
      </c>
      <c r="B54" s="316" t="s">
        <v>2044</v>
      </c>
      <c r="C54" s="304"/>
      <c r="D54" s="304">
        <v>869</v>
      </c>
      <c r="E54" s="304">
        <f t="shared" si="16"/>
        <v>320</v>
      </c>
      <c r="F54" s="304">
        <f t="shared" si="69"/>
        <v>320</v>
      </c>
      <c r="G54" s="304">
        <f t="shared" si="64"/>
        <v>-549</v>
      </c>
      <c r="H54" s="303">
        <f>I54+W54</f>
        <v>320</v>
      </c>
      <c r="I54" s="303"/>
      <c r="J54" s="304"/>
      <c r="K54" s="304"/>
      <c r="L54" s="304"/>
      <c r="M54" s="304"/>
      <c r="N54" s="304"/>
      <c r="O54" s="304"/>
      <c r="P54" s="304"/>
      <c r="Q54" s="304"/>
      <c r="R54" s="304"/>
      <c r="S54" s="304"/>
      <c r="T54" s="304"/>
      <c r="U54" s="304"/>
      <c r="V54" s="304"/>
      <c r="W54" s="303">
        <f>Z54+AA54</f>
        <v>320</v>
      </c>
      <c r="X54" s="303"/>
      <c r="Y54" s="303"/>
      <c r="Z54" s="304">
        <v>320</v>
      </c>
      <c r="AA54" s="304"/>
      <c r="AB54" s="304"/>
      <c r="AC54" s="304"/>
      <c r="AD54" s="304"/>
      <c r="AE54" s="304"/>
      <c r="AF54" s="317" t="s">
        <v>1738</v>
      </c>
      <c r="AG54" s="314">
        <f t="shared" si="4"/>
        <v>0</v>
      </c>
      <c r="AH54" s="696">
        <f t="shared" si="5"/>
        <v>0</v>
      </c>
      <c r="AI54" s="314">
        <f t="shared" si="6"/>
        <v>0</v>
      </c>
      <c r="AJ54" s="314">
        <f t="shared" si="7"/>
        <v>0</v>
      </c>
      <c r="AK54" s="314">
        <f t="shared" si="8"/>
        <v>0</v>
      </c>
      <c r="AL54" s="314">
        <f t="shared" si="9"/>
        <v>0</v>
      </c>
      <c r="AM54" s="314">
        <f t="shared" si="10"/>
        <v>0</v>
      </c>
      <c r="AN54" s="314">
        <f t="shared" si="11"/>
        <v>0</v>
      </c>
      <c r="AO54" s="314">
        <f t="shared" si="12"/>
        <v>0</v>
      </c>
      <c r="AP54" s="314">
        <f t="shared" si="13"/>
        <v>0</v>
      </c>
    </row>
    <row r="55" spans="1:42" ht="69" outlineLevel="1">
      <c r="A55" s="583" t="s">
        <v>23</v>
      </c>
      <c r="B55" s="316" t="s">
        <v>2045</v>
      </c>
      <c r="C55" s="304"/>
      <c r="D55" s="304">
        <v>3000</v>
      </c>
      <c r="E55" s="304">
        <f t="shared" si="16"/>
        <v>1924</v>
      </c>
      <c r="F55" s="304">
        <f t="shared" si="69"/>
        <v>1924</v>
      </c>
      <c r="G55" s="304">
        <f t="shared" si="64"/>
        <v>-1076</v>
      </c>
      <c r="H55" s="303">
        <f t="shared" ref="H55:H60" si="75">I55+W55</f>
        <v>1924</v>
      </c>
      <c r="I55" s="303"/>
      <c r="J55" s="304"/>
      <c r="K55" s="304"/>
      <c r="L55" s="304"/>
      <c r="M55" s="304"/>
      <c r="N55" s="304"/>
      <c r="O55" s="304"/>
      <c r="P55" s="304"/>
      <c r="Q55" s="304"/>
      <c r="R55" s="304"/>
      <c r="S55" s="304"/>
      <c r="T55" s="304"/>
      <c r="U55" s="304"/>
      <c r="V55" s="304"/>
      <c r="W55" s="303">
        <f t="shared" ref="W55:W60" si="76">Z55+AA55</f>
        <v>1924</v>
      </c>
      <c r="X55" s="303"/>
      <c r="Y55" s="303"/>
      <c r="Z55" s="304">
        <f>1857+67</f>
        <v>1924</v>
      </c>
      <c r="AA55" s="304"/>
      <c r="AB55" s="304"/>
      <c r="AC55" s="304"/>
      <c r="AD55" s="304"/>
      <c r="AE55" s="304"/>
      <c r="AF55" s="317" t="s">
        <v>2046</v>
      </c>
      <c r="AG55" s="314">
        <f t="shared" si="4"/>
        <v>0</v>
      </c>
      <c r="AH55" s="696">
        <f t="shared" si="5"/>
        <v>0</v>
      </c>
      <c r="AI55" s="314">
        <f t="shared" si="6"/>
        <v>0</v>
      </c>
      <c r="AJ55" s="314">
        <f t="shared" si="7"/>
        <v>0</v>
      </c>
      <c r="AK55" s="314">
        <f t="shared" si="8"/>
        <v>0</v>
      </c>
      <c r="AL55" s="314">
        <f t="shared" si="9"/>
        <v>0</v>
      </c>
      <c r="AM55" s="314">
        <f t="shared" si="10"/>
        <v>0</v>
      </c>
      <c r="AN55" s="314">
        <f t="shared" si="11"/>
        <v>0</v>
      </c>
      <c r="AO55" s="314">
        <f t="shared" si="12"/>
        <v>0</v>
      </c>
      <c r="AP55" s="314">
        <f t="shared" si="13"/>
        <v>0</v>
      </c>
    </row>
    <row r="56" spans="1:42" ht="41.4" outlineLevel="1">
      <c r="A56" s="583" t="s">
        <v>23</v>
      </c>
      <c r="B56" s="316" t="s">
        <v>2275</v>
      </c>
      <c r="C56" s="304"/>
      <c r="D56" s="304">
        <v>1200</v>
      </c>
      <c r="E56" s="304">
        <f t="shared" si="16"/>
        <v>1200</v>
      </c>
      <c r="F56" s="304">
        <f t="shared" si="69"/>
        <v>1200</v>
      </c>
      <c r="G56" s="304">
        <f t="shared" si="64"/>
        <v>0</v>
      </c>
      <c r="H56" s="303">
        <f t="shared" si="75"/>
        <v>1200</v>
      </c>
      <c r="I56" s="303"/>
      <c r="J56" s="304"/>
      <c r="K56" s="304"/>
      <c r="L56" s="304"/>
      <c r="M56" s="304"/>
      <c r="N56" s="304"/>
      <c r="O56" s="304"/>
      <c r="P56" s="304"/>
      <c r="Q56" s="304"/>
      <c r="R56" s="304"/>
      <c r="S56" s="304"/>
      <c r="T56" s="304"/>
      <c r="U56" s="304"/>
      <c r="V56" s="304"/>
      <c r="W56" s="303">
        <f t="shared" si="76"/>
        <v>1200</v>
      </c>
      <c r="X56" s="303"/>
      <c r="Y56" s="303"/>
      <c r="Z56" s="304">
        <v>1200</v>
      </c>
      <c r="AA56" s="304"/>
      <c r="AB56" s="304"/>
      <c r="AC56" s="304"/>
      <c r="AD56" s="304"/>
      <c r="AE56" s="304"/>
      <c r="AF56" s="317" t="s">
        <v>1719</v>
      </c>
      <c r="AG56" s="314">
        <f t="shared" si="4"/>
        <v>0</v>
      </c>
      <c r="AH56" s="696">
        <f t="shared" si="5"/>
        <v>0</v>
      </c>
      <c r="AI56" s="314">
        <f t="shared" si="6"/>
        <v>0</v>
      </c>
      <c r="AJ56" s="314">
        <f t="shared" si="7"/>
        <v>0</v>
      </c>
      <c r="AK56" s="314">
        <f t="shared" si="8"/>
        <v>0</v>
      </c>
      <c r="AL56" s="314">
        <f t="shared" si="9"/>
        <v>0</v>
      </c>
      <c r="AM56" s="314">
        <f t="shared" si="10"/>
        <v>0</v>
      </c>
      <c r="AN56" s="314">
        <f t="shared" si="11"/>
        <v>0</v>
      </c>
      <c r="AO56" s="314">
        <f t="shared" si="12"/>
        <v>0</v>
      </c>
      <c r="AP56" s="314">
        <f t="shared" si="13"/>
        <v>0</v>
      </c>
    </row>
    <row r="57" spans="1:42" ht="41.4" outlineLevel="1">
      <c r="A57" s="583" t="s">
        <v>23</v>
      </c>
      <c r="B57" s="316" t="s">
        <v>2276</v>
      </c>
      <c r="C57" s="304"/>
      <c r="D57" s="304">
        <v>1000</v>
      </c>
      <c r="E57" s="304">
        <f t="shared" si="16"/>
        <v>1000</v>
      </c>
      <c r="F57" s="304">
        <f t="shared" si="69"/>
        <v>1000</v>
      </c>
      <c r="G57" s="304">
        <f t="shared" si="64"/>
        <v>0</v>
      </c>
      <c r="H57" s="303">
        <f t="shared" si="75"/>
        <v>1000</v>
      </c>
      <c r="I57" s="303"/>
      <c r="J57" s="304"/>
      <c r="K57" s="304"/>
      <c r="L57" s="304"/>
      <c r="M57" s="304"/>
      <c r="N57" s="304"/>
      <c r="O57" s="304"/>
      <c r="P57" s="304"/>
      <c r="Q57" s="304"/>
      <c r="R57" s="304"/>
      <c r="S57" s="304"/>
      <c r="T57" s="304"/>
      <c r="U57" s="304"/>
      <c r="V57" s="304"/>
      <c r="W57" s="303">
        <f t="shared" si="76"/>
        <v>1000</v>
      </c>
      <c r="X57" s="303"/>
      <c r="Y57" s="303"/>
      <c r="Z57" s="304">
        <v>1000</v>
      </c>
      <c r="AA57" s="304"/>
      <c r="AB57" s="304"/>
      <c r="AC57" s="304"/>
      <c r="AD57" s="304"/>
      <c r="AE57" s="304"/>
      <c r="AF57" s="317" t="s">
        <v>1720</v>
      </c>
      <c r="AG57" s="314">
        <f t="shared" si="4"/>
        <v>0</v>
      </c>
      <c r="AH57" s="696">
        <f t="shared" si="5"/>
        <v>0</v>
      </c>
      <c r="AI57" s="314">
        <f t="shared" si="6"/>
        <v>0</v>
      </c>
      <c r="AJ57" s="314">
        <f t="shared" si="7"/>
        <v>0</v>
      </c>
      <c r="AK57" s="314">
        <f t="shared" si="8"/>
        <v>0</v>
      </c>
      <c r="AL57" s="314">
        <f t="shared" si="9"/>
        <v>0</v>
      </c>
      <c r="AM57" s="314">
        <f t="shared" si="10"/>
        <v>0</v>
      </c>
      <c r="AN57" s="314">
        <f t="shared" si="11"/>
        <v>0</v>
      </c>
      <c r="AO57" s="314">
        <f t="shared" si="12"/>
        <v>0</v>
      </c>
      <c r="AP57" s="314">
        <f t="shared" si="13"/>
        <v>0</v>
      </c>
    </row>
    <row r="58" spans="1:42" ht="41.4" outlineLevel="1">
      <c r="A58" s="583" t="s">
        <v>23</v>
      </c>
      <c r="B58" s="316" t="s">
        <v>2047</v>
      </c>
      <c r="C58" s="304"/>
      <c r="D58" s="304">
        <v>500</v>
      </c>
      <c r="E58" s="304">
        <f t="shared" si="16"/>
        <v>1850</v>
      </c>
      <c r="F58" s="304">
        <f t="shared" si="69"/>
        <v>1850</v>
      </c>
      <c r="G58" s="304">
        <f t="shared" si="64"/>
        <v>1350</v>
      </c>
      <c r="H58" s="303">
        <f t="shared" si="75"/>
        <v>1850</v>
      </c>
      <c r="I58" s="303"/>
      <c r="J58" s="304"/>
      <c r="K58" s="304"/>
      <c r="L58" s="304"/>
      <c r="M58" s="304"/>
      <c r="N58" s="304"/>
      <c r="O58" s="304"/>
      <c r="P58" s="304"/>
      <c r="Q58" s="304"/>
      <c r="R58" s="304"/>
      <c r="S58" s="304"/>
      <c r="T58" s="304"/>
      <c r="U58" s="304"/>
      <c r="V58" s="304"/>
      <c r="W58" s="303">
        <f t="shared" si="76"/>
        <v>1850</v>
      </c>
      <c r="X58" s="303"/>
      <c r="Y58" s="303"/>
      <c r="Z58" s="304">
        <f>500+1350</f>
        <v>1850</v>
      </c>
      <c r="AA58" s="304"/>
      <c r="AB58" s="304"/>
      <c r="AC58" s="304"/>
      <c r="AD58" s="304"/>
      <c r="AE58" s="304"/>
      <c r="AF58" s="317" t="s">
        <v>2048</v>
      </c>
      <c r="AG58" s="314">
        <f t="shared" si="4"/>
        <v>0</v>
      </c>
      <c r="AH58" s="696">
        <f t="shared" si="5"/>
        <v>0</v>
      </c>
      <c r="AI58" s="314">
        <f t="shared" si="6"/>
        <v>0</v>
      </c>
      <c r="AJ58" s="314">
        <f t="shared" si="7"/>
        <v>0</v>
      </c>
      <c r="AK58" s="314">
        <f t="shared" si="8"/>
        <v>0</v>
      </c>
      <c r="AL58" s="314">
        <f t="shared" si="9"/>
        <v>0</v>
      </c>
      <c r="AM58" s="314">
        <f t="shared" si="10"/>
        <v>0</v>
      </c>
      <c r="AN58" s="314">
        <f t="shared" si="11"/>
        <v>0</v>
      </c>
      <c r="AO58" s="314">
        <f t="shared" si="12"/>
        <v>0</v>
      </c>
      <c r="AP58" s="314">
        <f t="shared" si="13"/>
        <v>0</v>
      </c>
    </row>
    <row r="59" spans="1:42" ht="82.8" outlineLevel="1">
      <c r="A59" s="583" t="s">
        <v>23</v>
      </c>
      <c r="B59" s="862" t="s">
        <v>2049</v>
      </c>
      <c r="C59" s="304"/>
      <c r="D59" s="304"/>
      <c r="E59" s="304">
        <f t="shared" si="16"/>
        <v>977</v>
      </c>
      <c r="F59" s="304">
        <f t="shared" si="69"/>
        <v>977</v>
      </c>
      <c r="G59" s="304">
        <f t="shared" si="64"/>
        <v>977</v>
      </c>
      <c r="H59" s="303">
        <f t="shared" si="75"/>
        <v>977</v>
      </c>
      <c r="I59" s="303"/>
      <c r="J59" s="304"/>
      <c r="K59" s="304"/>
      <c r="L59" s="304"/>
      <c r="M59" s="304"/>
      <c r="N59" s="304"/>
      <c r="O59" s="304"/>
      <c r="P59" s="304"/>
      <c r="Q59" s="304"/>
      <c r="R59" s="304"/>
      <c r="S59" s="304"/>
      <c r="T59" s="304"/>
      <c r="U59" s="304"/>
      <c r="V59" s="304"/>
      <c r="W59" s="303">
        <f t="shared" si="76"/>
        <v>977</v>
      </c>
      <c r="X59" s="303"/>
      <c r="Y59" s="303"/>
      <c r="Z59" s="304">
        <v>977</v>
      </c>
      <c r="AA59" s="304"/>
      <c r="AB59" s="304"/>
      <c r="AC59" s="304"/>
      <c r="AD59" s="304"/>
      <c r="AE59" s="304"/>
      <c r="AF59" s="317" t="s">
        <v>2050</v>
      </c>
      <c r="AG59" s="314">
        <f t="shared" si="4"/>
        <v>0</v>
      </c>
      <c r="AH59" s="696">
        <f t="shared" si="5"/>
        <v>0</v>
      </c>
      <c r="AI59" s="314">
        <f t="shared" si="6"/>
        <v>0</v>
      </c>
      <c r="AJ59" s="314">
        <f t="shared" si="7"/>
        <v>0</v>
      </c>
      <c r="AK59" s="314">
        <f t="shared" si="8"/>
        <v>0</v>
      </c>
      <c r="AL59" s="314">
        <f t="shared" si="9"/>
        <v>0</v>
      </c>
      <c r="AM59" s="314">
        <f t="shared" si="10"/>
        <v>0</v>
      </c>
      <c r="AN59" s="314">
        <f t="shared" si="11"/>
        <v>0</v>
      </c>
      <c r="AO59" s="314">
        <f t="shared" si="12"/>
        <v>0</v>
      </c>
      <c r="AP59" s="314">
        <f t="shared" si="13"/>
        <v>0</v>
      </c>
    </row>
    <row r="60" spans="1:42" ht="27.6" outlineLevel="1">
      <c r="A60" s="583" t="s">
        <v>23</v>
      </c>
      <c r="B60" s="316" t="s">
        <v>1585</v>
      </c>
      <c r="C60" s="304"/>
      <c r="D60" s="304">
        <v>10821</v>
      </c>
      <c r="E60" s="304">
        <f t="shared" si="16"/>
        <v>9538</v>
      </c>
      <c r="F60" s="304">
        <f t="shared" si="69"/>
        <v>9538</v>
      </c>
      <c r="G60" s="304">
        <f t="shared" si="64"/>
        <v>-1283</v>
      </c>
      <c r="H60" s="303">
        <f t="shared" si="75"/>
        <v>9538</v>
      </c>
      <c r="I60" s="303"/>
      <c r="J60" s="304"/>
      <c r="K60" s="304"/>
      <c r="L60" s="304"/>
      <c r="M60" s="304"/>
      <c r="N60" s="304"/>
      <c r="O60" s="304"/>
      <c r="P60" s="304"/>
      <c r="Q60" s="304"/>
      <c r="R60" s="304"/>
      <c r="S60" s="304"/>
      <c r="T60" s="304"/>
      <c r="U60" s="304"/>
      <c r="V60" s="304"/>
      <c r="W60" s="303">
        <f t="shared" si="76"/>
        <v>9538</v>
      </c>
      <c r="X60" s="303"/>
      <c r="Y60" s="303"/>
      <c r="Z60" s="304">
        <f>Z52-Z54-Z53-Z55-Z57-Z56-Z58-Z61-Z59</f>
        <v>9538</v>
      </c>
      <c r="AA60" s="304"/>
      <c r="AB60" s="304"/>
      <c r="AC60" s="304"/>
      <c r="AD60" s="304"/>
      <c r="AE60" s="304"/>
      <c r="AF60" s="317"/>
      <c r="AG60" s="314">
        <f t="shared" si="4"/>
        <v>0</v>
      </c>
      <c r="AH60" s="696">
        <f t="shared" si="5"/>
        <v>0</v>
      </c>
      <c r="AI60" s="314">
        <f t="shared" si="6"/>
        <v>0</v>
      </c>
      <c r="AJ60" s="314">
        <f t="shared" si="7"/>
        <v>0</v>
      </c>
      <c r="AK60" s="314">
        <f t="shared" si="8"/>
        <v>0</v>
      </c>
      <c r="AL60" s="314">
        <f t="shared" si="9"/>
        <v>0</v>
      </c>
      <c r="AM60" s="314">
        <f t="shared" si="10"/>
        <v>0</v>
      </c>
      <c r="AN60" s="314">
        <f t="shared" si="11"/>
        <v>0</v>
      </c>
      <c r="AO60" s="314">
        <f t="shared" si="12"/>
        <v>0</v>
      </c>
      <c r="AP60" s="314">
        <f t="shared" si="13"/>
        <v>0</v>
      </c>
    </row>
    <row r="61" spans="1:42" hidden="1" outlineLevel="3">
      <c r="A61" s="583" t="s">
        <v>23</v>
      </c>
      <c r="B61" s="316" t="s">
        <v>1739</v>
      </c>
      <c r="C61" s="304"/>
      <c r="D61" s="304">
        <v>567</v>
      </c>
      <c r="E61" s="304">
        <f>F61+AC61</f>
        <v>0</v>
      </c>
      <c r="F61" s="304">
        <f>H61-AB61</f>
        <v>0</v>
      </c>
      <c r="G61" s="304">
        <f>F61-D61</f>
        <v>-567</v>
      </c>
      <c r="H61" s="303">
        <f>I61+W61</f>
        <v>0</v>
      </c>
      <c r="I61" s="303"/>
      <c r="J61" s="304"/>
      <c r="K61" s="304"/>
      <c r="L61" s="304"/>
      <c r="M61" s="304"/>
      <c r="N61" s="304"/>
      <c r="O61" s="304"/>
      <c r="P61" s="304"/>
      <c r="Q61" s="304"/>
      <c r="R61" s="304"/>
      <c r="S61" s="304"/>
      <c r="T61" s="304"/>
      <c r="U61" s="304"/>
      <c r="V61" s="304"/>
      <c r="W61" s="303">
        <f>Z61+AA61</f>
        <v>0</v>
      </c>
      <c r="X61" s="303"/>
      <c r="Y61" s="303"/>
      <c r="Z61" s="304"/>
      <c r="AA61" s="304"/>
      <c r="AB61" s="304"/>
      <c r="AC61" s="304"/>
      <c r="AD61" s="304"/>
      <c r="AE61" s="304"/>
      <c r="AF61" s="332" t="s">
        <v>2042</v>
      </c>
      <c r="AG61" s="314">
        <f t="shared" si="4"/>
        <v>0</v>
      </c>
      <c r="AH61" s="696">
        <f t="shared" si="5"/>
        <v>0</v>
      </c>
      <c r="AI61" s="314">
        <f t="shared" si="6"/>
        <v>0</v>
      </c>
      <c r="AJ61" s="314">
        <f t="shared" si="7"/>
        <v>0</v>
      </c>
      <c r="AK61" s="314">
        <f t="shared" si="8"/>
        <v>0</v>
      </c>
      <c r="AL61" s="314">
        <f t="shared" si="9"/>
        <v>0</v>
      </c>
      <c r="AM61" s="314">
        <f t="shared" si="10"/>
        <v>0</v>
      </c>
      <c r="AN61" s="314">
        <f t="shared" si="11"/>
        <v>0</v>
      </c>
      <c r="AO61" s="314">
        <f t="shared" si="12"/>
        <v>0</v>
      </c>
      <c r="AP61" s="314">
        <f t="shared" si="13"/>
        <v>0</v>
      </c>
    </row>
    <row r="62" spans="1:42" s="333" customFormat="1">
      <c r="A62" s="591" t="s">
        <v>47</v>
      </c>
      <c r="B62" s="645" t="s">
        <v>845</v>
      </c>
      <c r="C62" s="298"/>
      <c r="D62" s="299">
        <f t="shared" ref="D62" si="77">D63+D71</f>
        <v>36013</v>
      </c>
      <c r="E62" s="299">
        <f>E63+E71</f>
        <v>30812</v>
      </c>
      <c r="F62" s="299">
        <f>F63+F71</f>
        <v>30670</v>
      </c>
      <c r="G62" s="299">
        <f t="shared" si="64"/>
        <v>-5343</v>
      </c>
      <c r="H62" s="299">
        <f t="shared" ref="H62:P62" si="78">H63+H71</f>
        <v>35954</v>
      </c>
      <c r="I62" s="299">
        <f t="shared" si="78"/>
        <v>30413</v>
      </c>
      <c r="J62" s="318">
        <f t="shared" si="78"/>
        <v>225</v>
      </c>
      <c r="K62" s="318">
        <f t="shared" si="78"/>
        <v>198</v>
      </c>
      <c r="L62" s="318">
        <f t="shared" si="78"/>
        <v>27</v>
      </c>
      <c r="M62" s="299">
        <f t="shared" si="78"/>
        <v>24521</v>
      </c>
      <c r="N62" s="318">
        <f t="shared" si="78"/>
        <v>22212</v>
      </c>
      <c r="O62" s="318">
        <f t="shared" si="78"/>
        <v>2309</v>
      </c>
      <c r="P62" s="299">
        <f t="shared" si="78"/>
        <v>5892</v>
      </c>
      <c r="Q62" s="318"/>
      <c r="R62" s="319"/>
      <c r="S62" s="299">
        <f t="shared" ref="S62:Z62" si="79">S63+S71</f>
        <v>5892</v>
      </c>
      <c r="T62" s="299">
        <f t="shared" si="79"/>
        <v>0</v>
      </c>
      <c r="U62" s="299">
        <f t="shared" si="79"/>
        <v>0</v>
      </c>
      <c r="V62" s="299">
        <f t="shared" si="79"/>
        <v>0</v>
      </c>
      <c r="W62" s="299">
        <f>W63+W71</f>
        <v>5541</v>
      </c>
      <c r="X62" s="299"/>
      <c r="Y62" s="299"/>
      <c r="Z62" s="299">
        <f t="shared" si="79"/>
        <v>5541</v>
      </c>
      <c r="AA62" s="299">
        <f>AA63+AA71</f>
        <v>0</v>
      </c>
      <c r="AB62" s="299">
        <f>AB63+AB71</f>
        <v>5284</v>
      </c>
      <c r="AC62" s="299">
        <f>AC63+AC71</f>
        <v>142</v>
      </c>
      <c r="AD62" s="299">
        <f>AD63+AD71</f>
        <v>542</v>
      </c>
      <c r="AE62" s="299">
        <f>AE63+AE71</f>
        <v>30270</v>
      </c>
      <c r="AF62" s="1271"/>
      <c r="AG62" s="314">
        <f t="shared" si="4"/>
        <v>0</v>
      </c>
      <c r="AH62" s="696">
        <f t="shared" si="5"/>
        <v>0</v>
      </c>
      <c r="AI62" s="314">
        <f t="shared" si="6"/>
        <v>0</v>
      </c>
      <c r="AJ62" s="314">
        <f t="shared" si="7"/>
        <v>0</v>
      </c>
      <c r="AK62" s="314">
        <f t="shared" si="8"/>
        <v>0</v>
      </c>
      <c r="AL62" s="314">
        <f t="shared" si="9"/>
        <v>0</v>
      </c>
      <c r="AM62" s="314">
        <f t="shared" si="10"/>
        <v>0</v>
      </c>
      <c r="AN62" s="314">
        <f t="shared" si="11"/>
        <v>0</v>
      </c>
      <c r="AO62" s="314">
        <f t="shared" si="12"/>
        <v>0</v>
      </c>
      <c r="AP62" s="314">
        <f t="shared" si="13"/>
        <v>0</v>
      </c>
    </row>
    <row r="63" spans="1:42" s="314" customFormat="1">
      <c r="A63" s="594" t="s">
        <v>891</v>
      </c>
      <c r="B63" s="320" t="s">
        <v>846</v>
      </c>
      <c r="C63" s="321"/>
      <c r="D63" s="299">
        <f t="shared" ref="D63" si="80">D64+D65+D66+D67+D68+D69+D70</f>
        <v>25921</v>
      </c>
      <c r="E63" s="299">
        <f>E64+E65+E66+E67+E68+E69+E70</f>
        <v>25271</v>
      </c>
      <c r="F63" s="299">
        <f>F64+F65+F66+F67+F68+F69+F70</f>
        <v>25129</v>
      </c>
      <c r="G63" s="299">
        <f t="shared" si="64"/>
        <v>-792</v>
      </c>
      <c r="H63" s="299">
        <f t="shared" ref="H63:Z63" si="81">H64+H65+H66+H67+H68+H69+H70</f>
        <v>30413</v>
      </c>
      <c r="I63" s="299">
        <f t="shared" si="81"/>
        <v>30413</v>
      </c>
      <c r="J63" s="299">
        <f t="shared" si="81"/>
        <v>225</v>
      </c>
      <c r="K63" s="299">
        <f t="shared" si="81"/>
        <v>198</v>
      </c>
      <c r="L63" s="299">
        <f t="shared" si="81"/>
        <v>27</v>
      </c>
      <c r="M63" s="299">
        <f t="shared" si="81"/>
        <v>24521</v>
      </c>
      <c r="N63" s="299">
        <f t="shared" si="81"/>
        <v>22212</v>
      </c>
      <c r="O63" s="299">
        <f t="shared" si="81"/>
        <v>2309</v>
      </c>
      <c r="P63" s="299">
        <f t="shared" si="81"/>
        <v>5892</v>
      </c>
      <c r="Q63" s="299"/>
      <c r="R63" s="299"/>
      <c r="S63" s="299">
        <f t="shared" si="81"/>
        <v>5892</v>
      </c>
      <c r="T63" s="299">
        <f t="shared" si="81"/>
        <v>0</v>
      </c>
      <c r="U63" s="299">
        <f t="shared" si="81"/>
        <v>0</v>
      </c>
      <c r="V63" s="299">
        <f t="shared" si="81"/>
        <v>0</v>
      </c>
      <c r="W63" s="299">
        <f>W64+W65+W66+W67+W68+W69+W70</f>
        <v>0</v>
      </c>
      <c r="X63" s="299"/>
      <c r="Y63" s="299"/>
      <c r="Z63" s="299">
        <f t="shared" si="81"/>
        <v>0</v>
      </c>
      <c r="AA63" s="299">
        <f>AA64+AA65+AA66+AA67+AA68+AA69+AA70</f>
        <v>0</v>
      </c>
      <c r="AB63" s="299">
        <f>AB64+AB65+AB66+AB67+AB68+AB69+AB70</f>
        <v>5284</v>
      </c>
      <c r="AC63" s="299">
        <f t="shared" ref="AC63:AE63" si="82">AC64+AC65+AC66+AC67+AC68+AC69+AC70</f>
        <v>142</v>
      </c>
      <c r="AD63" s="299">
        <f t="shared" si="82"/>
        <v>59</v>
      </c>
      <c r="AE63" s="299">
        <f t="shared" si="82"/>
        <v>25212</v>
      </c>
      <c r="AF63" s="321"/>
      <c r="AG63" s="314">
        <f t="shared" si="4"/>
        <v>0</v>
      </c>
      <c r="AH63" s="696">
        <f t="shared" si="5"/>
        <v>0</v>
      </c>
      <c r="AI63" s="314">
        <f t="shared" si="6"/>
        <v>0</v>
      </c>
      <c r="AJ63" s="314">
        <f t="shared" si="7"/>
        <v>0</v>
      </c>
      <c r="AK63" s="314">
        <f t="shared" si="8"/>
        <v>0</v>
      </c>
      <c r="AL63" s="314">
        <f t="shared" si="9"/>
        <v>0</v>
      </c>
      <c r="AM63" s="314">
        <f t="shared" si="10"/>
        <v>0</v>
      </c>
      <c r="AN63" s="314">
        <f t="shared" si="11"/>
        <v>0</v>
      </c>
      <c r="AO63" s="314">
        <f t="shared" si="12"/>
        <v>0</v>
      </c>
      <c r="AP63" s="314">
        <f t="shared" si="13"/>
        <v>0</v>
      </c>
    </row>
    <row r="64" spans="1:42" outlineLevel="1">
      <c r="A64" s="583" t="s">
        <v>23</v>
      </c>
      <c r="B64" s="310" t="s">
        <v>847</v>
      </c>
      <c r="C64" s="308"/>
      <c r="D64" s="304">
        <v>937</v>
      </c>
      <c r="E64" s="304">
        <f t="shared" si="16"/>
        <v>1214</v>
      </c>
      <c r="F64" s="304">
        <f t="shared" ref="F64:F71" si="83">H64-AB64</f>
        <v>1072</v>
      </c>
      <c r="G64" s="304">
        <f t="shared" si="64"/>
        <v>135</v>
      </c>
      <c r="H64" s="303">
        <f t="shared" ref="H64:H76" si="84">I64+W64</f>
        <v>1072</v>
      </c>
      <c r="I64" s="303">
        <f>M64+P64</f>
        <v>1072</v>
      </c>
      <c r="J64" s="311">
        <v>9</v>
      </c>
      <c r="K64" s="311">
        <v>8</v>
      </c>
      <c r="L64" s="294">
        <f t="shared" ref="L64:L67" si="85">J64-K64</f>
        <v>1</v>
      </c>
      <c r="M64" s="304">
        <f>N64+O64</f>
        <v>793</v>
      </c>
      <c r="N64" s="311">
        <v>732</v>
      </c>
      <c r="O64" s="311">
        <v>61</v>
      </c>
      <c r="P64" s="303">
        <f>S64+T64</f>
        <v>279</v>
      </c>
      <c r="Q64" s="294">
        <v>31</v>
      </c>
      <c r="R64" s="312">
        <v>1</v>
      </c>
      <c r="S64" s="304">
        <f>ROUND(J64*Q64*R64,0)</f>
        <v>279</v>
      </c>
      <c r="T64" s="303">
        <f>U64+V64</f>
        <v>0</v>
      </c>
      <c r="U64" s="304"/>
      <c r="V64" s="304"/>
      <c r="W64" s="303">
        <f t="shared" ref="W64:W76" si="86">Z64+AA64</f>
        <v>0</v>
      </c>
      <c r="X64" s="303"/>
      <c r="Y64" s="303"/>
      <c r="Z64" s="304"/>
      <c r="AA64" s="304"/>
      <c r="AB64" s="304">
        <v>0</v>
      </c>
      <c r="AC64" s="304">
        <v>142</v>
      </c>
      <c r="AD64" s="304">
        <v>28</v>
      </c>
      <c r="AE64" s="303">
        <f t="shared" ref="AE64:AE71" si="87">E64-AD64</f>
        <v>1186</v>
      </c>
      <c r="AF64" s="332"/>
      <c r="AG64" s="314">
        <f t="shared" si="4"/>
        <v>0</v>
      </c>
      <c r="AH64" s="696">
        <f t="shared" si="5"/>
        <v>0</v>
      </c>
      <c r="AI64" s="314">
        <f t="shared" si="6"/>
        <v>0</v>
      </c>
      <c r="AJ64" s="314">
        <f t="shared" si="7"/>
        <v>0</v>
      </c>
      <c r="AK64" s="314">
        <f t="shared" si="8"/>
        <v>0</v>
      </c>
      <c r="AL64" s="314">
        <f t="shared" si="9"/>
        <v>0</v>
      </c>
      <c r="AM64" s="314">
        <f t="shared" si="10"/>
        <v>0</v>
      </c>
      <c r="AN64" s="314">
        <f t="shared" si="11"/>
        <v>0</v>
      </c>
      <c r="AO64" s="314">
        <f t="shared" si="12"/>
        <v>0</v>
      </c>
      <c r="AP64" s="314">
        <f t="shared" si="13"/>
        <v>0</v>
      </c>
    </row>
    <row r="65" spans="1:42" outlineLevel="1">
      <c r="A65" s="593" t="s">
        <v>23</v>
      </c>
      <c r="B65" s="316" t="s">
        <v>848</v>
      </c>
      <c r="C65" s="304"/>
      <c r="D65" s="304">
        <v>7861</v>
      </c>
      <c r="E65" s="304">
        <f t="shared" si="16"/>
        <v>7310</v>
      </c>
      <c r="F65" s="304">
        <f t="shared" si="83"/>
        <v>7310</v>
      </c>
      <c r="G65" s="304">
        <f t="shared" si="64"/>
        <v>-551</v>
      </c>
      <c r="H65" s="303">
        <f t="shared" si="84"/>
        <v>8791</v>
      </c>
      <c r="I65" s="303">
        <f t="shared" ref="I65:I70" si="88">M65+P65</f>
        <v>8791</v>
      </c>
      <c r="J65" s="311">
        <v>56</v>
      </c>
      <c r="K65" s="311">
        <v>54</v>
      </c>
      <c r="L65" s="294">
        <f t="shared" si="85"/>
        <v>2</v>
      </c>
      <c r="M65" s="303">
        <f t="shared" ref="M65:M67" si="89">N65+O65</f>
        <v>7447</v>
      </c>
      <c r="N65" s="311">
        <v>7260</v>
      </c>
      <c r="O65" s="311">
        <v>187</v>
      </c>
      <c r="P65" s="303">
        <f t="shared" ref="P65:P70" si="90">S65+T65</f>
        <v>1344</v>
      </c>
      <c r="Q65" s="294">
        <v>24</v>
      </c>
      <c r="R65" s="312">
        <v>1</v>
      </c>
      <c r="S65" s="304">
        <f t="shared" ref="S65:S70" si="91">ROUND(J65*Q65*R65,0)</f>
        <v>1344</v>
      </c>
      <c r="T65" s="303">
        <f t="shared" ref="T65:T70" si="92">U65+V65</f>
        <v>0</v>
      </c>
      <c r="U65" s="304"/>
      <c r="V65" s="304"/>
      <c r="W65" s="303">
        <f t="shared" si="86"/>
        <v>0</v>
      </c>
      <c r="X65" s="303"/>
      <c r="Y65" s="303"/>
      <c r="Z65" s="304"/>
      <c r="AA65" s="304"/>
      <c r="AB65" s="304">
        <v>1481</v>
      </c>
      <c r="AC65" s="304">
        <v>0</v>
      </c>
      <c r="AD65" s="304">
        <v>-14</v>
      </c>
      <c r="AE65" s="303">
        <f t="shared" si="87"/>
        <v>7324</v>
      </c>
      <c r="AF65" s="317"/>
      <c r="AG65" s="314">
        <f t="shared" si="4"/>
        <v>0</v>
      </c>
      <c r="AH65" s="696">
        <f t="shared" si="5"/>
        <v>0</v>
      </c>
      <c r="AI65" s="314">
        <f t="shared" si="6"/>
        <v>0</v>
      </c>
      <c r="AJ65" s="314">
        <f t="shared" si="7"/>
        <v>0</v>
      </c>
      <c r="AK65" s="314">
        <f t="shared" si="8"/>
        <v>0</v>
      </c>
      <c r="AL65" s="314">
        <f t="shared" si="9"/>
        <v>0</v>
      </c>
      <c r="AM65" s="314">
        <f t="shared" si="10"/>
        <v>0</v>
      </c>
      <c r="AN65" s="314">
        <f t="shared" si="11"/>
        <v>0</v>
      </c>
      <c r="AO65" s="314">
        <f t="shared" si="12"/>
        <v>0</v>
      </c>
      <c r="AP65" s="314">
        <f t="shared" si="13"/>
        <v>0</v>
      </c>
    </row>
    <row r="66" spans="1:42" outlineLevel="1">
      <c r="A66" s="593" t="s">
        <v>23</v>
      </c>
      <c r="B66" s="316" t="s">
        <v>849</v>
      </c>
      <c r="C66" s="304"/>
      <c r="D66" s="304">
        <v>3795</v>
      </c>
      <c r="E66" s="304">
        <f t="shared" si="16"/>
        <v>3767</v>
      </c>
      <c r="F66" s="304">
        <f t="shared" si="83"/>
        <v>3767</v>
      </c>
      <c r="G66" s="304">
        <f t="shared" si="64"/>
        <v>-28</v>
      </c>
      <c r="H66" s="303">
        <f t="shared" si="84"/>
        <v>4535</v>
      </c>
      <c r="I66" s="303">
        <f t="shared" si="88"/>
        <v>4535</v>
      </c>
      <c r="J66" s="311">
        <v>37</v>
      </c>
      <c r="K66" s="311">
        <v>24</v>
      </c>
      <c r="L66" s="294">
        <f t="shared" si="85"/>
        <v>13</v>
      </c>
      <c r="M66" s="303">
        <f t="shared" si="89"/>
        <v>3573</v>
      </c>
      <c r="N66" s="311">
        <v>2358</v>
      </c>
      <c r="O66" s="311">
        <v>1215</v>
      </c>
      <c r="P66" s="303">
        <f t="shared" si="90"/>
        <v>962</v>
      </c>
      <c r="Q66" s="294">
        <v>26</v>
      </c>
      <c r="R66" s="312">
        <v>1</v>
      </c>
      <c r="S66" s="304">
        <f t="shared" si="91"/>
        <v>962</v>
      </c>
      <c r="T66" s="303">
        <f t="shared" si="92"/>
        <v>0</v>
      </c>
      <c r="U66" s="304"/>
      <c r="V66" s="304"/>
      <c r="W66" s="303">
        <f t="shared" si="86"/>
        <v>0</v>
      </c>
      <c r="X66" s="303"/>
      <c r="Y66" s="303"/>
      <c r="Z66" s="304"/>
      <c r="AA66" s="304"/>
      <c r="AB66" s="304">
        <v>768</v>
      </c>
      <c r="AC66" s="304">
        <v>0</v>
      </c>
      <c r="AD66" s="304">
        <v>19</v>
      </c>
      <c r="AE66" s="303">
        <f t="shared" si="87"/>
        <v>3748</v>
      </c>
      <c r="AF66" s="317"/>
      <c r="AG66" s="314">
        <f t="shared" si="4"/>
        <v>0</v>
      </c>
      <c r="AH66" s="696">
        <f t="shared" si="5"/>
        <v>0</v>
      </c>
      <c r="AI66" s="314">
        <f t="shared" si="6"/>
        <v>0</v>
      </c>
      <c r="AJ66" s="314">
        <f t="shared" si="7"/>
        <v>0</v>
      </c>
      <c r="AK66" s="314">
        <f t="shared" si="8"/>
        <v>0</v>
      </c>
      <c r="AL66" s="314">
        <f t="shared" si="9"/>
        <v>0</v>
      </c>
      <c r="AM66" s="314">
        <f t="shared" si="10"/>
        <v>0</v>
      </c>
      <c r="AN66" s="314">
        <f t="shared" si="11"/>
        <v>0</v>
      </c>
      <c r="AO66" s="314">
        <f t="shared" si="12"/>
        <v>0</v>
      </c>
      <c r="AP66" s="314">
        <f t="shared" si="13"/>
        <v>0</v>
      </c>
    </row>
    <row r="67" spans="1:42" outlineLevel="1">
      <c r="A67" s="593" t="s">
        <v>23</v>
      </c>
      <c r="B67" s="316" t="s">
        <v>850</v>
      </c>
      <c r="C67" s="304"/>
      <c r="D67" s="304">
        <v>6167</v>
      </c>
      <c r="E67" s="304">
        <f t="shared" si="16"/>
        <v>5955</v>
      </c>
      <c r="F67" s="304">
        <f t="shared" si="83"/>
        <v>5955</v>
      </c>
      <c r="G67" s="304">
        <f t="shared" si="64"/>
        <v>-212</v>
      </c>
      <c r="H67" s="303">
        <f t="shared" si="84"/>
        <v>6919</v>
      </c>
      <c r="I67" s="303">
        <f t="shared" si="88"/>
        <v>6919</v>
      </c>
      <c r="J67" s="311">
        <v>52</v>
      </c>
      <c r="K67" s="311">
        <v>47</v>
      </c>
      <c r="L67" s="294">
        <f t="shared" si="85"/>
        <v>5</v>
      </c>
      <c r="M67" s="303">
        <f t="shared" si="89"/>
        <v>5671</v>
      </c>
      <c r="N67" s="311">
        <v>5287</v>
      </c>
      <c r="O67" s="311">
        <v>384</v>
      </c>
      <c r="P67" s="303">
        <f t="shared" si="90"/>
        <v>1248</v>
      </c>
      <c r="Q67" s="294">
        <v>24</v>
      </c>
      <c r="R67" s="312">
        <v>1</v>
      </c>
      <c r="S67" s="304">
        <f t="shared" si="91"/>
        <v>1248</v>
      </c>
      <c r="T67" s="303">
        <f t="shared" si="92"/>
        <v>0</v>
      </c>
      <c r="U67" s="304"/>
      <c r="V67" s="303"/>
      <c r="W67" s="303">
        <f t="shared" si="86"/>
        <v>0</v>
      </c>
      <c r="X67" s="303"/>
      <c r="Y67" s="303"/>
      <c r="Z67" s="303"/>
      <c r="AA67" s="303"/>
      <c r="AB67" s="304">
        <v>964</v>
      </c>
      <c r="AC67" s="304">
        <v>0</v>
      </c>
      <c r="AD67" s="304">
        <v>28</v>
      </c>
      <c r="AE67" s="303">
        <f t="shared" si="87"/>
        <v>5927</v>
      </c>
      <c r="AF67" s="317"/>
      <c r="AG67" s="314">
        <f t="shared" si="4"/>
        <v>0</v>
      </c>
      <c r="AH67" s="696">
        <f t="shared" si="5"/>
        <v>0</v>
      </c>
      <c r="AI67" s="314">
        <f t="shared" si="6"/>
        <v>0</v>
      </c>
      <c r="AJ67" s="314">
        <f t="shared" si="7"/>
        <v>0</v>
      </c>
      <c r="AK67" s="314">
        <f t="shared" si="8"/>
        <v>0</v>
      </c>
      <c r="AL67" s="314">
        <f t="shared" si="9"/>
        <v>0</v>
      </c>
      <c r="AM67" s="314">
        <f t="shared" si="10"/>
        <v>0</v>
      </c>
      <c r="AN67" s="314">
        <f t="shared" si="11"/>
        <v>0</v>
      </c>
      <c r="AO67" s="314">
        <f t="shared" si="12"/>
        <v>0</v>
      </c>
      <c r="AP67" s="314">
        <f t="shared" si="13"/>
        <v>0</v>
      </c>
    </row>
    <row r="68" spans="1:42" outlineLevel="1">
      <c r="A68" s="593" t="s">
        <v>23</v>
      </c>
      <c r="B68" s="316" t="s">
        <v>851</v>
      </c>
      <c r="C68" s="304"/>
      <c r="D68" s="304">
        <v>2455</v>
      </c>
      <c r="E68" s="304">
        <f t="shared" si="16"/>
        <v>2480</v>
      </c>
      <c r="F68" s="304">
        <f t="shared" si="83"/>
        <v>2480</v>
      </c>
      <c r="G68" s="304">
        <f t="shared" si="64"/>
        <v>25</v>
      </c>
      <c r="H68" s="303">
        <f t="shared" si="84"/>
        <v>3271</v>
      </c>
      <c r="I68" s="303">
        <f t="shared" si="88"/>
        <v>3271</v>
      </c>
      <c r="J68" s="311">
        <v>25</v>
      </c>
      <c r="K68" s="311">
        <v>22</v>
      </c>
      <c r="L68" s="294">
        <f>J68-K68</f>
        <v>3</v>
      </c>
      <c r="M68" s="303">
        <f>N68+O68</f>
        <v>2546</v>
      </c>
      <c r="N68" s="311">
        <v>2266</v>
      </c>
      <c r="O68" s="311">
        <v>280</v>
      </c>
      <c r="P68" s="303">
        <f t="shared" si="90"/>
        <v>725</v>
      </c>
      <c r="Q68" s="294">
        <v>29</v>
      </c>
      <c r="R68" s="312">
        <v>1</v>
      </c>
      <c r="S68" s="304">
        <f t="shared" si="91"/>
        <v>725</v>
      </c>
      <c r="T68" s="303">
        <f t="shared" si="92"/>
        <v>0</v>
      </c>
      <c r="U68" s="304"/>
      <c r="V68" s="304"/>
      <c r="W68" s="303">
        <f t="shared" si="86"/>
        <v>0</v>
      </c>
      <c r="X68" s="303"/>
      <c r="Y68" s="303"/>
      <c r="Z68" s="304"/>
      <c r="AA68" s="304"/>
      <c r="AB68" s="304">
        <v>791</v>
      </c>
      <c r="AC68" s="304">
        <v>0</v>
      </c>
      <c r="AD68" s="304">
        <v>-7</v>
      </c>
      <c r="AE68" s="303">
        <f t="shared" si="87"/>
        <v>2487</v>
      </c>
      <c r="AF68" s="317"/>
      <c r="AG68" s="314">
        <f t="shared" si="4"/>
        <v>0</v>
      </c>
      <c r="AH68" s="696">
        <f t="shared" si="5"/>
        <v>0</v>
      </c>
      <c r="AI68" s="314">
        <f t="shared" si="6"/>
        <v>0</v>
      </c>
      <c r="AJ68" s="314">
        <f t="shared" si="7"/>
        <v>0</v>
      </c>
      <c r="AK68" s="314">
        <f t="shared" si="8"/>
        <v>0</v>
      </c>
      <c r="AL68" s="314">
        <f t="shared" si="9"/>
        <v>0</v>
      </c>
      <c r="AM68" s="314">
        <f t="shared" si="10"/>
        <v>0</v>
      </c>
      <c r="AN68" s="314">
        <f t="shared" si="11"/>
        <v>0</v>
      </c>
      <c r="AO68" s="314">
        <f t="shared" si="12"/>
        <v>0</v>
      </c>
      <c r="AP68" s="314">
        <f t="shared" si="13"/>
        <v>0</v>
      </c>
    </row>
    <row r="69" spans="1:42" outlineLevel="1">
      <c r="A69" s="593" t="s">
        <v>23</v>
      </c>
      <c r="B69" s="316" t="s">
        <v>852</v>
      </c>
      <c r="C69" s="304"/>
      <c r="D69" s="304">
        <v>2922</v>
      </c>
      <c r="E69" s="304">
        <f t="shared" si="16"/>
        <v>2780</v>
      </c>
      <c r="F69" s="304">
        <f t="shared" si="83"/>
        <v>2780</v>
      </c>
      <c r="G69" s="304">
        <f t="shared" si="64"/>
        <v>-142</v>
      </c>
      <c r="H69" s="303">
        <f t="shared" si="84"/>
        <v>3481</v>
      </c>
      <c r="I69" s="303">
        <f t="shared" si="88"/>
        <v>3481</v>
      </c>
      <c r="J69" s="311">
        <v>27</v>
      </c>
      <c r="K69" s="311">
        <v>24</v>
      </c>
      <c r="L69" s="294">
        <f>J69-K69</f>
        <v>3</v>
      </c>
      <c r="M69" s="303">
        <f>N69+O69</f>
        <v>2698</v>
      </c>
      <c r="N69" s="311">
        <v>2516</v>
      </c>
      <c r="O69" s="311">
        <v>182</v>
      </c>
      <c r="P69" s="303">
        <f t="shared" si="90"/>
        <v>783</v>
      </c>
      <c r="Q69" s="294">
        <v>29</v>
      </c>
      <c r="R69" s="312">
        <v>1</v>
      </c>
      <c r="S69" s="304">
        <f t="shared" si="91"/>
        <v>783</v>
      </c>
      <c r="T69" s="303">
        <f t="shared" si="92"/>
        <v>0</v>
      </c>
      <c r="U69" s="304"/>
      <c r="V69" s="304"/>
      <c r="W69" s="303">
        <f t="shared" si="86"/>
        <v>0</v>
      </c>
      <c r="X69" s="303"/>
      <c r="Y69" s="303"/>
      <c r="Z69" s="304"/>
      <c r="AA69" s="304"/>
      <c r="AB69" s="304">
        <v>701</v>
      </c>
      <c r="AC69" s="304">
        <v>0</v>
      </c>
      <c r="AD69" s="304">
        <v>8</v>
      </c>
      <c r="AE69" s="303">
        <f t="shared" si="87"/>
        <v>2772</v>
      </c>
      <c r="AF69" s="317"/>
      <c r="AG69" s="314">
        <f t="shared" si="4"/>
        <v>0</v>
      </c>
      <c r="AH69" s="696">
        <f t="shared" si="5"/>
        <v>0</v>
      </c>
      <c r="AI69" s="314">
        <f t="shared" si="6"/>
        <v>0</v>
      </c>
      <c r="AJ69" s="314">
        <f t="shared" si="7"/>
        <v>0</v>
      </c>
      <c r="AK69" s="314">
        <f t="shared" si="8"/>
        <v>0</v>
      </c>
      <c r="AL69" s="314">
        <f t="shared" si="9"/>
        <v>0</v>
      </c>
      <c r="AM69" s="314">
        <f t="shared" si="10"/>
        <v>0</v>
      </c>
      <c r="AN69" s="314">
        <f t="shared" si="11"/>
        <v>0</v>
      </c>
      <c r="AO69" s="314">
        <f t="shared" si="12"/>
        <v>0</v>
      </c>
      <c r="AP69" s="314">
        <f t="shared" si="13"/>
        <v>0</v>
      </c>
    </row>
    <row r="70" spans="1:42" outlineLevel="1">
      <c r="A70" s="593" t="s">
        <v>23</v>
      </c>
      <c r="B70" s="316" t="s">
        <v>853</v>
      </c>
      <c r="C70" s="304"/>
      <c r="D70" s="304">
        <v>1784</v>
      </c>
      <c r="E70" s="304">
        <f t="shared" si="16"/>
        <v>1765</v>
      </c>
      <c r="F70" s="304">
        <f t="shared" si="83"/>
        <v>1765</v>
      </c>
      <c r="G70" s="304">
        <f t="shared" si="64"/>
        <v>-19</v>
      </c>
      <c r="H70" s="303">
        <f t="shared" si="84"/>
        <v>2344</v>
      </c>
      <c r="I70" s="303">
        <f t="shared" si="88"/>
        <v>2344</v>
      </c>
      <c r="J70" s="311">
        <v>19</v>
      </c>
      <c r="K70" s="311">
        <v>19</v>
      </c>
      <c r="L70" s="294">
        <f>J70-K70</f>
        <v>0</v>
      </c>
      <c r="M70" s="303">
        <f>N70+O70</f>
        <v>1793</v>
      </c>
      <c r="N70" s="311">
        <v>1793</v>
      </c>
      <c r="O70" s="311">
        <v>0</v>
      </c>
      <c r="P70" s="303">
        <f t="shared" si="90"/>
        <v>551</v>
      </c>
      <c r="Q70" s="294">
        <v>29</v>
      </c>
      <c r="R70" s="312">
        <v>1</v>
      </c>
      <c r="S70" s="304">
        <f t="shared" si="91"/>
        <v>551</v>
      </c>
      <c r="T70" s="303">
        <f t="shared" si="92"/>
        <v>0</v>
      </c>
      <c r="U70" s="304"/>
      <c r="V70" s="304"/>
      <c r="W70" s="303">
        <f t="shared" si="86"/>
        <v>0</v>
      </c>
      <c r="X70" s="303"/>
      <c r="Y70" s="303"/>
      <c r="Z70" s="304"/>
      <c r="AA70" s="304"/>
      <c r="AB70" s="304">
        <v>579</v>
      </c>
      <c r="AC70" s="304">
        <v>0</v>
      </c>
      <c r="AD70" s="304">
        <v>-3</v>
      </c>
      <c r="AE70" s="303">
        <f t="shared" si="87"/>
        <v>1768</v>
      </c>
      <c r="AF70" s="317"/>
      <c r="AG70" s="314">
        <f t="shared" si="4"/>
        <v>0</v>
      </c>
      <c r="AH70" s="696">
        <f t="shared" si="5"/>
        <v>0</v>
      </c>
      <c r="AI70" s="314">
        <f t="shared" si="6"/>
        <v>0</v>
      </c>
      <c r="AJ70" s="314">
        <f t="shared" si="7"/>
        <v>0</v>
      </c>
      <c r="AK70" s="314">
        <f t="shared" si="8"/>
        <v>0</v>
      </c>
      <c r="AL70" s="314">
        <f t="shared" si="9"/>
        <v>0</v>
      </c>
      <c r="AM70" s="314">
        <f t="shared" si="10"/>
        <v>0</v>
      </c>
      <c r="AN70" s="314">
        <f t="shared" si="11"/>
        <v>0</v>
      </c>
      <c r="AO70" s="314">
        <f t="shared" si="12"/>
        <v>0</v>
      </c>
      <c r="AP70" s="314">
        <f t="shared" si="13"/>
        <v>0</v>
      </c>
    </row>
    <row r="71" spans="1:42" s="333" customFormat="1">
      <c r="A71" s="591" t="s">
        <v>897</v>
      </c>
      <c r="B71" s="645" t="s">
        <v>854</v>
      </c>
      <c r="C71" s="298"/>
      <c r="D71" s="297">
        <v>10092</v>
      </c>
      <c r="E71" s="297">
        <f t="shared" si="16"/>
        <v>5541</v>
      </c>
      <c r="F71" s="297">
        <f t="shared" si="83"/>
        <v>5541</v>
      </c>
      <c r="G71" s="297">
        <f t="shared" si="64"/>
        <v>-4551</v>
      </c>
      <c r="H71" s="299">
        <f t="shared" si="84"/>
        <v>5541</v>
      </c>
      <c r="I71" s="299">
        <f>M71+P71</f>
        <v>0</v>
      </c>
      <c r="J71" s="318"/>
      <c r="K71" s="318"/>
      <c r="L71" s="318"/>
      <c r="M71" s="299"/>
      <c r="N71" s="318"/>
      <c r="O71" s="318"/>
      <c r="P71" s="299">
        <f>S71+T71</f>
        <v>0</v>
      </c>
      <c r="Q71" s="318"/>
      <c r="R71" s="319"/>
      <c r="S71" s="297"/>
      <c r="T71" s="299">
        <f>U71+V71</f>
        <v>0</v>
      </c>
      <c r="U71" s="297"/>
      <c r="V71" s="297"/>
      <c r="W71" s="299">
        <f t="shared" si="86"/>
        <v>5541</v>
      </c>
      <c r="X71" s="299"/>
      <c r="Y71" s="299"/>
      <c r="Z71" s="299">
        <v>5541</v>
      </c>
      <c r="AA71" s="299">
        <f>AA80</f>
        <v>0</v>
      </c>
      <c r="AB71" s="299"/>
      <c r="AC71" s="297"/>
      <c r="AD71" s="297">
        <v>483</v>
      </c>
      <c r="AE71" s="299">
        <f t="shared" si="87"/>
        <v>5058</v>
      </c>
      <c r="AF71" s="321"/>
      <c r="AG71" s="314">
        <f t="shared" si="4"/>
        <v>0</v>
      </c>
      <c r="AH71" s="696">
        <f t="shared" si="5"/>
        <v>0</v>
      </c>
      <c r="AI71" s="314">
        <f t="shared" si="6"/>
        <v>0</v>
      </c>
      <c r="AJ71" s="314">
        <f t="shared" si="7"/>
        <v>0</v>
      </c>
      <c r="AK71" s="314">
        <f t="shared" si="8"/>
        <v>0</v>
      </c>
      <c r="AL71" s="314">
        <f t="shared" si="9"/>
        <v>0</v>
      </c>
      <c r="AM71" s="314">
        <f t="shared" si="10"/>
        <v>0</v>
      </c>
      <c r="AN71" s="314">
        <f t="shared" si="11"/>
        <v>0</v>
      </c>
      <c r="AO71" s="314">
        <f t="shared" si="12"/>
        <v>0</v>
      </c>
      <c r="AP71" s="314">
        <f t="shared" si="13"/>
        <v>0</v>
      </c>
    </row>
    <row r="72" spans="1:42" s="322" customFormat="1" ht="27.6" outlineLevel="1">
      <c r="A72" s="583" t="s">
        <v>23</v>
      </c>
      <c r="B72" s="646" t="s">
        <v>856</v>
      </c>
      <c r="C72" s="302"/>
      <c r="D72" s="304">
        <v>3589</v>
      </c>
      <c r="E72" s="304">
        <f t="shared" si="16"/>
        <v>3589</v>
      </c>
      <c r="F72" s="304">
        <f>H72-AB72</f>
        <v>3589</v>
      </c>
      <c r="G72" s="304">
        <f>F72-D72</f>
        <v>0</v>
      </c>
      <c r="H72" s="303">
        <f t="shared" si="84"/>
        <v>3589</v>
      </c>
      <c r="I72" s="303"/>
      <c r="J72" s="311"/>
      <c r="K72" s="311"/>
      <c r="L72" s="311"/>
      <c r="M72" s="303"/>
      <c r="N72" s="311"/>
      <c r="O72" s="311"/>
      <c r="P72" s="303"/>
      <c r="Q72" s="311"/>
      <c r="R72" s="312"/>
      <c r="S72" s="304"/>
      <c r="T72" s="303"/>
      <c r="U72" s="304"/>
      <c r="V72" s="304"/>
      <c r="W72" s="303">
        <f t="shared" si="86"/>
        <v>3589</v>
      </c>
      <c r="X72" s="303"/>
      <c r="Y72" s="303"/>
      <c r="Z72" s="304">
        <f>2936+606+47</f>
        <v>3589</v>
      </c>
      <c r="AA72" s="304"/>
      <c r="AB72" s="304"/>
      <c r="AC72" s="304"/>
      <c r="AD72" s="304"/>
      <c r="AE72" s="304"/>
      <c r="AF72" s="1272"/>
      <c r="AG72" s="314">
        <f t="shared" si="4"/>
        <v>0</v>
      </c>
      <c r="AH72" s="696">
        <f t="shared" si="5"/>
        <v>0</v>
      </c>
      <c r="AI72" s="314">
        <f t="shared" si="6"/>
        <v>0</v>
      </c>
      <c r="AJ72" s="314">
        <f t="shared" si="7"/>
        <v>0</v>
      </c>
      <c r="AK72" s="314">
        <f t="shared" si="8"/>
        <v>0</v>
      </c>
      <c r="AL72" s="314">
        <f t="shared" si="9"/>
        <v>0</v>
      </c>
      <c r="AM72" s="314">
        <f t="shared" si="10"/>
        <v>0</v>
      </c>
      <c r="AN72" s="314">
        <f t="shared" si="11"/>
        <v>0</v>
      </c>
      <c r="AO72" s="314">
        <f t="shared" si="12"/>
        <v>0</v>
      </c>
      <c r="AP72" s="314">
        <f t="shared" si="13"/>
        <v>0</v>
      </c>
    </row>
    <row r="73" spans="1:42" s="322" customFormat="1" outlineLevel="1">
      <c r="A73" s="583" t="s">
        <v>23</v>
      </c>
      <c r="B73" s="646" t="s">
        <v>857</v>
      </c>
      <c r="C73" s="302"/>
      <c r="D73" s="304">
        <v>1800</v>
      </c>
      <c r="E73" s="304">
        <f t="shared" si="16"/>
        <v>1000</v>
      </c>
      <c r="F73" s="304">
        <f t="shared" ref="F73:AC73" si="93">F74+F79</f>
        <v>1000</v>
      </c>
      <c r="G73" s="304">
        <f t="shared" si="93"/>
        <v>-800</v>
      </c>
      <c r="H73" s="304">
        <f t="shared" si="93"/>
        <v>1000</v>
      </c>
      <c r="I73" s="304">
        <f t="shared" si="93"/>
        <v>0</v>
      </c>
      <c r="J73" s="304">
        <f t="shared" si="93"/>
        <v>0</v>
      </c>
      <c r="K73" s="304">
        <f t="shared" si="93"/>
        <v>0</v>
      </c>
      <c r="L73" s="304">
        <f t="shared" si="93"/>
        <v>0</v>
      </c>
      <c r="M73" s="304">
        <f t="shared" si="93"/>
        <v>0</v>
      </c>
      <c r="N73" s="304">
        <f t="shared" si="93"/>
        <v>0</v>
      </c>
      <c r="O73" s="304">
        <f t="shared" si="93"/>
        <v>0</v>
      </c>
      <c r="P73" s="304">
        <f t="shared" si="93"/>
        <v>0</v>
      </c>
      <c r="Q73" s="304">
        <f t="shared" si="93"/>
        <v>0</v>
      </c>
      <c r="R73" s="304">
        <f t="shared" si="93"/>
        <v>0</v>
      </c>
      <c r="S73" s="304">
        <f t="shared" si="93"/>
        <v>0</v>
      </c>
      <c r="T73" s="304">
        <f t="shared" si="93"/>
        <v>0</v>
      </c>
      <c r="U73" s="304">
        <f t="shared" si="93"/>
        <v>0</v>
      </c>
      <c r="V73" s="304">
        <f t="shared" si="93"/>
        <v>0</v>
      </c>
      <c r="W73" s="304">
        <f t="shared" si="93"/>
        <v>1000</v>
      </c>
      <c r="X73" s="304">
        <f t="shared" si="93"/>
        <v>0</v>
      </c>
      <c r="Y73" s="304">
        <f t="shared" si="93"/>
        <v>0</v>
      </c>
      <c r="Z73" s="304">
        <f t="shared" si="93"/>
        <v>1000</v>
      </c>
      <c r="AA73" s="304">
        <f t="shared" si="93"/>
        <v>0</v>
      </c>
      <c r="AB73" s="304">
        <f t="shared" si="93"/>
        <v>0</v>
      </c>
      <c r="AC73" s="304">
        <f t="shared" si="93"/>
        <v>0</v>
      </c>
      <c r="AD73" s="304"/>
      <c r="AE73" s="304"/>
      <c r="AF73" s="1272"/>
      <c r="AG73" s="314">
        <f t="shared" si="4"/>
        <v>0</v>
      </c>
      <c r="AH73" s="696">
        <f t="shared" si="5"/>
        <v>0</v>
      </c>
      <c r="AI73" s="314">
        <f t="shared" si="6"/>
        <v>0</v>
      </c>
      <c r="AJ73" s="314">
        <f t="shared" si="7"/>
        <v>0</v>
      </c>
      <c r="AK73" s="314">
        <f t="shared" si="8"/>
        <v>0</v>
      </c>
      <c r="AL73" s="314">
        <f t="shared" si="9"/>
        <v>0</v>
      </c>
      <c r="AM73" s="314">
        <f t="shared" si="10"/>
        <v>0</v>
      </c>
      <c r="AN73" s="314">
        <f t="shared" si="11"/>
        <v>0</v>
      </c>
      <c r="AO73" s="314">
        <f t="shared" si="12"/>
        <v>0</v>
      </c>
      <c r="AP73" s="314">
        <f t="shared" si="13"/>
        <v>0</v>
      </c>
    </row>
    <row r="74" spans="1:42" s="322" customFormat="1" ht="55.2" outlineLevel="1">
      <c r="A74" s="583" t="s">
        <v>281</v>
      </c>
      <c r="B74" s="646" t="s">
        <v>858</v>
      </c>
      <c r="C74" s="302"/>
      <c r="D74" s="304">
        <v>1000</v>
      </c>
      <c r="E74" s="304">
        <f t="shared" si="16"/>
        <v>1000</v>
      </c>
      <c r="F74" s="304">
        <f>H74-AB74</f>
        <v>1000</v>
      </c>
      <c r="G74" s="304">
        <f>F74-D74</f>
        <v>0</v>
      </c>
      <c r="H74" s="303">
        <f t="shared" si="84"/>
        <v>1000</v>
      </c>
      <c r="I74" s="303"/>
      <c r="J74" s="303"/>
      <c r="K74" s="303"/>
      <c r="L74" s="303"/>
      <c r="M74" s="303"/>
      <c r="N74" s="303"/>
      <c r="O74" s="303"/>
      <c r="P74" s="303"/>
      <c r="Q74" s="303"/>
      <c r="R74" s="303"/>
      <c r="S74" s="303"/>
      <c r="T74" s="303"/>
      <c r="U74" s="303"/>
      <c r="V74" s="303"/>
      <c r="W74" s="303">
        <f t="shared" si="86"/>
        <v>1000</v>
      </c>
      <c r="X74" s="303"/>
      <c r="Y74" s="303"/>
      <c r="Z74" s="303">
        <v>1000</v>
      </c>
      <c r="AA74" s="303"/>
      <c r="AB74" s="303"/>
      <c r="AC74" s="303"/>
      <c r="AD74" s="303"/>
      <c r="AE74" s="303"/>
      <c r="AF74" s="1272" t="s">
        <v>2051</v>
      </c>
      <c r="AG74" s="314">
        <f t="shared" si="4"/>
        <v>0</v>
      </c>
      <c r="AH74" s="696">
        <f t="shared" si="5"/>
        <v>0</v>
      </c>
      <c r="AI74" s="314">
        <f t="shared" si="6"/>
        <v>0</v>
      </c>
      <c r="AJ74" s="314">
        <f t="shared" si="7"/>
        <v>0</v>
      </c>
      <c r="AK74" s="314">
        <f t="shared" si="8"/>
        <v>0</v>
      </c>
      <c r="AL74" s="314">
        <f t="shared" si="9"/>
        <v>0</v>
      </c>
      <c r="AM74" s="314">
        <f t="shared" si="10"/>
        <v>0</v>
      </c>
      <c r="AN74" s="314">
        <f t="shared" si="11"/>
        <v>0</v>
      </c>
      <c r="AO74" s="314">
        <f t="shared" si="12"/>
        <v>0</v>
      </c>
      <c r="AP74" s="314">
        <f t="shared" si="13"/>
        <v>0</v>
      </c>
    </row>
    <row r="75" spans="1:42" s="322" customFormat="1" ht="41.4" outlineLevel="1">
      <c r="A75" s="583" t="s">
        <v>23</v>
      </c>
      <c r="B75" s="646" t="s">
        <v>2052</v>
      </c>
      <c r="C75" s="302"/>
      <c r="D75" s="304"/>
      <c r="E75" s="304">
        <f t="shared" si="16"/>
        <v>597</v>
      </c>
      <c r="F75" s="304">
        <f t="shared" ref="F75" si="94">H75-AB75</f>
        <v>597</v>
      </c>
      <c r="G75" s="304">
        <f t="shared" ref="G75" si="95">F75-D75</f>
        <v>597</v>
      </c>
      <c r="H75" s="303">
        <f t="shared" si="84"/>
        <v>597</v>
      </c>
      <c r="I75" s="303"/>
      <c r="J75" s="303"/>
      <c r="K75" s="303"/>
      <c r="L75" s="303"/>
      <c r="M75" s="303"/>
      <c r="N75" s="303"/>
      <c r="O75" s="303"/>
      <c r="P75" s="303"/>
      <c r="Q75" s="303"/>
      <c r="R75" s="303"/>
      <c r="S75" s="303"/>
      <c r="T75" s="303"/>
      <c r="U75" s="303"/>
      <c r="V75" s="303"/>
      <c r="W75" s="303">
        <f t="shared" si="86"/>
        <v>597</v>
      </c>
      <c r="X75" s="303"/>
      <c r="Y75" s="303"/>
      <c r="Z75" s="303">
        <v>597</v>
      </c>
      <c r="AA75" s="303"/>
      <c r="AB75" s="303"/>
      <c r="AC75" s="303"/>
      <c r="AD75" s="303"/>
      <c r="AE75" s="303"/>
      <c r="AF75" s="332"/>
      <c r="AG75" s="314">
        <f t="shared" si="4"/>
        <v>0</v>
      </c>
      <c r="AH75" s="696">
        <f t="shared" si="5"/>
        <v>0</v>
      </c>
      <c r="AI75" s="314">
        <f t="shared" si="6"/>
        <v>0</v>
      </c>
      <c r="AJ75" s="314">
        <f t="shared" si="7"/>
        <v>0</v>
      </c>
      <c r="AK75" s="314">
        <f t="shared" si="8"/>
        <v>0</v>
      </c>
      <c r="AL75" s="314">
        <f t="shared" si="9"/>
        <v>0</v>
      </c>
      <c r="AM75" s="314">
        <f t="shared" si="10"/>
        <v>0</v>
      </c>
      <c r="AN75" s="314">
        <f t="shared" si="11"/>
        <v>0</v>
      </c>
      <c r="AO75" s="314">
        <f t="shared" si="12"/>
        <v>0</v>
      </c>
      <c r="AP75" s="314">
        <f t="shared" si="13"/>
        <v>0</v>
      </c>
    </row>
    <row r="76" spans="1:42" s="322" customFormat="1" outlineLevel="1">
      <c r="A76" s="583" t="s">
        <v>23</v>
      </c>
      <c r="B76" s="646" t="s">
        <v>859</v>
      </c>
      <c r="C76" s="302"/>
      <c r="D76" s="304">
        <v>555</v>
      </c>
      <c r="E76" s="304">
        <f t="shared" si="16"/>
        <v>355</v>
      </c>
      <c r="F76" s="304">
        <f>H76-AB76</f>
        <v>355</v>
      </c>
      <c r="G76" s="304">
        <f>F76-D76</f>
        <v>-200</v>
      </c>
      <c r="H76" s="303">
        <f t="shared" si="84"/>
        <v>355</v>
      </c>
      <c r="I76" s="303"/>
      <c r="J76" s="303"/>
      <c r="K76" s="303"/>
      <c r="L76" s="303"/>
      <c r="M76" s="303"/>
      <c r="N76" s="303"/>
      <c r="O76" s="303"/>
      <c r="P76" s="303"/>
      <c r="Q76" s="303"/>
      <c r="R76" s="303"/>
      <c r="S76" s="303"/>
      <c r="T76" s="303"/>
      <c r="U76" s="303"/>
      <c r="V76" s="303"/>
      <c r="W76" s="303">
        <f t="shared" si="86"/>
        <v>355</v>
      </c>
      <c r="X76" s="303"/>
      <c r="Y76" s="303"/>
      <c r="Z76" s="303">
        <f>Z71-Z77-Z72-Z73-Z80-Z75</f>
        <v>355</v>
      </c>
      <c r="AA76" s="303"/>
      <c r="AB76" s="303"/>
      <c r="AC76" s="303"/>
      <c r="AD76" s="303"/>
      <c r="AE76" s="303"/>
      <c r="AF76" s="1272"/>
      <c r="AG76" s="314">
        <f t="shared" si="4"/>
        <v>0</v>
      </c>
      <c r="AH76" s="696">
        <f t="shared" si="5"/>
        <v>0</v>
      </c>
      <c r="AI76" s="314">
        <f t="shared" si="6"/>
        <v>0</v>
      </c>
      <c r="AJ76" s="314">
        <f t="shared" si="7"/>
        <v>0</v>
      </c>
      <c r="AK76" s="314">
        <f t="shared" si="8"/>
        <v>0</v>
      </c>
      <c r="AL76" s="314">
        <f t="shared" si="9"/>
        <v>0</v>
      </c>
      <c r="AM76" s="314">
        <f t="shared" si="10"/>
        <v>0</v>
      </c>
      <c r="AN76" s="314">
        <f t="shared" si="11"/>
        <v>0</v>
      </c>
      <c r="AO76" s="314">
        <f t="shared" si="12"/>
        <v>0</v>
      </c>
      <c r="AP76" s="314">
        <f t="shared" si="13"/>
        <v>0</v>
      </c>
    </row>
    <row r="77" spans="1:42" s="322" customFormat="1" hidden="1" outlineLevel="3">
      <c r="A77" s="583" t="s">
        <v>23</v>
      </c>
      <c r="B77" s="646" t="s">
        <v>855</v>
      </c>
      <c r="C77" s="302"/>
      <c r="D77" s="303">
        <v>848</v>
      </c>
      <c r="E77" s="303">
        <f>F77+AC77</f>
        <v>0</v>
      </c>
      <c r="F77" s="303">
        <f>F78</f>
        <v>0</v>
      </c>
      <c r="G77" s="303">
        <f>G78</f>
        <v>-848</v>
      </c>
      <c r="H77" s="303">
        <f t="shared" ref="H77:AC77" si="96">H78</f>
        <v>0</v>
      </c>
      <c r="I77" s="303">
        <f t="shared" si="96"/>
        <v>0</v>
      </c>
      <c r="J77" s="303">
        <f t="shared" si="96"/>
        <v>0</v>
      </c>
      <c r="K77" s="303">
        <f t="shared" si="96"/>
        <v>0</v>
      </c>
      <c r="L77" s="303">
        <f t="shared" si="96"/>
        <v>0</v>
      </c>
      <c r="M77" s="303">
        <f t="shared" si="96"/>
        <v>0</v>
      </c>
      <c r="N77" s="303">
        <f t="shared" si="96"/>
        <v>0</v>
      </c>
      <c r="O77" s="303">
        <f t="shared" si="96"/>
        <v>0</v>
      </c>
      <c r="P77" s="303">
        <f t="shared" si="96"/>
        <v>0</v>
      </c>
      <c r="Q77" s="303">
        <f t="shared" si="96"/>
        <v>0</v>
      </c>
      <c r="R77" s="303">
        <f t="shared" si="96"/>
        <v>0</v>
      </c>
      <c r="S77" s="303">
        <f t="shared" si="96"/>
        <v>0</v>
      </c>
      <c r="T77" s="303">
        <f t="shared" si="96"/>
        <v>0</v>
      </c>
      <c r="U77" s="303">
        <f t="shared" si="96"/>
        <v>0</v>
      </c>
      <c r="V77" s="303">
        <f t="shared" si="96"/>
        <v>0</v>
      </c>
      <c r="W77" s="303">
        <f t="shared" si="96"/>
        <v>0</v>
      </c>
      <c r="X77" s="303">
        <f t="shared" si="96"/>
        <v>0</v>
      </c>
      <c r="Y77" s="303">
        <f t="shared" si="96"/>
        <v>0</v>
      </c>
      <c r="Z77" s="303">
        <f t="shared" si="96"/>
        <v>0</v>
      </c>
      <c r="AA77" s="303">
        <f t="shared" si="96"/>
        <v>0</v>
      </c>
      <c r="AB77" s="303">
        <f t="shared" si="96"/>
        <v>0</v>
      </c>
      <c r="AC77" s="303">
        <f t="shared" si="96"/>
        <v>0</v>
      </c>
      <c r="AD77" s="303"/>
      <c r="AE77" s="303"/>
      <c r="AF77" s="1272"/>
      <c r="AG77" s="314">
        <f t="shared" si="4"/>
        <v>0</v>
      </c>
      <c r="AH77" s="696">
        <f t="shared" si="5"/>
        <v>0</v>
      </c>
      <c r="AI77" s="314">
        <f t="shared" si="6"/>
        <v>0</v>
      </c>
      <c r="AJ77" s="314">
        <f t="shared" si="7"/>
        <v>0</v>
      </c>
      <c r="AK77" s="314">
        <f t="shared" si="8"/>
        <v>0</v>
      </c>
      <c r="AL77" s="314">
        <f t="shared" si="9"/>
        <v>0</v>
      </c>
      <c r="AM77" s="314">
        <f t="shared" si="10"/>
        <v>0</v>
      </c>
      <c r="AN77" s="314">
        <f t="shared" si="11"/>
        <v>0</v>
      </c>
      <c r="AO77" s="314">
        <f t="shared" si="12"/>
        <v>0</v>
      </c>
      <c r="AP77" s="314">
        <f t="shared" si="13"/>
        <v>0</v>
      </c>
    </row>
    <row r="78" spans="1:42" s="322" customFormat="1" ht="27.6" hidden="1" outlineLevel="3">
      <c r="A78" s="583" t="s">
        <v>281</v>
      </c>
      <c r="B78" s="646" t="s">
        <v>1721</v>
      </c>
      <c r="C78" s="302"/>
      <c r="D78" s="304">
        <v>848</v>
      </c>
      <c r="E78" s="304">
        <f>F78+AC78</f>
        <v>0</v>
      </c>
      <c r="F78" s="304">
        <f>H78-AB78</f>
        <v>0</v>
      </c>
      <c r="G78" s="304">
        <f>F78-D78</f>
        <v>-848</v>
      </c>
      <c r="H78" s="303">
        <f>I78+W78</f>
        <v>0</v>
      </c>
      <c r="I78" s="303">
        <f>M78+P78</f>
        <v>0</v>
      </c>
      <c r="J78" s="311"/>
      <c r="K78" s="311"/>
      <c r="L78" s="311"/>
      <c r="M78" s="303"/>
      <c r="N78" s="311"/>
      <c r="O78" s="311"/>
      <c r="P78" s="303">
        <f>S78+T78</f>
        <v>0</v>
      </c>
      <c r="Q78" s="311"/>
      <c r="R78" s="312"/>
      <c r="S78" s="304"/>
      <c r="T78" s="303">
        <f>U78+V78</f>
        <v>0</v>
      </c>
      <c r="U78" s="304"/>
      <c r="V78" s="304"/>
      <c r="W78" s="303">
        <f>Z78+AA78</f>
        <v>0</v>
      </c>
      <c r="X78" s="303"/>
      <c r="Y78" s="303"/>
      <c r="Z78" s="304"/>
      <c r="AA78" s="304"/>
      <c r="AB78" s="304"/>
      <c r="AC78" s="304"/>
      <c r="AD78" s="304"/>
      <c r="AE78" s="304"/>
      <c r="AF78" s="1272" t="s">
        <v>2042</v>
      </c>
      <c r="AG78" s="314">
        <f t="shared" si="4"/>
        <v>0</v>
      </c>
      <c r="AH78" s="696">
        <f t="shared" si="5"/>
        <v>0</v>
      </c>
      <c r="AI78" s="314">
        <f t="shared" si="6"/>
        <v>0</v>
      </c>
      <c r="AJ78" s="314">
        <f t="shared" si="7"/>
        <v>0</v>
      </c>
      <c r="AK78" s="314">
        <f t="shared" si="8"/>
        <v>0</v>
      </c>
      <c r="AL78" s="314">
        <f t="shared" si="9"/>
        <v>0</v>
      </c>
      <c r="AM78" s="314">
        <f t="shared" si="10"/>
        <v>0</v>
      </c>
      <c r="AN78" s="314">
        <f t="shared" si="11"/>
        <v>0</v>
      </c>
      <c r="AO78" s="314">
        <f t="shared" si="12"/>
        <v>0</v>
      </c>
      <c r="AP78" s="314">
        <f t="shared" si="13"/>
        <v>0</v>
      </c>
    </row>
    <row r="79" spans="1:42" s="322" customFormat="1" ht="55.2" hidden="1" outlineLevel="3">
      <c r="A79" s="583" t="s">
        <v>281</v>
      </c>
      <c r="B79" s="646" t="s">
        <v>1722</v>
      </c>
      <c r="C79" s="302"/>
      <c r="D79" s="304">
        <v>800</v>
      </c>
      <c r="E79" s="304">
        <f>F79+AC79</f>
        <v>0</v>
      </c>
      <c r="F79" s="304">
        <f>H79-AB79</f>
        <v>0</v>
      </c>
      <c r="G79" s="304">
        <f>F79-D79</f>
        <v>-800</v>
      </c>
      <c r="H79" s="303">
        <f>I79+W79</f>
        <v>0</v>
      </c>
      <c r="I79" s="303"/>
      <c r="J79" s="303"/>
      <c r="K79" s="303"/>
      <c r="L79" s="303"/>
      <c r="M79" s="303"/>
      <c r="N79" s="303"/>
      <c r="O79" s="303"/>
      <c r="P79" s="303"/>
      <c r="Q79" s="303"/>
      <c r="R79" s="303"/>
      <c r="S79" s="303"/>
      <c r="T79" s="303"/>
      <c r="U79" s="303"/>
      <c r="V79" s="303"/>
      <c r="W79" s="303">
        <f>Z79+AA79</f>
        <v>0</v>
      </c>
      <c r="X79" s="303"/>
      <c r="Y79" s="303"/>
      <c r="Z79" s="303"/>
      <c r="AA79" s="303"/>
      <c r="AB79" s="303"/>
      <c r="AC79" s="303"/>
      <c r="AD79" s="303"/>
      <c r="AE79" s="303"/>
      <c r="AF79" s="1272" t="s">
        <v>2042</v>
      </c>
      <c r="AG79" s="314">
        <f t="shared" si="4"/>
        <v>0</v>
      </c>
      <c r="AH79" s="696">
        <f t="shared" si="5"/>
        <v>0</v>
      </c>
      <c r="AI79" s="314">
        <f t="shared" si="6"/>
        <v>0</v>
      </c>
      <c r="AJ79" s="314">
        <f t="shared" si="7"/>
        <v>0</v>
      </c>
      <c r="AK79" s="314">
        <f t="shared" si="8"/>
        <v>0</v>
      </c>
      <c r="AL79" s="314">
        <f t="shared" si="9"/>
        <v>0</v>
      </c>
      <c r="AM79" s="314">
        <f t="shared" si="10"/>
        <v>0</v>
      </c>
      <c r="AN79" s="314">
        <f t="shared" si="11"/>
        <v>0</v>
      </c>
      <c r="AO79" s="314">
        <f t="shared" si="12"/>
        <v>0</v>
      </c>
      <c r="AP79" s="314">
        <f t="shared" si="13"/>
        <v>0</v>
      </c>
    </row>
    <row r="80" spans="1:42" s="322" customFormat="1" ht="41.4" hidden="1" outlineLevel="3">
      <c r="A80" s="583" t="s">
        <v>23</v>
      </c>
      <c r="B80" s="646" t="s">
        <v>1845</v>
      </c>
      <c r="C80" s="302"/>
      <c r="D80" s="304">
        <v>3300</v>
      </c>
      <c r="E80" s="304">
        <f>F80+AC80</f>
        <v>0</v>
      </c>
      <c r="F80" s="304">
        <f>H80-AB80</f>
        <v>0</v>
      </c>
      <c r="G80" s="304">
        <f>F80-D80</f>
        <v>-3300</v>
      </c>
      <c r="H80" s="303">
        <f>I80+W80</f>
        <v>0</v>
      </c>
      <c r="I80" s="303"/>
      <c r="J80" s="303"/>
      <c r="K80" s="303"/>
      <c r="L80" s="303"/>
      <c r="M80" s="303"/>
      <c r="N80" s="303"/>
      <c r="O80" s="303"/>
      <c r="P80" s="303"/>
      <c r="Q80" s="303"/>
      <c r="R80" s="303"/>
      <c r="S80" s="303"/>
      <c r="T80" s="303"/>
      <c r="U80" s="303"/>
      <c r="V80" s="303"/>
      <c r="W80" s="303">
        <f>Z80+AA80</f>
        <v>0</v>
      </c>
      <c r="X80" s="303"/>
      <c r="Y80" s="303"/>
      <c r="Z80" s="303"/>
      <c r="AA80" s="303"/>
      <c r="AB80" s="303"/>
      <c r="AC80" s="303"/>
      <c r="AD80" s="303"/>
      <c r="AE80" s="303"/>
      <c r="AF80" s="1274" t="s">
        <v>2042</v>
      </c>
      <c r="AG80" s="314">
        <f t="shared" ref="AG80:AG143" si="97">E80-F80-AC80</f>
        <v>0</v>
      </c>
      <c r="AH80" s="696">
        <f t="shared" ref="AH80:AH143" si="98">F80-H80+AB80</f>
        <v>0</v>
      </c>
      <c r="AI80" s="314">
        <f t="shared" ref="AI80:AI143" si="99">H80-I80-W80</f>
        <v>0</v>
      </c>
      <c r="AJ80" s="314">
        <f t="shared" ref="AJ80:AJ143" si="100">I80-M80-P80</f>
        <v>0</v>
      </c>
      <c r="AK80" s="314">
        <f t="shared" ref="AK80:AK143" si="101">J80-K80-L80</f>
        <v>0</v>
      </c>
      <c r="AL80" s="314">
        <f t="shared" ref="AL80:AL143" si="102">M80-N80-O80</f>
        <v>0</v>
      </c>
      <c r="AM80" s="314">
        <f t="shared" ref="AM80:AM143" si="103">P80-S80-T80</f>
        <v>0</v>
      </c>
      <c r="AN80" s="314">
        <f t="shared" ref="AN80:AN143" si="104">T80-U80-V80</f>
        <v>0</v>
      </c>
      <c r="AO80" s="314">
        <f t="shared" ref="AO80:AO143" si="105">W80-Z80-AA80</f>
        <v>0</v>
      </c>
      <c r="AP80" s="314">
        <f t="shared" ref="AP80:AP143" si="106">AC80+AA80+Z80+V80+U80+S80+O80+N80-AB80-E80</f>
        <v>0</v>
      </c>
    </row>
    <row r="81" spans="1:42" s="314" customFormat="1">
      <c r="A81" s="592" t="s">
        <v>49</v>
      </c>
      <c r="B81" s="320" t="s">
        <v>1444</v>
      </c>
      <c r="C81" s="315"/>
      <c r="D81" s="297">
        <v>1213</v>
      </c>
      <c r="E81" s="297">
        <f t="shared" si="16"/>
        <v>1850</v>
      </c>
      <c r="F81" s="297">
        <f>H81-AB81</f>
        <v>1850</v>
      </c>
      <c r="G81" s="297">
        <f>F81-D81</f>
        <v>637</v>
      </c>
      <c r="H81" s="299">
        <f>I81+W81</f>
        <v>1850</v>
      </c>
      <c r="I81" s="299"/>
      <c r="J81" s="318"/>
      <c r="K81" s="318"/>
      <c r="L81" s="318"/>
      <c r="M81" s="299"/>
      <c r="N81" s="318"/>
      <c r="O81" s="318"/>
      <c r="P81" s="299"/>
      <c r="Q81" s="318"/>
      <c r="R81" s="319"/>
      <c r="S81" s="297"/>
      <c r="T81" s="299"/>
      <c r="U81" s="297"/>
      <c r="V81" s="297"/>
      <c r="W81" s="299">
        <f>Z81+AA81</f>
        <v>1850</v>
      </c>
      <c r="X81" s="299"/>
      <c r="Y81" s="299"/>
      <c r="Z81" s="299">
        <v>1850</v>
      </c>
      <c r="AA81" s="299"/>
      <c r="AB81" s="299"/>
      <c r="AC81" s="299"/>
      <c r="AD81" s="299">
        <v>185</v>
      </c>
      <c r="AE81" s="299">
        <f>E81-AD81</f>
        <v>1665</v>
      </c>
      <c r="AF81" s="321"/>
      <c r="AG81" s="314">
        <f t="shared" si="97"/>
        <v>0</v>
      </c>
      <c r="AH81" s="696">
        <f t="shared" si="98"/>
        <v>0</v>
      </c>
      <c r="AI81" s="314">
        <f t="shared" si="99"/>
        <v>0</v>
      </c>
      <c r="AJ81" s="314">
        <f t="shared" si="100"/>
        <v>0</v>
      </c>
      <c r="AK81" s="314">
        <f t="shared" si="101"/>
        <v>0</v>
      </c>
      <c r="AL81" s="314">
        <f t="shared" si="102"/>
        <v>0</v>
      </c>
      <c r="AM81" s="314">
        <f t="shared" si="103"/>
        <v>0</v>
      </c>
      <c r="AN81" s="314">
        <f t="shared" si="104"/>
        <v>0</v>
      </c>
      <c r="AO81" s="314">
        <f t="shared" si="105"/>
        <v>0</v>
      </c>
      <c r="AP81" s="314">
        <f t="shared" si="106"/>
        <v>0</v>
      </c>
    </row>
    <row r="82" spans="1:42" s="314" customFormat="1">
      <c r="A82" s="592" t="s">
        <v>36</v>
      </c>
      <c r="B82" s="320" t="s">
        <v>1431</v>
      </c>
      <c r="C82" s="315" t="s">
        <v>728</v>
      </c>
      <c r="D82" s="297">
        <f>D83+D84</f>
        <v>29878</v>
      </c>
      <c r="E82" s="297">
        <f>E83+E84</f>
        <v>30878</v>
      </c>
      <c r="F82" s="297">
        <f>F83+F84</f>
        <v>30878</v>
      </c>
      <c r="G82" s="297">
        <f>G83+G84</f>
        <v>1000</v>
      </c>
      <c r="H82" s="297">
        <f t="shared" ref="H82:AE82" si="107">H83+H84</f>
        <v>30878</v>
      </c>
      <c r="I82" s="297">
        <f t="shared" si="107"/>
        <v>0</v>
      </c>
      <c r="J82" s="297">
        <f t="shared" si="107"/>
        <v>0</v>
      </c>
      <c r="K82" s="297">
        <f t="shared" si="107"/>
        <v>0</v>
      </c>
      <c r="L82" s="297">
        <f t="shared" si="107"/>
        <v>0</v>
      </c>
      <c r="M82" s="297">
        <f t="shared" si="107"/>
        <v>0</v>
      </c>
      <c r="N82" s="297">
        <f t="shared" si="107"/>
        <v>0</v>
      </c>
      <c r="O82" s="297">
        <f t="shared" si="107"/>
        <v>0</v>
      </c>
      <c r="P82" s="297">
        <f t="shared" si="107"/>
        <v>0</v>
      </c>
      <c r="Q82" s="297">
        <f t="shared" si="107"/>
        <v>0</v>
      </c>
      <c r="R82" s="297">
        <f t="shared" si="107"/>
        <v>0</v>
      </c>
      <c r="S82" s="297">
        <f t="shared" si="107"/>
        <v>0</v>
      </c>
      <c r="T82" s="297">
        <f t="shared" si="107"/>
        <v>0</v>
      </c>
      <c r="U82" s="297">
        <f t="shared" si="107"/>
        <v>0</v>
      </c>
      <c r="V82" s="297">
        <f t="shared" si="107"/>
        <v>0</v>
      </c>
      <c r="W82" s="297">
        <f t="shared" si="107"/>
        <v>30878</v>
      </c>
      <c r="X82" s="297">
        <f t="shared" si="107"/>
        <v>0</v>
      </c>
      <c r="Y82" s="297">
        <f t="shared" si="107"/>
        <v>0</v>
      </c>
      <c r="Z82" s="297">
        <f t="shared" si="107"/>
        <v>29878</v>
      </c>
      <c r="AA82" s="297">
        <f t="shared" si="107"/>
        <v>1000</v>
      </c>
      <c r="AB82" s="297">
        <f t="shared" si="107"/>
        <v>0</v>
      </c>
      <c r="AC82" s="297">
        <f t="shared" si="107"/>
        <v>0</v>
      </c>
      <c r="AD82" s="297">
        <f t="shared" si="107"/>
        <v>1073</v>
      </c>
      <c r="AE82" s="297">
        <f t="shared" si="107"/>
        <v>29805</v>
      </c>
      <c r="AF82" s="321"/>
      <c r="AG82" s="314">
        <f t="shared" si="97"/>
        <v>0</v>
      </c>
      <c r="AH82" s="696">
        <f t="shared" si="98"/>
        <v>0</v>
      </c>
      <c r="AI82" s="314">
        <f t="shared" si="99"/>
        <v>0</v>
      </c>
      <c r="AJ82" s="314">
        <f t="shared" si="100"/>
        <v>0</v>
      </c>
      <c r="AK82" s="314">
        <f t="shared" si="101"/>
        <v>0</v>
      </c>
      <c r="AL82" s="314">
        <f t="shared" si="102"/>
        <v>0</v>
      </c>
      <c r="AM82" s="314">
        <f t="shared" si="103"/>
        <v>0</v>
      </c>
      <c r="AN82" s="314">
        <f t="shared" si="104"/>
        <v>0</v>
      </c>
      <c r="AO82" s="314">
        <f t="shared" si="105"/>
        <v>0</v>
      </c>
      <c r="AP82" s="314">
        <f t="shared" si="106"/>
        <v>0</v>
      </c>
    </row>
    <row r="83" spans="1:42" outlineLevel="1">
      <c r="A83" s="593" t="s">
        <v>45</v>
      </c>
      <c r="B83" s="316" t="s">
        <v>1432</v>
      </c>
      <c r="C83" s="302"/>
      <c r="D83" s="304">
        <v>15088</v>
      </c>
      <c r="E83" s="304">
        <f t="shared" si="16"/>
        <v>15088</v>
      </c>
      <c r="F83" s="304">
        <f>H83-AB83</f>
        <v>15088</v>
      </c>
      <c r="G83" s="304">
        <f>F83-D83</f>
        <v>0</v>
      </c>
      <c r="H83" s="303">
        <f t="shared" ref="H83:H85" si="108">I83+W83</f>
        <v>15088</v>
      </c>
      <c r="I83" s="299"/>
      <c r="J83" s="311"/>
      <c r="K83" s="311"/>
      <c r="L83" s="311"/>
      <c r="M83" s="303"/>
      <c r="N83" s="311"/>
      <c r="O83" s="311"/>
      <c r="P83" s="299"/>
      <c r="Q83" s="311"/>
      <c r="R83" s="312"/>
      <c r="S83" s="304"/>
      <c r="T83" s="299"/>
      <c r="U83" s="304"/>
      <c r="V83" s="304"/>
      <c r="W83" s="303">
        <f t="shared" ref="W83:W85" si="109">Z83+AA83</f>
        <v>15088</v>
      </c>
      <c r="X83" s="303"/>
      <c r="Y83" s="303"/>
      <c r="Z83" s="304">
        <v>15088</v>
      </c>
      <c r="AA83" s="304"/>
      <c r="AB83" s="304"/>
      <c r="AC83" s="304"/>
      <c r="AD83" s="304">
        <v>0</v>
      </c>
      <c r="AE83" s="303">
        <f>E83-AD83</f>
        <v>15088</v>
      </c>
      <c r="AF83" s="317"/>
      <c r="AG83" s="314">
        <f t="shared" si="97"/>
        <v>0</v>
      </c>
      <c r="AH83" s="696">
        <f t="shared" si="98"/>
        <v>0</v>
      </c>
      <c r="AI83" s="314">
        <f t="shared" si="99"/>
        <v>0</v>
      </c>
      <c r="AJ83" s="314">
        <f t="shared" si="100"/>
        <v>0</v>
      </c>
      <c r="AK83" s="314">
        <f t="shared" si="101"/>
        <v>0</v>
      </c>
      <c r="AL83" s="314">
        <f t="shared" si="102"/>
        <v>0</v>
      </c>
      <c r="AM83" s="314">
        <f t="shared" si="103"/>
        <v>0</v>
      </c>
      <c r="AN83" s="314">
        <f t="shared" si="104"/>
        <v>0</v>
      </c>
      <c r="AO83" s="314">
        <f t="shared" si="105"/>
        <v>0</v>
      </c>
      <c r="AP83" s="314">
        <f t="shared" si="106"/>
        <v>0</v>
      </c>
    </row>
    <row r="84" spans="1:42" ht="69" outlineLevel="1">
      <c r="A84" s="593" t="s">
        <v>47</v>
      </c>
      <c r="B84" s="324" t="s">
        <v>2053</v>
      </c>
      <c r="C84" s="302"/>
      <c r="D84" s="304">
        <v>14790</v>
      </c>
      <c r="E84" s="304">
        <f t="shared" si="16"/>
        <v>15790</v>
      </c>
      <c r="F84" s="304">
        <f>H84-AB84</f>
        <v>15790</v>
      </c>
      <c r="G84" s="304">
        <f>F84-D84</f>
        <v>1000</v>
      </c>
      <c r="H84" s="303">
        <f t="shared" si="108"/>
        <v>15790</v>
      </c>
      <c r="I84" s="299"/>
      <c r="J84" s="311"/>
      <c r="K84" s="311"/>
      <c r="L84" s="311"/>
      <c r="M84" s="303"/>
      <c r="N84" s="311"/>
      <c r="O84" s="311"/>
      <c r="P84" s="299"/>
      <c r="Q84" s="311"/>
      <c r="R84" s="312"/>
      <c r="S84" s="304"/>
      <c r="T84" s="299"/>
      <c r="U84" s="304"/>
      <c r="V84" s="304"/>
      <c r="W84" s="303">
        <f t="shared" si="109"/>
        <v>15790</v>
      </c>
      <c r="X84" s="303"/>
      <c r="Y84" s="303"/>
      <c r="Z84" s="304">
        <v>14790</v>
      </c>
      <c r="AA84" s="304">
        <v>1000</v>
      </c>
      <c r="AB84" s="304"/>
      <c r="AC84" s="304"/>
      <c r="AD84" s="304">
        <v>1073</v>
      </c>
      <c r="AE84" s="303">
        <f>E84-AD84</f>
        <v>14717</v>
      </c>
      <c r="AF84" s="317"/>
      <c r="AG84" s="314">
        <f t="shared" si="97"/>
        <v>0</v>
      </c>
      <c r="AH84" s="696">
        <f t="shared" si="98"/>
        <v>0</v>
      </c>
      <c r="AI84" s="314">
        <f t="shared" si="99"/>
        <v>0</v>
      </c>
      <c r="AJ84" s="314">
        <f t="shared" si="100"/>
        <v>0</v>
      </c>
      <c r="AK84" s="314">
        <f t="shared" si="101"/>
        <v>0</v>
      </c>
      <c r="AL84" s="314">
        <f t="shared" si="102"/>
        <v>0</v>
      </c>
      <c r="AM84" s="314">
        <f t="shared" si="103"/>
        <v>0</v>
      </c>
      <c r="AN84" s="314">
        <f t="shared" si="104"/>
        <v>0</v>
      </c>
      <c r="AO84" s="314">
        <f t="shared" si="105"/>
        <v>0</v>
      </c>
      <c r="AP84" s="314">
        <f t="shared" si="106"/>
        <v>0</v>
      </c>
    </row>
    <row r="85" spans="1:42" ht="55.2" outlineLevel="1">
      <c r="A85" s="593"/>
      <c r="B85" s="316" t="s">
        <v>2054</v>
      </c>
      <c r="C85" s="302"/>
      <c r="D85" s="304">
        <v>4000</v>
      </c>
      <c r="E85" s="304">
        <f t="shared" ref="E85:E154" si="110">F85+AC85</f>
        <v>4000</v>
      </c>
      <c r="F85" s="304">
        <f>H85-AB85</f>
        <v>4000</v>
      </c>
      <c r="G85" s="304">
        <f>F85-D85</f>
        <v>0</v>
      </c>
      <c r="H85" s="303">
        <f t="shared" si="108"/>
        <v>4000</v>
      </c>
      <c r="I85" s="299"/>
      <c r="J85" s="311"/>
      <c r="K85" s="311"/>
      <c r="L85" s="311"/>
      <c r="M85" s="303"/>
      <c r="N85" s="311"/>
      <c r="O85" s="311"/>
      <c r="P85" s="299"/>
      <c r="Q85" s="311"/>
      <c r="R85" s="312"/>
      <c r="S85" s="304"/>
      <c r="T85" s="299"/>
      <c r="U85" s="304"/>
      <c r="V85" s="304"/>
      <c r="W85" s="303">
        <f t="shared" si="109"/>
        <v>4000</v>
      </c>
      <c r="X85" s="303"/>
      <c r="Y85" s="303"/>
      <c r="Z85" s="304">
        <v>4000</v>
      </c>
      <c r="AA85" s="304"/>
      <c r="AB85" s="304"/>
      <c r="AC85" s="304"/>
      <c r="AD85" s="304">
        <v>400</v>
      </c>
      <c r="AE85" s="303">
        <f>E85-AD85</f>
        <v>3600</v>
      </c>
      <c r="AF85" s="317"/>
      <c r="AG85" s="314">
        <f t="shared" si="97"/>
        <v>0</v>
      </c>
      <c r="AH85" s="696">
        <f t="shared" si="98"/>
        <v>0</v>
      </c>
      <c r="AI85" s="314">
        <f t="shared" si="99"/>
        <v>0</v>
      </c>
      <c r="AJ85" s="314">
        <f t="shared" si="100"/>
        <v>0</v>
      </c>
      <c r="AK85" s="314">
        <f t="shared" si="101"/>
        <v>0</v>
      </c>
      <c r="AL85" s="314">
        <f t="shared" si="102"/>
        <v>0</v>
      </c>
      <c r="AM85" s="314">
        <f t="shared" si="103"/>
        <v>0</v>
      </c>
      <c r="AN85" s="314">
        <f t="shared" si="104"/>
        <v>0</v>
      </c>
      <c r="AO85" s="314">
        <f t="shared" si="105"/>
        <v>0</v>
      </c>
      <c r="AP85" s="314">
        <f t="shared" si="106"/>
        <v>0</v>
      </c>
    </row>
    <row r="86" spans="1:42" s="313" customFormat="1">
      <c r="A86" s="592" t="s">
        <v>26</v>
      </c>
      <c r="B86" s="645" t="s">
        <v>1475</v>
      </c>
      <c r="C86" s="297"/>
      <c r="D86" s="297">
        <f t="shared" ref="D86" si="111">D87+D100</f>
        <v>35340</v>
      </c>
      <c r="E86" s="297">
        <f>E87+E100</f>
        <v>35335</v>
      </c>
      <c r="F86" s="297">
        <f>F87+F100</f>
        <v>34699</v>
      </c>
      <c r="G86" s="297">
        <f>G87+G100</f>
        <v>-641</v>
      </c>
      <c r="H86" s="297">
        <f t="shared" ref="H86:AE86" si="112">H87+H100</f>
        <v>34699</v>
      </c>
      <c r="I86" s="297">
        <f t="shared" si="112"/>
        <v>8701</v>
      </c>
      <c r="J86" s="297">
        <f t="shared" si="112"/>
        <v>57</v>
      </c>
      <c r="K86" s="297">
        <f t="shared" si="112"/>
        <v>54</v>
      </c>
      <c r="L86" s="297">
        <f t="shared" si="112"/>
        <v>3</v>
      </c>
      <c r="M86" s="297">
        <f t="shared" si="112"/>
        <v>6269</v>
      </c>
      <c r="N86" s="297">
        <f t="shared" si="112"/>
        <v>6073</v>
      </c>
      <c r="O86" s="297">
        <f t="shared" si="112"/>
        <v>196</v>
      </c>
      <c r="P86" s="297">
        <f t="shared" si="112"/>
        <v>2432</v>
      </c>
      <c r="Q86" s="297"/>
      <c r="R86" s="297"/>
      <c r="S86" s="297">
        <f t="shared" si="112"/>
        <v>2432</v>
      </c>
      <c r="T86" s="297">
        <f t="shared" si="112"/>
        <v>0</v>
      </c>
      <c r="U86" s="297">
        <f t="shared" si="112"/>
        <v>0</v>
      </c>
      <c r="V86" s="297">
        <f t="shared" si="112"/>
        <v>0</v>
      </c>
      <c r="W86" s="297">
        <f t="shared" si="112"/>
        <v>25998</v>
      </c>
      <c r="X86" s="297">
        <f t="shared" si="112"/>
        <v>0</v>
      </c>
      <c r="Y86" s="297">
        <f t="shared" si="112"/>
        <v>0</v>
      </c>
      <c r="Z86" s="297">
        <f t="shared" si="112"/>
        <v>25998</v>
      </c>
      <c r="AA86" s="297">
        <f t="shared" si="112"/>
        <v>0</v>
      </c>
      <c r="AB86" s="297">
        <f t="shared" si="112"/>
        <v>0</v>
      </c>
      <c r="AC86" s="297">
        <f t="shared" si="112"/>
        <v>636</v>
      </c>
      <c r="AD86" s="297">
        <f t="shared" si="112"/>
        <v>1526</v>
      </c>
      <c r="AE86" s="297">
        <f t="shared" si="112"/>
        <v>33809</v>
      </c>
      <c r="AF86" s="1271"/>
      <c r="AG86" s="314">
        <f t="shared" si="97"/>
        <v>0</v>
      </c>
      <c r="AH86" s="696">
        <f t="shared" si="98"/>
        <v>0</v>
      </c>
      <c r="AI86" s="314">
        <f t="shared" si="99"/>
        <v>0</v>
      </c>
      <c r="AJ86" s="314">
        <f t="shared" si="100"/>
        <v>0</v>
      </c>
      <c r="AK86" s="314">
        <f t="shared" si="101"/>
        <v>0</v>
      </c>
      <c r="AL86" s="314">
        <f t="shared" si="102"/>
        <v>0</v>
      </c>
      <c r="AM86" s="314">
        <f t="shared" si="103"/>
        <v>0</v>
      </c>
      <c r="AN86" s="314">
        <f t="shared" si="104"/>
        <v>0</v>
      </c>
      <c r="AO86" s="314">
        <f t="shared" si="105"/>
        <v>0</v>
      </c>
      <c r="AP86" s="314">
        <f t="shared" si="106"/>
        <v>0</v>
      </c>
    </row>
    <row r="87" spans="1:42" s="313" customFormat="1">
      <c r="A87" s="592" t="s">
        <v>42</v>
      </c>
      <c r="B87" s="645" t="s">
        <v>860</v>
      </c>
      <c r="C87" s="297"/>
      <c r="D87" s="297">
        <f t="shared" ref="D87" si="113">D88+D97</f>
        <v>35009</v>
      </c>
      <c r="E87" s="297">
        <f>E88+E97</f>
        <v>34947</v>
      </c>
      <c r="F87" s="297">
        <f>F88+F97</f>
        <v>34344</v>
      </c>
      <c r="G87" s="297">
        <f>G88+G97</f>
        <v>-665</v>
      </c>
      <c r="H87" s="297">
        <f t="shared" ref="H87:AE87" si="114">H88+H97</f>
        <v>34344</v>
      </c>
      <c r="I87" s="297">
        <f t="shared" si="114"/>
        <v>8346</v>
      </c>
      <c r="J87" s="297">
        <f t="shared" si="114"/>
        <v>54</v>
      </c>
      <c r="K87" s="297">
        <f t="shared" si="114"/>
        <v>53</v>
      </c>
      <c r="L87" s="297">
        <f t="shared" si="114"/>
        <v>1</v>
      </c>
      <c r="M87" s="297">
        <f t="shared" si="114"/>
        <v>6025</v>
      </c>
      <c r="N87" s="297">
        <f t="shared" si="114"/>
        <v>5960</v>
      </c>
      <c r="O87" s="297">
        <f t="shared" si="114"/>
        <v>65</v>
      </c>
      <c r="P87" s="297">
        <f t="shared" si="114"/>
        <v>2321</v>
      </c>
      <c r="Q87" s="297"/>
      <c r="R87" s="297"/>
      <c r="S87" s="297">
        <f t="shared" si="114"/>
        <v>2321</v>
      </c>
      <c r="T87" s="297">
        <f t="shared" si="114"/>
        <v>0</v>
      </c>
      <c r="U87" s="297">
        <f t="shared" si="114"/>
        <v>0</v>
      </c>
      <c r="V87" s="297">
        <f t="shared" si="114"/>
        <v>0</v>
      </c>
      <c r="W87" s="297">
        <f t="shared" si="114"/>
        <v>25998</v>
      </c>
      <c r="X87" s="297">
        <f t="shared" si="114"/>
        <v>0</v>
      </c>
      <c r="Y87" s="297">
        <f t="shared" si="114"/>
        <v>0</v>
      </c>
      <c r="Z87" s="297">
        <f t="shared" si="114"/>
        <v>25998</v>
      </c>
      <c r="AA87" s="297">
        <f t="shared" si="114"/>
        <v>0</v>
      </c>
      <c r="AB87" s="297">
        <f t="shared" si="114"/>
        <v>0</v>
      </c>
      <c r="AC87" s="297">
        <f t="shared" si="114"/>
        <v>603</v>
      </c>
      <c r="AD87" s="297">
        <f t="shared" si="114"/>
        <v>1516</v>
      </c>
      <c r="AE87" s="297">
        <f t="shared" si="114"/>
        <v>33431</v>
      </c>
      <c r="AF87" s="1271"/>
      <c r="AG87" s="314">
        <f t="shared" si="97"/>
        <v>0</v>
      </c>
      <c r="AH87" s="696">
        <f t="shared" si="98"/>
        <v>0</v>
      </c>
      <c r="AI87" s="314">
        <f t="shared" si="99"/>
        <v>0</v>
      </c>
      <c r="AJ87" s="314">
        <f t="shared" si="100"/>
        <v>0</v>
      </c>
      <c r="AK87" s="314">
        <f t="shared" si="101"/>
        <v>0</v>
      </c>
      <c r="AL87" s="314">
        <f t="shared" si="102"/>
        <v>0</v>
      </c>
      <c r="AM87" s="314">
        <f t="shared" si="103"/>
        <v>0</v>
      </c>
      <c r="AN87" s="314">
        <f t="shared" si="104"/>
        <v>0</v>
      </c>
      <c r="AO87" s="314">
        <f t="shared" si="105"/>
        <v>0</v>
      </c>
      <c r="AP87" s="314">
        <f t="shared" si="106"/>
        <v>0</v>
      </c>
    </row>
    <row r="88" spans="1:42" s="313" customFormat="1">
      <c r="A88" s="592" t="s">
        <v>45</v>
      </c>
      <c r="B88" s="357" t="s">
        <v>861</v>
      </c>
      <c r="C88" s="298" t="s">
        <v>756</v>
      </c>
      <c r="D88" s="297">
        <f>D89+D95+D92</f>
        <v>6748</v>
      </c>
      <c r="E88" s="297">
        <f>E89+E95+E92</f>
        <v>6343</v>
      </c>
      <c r="F88" s="297">
        <f>F89+F95+F92</f>
        <v>6079</v>
      </c>
      <c r="G88" s="297">
        <f>F88-D88</f>
        <v>-669</v>
      </c>
      <c r="H88" s="297">
        <f t="shared" ref="H88:W88" si="115">H89+H95+H92</f>
        <v>6079</v>
      </c>
      <c r="I88" s="297">
        <f t="shared" si="115"/>
        <v>6079</v>
      </c>
      <c r="J88" s="297">
        <f t="shared" si="115"/>
        <v>32</v>
      </c>
      <c r="K88" s="297">
        <f t="shared" si="115"/>
        <v>31</v>
      </c>
      <c r="L88" s="297">
        <f t="shared" si="115"/>
        <v>1</v>
      </c>
      <c r="M88" s="297">
        <f t="shared" si="115"/>
        <v>4396</v>
      </c>
      <c r="N88" s="297">
        <f t="shared" si="115"/>
        <v>4331</v>
      </c>
      <c r="O88" s="297">
        <f t="shared" si="115"/>
        <v>65</v>
      </c>
      <c r="P88" s="297">
        <f t="shared" si="115"/>
        <v>1683</v>
      </c>
      <c r="Q88" s="297"/>
      <c r="R88" s="297"/>
      <c r="S88" s="297">
        <f t="shared" si="115"/>
        <v>1683</v>
      </c>
      <c r="T88" s="297">
        <f t="shared" si="115"/>
        <v>0</v>
      </c>
      <c r="U88" s="297">
        <f t="shared" si="115"/>
        <v>0</v>
      </c>
      <c r="V88" s="297">
        <f t="shared" si="115"/>
        <v>0</v>
      </c>
      <c r="W88" s="297">
        <f t="shared" si="115"/>
        <v>0</v>
      </c>
      <c r="X88" s="297"/>
      <c r="Y88" s="297"/>
      <c r="Z88" s="297">
        <f t="shared" ref="Z88:AE88" si="116">Z89+Z95+Z92</f>
        <v>0</v>
      </c>
      <c r="AA88" s="297">
        <f t="shared" si="116"/>
        <v>0</v>
      </c>
      <c r="AB88" s="297">
        <f t="shared" si="116"/>
        <v>0</v>
      </c>
      <c r="AC88" s="297">
        <f t="shared" si="116"/>
        <v>264</v>
      </c>
      <c r="AD88" s="297">
        <f t="shared" si="116"/>
        <v>159</v>
      </c>
      <c r="AE88" s="297">
        <f t="shared" si="116"/>
        <v>6184</v>
      </c>
      <c r="AF88" s="321"/>
      <c r="AG88" s="314">
        <f t="shared" si="97"/>
        <v>0</v>
      </c>
      <c r="AH88" s="696">
        <f t="shared" si="98"/>
        <v>0</v>
      </c>
      <c r="AI88" s="314">
        <f t="shared" si="99"/>
        <v>0</v>
      </c>
      <c r="AJ88" s="314">
        <f t="shared" si="100"/>
        <v>0</v>
      </c>
      <c r="AK88" s="314">
        <f t="shared" si="101"/>
        <v>0</v>
      </c>
      <c r="AL88" s="314">
        <f t="shared" si="102"/>
        <v>0</v>
      </c>
      <c r="AM88" s="314">
        <f t="shared" si="103"/>
        <v>0</v>
      </c>
      <c r="AN88" s="314">
        <f t="shared" si="104"/>
        <v>0</v>
      </c>
      <c r="AO88" s="314">
        <f t="shared" si="105"/>
        <v>0</v>
      </c>
      <c r="AP88" s="314">
        <f t="shared" si="106"/>
        <v>0</v>
      </c>
    </row>
    <row r="89" spans="1:42" s="293" customFormat="1">
      <c r="A89" s="583" t="s">
        <v>1108</v>
      </c>
      <c r="B89" s="324" t="s">
        <v>862</v>
      </c>
      <c r="C89" s="304"/>
      <c r="D89" s="304">
        <f t="shared" ref="D89" si="117">D90+D91</f>
        <v>5618</v>
      </c>
      <c r="E89" s="304">
        <f>E90+E91</f>
        <v>6343</v>
      </c>
      <c r="F89" s="304">
        <f>F90+F91</f>
        <v>6079</v>
      </c>
      <c r="G89" s="304">
        <f>G90+G91</f>
        <v>461</v>
      </c>
      <c r="H89" s="304">
        <f t="shared" ref="H89:AE89" si="118">H90+H91</f>
        <v>6079</v>
      </c>
      <c r="I89" s="304">
        <f t="shared" si="118"/>
        <v>6079</v>
      </c>
      <c r="J89" s="304">
        <f t="shared" si="118"/>
        <v>32</v>
      </c>
      <c r="K89" s="304">
        <f t="shared" si="118"/>
        <v>31</v>
      </c>
      <c r="L89" s="304">
        <f t="shared" si="118"/>
        <v>1</v>
      </c>
      <c r="M89" s="304">
        <f t="shared" si="118"/>
        <v>4396</v>
      </c>
      <c r="N89" s="304">
        <f t="shared" si="118"/>
        <v>4331</v>
      </c>
      <c r="O89" s="304">
        <f t="shared" si="118"/>
        <v>65</v>
      </c>
      <c r="P89" s="304">
        <f t="shared" si="118"/>
        <v>1683</v>
      </c>
      <c r="Q89" s="304"/>
      <c r="R89" s="304"/>
      <c r="S89" s="304">
        <f t="shared" si="118"/>
        <v>1683</v>
      </c>
      <c r="T89" s="304">
        <f t="shared" si="118"/>
        <v>0</v>
      </c>
      <c r="U89" s="304">
        <f t="shared" si="118"/>
        <v>0</v>
      </c>
      <c r="V89" s="304">
        <f t="shared" si="118"/>
        <v>0</v>
      </c>
      <c r="W89" s="304">
        <f t="shared" si="118"/>
        <v>0</v>
      </c>
      <c r="X89" s="304">
        <f t="shared" si="118"/>
        <v>0</v>
      </c>
      <c r="Y89" s="304">
        <f t="shared" si="118"/>
        <v>0</v>
      </c>
      <c r="Z89" s="304">
        <f t="shared" si="118"/>
        <v>0</v>
      </c>
      <c r="AA89" s="304">
        <f t="shared" si="118"/>
        <v>0</v>
      </c>
      <c r="AB89" s="304">
        <f t="shared" si="118"/>
        <v>0</v>
      </c>
      <c r="AC89" s="304">
        <f t="shared" si="118"/>
        <v>264</v>
      </c>
      <c r="AD89" s="304">
        <f t="shared" si="118"/>
        <v>159</v>
      </c>
      <c r="AE89" s="304">
        <f t="shared" si="118"/>
        <v>6184</v>
      </c>
      <c r="AF89" s="317"/>
      <c r="AG89" s="314">
        <f t="shared" si="97"/>
        <v>0</v>
      </c>
      <c r="AH89" s="696">
        <f t="shared" si="98"/>
        <v>0</v>
      </c>
      <c r="AI89" s="314">
        <f t="shared" si="99"/>
        <v>0</v>
      </c>
      <c r="AJ89" s="314">
        <f t="shared" si="100"/>
        <v>0</v>
      </c>
      <c r="AK89" s="314">
        <f t="shared" si="101"/>
        <v>0</v>
      </c>
      <c r="AL89" s="314">
        <f t="shared" si="102"/>
        <v>0</v>
      </c>
      <c r="AM89" s="314">
        <f t="shared" si="103"/>
        <v>0</v>
      </c>
      <c r="AN89" s="314">
        <f t="shared" si="104"/>
        <v>0</v>
      </c>
      <c r="AO89" s="314">
        <f t="shared" si="105"/>
        <v>0</v>
      </c>
      <c r="AP89" s="314">
        <f t="shared" si="106"/>
        <v>0</v>
      </c>
    </row>
    <row r="90" spans="1:42" s="293" customFormat="1" outlineLevel="1">
      <c r="A90" s="593" t="s">
        <v>23</v>
      </c>
      <c r="B90" s="324" t="s">
        <v>863</v>
      </c>
      <c r="C90" s="304"/>
      <c r="D90" s="304">
        <v>3920</v>
      </c>
      <c r="E90" s="304">
        <f t="shared" si="110"/>
        <v>4394</v>
      </c>
      <c r="F90" s="304">
        <f>H90-AB90</f>
        <v>4394</v>
      </c>
      <c r="G90" s="304">
        <f>F90-D90</f>
        <v>474</v>
      </c>
      <c r="H90" s="303">
        <f t="shared" ref="H90:H91" si="119">I90+W90</f>
        <v>4394</v>
      </c>
      <c r="I90" s="303">
        <f>M90+P90</f>
        <v>4394</v>
      </c>
      <c r="J90" s="294">
        <v>24</v>
      </c>
      <c r="K90" s="294">
        <v>23</v>
      </c>
      <c r="L90" s="294">
        <f>J90-K90</f>
        <v>1</v>
      </c>
      <c r="M90" s="304">
        <f>N90+O90</f>
        <v>3127</v>
      </c>
      <c r="N90" s="294">
        <v>3062</v>
      </c>
      <c r="O90" s="294">
        <v>65</v>
      </c>
      <c r="P90" s="303">
        <f>S90+T90</f>
        <v>1267</v>
      </c>
      <c r="Q90" s="294">
        <v>33</v>
      </c>
      <c r="R90" s="305">
        <v>1.6</v>
      </c>
      <c r="S90" s="304">
        <f>ROUND(J90*Q90*R90,0)</f>
        <v>1267</v>
      </c>
      <c r="T90" s="303">
        <f>U90+V90</f>
        <v>0</v>
      </c>
      <c r="U90" s="304"/>
      <c r="V90" s="304"/>
      <c r="W90" s="303">
        <f>Z90+AA90</f>
        <v>0</v>
      </c>
      <c r="X90" s="303"/>
      <c r="Y90" s="303"/>
      <c r="Z90" s="304"/>
      <c r="AA90" s="304"/>
      <c r="AB90" s="304"/>
      <c r="AC90" s="304">
        <v>0</v>
      </c>
      <c r="AD90" s="304">
        <v>120</v>
      </c>
      <c r="AE90" s="303">
        <f>E90-AD90</f>
        <v>4274</v>
      </c>
      <c r="AF90" s="317"/>
      <c r="AG90" s="314">
        <f t="shared" si="97"/>
        <v>0</v>
      </c>
      <c r="AH90" s="696">
        <f t="shared" si="98"/>
        <v>0</v>
      </c>
      <c r="AI90" s="314">
        <f t="shared" si="99"/>
        <v>0</v>
      </c>
      <c r="AJ90" s="314">
        <f t="shared" si="100"/>
        <v>0</v>
      </c>
      <c r="AK90" s="314">
        <f t="shared" si="101"/>
        <v>0</v>
      </c>
      <c r="AL90" s="314">
        <f t="shared" si="102"/>
        <v>0</v>
      </c>
      <c r="AM90" s="314">
        <f t="shared" si="103"/>
        <v>0</v>
      </c>
      <c r="AN90" s="314">
        <f t="shared" si="104"/>
        <v>0</v>
      </c>
      <c r="AO90" s="314">
        <f t="shared" si="105"/>
        <v>0</v>
      </c>
      <c r="AP90" s="314">
        <f t="shared" si="106"/>
        <v>0</v>
      </c>
    </row>
    <row r="91" spans="1:42" s="293" customFormat="1" outlineLevel="1">
      <c r="A91" s="593" t="s">
        <v>23</v>
      </c>
      <c r="B91" s="324" t="s">
        <v>1586</v>
      </c>
      <c r="C91" s="304"/>
      <c r="D91" s="304">
        <v>1698</v>
      </c>
      <c r="E91" s="304">
        <f t="shared" si="110"/>
        <v>1949</v>
      </c>
      <c r="F91" s="304">
        <f>H91-AB91</f>
        <v>1685</v>
      </c>
      <c r="G91" s="304">
        <f>F91-D91</f>
        <v>-13</v>
      </c>
      <c r="H91" s="303">
        <f t="shared" si="119"/>
        <v>1685</v>
      </c>
      <c r="I91" s="303">
        <f>M91+P91</f>
        <v>1685</v>
      </c>
      <c r="J91" s="294">
        <v>8</v>
      </c>
      <c r="K91" s="294">
        <v>8</v>
      </c>
      <c r="L91" s="294">
        <f>J91-K91</f>
        <v>0</v>
      </c>
      <c r="M91" s="304">
        <f>N91+O91</f>
        <v>1269</v>
      </c>
      <c r="N91" s="294">
        <v>1269</v>
      </c>
      <c r="O91" s="294">
        <v>0</v>
      </c>
      <c r="P91" s="303">
        <f>S91+T91</f>
        <v>416</v>
      </c>
      <c r="Q91" s="294">
        <v>40</v>
      </c>
      <c r="R91" s="305">
        <v>1.3</v>
      </c>
      <c r="S91" s="304">
        <f t="shared" ref="S91" si="120">ROUND(J91*Q91*R91,0)</f>
        <v>416</v>
      </c>
      <c r="T91" s="303">
        <f>U91+V91</f>
        <v>0</v>
      </c>
      <c r="U91" s="304"/>
      <c r="V91" s="304"/>
      <c r="W91" s="303">
        <f>Z91+AA91</f>
        <v>0</v>
      </c>
      <c r="X91" s="303"/>
      <c r="Y91" s="303"/>
      <c r="Z91" s="304"/>
      <c r="AA91" s="304"/>
      <c r="AB91" s="304"/>
      <c r="AC91" s="304">
        <v>264</v>
      </c>
      <c r="AD91" s="304">
        <v>39</v>
      </c>
      <c r="AE91" s="303">
        <f>E91-AD91</f>
        <v>1910</v>
      </c>
      <c r="AF91" s="317"/>
      <c r="AG91" s="314">
        <f t="shared" si="97"/>
        <v>0</v>
      </c>
      <c r="AH91" s="696">
        <f t="shared" si="98"/>
        <v>0</v>
      </c>
      <c r="AI91" s="314">
        <f t="shared" si="99"/>
        <v>0</v>
      </c>
      <c r="AJ91" s="314">
        <f t="shared" si="100"/>
        <v>0</v>
      </c>
      <c r="AK91" s="314">
        <f t="shared" si="101"/>
        <v>0</v>
      </c>
      <c r="AL91" s="314">
        <f t="shared" si="102"/>
        <v>0</v>
      </c>
      <c r="AM91" s="314">
        <f t="shared" si="103"/>
        <v>0</v>
      </c>
      <c r="AN91" s="314">
        <f t="shared" si="104"/>
        <v>0</v>
      </c>
      <c r="AO91" s="314">
        <f t="shared" si="105"/>
        <v>0</v>
      </c>
      <c r="AP91" s="314">
        <f t="shared" si="106"/>
        <v>0</v>
      </c>
    </row>
    <row r="92" spans="1:42" s="293" customFormat="1" ht="27.6" hidden="1" outlineLevel="3">
      <c r="A92" s="593" t="s">
        <v>1110</v>
      </c>
      <c r="B92" s="324" t="s">
        <v>1521</v>
      </c>
      <c r="C92" s="304"/>
      <c r="D92" s="304">
        <f t="shared" ref="D92" si="121">D93+D94</f>
        <v>350</v>
      </c>
      <c r="E92" s="304">
        <f>E93+E94</f>
        <v>0</v>
      </c>
      <c r="F92" s="304">
        <f>F93+F94</f>
        <v>0</v>
      </c>
      <c r="G92" s="304">
        <f>F92-D92</f>
        <v>-350</v>
      </c>
      <c r="H92" s="304">
        <f>H93+H94</f>
        <v>0</v>
      </c>
      <c r="I92" s="304">
        <f t="shared" ref="I92:AE92" si="122">I93+I94</f>
        <v>0</v>
      </c>
      <c r="J92" s="304">
        <f t="shared" si="122"/>
        <v>0</v>
      </c>
      <c r="K92" s="304">
        <f t="shared" si="122"/>
        <v>0</v>
      </c>
      <c r="L92" s="304">
        <f t="shared" si="122"/>
        <v>0</v>
      </c>
      <c r="M92" s="304">
        <f t="shared" si="122"/>
        <v>0</v>
      </c>
      <c r="N92" s="304">
        <f t="shared" si="122"/>
        <v>0</v>
      </c>
      <c r="O92" s="304">
        <f t="shared" si="122"/>
        <v>0</v>
      </c>
      <c r="P92" s="304">
        <f t="shared" si="122"/>
        <v>0</v>
      </c>
      <c r="Q92" s="304"/>
      <c r="R92" s="304">
        <f t="shared" si="122"/>
        <v>0</v>
      </c>
      <c r="S92" s="304">
        <f t="shared" si="122"/>
        <v>0</v>
      </c>
      <c r="T92" s="304">
        <f t="shared" si="122"/>
        <v>0</v>
      </c>
      <c r="U92" s="304">
        <f t="shared" si="122"/>
        <v>0</v>
      </c>
      <c r="V92" s="304">
        <f t="shared" si="122"/>
        <v>0</v>
      </c>
      <c r="W92" s="304">
        <f>W93+W94</f>
        <v>0</v>
      </c>
      <c r="X92" s="304"/>
      <c r="Y92" s="304"/>
      <c r="Z92" s="304">
        <f t="shared" si="122"/>
        <v>0</v>
      </c>
      <c r="AA92" s="304">
        <f>AA93+AA94</f>
        <v>0</v>
      </c>
      <c r="AB92" s="304">
        <f>AB93+AB94</f>
        <v>0</v>
      </c>
      <c r="AC92" s="304">
        <f t="shared" ref="AC92" si="123">AC93+AC94</f>
        <v>0</v>
      </c>
      <c r="AD92" s="304">
        <f t="shared" si="122"/>
        <v>0</v>
      </c>
      <c r="AE92" s="304">
        <f t="shared" si="122"/>
        <v>0</v>
      </c>
      <c r="AF92" s="317" t="s">
        <v>2042</v>
      </c>
      <c r="AG92" s="314">
        <f t="shared" si="97"/>
        <v>0</v>
      </c>
      <c r="AH92" s="696">
        <f t="shared" si="98"/>
        <v>0</v>
      </c>
      <c r="AI92" s="314">
        <f t="shared" si="99"/>
        <v>0</v>
      </c>
      <c r="AJ92" s="314">
        <f t="shared" si="100"/>
        <v>0</v>
      </c>
      <c r="AK92" s="314">
        <f t="shared" si="101"/>
        <v>0</v>
      </c>
      <c r="AL92" s="314">
        <f t="shared" si="102"/>
        <v>0</v>
      </c>
      <c r="AM92" s="314">
        <f t="shared" si="103"/>
        <v>0</v>
      </c>
      <c r="AN92" s="314">
        <f t="shared" si="104"/>
        <v>0</v>
      </c>
      <c r="AO92" s="314">
        <f t="shared" si="105"/>
        <v>0</v>
      </c>
      <c r="AP92" s="314">
        <f t="shared" si="106"/>
        <v>0</v>
      </c>
    </row>
    <row r="93" spans="1:42" s="293" customFormat="1" hidden="1" outlineLevel="3">
      <c r="A93" s="593" t="s">
        <v>23</v>
      </c>
      <c r="B93" s="324" t="s">
        <v>863</v>
      </c>
      <c r="C93" s="304"/>
      <c r="D93" s="304">
        <v>140</v>
      </c>
      <c r="E93" s="304">
        <f t="shared" si="110"/>
        <v>0</v>
      </c>
      <c r="F93" s="304">
        <f>H93-AB93</f>
        <v>0</v>
      </c>
      <c r="G93" s="304">
        <f>F93-D93</f>
        <v>-140</v>
      </c>
      <c r="H93" s="303">
        <f t="shared" ref="H93:H100" si="124">I93+W93</f>
        <v>0</v>
      </c>
      <c r="I93" s="303">
        <f t="shared" ref="I93:I94" si="125">M93+P93</f>
        <v>0</v>
      </c>
      <c r="J93" s="294"/>
      <c r="K93" s="294">
        <v>0</v>
      </c>
      <c r="L93" s="294"/>
      <c r="M93" s="304">
        <f t="shared" ref="M93:M94" si="126">N93+O93</f>
        <v>0</v>
      </c>
      <c r="N93" s="294"/>
      <c r="O93" s="294"/>
      <c r="P93" s="303">
        <f t="shared" ref="P93:P94" si="127">S93+T93</f>
        <v>0</v>
      </c>
      <c r="Q93" s="311">
        <v>0</v>
      </c>
      <c r="R93" s="305"/>
      <c r="S93" s="304">
        <f>J93*Q93</f>
        <v>0</v>
      </c>
      <c r="T93" s="303">
        <f t="shared" ref="T93:T94" si="128">U93+V93</f>
        <v>0</v>
      </c>
      <c r="U93" s="304"/>
      <c r="V93" s="304"/>
      <c r="W93" s="303">
        <f>Z93+AA93</f>
        <v>0</v>
      </c>
      <c r="X93" s="303"/>
      <c r="Y93" s="303"/>
      <c r="Z93" s="304"/>
      <c r="AA93" s="304"/>
      <c r="AB93" s="304"/>
      <c r="AC93" s="304"/>
      <c r="AD93" s="304"/>
      <c r="AE93" s="303">
        <f>E93-AD93</f>
        <v>0</v>
      </c>
      <c r="AF93" s="317"/>
      <c r="AG93" s="314">
        <f t="shared" si="97"/>
        <v>0</v>
      </c>
      <c r="AH93" s="696">
        <f t="shared" si="98"/>
        <v>0</v>
      </c>
      <c r="AI93" s="314">
        <f t="shared" si="99"/>
        <v>0</v>
      </c>
      <c r="AJ93" s="314">
        <f t="shared" si="100"/>
        <v>0</v>
      </c>
      <c r="AK93" s="314">
        <f t="shared" si="101"/>
        <v>0</v>
      </c>
      <c r="AL93" s="314">
        <f t="shared" si="102"/>
        <v>0</v>
      </c>
      <c r="AM93" s="314">
        <f t="shared" si="103"/>
        <v>0</v>
      </c>
      <c r="AN93" s="314">
        <f t="shared" si="104"/>
        <v>0</v>
      </c>
      <c r="AO93" s="314">
        <f t="shared" si="105"/>
        <v>0</v>
      </c>
      <c r="AP93" s="314">
        <f t="shared" si="106"/>
        <v>0</v>
      </c>
    </row>
    <row r="94" spans="1:42" s="293" customFormat="1" hidden="1" outlineLevel="3">
      <c r="A94" s="593" t="s">
        <v>23</v>
      </c>
      <c r="B94" s="324" t="s">
        <v>1586</v>
      </c>
      <c r="C94" s="304"/>
      <c r="D94" s="304">
        <v>210</v>
      </c>
      <c r="E94" s="304">
        <f t="shared" si="110"/>
        <v>0</v>
      </c>
      <c r="F94" s="304">
        <f>H94-AB94</f>
        <v>0</v>
      </c>
      <c r="G94" s="304">
        <f>F94-D94</f>
        <v>-210</v>
      </c>
      <c r="H94" s="303">
        <f t="shared" si="124"/>
        <v>0</v>
      </c>
      <c r="I94" s="303">
        <f t="shared" si="125"/>
        <v>0</v>
      </c>
      <c r="J94" s="294"/>
      <c r="K94" s="294">
        <v>0</v>
      </c>
      <c r="L94" s="294"/>
      <c r="M94" s="304">
        <f t="shared" si="126"/>
        <v>0</v>
      </c>
      <c r="N94" s="294"/>
      <c r="O94" s="294"/>
      <c r="P94" s="303">
        <f t="shared" si="127"/>
        <v>0</v>
      </c>
      <c r="Q94" s="311">
        <v>0</v>
      </c>
      <c r="R94" s="305"/>
      <c r="S94" s="304">
        <f>J94*Q94</f>
        <v>0</v>
      </c>
      <c r="T94" s="303">
        <f t="shared" si="128"/>
        <v>0</v>
      </c>
      <c r="U94" s="304"/>
      <c r="V94" s="304"/>
      <c r="W94" s="303">
        <f>Z94+AA94</f>
        <v>0</v>
      </c>
      <c r="X94" s="303"/>
      <c r="Y94" s="303"/>
      <c r="Z94" s="304"/>
      <c r="AA94" s="304"/>
      <c r="AB94" s="304"/>
      <c r="AC94" s="304"/>
      <c r="AD94" s="304"/>
      <c r="AE94" s="303">
        <f>E94-AD94</f>
        <v>0</v>
      </c>
      <c r="AF94" s="317"/>
      <c r="AG94" s="314">
        <f t="shared" si="97"/>
        <v>0</v>
      </c>
      <c r="AH94" s="696">
        <f t="shared" si="98"/>
        <v>0</v>
      </c>
      <c r="AI94" s="314">
        <f t="shared" si="99"/>
        <v>0</v>
      </c>
      <c r="AJ94" s="314">
        <f t="shared" si="100"/>
        <v>0</v>
      </c>
      <c r="AK94" s="314">
        <f t="shared" si="101"/>
        <v>0</v>
      </c>
      <c r="AL94" s="314">
        <f t="shared" si="102"/>
        <v>0</v>
      </c>
      <c r="AM94" s="314">
        <f t="shared" si="103"/>
        <v>0</v>
      </c>
      <c r="AN94" s="314">
        <f t="shared" si="104"/>
        <v>0</v>
      </c>
      <c r="AO94" s="314">
        <f t="shared" si="105"/>
        <v>0</v>
      </c>
      <c r="AP94" s="314">
        <f t="shared" si="106"/>
        <v>0</v>
      </c>
    </row>
    <row r="95" spans="1:42" s="293" customFormat="1" ht="27.6" hidden="1" outlineLevel="3" collapsed="1">
      <c r="A95" s="583" t="s">
        <v>1110</v>
      </c>
      <c r="B95" s="1273" t="s">
        <v>1737</v>
      </c>
      <c r="C95" s="304"/>
      <c r="D95" s="304">
        <v>780</v>
      </c>
      <c r="E95" s="304">
        <f>E96</f>
        <v>0</v>
      </c>
      <c r="F95" s="304">
        <f>F96</f>
        <v>0</v>
      </c>
      <c r="G95" s="304">
        <f>G96</f>
        <v>-780</v>
      </c>
      <c r="H95" s="304">
        <f t="shared" ref="H95:AB95" si="129">H96</f>
        <v>0</v>
      </c>
      <c r="I95" s="304">
        <f t="shared" si="129"/>
        <v>0</v>
      </c>
      <c r="J95" s="304">
        <f t="shared" si="129"/>
        <v>0</v>
      </c>
      <c r="K95" s="304">
        <f t="shared" si="129"/>
        <v>0</v>
      </c>
      <c r="L95" s="304">
        <f t="shared" si="129"/>
        <v>0</v>
      </c>
      <c r="M95" s="304">
        <f t="shared" si="129"/>
        <v>0</v>
      </c>
      <c r="N95" s="304">
        <f t="shared" si="129"/>
        <v>0</v>
      </c>
      <c r="O95" s="304">
        <f t="shared" si="129"/>
        <v>0</v>
      </c>
      <c r="P95" s="304">
        <f t="shared" si="129"/>
        <v>0</v>
      </c>
      <c r="Q95" s="304">
        <f t="shared" si="129"/>
        <v>0</v>
      </c>
      <c r="R95" s="304">
        <f t="shared" si="129"/>
        <v>0</v>
      </c>
      <c r="S95" s="304">
        <f t="shared" si="129"/>
        <v>0</v>
      </c>
      <c r="T95" s="304">
        <f t="shared" si="129"/>
        <v>0</v>
      </c>
      <c r="U95" s="304">
        <f t="shared" si="129"/>
        <v>0</v>
      </c>
      <c r="V95" s="304">
        <f t="shared" si="129"/>
        <v>0</v>
      </c>
      <c r="W95" s="304">
        <f t="shared" si="129"/>
        <v>0</v>
      </c>
      <c r="X95" s="304">
        <f t="shared" si="129"/>
        <v>0</v>
      </c>
      <c r="Y95" s="304">
        <f t="shared" si="129"/>
        <v>0</v>
      </c>
      <c r="Z95" s="304">
        <f t="shared" si="129"/>
        <v>0</v>
      </c>
      <c r="AA95" s="304">
        <f t="shared" si="129"/>
        <v>0</v>
      </c>
      <c r="AB95" s="304">
        <f t="shared" si="129"/>
        <v>0</v>
      </c>
      <c r="AC95" s="304"/>
      <c r="AD95" s="304">
        <v>0</v>
      </c>
      <c r="AE95" s="303">
        <f>E95-AD95</f>
        <v>0</v>
      </c>
      <c r="AF95" s="317"/>
      <c r="AG95" s="314">
        <f t="shared" si="97"/>
        <v>0</v>
      </c>
      <c r="AH95" s="696">
        <f t="shared" si="98"/>
        <v>0</v>
      </c>
      <c r="AI95" s="314">
        <f t="shared" si="99"/>
        <v>0</v>
      </c>
      <c r="AJ95" s="314">
        <f t="shared" si="100"/>
        <v>0</v>
      </c>
      <c r="AK95" s="314">
        <f t="shared" si="101"/>
        <v>0</v>
      </c>
      <c r="AL95" s="314">
        <f t="shared" si="102"/>
        <v>0</v>
      </c>
      <c r="AM95" s="314">
        <f t="shared" si="103"/>
        <v>0</v>
      </c>
      <c r="AN95" s="314">
        <f t="shared" si="104"/>
        <v>0</v>
      </c>
      <c r="AO95" s="314">
        <f t="shared" si="105"/>
        <v>0</v>
      </c>
      <c r="AP95" s="314">
        <f t="shared" si="106"/>
        <v>0</v>
      </c>
    </row>
    <row r="96" spans="1:42" hidden="1" outlineLevel="3">
      <c r="A96" s="583" t="s">
        <v>23</v>
      </c>
      <c r="B96" s="316" t="s">
        <v>839</v>
      </c>
      <c r="C96" s="304"/>
      <c r="D96" s="304">
        <v>780</v>
      </c>
      <c r="E96" s="304">
        <f t="shared" si="110"/>
        <v>0</v>
      </c>
      <c r="F96" s="304">
        <f>H96-AB96</f>
        <v>0</v>
      </c>
      <c r="G96" s="304">
        <f t="shared" ref="G96:G102" si="130">F96-D96</f>
        <v>-780</v>
      </c>
      <c r="H96" s="303">
        <f>I96+W96</f>
        <v>0</v>
      </c>
      <c r="I96" s="303">
        <f>M96+P96</f>
        <v>0</v>
      </c>
      <c r="J96" s="294"/>
      <c r="K96" s="294"/>
      <c r="L96" s="294"/>
      <c r="M96" s="304"/>
      <c r="N96" s="294"/>
      <c r="O96" s="294"/>
      <c r="P96" s="303">
        <f>S96+T96</f>
        <v>0</v>
      </c>
      <c r="Q96" s="294"/>
      <c r="R96" s="305"/>
      <c r="S96" s="304"/>
      <c r="T96" s="303">
        <f>U96+V96</f>
        <v>0</v>
      </c>
      <c r="U96" s="304"/>
      <c r="V96" s="304"/>
      <c r="W96" s="303">
        <f>Z96+AA96</f>
        <v>0</v>
      </c>
      <c r="X96" s="303"/>
      <c r="Y96" s="303"/>
      <c r="Z96" s="304"/>
      <c r="AA96" s="304"/>
      <c r="AB96" s="304"/>
      <c r="AC96" s="304"/>
      <c r="AD96" s="304"/>
      <c r="AE96" s="303"/>
      <c r="AF96" s="317" t="s">
        <v>2042</v>
      </c>
      <c r="AG96" s="314">
        <f t="shared" si="97"/>
        <v>0</v>
      </c>
      <c r="AH96" s="696">
        <f t="shared" si="98"/>
        <v>0</v>
      </c>
      <c r="AI96" s="314">
        <f t="shared" si="99"/>
        <v>0</v>
      </c>
      <c r="AJ96" s="314">
        <f t="shared" si="100"/>
        <v>0</v>
      </c>
      <c r="AK96" s="314">
        <f t="shared" si="101"/>
        <v>0</v>
      </c>
      <c r="AL96" s="314">
        <f t="shared" si="102"/>
        <v>0</v>
      </c>
      <c r="AM96" s="314">
        <f t="shared" si="103"/>
        <v>0</v>
      </c>
      <c r="AN96" s="314">
        <f t="shared" si="104"/>
        <v>0</v>
      </c>
      <c r="AO96" s="314">
        <f t="shared" si="105"/>
        <v>0</v>
      </c>
      <c r="AP96" s="314">
        <f t="shared" si="106"/>
        <v>0</v>
      </c>
    </row>
    <row r="97" spans="1:42" s="313" customFormat="1">
      <c r="A97" s="592" t="s">
        <v>47</v>
      </c>
      <c r="B97" s="320" t="s">
        <v>731</v>
      </c>
      <c r="C97" s="298" t="s">
        <v>728</v>
      </c>
      <c r="D97" s="299">
        <f t="shared" ref="D97:Z97" si="131">D98+D99</f>
        <v>28261</v>
      </c>
      <c r="E97" s="299">
        <f>E98+E99</f>
        <v>28604</v>
      </c>
      <c r="F97" s="299">
        <f>F98+F99</f>
        <v>28265</v>
      </c>
      <c r="G97" s="299">
        <f t="shared" si="130"/>
        <v>4</v>
      </c>
      <c r="H97" s="299">
        <f t="shared" si="131"/>
        <v>28265</v>
      </c>
      <c r="I97" s="299">
        <f t="shared" si="131"/>
        <v>2267</v>
      </c>
      <c r="J97" s="299">
        <f t="shared" si="131"/>
        <v>22</v>
      </c>
      <c r="K97" s="299">
        <f t="shared" si="131"/>
        <v>22</v>
      </c>
      <c r="L97" s="299">
        <f t="shared" si="131"/>
        <v>0</v>
      </c>
      <c r="M97" s="299">
        <f t="shared" si="131"/>
        <v>1629</v>
      </c>
      <c r="N97" s="299">
        <f t="shared" si="131"/>
        <v>1629</v>
      </c>
      <c r="O97" s="299">
        <f t="shared" si="131"/>
        <v>0</v>
      </c>
      <c r="P97" s="299">
        <f t="shared" si="131"/>
        <v>638</v>
      </c>
      <c r="Q97" s="299"/>
      <c r="R97" s="299"/>
      <c r="S97" s="299">
        <f t="shared" si="131"/>
        <v>638</v>
      </c>
      <c r="T97" s="299">
        <f t="shared" si="131"/>
        <v>0</v>
      </c>
      <c r="U97" s="299">
        <f t="shared" si="131"/>
        <v>0</v>
      </c>
      <c r="V97" s="299">
        <f t="shared" si="131"/>
        <v>0</v>
      </c>
      <c r="W97" s="299">
        <f>W98+W99</f>
        <v>25998</v>
      </c>
      <c r="X97" s="299"/>
      <c r="Y97" s="299"/>
      <c r="Z97" s="299">
        <f t="shared" si="131"/>
        <v>25998</v>
      </c>
      <c r="AA97" s="299">
        <f>AA98+AA99</f>
        <v>0</v>
      </c>
      <c r="AB97" s="299">
        <f>AB98+AB99</f>
        <v>0</v>
      </c>
      <c r="AC97" s="299">
        <f>AC98+AC99</f>
        <v>339</v>
      </c>
      <c r="AD97" s="299">
        <f>AD98+AD99</f>
        <v>1357</v>
      </c>
      <c r="AE97" s="299">
        <f>AE98+AE99</f>
        <v>27247</v>
      </c>
      <c r="AF97" s="321"/>
      <c r="AG97" s="314">
        <f t="shared" si="97"/>
        <v>0</v>
      </c>
      <c r="AH97" s="696">
        <f t="shared" si="98"/>
        <v>0</v>
      </c>
      <c r="AI97" s="314">
        <f t="shared" si="99"/>
        <v>0</v>
      </c>
      <c r="AJ97" s="314">
        <f t="shared" si="100"/>
        <v>0</v>
      </c>
      <c r="AK97" s="314">
        <f t="shared" si="101"/>
        <v>0</v>
      </c>
      <c r="AL97" s="314">
        <f t="shared" si="102"/>
        <v>0</v>
      </c>
      <c r="AM97" s="314">
        <f t="shared" si="103"/>
        <v>0</v>
      </c>
      <c r="AN97" s="314">
        <f t="shared" si="104"/>
        <v>0</v>
      </c>
      <c r="AO97" s="314">
        <f t="shared" si="105"/>
        <v>0</v>
      </c>
      <c r="AP97" s="314">
        <f t="shared" si="106"/>
        <v>0</v>
      </c>
    </row>
    <row r="98" spans="1:42" s="293" customFormat="1">
      <c r="A98" s="583" t="s">
        <v>891</v>
      </c>
      <c r="B98" s="316" t="s">
        <v>864</v>
      </c>
      <c r="C98" s="304"/>
      <c r="D98" s="304">
        <v>2263</v>
      </c>
      <c r="E98" s="304">
        <f t="shared" si="110"/>
        <v>2606</v>
      </c>
      <c r="F98" s="304">
        <f>H98-AB98</f>
        <v>2267</v>
      </c>
      <c r="G98" s="304">
        <f t="shared" si="130"/>
        <v>4</v>
      </c>
      <c r="H98" s="303">
        <f t="shared" si="124"/>
        <v>2267</v>
      </c>
      <c r="I98" s="303">
        <f>M98+P98</f>
        <v>2267</v>
      </c>
      <c r="J98" s="311">
        <v>22</v>
      </c>
      <c r="K98" s="311">
        <v>22</v>
      </c>
      <c r="L98" s="294">
        <f>J98-K98</f>
        <v>0</v>
      </c>
      <c r="M98" s="304">
        <f>N98+O98</f>
        <v>1629</v>
      </c>
      <c r="N98" s="311">
        <v>1629</v>
      </c>
      <c r="O98" s="311">
        <v>0</v>
      </c>
      <c r="P98" s="303">
        <f>S98+T98</f>
        <v>638</v>
      </c>
      <c r="Q98" s="294">
        <v>29</v>
      </c>
      <c r="R98" s="312">
        <v>1</v>
      </c>
      <c r="S98" s="304">
        <f>J98*Q98*R98</f>
        <v>638</v>
      </c>
      <c r="T98" s="303"/>
      <c r="U98" s="304"/>
      <c r="V98" s="304"/>
      <c r="W98" s="303">
        <f>Z98+AA98</f>
        <v>0</v>
      </c>
      <c r="X98" s="303"/>
      <c r="Y98" s="303"/>
      <c r="Z98" s="304"/>
      <c r="AA98" s="304"/>
      <c r="AB98" s="304"/>
      <c r="AC98" s="304">
        <v>339</v>
      </c>
      <c r="AD98" s="304">
        <v>57</v>
      </c>
      <c r="AE98" s="303">
        <f>E98-AD98</f>
        <v>2549</v>
      </c>
      <c r="AF98" s="317"/>
      <c r="AG98" s="314">
        <f t="shared" si="97"/>
        <v>0</v>
      </c>
      <c r="AH98" s="696">
        <f t="shared" si="98"/>
        <v>0</v>
      </c>
      <c r="AI98" s="314">
        <f t="shared" si="99"/>
        <v>0</v>
      </c>
      <c r="AJ98" s="314">
        <f t="shared" si="100"/>
        <v>0</v>
      </c>
      <c r="AK98" s="314">
        <f t="shared" si="101"/>
        <v>0</v>
      </c>
      <c r="AL98" s="314">
        <f t="shared" si="102"/>
        <v>0</v>
      </c>
      <c r="AM98" s="314">
        <f t="shared" si="103"/>
        <v>0</v>
      </c>
      <c r="AN98" s="314">
        <f t="shared" si="104"/>
        <v>0</v>
      </c>
      <c r="AO98" s="314">
        <f t="shared" si="105"/>
        <v>0</v>
      </c>
      <c r="AP98" s="314">
        <f t="shared" si="106"/>
        <v>0</v>
      </c>
    </row>
    <row r="99" spans="1:42" s="293" customFormat="1" ht="69">
      <c r="A99" s="593" t="s">
        <v>897</v>
      </c>
      <c r="B99" s="316" t="s">
        <v>2403</v>
      </c>
      <c r="C99" s="302"/>
      <c r="D99" s="304">
        <v>25998</v>
      </c>
      <c r="E99" s="304">
        <f t="shared" si="110"/>
        <v>25998</v>
      </c>
      <c r="F99" s="304">
        <f>H99-AB99</f>
        <v>25998</v>
      </c>
      <c r="G99" s="304">
        <f t="shared" si="130"/>
        <v>0</v>
      </c>
      <c r="H99" s="303">
        <f t="shared" si="124"/>
        <v>25998</v>
      </c>
      <c r="I99" s="303"/>
      <c r="J99" s="311"/>
      <c r="K99" s="311"/>
      <c r="L99" s="311"/>
      <c r="M99" s="303"/>
      <c r="N99" s="311"/>
      <c r="O99" s="311"/>
      <c r="P99" s="303"/>
      <c r="Q99" s="311"/>
      <c r="R99" s="312"/>
      <c r="S99" s="303"/>
      <c r="T99" s="303"/>
      <c r="U99" s="303"/>
      <c r="V99" s="303"/>
      <c r="W99" s="303">
        <f>X99*Y99</f>
        <v>25998</v>
      </c>
      <c r="X99" s="303">
        <f>(Z99+AA99)/Y99</f>
        <v>553.14893617021278</v>
      </c>
      <c r="Y99" s="303">
        <v>47</v>
      </c>
      <c r="Z99" s="303">
        <v>25998</v>
      </c>
      <c r="AA99" s="303"/>
      <c r="AB99" s="304"/>
      <c r="AC99" s="304"/>
      <c r="AD99" s="304">
        <v>1300</v>
      </c>
      <c r="AE99" s="303">
        <f>E99-AD99</f>
        <v>24698</v>
      </c>
      <c r="AF99" s="1263"/>
      <c r="AG99" s="314">
        <f t="shared" si="97"/>
        <v>0</v>
      </c>
      <c r="AH99" s="696">
        <f t="shared" si="98"/>
        <v>0</v>
      </c>
      <c r="AI99" s="314">
        <f t="shared" si="99"/>
        <v>0</v>
      </c>
      <c r="AJ99" s="314">
        <f t="shared" si="100"/>
        <v>0</v>
      </c>
      <c r="AK99" s="314">
        <f t="shared" si="101"/>
        <v>0</v>
      </c>
      <c r="AL99" s="314">
        <f t="shared" si="102"/>
        <v>0</v>
      </c>
      <c r="AM99" s="314">
        <f t="shared" si="103"/>
        <v>0</v>
      </c>
      <c r="AN99" s="314">
        <f t="shared" si="104"/>
        <v>0</v>
      </c>
      <c r="AO99" s="314">
        <f t="shared" si="105"/>
        <v>0</v>
      </c>
      <c r="AP99" s="314">
        <f t="shared" si="106"/>
        <v>0</v>
      </c>
    </row>
    <row r="100" spans="1:42" s="313" customFormat="1">
      <c r="A100" s="592" t="s">
        <v>52</v>
      </c>
      <c r="B100" s="357" t="s">
        <v>1474</v>
      </c>
      <c r="C100" s="298" t="s">
        <v>756</v>
      </c>
      <c r="D100" s="297">
        <v>331</v>
      </c>
      <c r="E100" s="297">
        <f t="shared" si="110"/>
        <v>388</v>
      </c>
      <c r="F100" s="297">
        <f>H100-AB100</f>
        <v>355</v>
      </c>
      <c r="G100" s="297">
        <f t="shared" si="130"/>
        <v>24</v>
      </c>
      <c r="H100" s="299">
        <f t="shared" si="124"/>
        <v>355</v>
      </c>
      <c r="I100" s="299">
        <f>M100+P100</f>
        <v>355</v>
      </c>
      <c r="J100" s="300">
        <v>3</v>
      </c>
      <c r="K100" s="300">
        <v>1</v>
      </c>
      <c r="L100" s="300">
        <f>J100-K100</f>
        <v>2</v>
      </c>
      <c r="M100" s="297">
        <f>N100+O100</f>
        <v>244</v>
      </c>
      <c r="N100" s="300">
        <v>113</v>
      </c>
      <c r="O100" s="300">
        <v>131</v>
      </c>
      <c r="P100" s="299">
        <f>S100+T100</f>
        <v>111</v>
      </c>
      <c r="Q100" s="300">
        <v>37</v>
      </c>
      <c r="R100" s="301">
        <v>1</v>
      </c>
      <c r="S100" s="297">
        <f>ROUND(J100*Q100*R100,0)</f>
        <v>111</v>
      </c>
      <c r="T100" s="299"/>
      <c r="U100" s="297"/>
      <c r="V100" s="297"/>
      <c r="W100" s="299"/>
      <c r="X100" s="299"/>
      <c r="Y100" s="299"/>
      <c r="Z100" s="297"/>
      <c r="AA100" s="297"/>
      <c r="AB100" s="297"/>
      <c r="AC100" s="297">
        <v>33</v>
      </c>
      <c r="AD100" s="297">
        <v>10</v>
      </c>
      <c r="AE100" s="299">
        <f>E100-AD100</f>
        <v>378</v>
      </c>
      <c r="AF100" s="321"/>
      <c r="AG100" s="314">
        <f t="shared" si="97"/>
        <v>0</v>
      </c>
      <c r="AH100" s="696">
        <f t="shared" si="98"/>
        <v>0</v>
      </c>
      <c r="AI100" s="314">
        <f t="shared" si="99"/>
        <v>0</v>
      </c>
      <c r="AJ100" s="314">
        <f t="shared" si="100"/>
        <v>0</v>
      </c>
      <c r="AK100" s="314">
        <f t="shared" si="101"/>
        <v>0</v>
      </c>
      <c r="AL100" s="314">
        <f t="shared" si="102"/>
        <v>0</v>
      </c>
      <c r="AM100" s="314">
        <f t="shared" si="103"/>
        <v>0</v>
      </c>
      <c r="AN100" s="314">
        <f t="shared" si="104"/>
        <v>0</v>
      </c>
      <c r="AO100" s="314">
        <f t="shared" si="105"/>
        <v>0</v>
      </c>
      <c r="AP100" s="314">
        <f t="shared" si="106"/>
        <v>0</v>
      </c>
    </row>
    <row r="101" spans="1:42" s="314" customFormat="1">
      <c r="A101" s="592" t="s">
        <v>59</v>
      </c>
      <c r="B101" s="320" t="s">
        <v>865</v>
      </c>
      <c r="C101" s="297"/>
      <c r="D101" s="299">
        <f>D102+D108</f>
        <v>11596</v>
      </c>
      <c r="E101" s="299">
        <f>E102+E108</f>
        <v>10631</v>
      </c>
      <c r="F101" s="299">
        <f>F102+F108</f>
        <v>10631</v>
      </c>
      <c r="G101" s="299">
        <f t="shared" si="130"/>
        <v>-965</v>
      </c>
      <c r="H101" s="299">
        <f t="shared" ref="H101:P101" si="132">H102+H108</f>
        <v>10631</v>
      </c>
      <c r="I101" s="299">
        <f t="shared" si="132"/>
        <v>5462</v>
      </c>
      <c r="J101" s="318">
        <f t="shared" si="132"/>
        <v>32</v>
      </c>
      <c r="K101" s="318">
        <f t="shared" si="132"/>
        <v>32</v>
      </c>
      <c r="L101" s="318">
        <f t="shared" si="132"/>
        <v>0</v>
      </c>
      <c r="M101" s="299">
        <f t="shared" si="132"/>
        <v>3776</v>
      </c>
      <c r="N101" s="318">
        <f t="shared" si="132"/>
        <v>3776</v>
      </c>
      <c r="O101" s="318">
        <f t="shared" si="132"/>
        <v>0</v>
      </c>
      <c r="P101" s="299">
        <f t="shared" si="132"/>
        <v>1686</v>
      </c>
      <c r="Q101" s="318"/>
      <c r="R101" s="319"/>
      <c r="S101" s="299">
        <f>S102+S108</f>
        <v>1686</v>
      </c>
      <c r="T101" s="299">
        <f>T102+T108</f>
        <v>0</v>
      </c>
      <c r="U101" s="299">
        <f>U102+U108</f>
        <v>0</v>
      </c>
      <c r="V101" s="299">
        <f>V102+V108</f>
        <v>0</v>
      </c>
      <c r="W101" s="299">
        <f>W102+W108</f>
        <v>5169</v>
      </c>
      <c r="X101" s="299"/>
      <c r="Y101" s="299"/>
      <c r="Z101" s="299">
        <f t="shared" ref="Z101:AE101" si="133">Z102+Z108</f>
        <v>1797</v>
      </c>
      <c r="AA101" s="299">
        <f t="shared" si="133"/>
        <v>3372</v>
      </c>
      <c r="AB101" s="299">
        <f t="shared" si="133"/>
        <v>0</v>
      </c>
      <c r="AC101" s="299">
        <f t="shared" si="133"/>
        <v>0</v>
      </c>
      <c r="AD101" s="299">
        <f t="shared" si="133"/>
        <v>686</v>
      </c>
      <c r="AE101" s="299">
        <f t="shared" si="133"/>
        <v>9945</v>
      </c>
      <c r="AF101" s="321"/>
      <c r="AG101" s="314">
        <f t="shared" si="97"/>
        <v>0</v>
      </c>
      <c r="AH101" s="696">
        <f t="shared" si="98"/>
        <v>0</v>
      </c>
      <c r="AI101" s="314">
        <f t="shared" si="99"/>
        <v>0</v>
      </c>
      <c r="AJ101" s="314">
        <f t="shared" si="100"/>
        <v>0</v>
      </c>
      <c r="AK101" s="314">
        <f t="shared" si="101"/>
        <v>0</v>
      </c>
      <c r="AL101" s="314">
        <f t="shared" si="102"/>
        <v>0</v>
      </c>
      <c r="AM101" s="314">
        <f t="shared" si="103"/>
        <v>0</v>
      </c>
      <c r="AN101" s="314">
        <f t="shared" si="104"/>
        <v>0</v>
      </c>
      <c r="AO101" s="314">
        <f t="shared" si="105"/>
        <v>0</v>
      </c>
      <c r="AP101" s="314">
        <f t="shared" si="106"/>
        <v>0</v>
      </c>
    </row>
    <row r="102" spans="1:42" s="314" customFormat="1">
      <c r="A102" s="592" t="s">
        <v>285</v>
      </c>
      <c r="B102" s="357" t="s">
        <v>826</v>
      </c>
      <c r="C102" s="298" t="s">
        <v>756</v>
      </c>
      <c r="D102" s="297">
        <f>D103+D107+D105</f>
        <v>5265</v>
      </c>
      <c r="E102" s="297">
        <f>E103+E107+E105</f>
        <v>5462</v>
      </c>
      <c r="F102" s="297">
        <f>F103+F107+F105</f>
        <v>5462</v>
      </c>
      <c r="G102" s="297">
        <f t="shared" si="130"/>
        <v>197</v>
      </c>
      <c r="H102" s="297">
        <f t="shared" ref="H102:W102" si="134">H103+H107+H105</f>
        <v>5462</v>
      </c>
      <c r="I102" s="297">
        <f t="shared" si="134"/>
        <v>5462</v>
      </c>
      <c r="J102" s="297">
        <f t="shared" si="134"/>
        <v>32</v>
      </c>
      <c r="K102" s="297">
        <f t="shared" si="134"/>
        <v>32</v>
      </c>
      <c r="L102" s="297">
        <f t="shared" si="134"/>
        <v>0</v>
      </c>
      <c r="M102" s="297">
        <f t="shared" si="134"/>
        <v>3776</v>
      </c>
      <c r="N102" s="297">
        <f t="shared" si="134"/>
        <v>3776</v>
      </c>
      <c r="O102" s="297">
        <f t="shared" si="134"/>
        <v>0</v>
      </c>
      <c r="P102" s="297">
        <f t="shared" si="134"/>
        <v>1686</v>
      </c>
      <c r="Q102" s="297"/>
      <c r="R102" s="297"/>
      <c r="S102" s="297">
        <f t="shared" si="134"/>
        <v>1686</v>
      </c>
      <c r="T102" s="297">
        <f t="shared" si="134"/>
        <v>0</v>
      </c>
      <c r="U102" s="297">
        <f t="shared" si="134"/>
        <v>0</v>
      </c>
      <c r="V102" s="297">
        <f t="shared" si="134"/>
        <v>0</v>
      </c>
      <c r="W102" s="297">
        <f t="shared" si="134"/>
        <v>0</v>
      </c>
      <c r="X102" s="297"/>
      <c r="Y102" s="297"/>
      <c r="Z102" s="297">
        <f t="shared" ref="Z102:AE102" si="135">Z103+Z107+Z105</f>
        <v>0</v>
      </c>
      <c r="AA102" s="297">
        <f t="shared" si="135"/>
        <v>0</v>
      </c>
      <c r="AB102" s="297">
        <f t="shared" si="135"/>
        <v>0</v>
      </c>
      <c r="AC102" s="297">
        <f t="shared" si="135"/>
        <v>0</v>
      </c>
      <c r="AD102" s="297">
        <f t="shared" si="135"/>
        <v>169</v>
      </c>
      <c r="AE102" s="297">
        <f t="shared" si="135"/>
        <v>5293</v>
      </c>
      <c r="AF102" s="321"/>
      <c r="AG102" s="314">
        <f t="shared" si="97"/>
        <v>0</v>
      </c>
      <c r="AH102" s="696">
        <f t="shared" si="98"/>
        <v>0</v>
      </c>
      <c r="AI102" s="314">
        <f t="shared" si="99"/>
        <v>0</v>
      </c>
      <c r="AJ102" s="314">
        <f t="shared" si="100"/>
        <v>0</v>
      </c>
      <c r="AK102" s="314">
        <f t="shared" si="101"/>
        <v>0</v>
      </c>
      <c r="AL102" s="314">
        <f t="shared" si="102"/>
        <v>0</v>
      </c>
      <c r="AM102" s="314">
        <f t="shared" si="103"/>
        <v>0</v>
      </c>
      <c r="AN102" s="314">
        <f t="shared" si="104"/>
        <v>0</v>
      </c>
      <c r="AO102" s="314">
        <f t="shared" si="105"/>
        <v>0</v>
      </c>
      <c r="AP102" s="314">
        <f t="shared" si="106"/>
        <v>0</v>
      </c>
    </row>
    <row r="103" spans="1:42">
      <c r="A103" s="583" t="s">
        <v>45</v>
      </c>
      <c r="B103" s="324" t="s">
        <v>862</v>
      </c>
      <c r="C103" s="304"/>
      <c r="D103" s="303">
        <f t="shared" ref="D103:AE103" si="136">D104</f>
        <v>5055</v>
      </c>
      <c r="E103" s="303">
        <f>E104</f>
        <v>5462</v>
      </c>
      <c r="F103" s="303">
        <f>F104</f>
        <v>5462</v>
      </c>
      <c r="G103" s="303">
        <f>G104</f>
        <v>407</v>
      </c>
      <c r="H103" s="303">
        <f t="shared" si="136"/>
        <v>5462</v>
      </c>
      <c r="I103" s="303">
        <f t="shared" si="136"/>
        <v>5462</v>
      </c>
      <c r="J103" s="303">
        <f t="shared" si="136"/>
        <v>32</v>
      </c>
      <c r="K103" s="303">
        <f t="shared" si="136"/>
        <v>32</v>
      </c>
      <c r="L103" s="303">
        <f t="shared" si="136"/>
        <v>0</v>
      </c>
      <c r="M103" s="303">
        <f t="shared" si="136"/>
        <v>3776</v>
      </c>
      <c r="N103" s="303">
        <f t="shared" si="136"/>
        <v>3776</v>
      </c>
      <c r="O103" s="303">
        <f t="shared" si="136"/>
        <v>0</v>
      </c>
      <c r="P103" s="303">
        <f t="shared" si="136"/>
        <v>1686</v>
      </c>
      <c r="Q103" s="303"/>
      <c r="R103" s="303"/>
      <c r="S103" s="303">
        <f t="shared" si="136"/>
        <v>1686</v>
      </c>
      <c r="T103" s="303">
        <f t="shared" si="136"/>
        <v>0</v>
      </c>
      <c r="U103" s="303">
        <f t="shared" si="136"/>
        <v>0</v>
      </c>
      <c r="V103" s="303">
        <f t="shared" si="136"/>
        <v>0</v>
      </c>
      <c r="W103" s="303">
        <f t="shared" si="136"/>
        <v>0</v>
      </c>
      <c r="X103" s="303">
        <f t="shared" si="136"/>
        <v>0</v>
      </c>
      <c r="Y103" s="303">
        <f t="shared" si="136"/>
        <v>0</v>
      </c>
      <c r="Z103" s="303">
        <f t="shared" si="136"/>
        <v>0</v>
      </c>
      <c r="AA103" s="303">
        <f t="shared" si="136"/>
        <v>0</v>
      </c>
      <c r="AB103" s="303">
        <f t="shared" si="136"/>
        <v>0</v>
      </c>
      <c r="AC103" s="303">
        <f t="shared" si="136"/>
        <v>0</v>
      </c>
      <c r="AD103" s="303">
        <f t="shared" si="136"/>
        <v>169</v>
      </c>
      <c r="AE103" s="303">
        <f t="shared" si="136"/>
        <v>5293</v>
      </c>
      <c r="AF103" s="317"/>
      <c r="AG103" s="314">
        <f t="shared" si="97"/>
        <v>0</v>
      </c>
      <c r="AH103" s="696">
        <f t="shared" si="98"/>
        <v>0</v>
      </c>
      <c r="AI103" s="314">
        <f t="shared" si="99"/>
        <v>0</v>
      </c>
      <c r="AJ103" s="314">
        <f t="shared" si="100"/>
        <v>0</v>
      </c>
      <c r="AK103" s="314">
        <f t="shared" si="101"/>
        <v>0</v>
      </c>
      <c r="AL103" s="314">
        <f t="shared" si="102"/>
        <v>0</v>
      </c>
      <c r="AM103" s="314">
        <f t="shared" si="103"/>
        <v>0</v>
      </c>
      <c r="AN103" s="314">
        <f t="shared" si="104"/>
        <v>0</v>
      </c>
      <c r="AO103" s="314">
        <f t="shared" si="105"/>
        <v>0</v>
      </c>
      <c r="AP103" s="314">
        <f t="shared" si="106"/>
        <v>0</v>
      </c>
    </row>
    <row r="104" spans="1:42" outlineLevel="1">
      <c r="A104" s="583" t="s">
        <v>23</v>
      </c>
      <c r="B104" s="324" t="s">
        <v>866</v>
      </c>
      <c r="C104" s="304"/>
      <c r="D104" s="304">
        <v>5055</v>
      </c>
      <c r="E104" s="304">
        <f t="shared" si="110"/>
        <v>5462</v>
      </c>
      <c r="F104" s="304">
        <f>H104-AB104</f>
        <v>5462</v>
      </c>
      <c r="G104" s="304">
        <f>F104-D104</f>
        <v>407</v>
      </c>
      <c r="H104" s="303">
        <f t="shared" ref="H104" si="137">I104+W104</f>
        <v>5462</v>
      </c>
      <c r="I104" s="303">
        <f>M104+P104</f>
        <v>5462</v>
      </c>
      <c r="J104" s="311">
        <v>32</v>
      </c>
      <c r="K104" s="311">
        <v>32</v>
      </c>
      <c r="L104" s="311">
        <f>J104-K104</f>
        <v>0</v>
      </c>
      <c r="M104" s="303">
        <f>N104+O104</f>
        <v>3776</v>
      </c>
      <c r="N104" s="311">
        <v>3776</v>
      </c>
      <c r="O104" s="311">
        <v>0</v>
      </c>
      <c r="P104" s="303">
        <f>S104+T104</f>
        <v>1686</v>
      </c>
      <c r="Q104" s="294">
        <v>31</v>
      </c>
      <c r="R104" s="312">
        <v>1.7000000000000002</v>
      </c>
      <c r="S104" s="304">
        <f>ROUND(J104*Q104*R104,0)</f>
        <v>1686</v>
      </c>
      <c r="T104" s="303"/>
      <c r="U104" s="304"/>
      <c r="V104" s="304"/>
      <c r="W104" s="303"/>
      <c r="X104" s="303"/>
      <c r="Y104" s="303"/>
      <c r="Z104" s="304"/>
      <c r="AA104" s="304"/>
      <c r="AB104" s="304"/>
      <c r="AC104" s="304">
        <v>0</v>
      </c>
      <c r="AD104" s="304">
        <v>169</v>
      </c>
      <c r="AE104" s="303">
        <f>E104-AD104</f>
        <v>5293</v>
      </c>
      <c r="AF104" s="317"/>
      <c r="AG104" s="314">
        <f t="shared" si="97"/>
        <v>0</v>
      </c>
      <c r="AH104" s="696">
        <f t="shared" si="98"/>
        <v>0</v>
      </c>
      <c r="AI104" s="314">
        <f t="shared" si="99"/>
        <v>0</v>
      </c>
      <c r="AJ104" s="314">
        <f t="shared" si="100"/>
        <v>0</v>
      </c>
      <c r="AK104" s="314">
        <f t="shared" si="101"/>
        <v>0</v>
      </c>
      <c r="AL104" s="314">
        <f t="shared" si="102"/>
        <v>0</v>
      </c>
      <c r="AM104" s="314">
        <f t="shared" si="103"/>
        <v>0</v>
      </c>
      <c r="AN104" s="314">
        <f t="shared" si="104"/>
        <v>0</v>
      </c>
      <c r="AO104" s="314">
        <f t="shared" si="105"/>
        <v>0</v>
      </c>
      <c r="AP104" s="314">
        <f t="shared" si="106"/>
        <v>0</v>
      </c>
    </row>
    <row r="105" spans="1:42" ht="27.6" hidden="1" outlineLevel="3">
      <c r="A105" s="583" t="s">
        <v>47</v>
      </c>
      <c r="B105" s="324" t="s">
        <v>1521</v>
      </c>
      <c r="C105" s="304"/>
      <c r="D105" s="304">
        <v>210</v>
      </c>
      <c r="E105" s="304">
        <f>E106</f>
        <v>0</v>
      </c>
      <c r="F105" s="304">
        <f>F106</f>
        <v>0</v>
      </c>
      <c r="G105" s="304">
        <f>G106</f>
        <v>-210</v>
      </c>
      <c r="H105" s="304">
        <f t="shared" ref="H105:AE105" si="138">H106</f>
        <v>0</v>
      </c>
      <c r="I105" s="304">
        <f t="shared" si="138"/>
        <v>0</v>
      </c>
      <c r="J105" s="304">
        <f t="shared" si="138"/>
        <v>0</v>
      </c>
      <c r="K105" s="304">
        <f t="shared" si="138"/>
        <v>0</v>
      </c>
      <c r="L105" s="304">
        <f t="shared" si="138"/>
        <v>0</v>
      </c>
      <c r="M105" s="304">
        <f t="shared" si="138"/>
        <v>0</v>
      </c>
      <c r="N105" s="304">
        <f t="shared" si="138"/>
        <v>0</v>
      </c>
      <c r="O105" s="304">
        <f t="shared" si="138"/>
        <v>0</v>
      </c>
      <c r="P105" s="304">
        <f t="shared" si="138"/>
        <v>0</v>
      </c>
      <c r="Q105" s="304"/>
      <c r="R105" s="304">
        <f t="shared" si="138"/>
        <v>0</v>
      </c>
      <c r="S105" s="304">
        <f t="shared" si="138"/>
        <v>0</v>
      </c>
      <c r="T105" s="304">
        <f t="shared" si="138"/>
        <v>0</v>
      </c>
      <c r="U105" s="304">
        <f t="shared" si="138"/>
        <v>0</v>
      </c>
      <c r="V105" s="304">
        <f t="shared" si="138"/>
        <v>0</v>
      </c>
      <c r="W105" s="304">
        <f t="shared" si="138"/>
        <v>0</v>
      </c>
      <c r="X105" s="304">
        <f t="shared" si="138"/>
        <v>0</v>
      </c>
      <c r="Y105" s="304">
        <f t="shared" si="138"/>
        <v>0</v>
      </c>
      <c r="Z105" s="304">
        <f t="shared" si="138"/>
        <v>0</v>
      </c>
      <c r="AA105" s="304">
        <f t="shared" si="138"/>
        <v>0</v>
      </c>
      <c r="AB105" s="304">
        <f t="shared" si="138"/>
        <v>0</v>
      </c>
      <c r="AC105" s="304">
        <f t="shared" si="138"/>
        <v>0</v>
      </c>
      <c r="AD105" s="304"/>
      <c r="AE105" s="304">
        <f t="shared" si="138"/>
        <v>0</v>
      </c>
      <c r="AF105" s="317" t="s">
        <v>2042</v>
      </c>
      <c r="AG105" s="314">
        <f t="shared" si="97"/>
        <v>0</v>
      </c>
      <c r="AH105" s="696">
        <f t="shared" si="98"/>
        <v>0</v>
      </c>
      <c r="AI105" s="314">
        <f t="shared" si="99"/>
        <v>0</v>
      </c>
      <c r="AJ105" s="314">
        <f t="shared" si="100"/>
        <v>0</v>
      </c>
      <c r="AK105" s="314">
        <f t="shared" si="101"/>
        <v>0</v>
      </c>
      <c r="AL105" s="314">
        <f t="shared" si="102"/>
        <v>0</v>
      </c>
      <c r="AM105" s="314">
        <f t="shared" si="103"/>
        <v>0</v>
      </c>
      <c r="AN105" s="314">
        <f t="shared" si="104"/>
        <v>0</v>
      </c>
      <c r="AO105" s="314">
        <f t="shared" si="105"/>
        <v>0</v>
      </c>
      <c r="AP105" s="314">
        <f t="shared" si="106"/>
        <v>0</v>
      </c>
    </row>
    <row r="106" spans="1:42" hidden="1" outlineLevel="3">
      <c r="A106" s="583" t="s">
        <v>23</v>
      </c>
      <c r="B106" s="324" t="s">
        <v>866</v>
      </c>
      <c r="C106" s="304"/>
      <c r="D106" s="304">
        <v>210</v>
      </c>
      <c r="E106" s="304">
        <f t="shared" si="110"/>
        <v>0</v>
      </c>
      <c r="F106" s="304">
        <f>H106-AB106</f>
        <v>0</v>
      </c>
      <c r="G106" s="304">
        <f>F106-D106</f>
        <v>-210</v>
      </c>
      <c r="H106" s="303">
        <f t="shared" ref="H106" si="139">I106+W106</f>
        <v>0</v>
      </c>
      <c r="I106" s="303">
        <f t="shared" ref="I106" si="140">M106+P106</f>
        <v>0</v>
      </c>
      <c r="J106" s="294"/>
      <c r="K106" s="294">
        <v>0</v>
      </c>
      <c r="L106" s="294"/>
      <c r="M106" s="304">
        <f t="shared" ref="M106" si="141">N106+O106</f>
        <v>0</v>
      </c>
      <c r="N106" s="294"/>
      <c r="O106" s="294"/>
      <c r="P106" s="303">
        <f t="shared" ref="P106" si="142">S106+T106</f>
        <v>0</v>
      </c>
      <c r="Q106" s="311">
        <v>0</v>
      </c>
      <c r="R106" s="305"/>
      <c r="S106" s="304">
        <f>J106*Q106</f>
        <v>0</v>
      </c>
      <c r="T106" s="303">
        <f t="shared" ref="T106" si="143">U106+V106</f>
        <v>0</v>
      </c>
      <c r="U106" s="304"/>
      <c r="V106" s="304"/>
      <c r="W106" s="303">
        <f>Z106+AA106</f>
        <v>0</v>
      </c>
      <c r="X106" s="303"/>
      <c r="Y106" s="303"/>
      <c r="Z106" s="304"/>
      <c r="AA106" s="304"/>
      <c r="AB106" s="304"/>
      <c r="AC106" s="304"/>
      <c r="AD106" s="304"/>
      <c r="AE106" s="303">
        <f>E106-AD106</f>
        <v>0</v>
      </c>
      <c r="AF106" s="317"/>
      <c r="AG106" s="314">
        <f t="shared" si="97"/>
        <v>0</v>
      </c>
      <c r="AH106" s="696">
        <f t="shared" si="98"/>
        <v>0</v>
      </c>
      <c r="AI106" s="314">
        <f t="shared" si="99"/>
        <v>0</v>
      </c>
      <c r="AJ106" s="314">
        <f t="shared" si="100"/>
        <v>0</v>
      </c>
      <c r="AK106" s="314">
        <f t="shared" si="101"/>
        <v>0</v>
      </c>
      <c r="AL106" s="314">
        <f t="shared" si="102"/>
        <v>0</v>
      </c>
      <c r="AM106" s="314">
        <f t="shared" si="103"/>
        <v>0</v>
      </c>
      <c r="AN106" s="314">
        <f t="shared" si="104"/>
        <v>0</v>
      </c>
      <c r="AO106" s="314">
        <f t="shared" si="105"/>
        <v>0</v>
      </c>
      <c r="AP106" s="314">
        <f t="shared" si="106"/>
        <v>0</v>
      </c>
    </row>
    <row r="107" spans="1:42" ht="27.6" hidden="1" outlineLevel="3">
      <c r="A107" s="583" t="s">
        <v>47</v>
      </c>
      <c r="B107" s="1273" t="s">
        <v>1737</v>
      </c>
      <c r="C107" s="304"/>
      <c r="D107" s="304"/>
      <c r="E107" s="304">
        <f t="shared" si="110"/>
        <v>0</v>
      </c>
      <c r="F107" s="304"/>
      <c r="G107" s="304"/>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303"/>
      <c r="AF107" s="317"/>
      <c r="AG107" s="314">
        <f t="shared" si="97"/>
        <v>0</v>
      </c>
      <c r="AH107" s="696">
        <f t="shared" si="98"/>
        <v>0</v>
      </c>
      <c r="AI107" s="314">
        <f t="shared" si="99"/>
        <v>0</v>
      </c>
      <c r="AJ107" s="314">
        <f t="shared" si="100"/>
        <v>0</v>
      </c>
      <c r="AK107" s="314">
        <f t="shared" si="101"/>
        <v>0</v>
      </c>
      <c r="AL107" s="314">
        <f t="shared" si="102"/>
        <v>0</v>
      </c>
      <c r="AM107" s="314">
        <f t="shared" si="103"/>
        <v>0</v>
      </c>
      <c r="AN107" s="314">
        <f t="shared" si="104"/>
        <v>0</v>
      </c>
      <c r="AO107" s="314">
        <f t="shared" si="105"/>
        <v>0</v>
      </c>
      <c r="AP107" s="314">
        <f t="shared" si="106"/>
        <v>0</v>
      </c>
    </row>
    <row r="108" spans="1:42" s="314" customFormat="1">
      <c r="A108" s="592" t="s">
        <v>289</v>
      </c>
      <c r="B108" s="320" t="s">
        <v>867</v>
      </c>
      <c r="C108" s="298" t="s">
        <v>728</v>
      </c>
      <c r="D108" s="299">
        <f t="shared" ref="D108" si="144">D109</f>
        <v>6331</v>
      </c>
      <c r="E108" s="299">
        <f>E109</f>
        <v>5169</v>
      </c>
      <c r="F108" s="299">
        <f>F109</f>
        <v>5169</v>
      </c>
      <c r="G108" s="299">
        <f>F108-D108</f>
        <v>-1162</v>
      </c>
      <c r="H108" s="299">
        <f>H109</f>
        <v>5169</v>
      </c>
      <c r="I108" s="299">
        <f t="shared" ref="I108:S108" si="145">I109</f>
        <v>0</v>
      </c>
      <c r="J108" s="318">
        <f t="shared" si="145"/>
        <v>0</v>
      </c>
      <c r="K108" s="318">
        <f t="shared" si="145"/>
        <v>0</v>
      </c>
      <c r="L108" s="318">
        <f t="shared" si="145"/>
        <v>0</v>
      </c>
      <c r="M108" s="299">
        <f t="shared" si="145"/>
        <v>0</v>
      </c>
      <c r="N108" s="318">
        <f t="shared" si="145"/>
        <v>0</v>
      </c>
      <c r="O108" s="318">
        <f t="shared" si="145"/>
        <v>0</v>
      </c>
      <c r="P108" s="299">
        <f>P109</f>
        <v>0</v>
      </c>
      <c r="Q108" s="318">
        <f>Q109</f>
        <v>0</v>
      </c>
      <c r="R108" s="318">
        <f>R109</f>
        <v>0</v>
      </c>
      <c r="S108" s="299">
        <f t="shared" si="145"/>
        <v>0</v>
      </c>
      <c r="T108" s="299">
        <f>T109</f>
        <v>0</v>
      </c>
      <c r="U108" s="299">
        <v>0</v>
      </c>
      <c r="V108" s="299"/>
      <c r="W108" s="299">
        <f>W109</f>
        <v>5169</v>
      </c>
      <c r="X108" s="299"/>
      <c r="Y108" s="299"/>
      <c r="Z108" s="299">
        <f>Z109</f>
        <v>1797</v>
      </c>
      <c r="AA108" s="299">
        <f>AA109</f>
        <v>3372</v>
      </c>
      <c r="AB108" s="299">
        <f>AB109</f>
        <v>0</v>
      </c>
      <c r="AC108" s="299">
        <f t="shared" ref="AC108:AE108" si="146">AC109</f>
        <v>0</v>
      </c>
      <c r="AD108" s="299">
        <f t="shared" si="146"/>
        <v>517</v>
      </c>
      <c r="AE108" s="299">
        <f t="shared" si="146"/>
        <v>4652</v>
      </c>
      <c r="AF108" s="321"/>
      <c r="AG108" s="314">
        <f t="shared" si="97"/>
        <v>0</v>
      </c>
      <c r="AH108" s="696">
        <f t="shared" si="98"/>
        <v>0</v>
      </c>
      <c r="AI108" s="314">
        <f t="shared" si="99"/>
        <v>0</v>
      </c>
      <c r="AJ108" s="314">
        <f t="shared" si="100"/>
        <v>0</v>
      </c>
      <c r="AK108" s="314">
        <f t="shared" si="101"/>
        <v>0</v>
      </c>
      <c r="AL108" s="314">
        <f t="shared" si="102"/>
        <v>0</v>
      </c>
      <c r="AM108" s="314">
        <f t="shared" si="103"/>
        <v>0</v>
      </c>
      <c r="AN108" s="314">
        <f t="shared" si="104"/>
        <v>0</v>
      </c>
      <c r="AO108" s="314">
        <f t="shared" si="105"/>
        <v>0</v>
      </c>
      <c r="AP108" s="314">
        <f t="shared" si="106"/>
        <v>0</v>
      </c>
    </row>
    <row r="109" spans="1:42">
      <c r="A109" s="593" t="s">
        <v>45</v>
      </c>
      <c r="B109" s="316" t="s">
        <v>868</v>
      </c>
      <c r="C109" s="302"/>
      <c r="D109" s="304">
        <v>6331</v>
      </c>
      <c r="E109" s="304">
        <f>E110+E115+E114+E116+E117</f>
        <v>5169</v>
      </c>
      <c r="F109" s="304">
        <f t="shared" ref="F109:AB109" si="147">F110+F115+F114+F116+F117</f>
        <v>5169</v>
      </c>
      <c r="G109" s="304">
        <f t="shared" si="147"/>
        <v>-1162</v>
      </c>
      <c r="H109" s="304">
        <f t="shared" si="147"/>
        <v>5169</v>
      </c>
      <c r="I109" s="304">
        <f t="shared" si="147"/>
        <v>0</v>
      </c>
      <c r="J109" s="304">
        <f t="shared" si="147"/>
        <v>0</v>
      </c>
      <c r="K109" s="304">
        <f t="shared" si="147"/>
        <v>0</v>
      </c>
      <c r="L109" s="304">
        <f t="shared" si="147"/>
        <v>0</v>
      </c>
      <c r="M109" s="304">
        <f t="shared" si="147"/>
        <v>0</v>
      </c>
      <c r="N109" s="304">
        <f t="shared" si="147"/>
        <v>0</v>
      </c>
      <c r="O109" s="304">
        <f t="shared" si="147"/>
        <v>0</v>
      </c>
      <c r="P109" s="304">
        <f t="shared" si="147"/>
        <v>0</v>
      </c>
      <c r="Q109" s="304">
        <f t="shared" si="147"/>
        <v>0</v>
      </c>
      <c r="R109" s="304">
        <f t="shared" si="147"/>
        <v>0</v>
      </c>
      <c r="S109" s="304">
        <f t="shared" si="147"/>
        <v>0</v>
      </c>
      <c r="T109" s="304">
        <f t="shared" si="147"/>
        <v>0</v>
      </c>
      <c r="U109" s="304">
        <f t="shared" si="147"/>
        <v>0</v>
      </c>
      <c r="V109" s="304">
        <f t="shared" si="147"/>
        <v>0</v>
      </c>
      <c r="W109" s="304">
        <f t="shared" si="147"/>
        <v>5169</v>
      </c>
      <c r="X109" s="304">
        <f t="shared" si="147"/>
        <v>0</v>
      </c>
      <c r="Y109" s="304">
        <f t="shared" si="147"/>
        <v>0</v>
      </c>
      <c r="Z109" s="304">
        <f t="shared" si="147"/>
        <v>1797</v>
      </c>
      <c r="AA109" s="304">
        <f t="shared" si="147"/>
        <v>3372</v>
      </c>
      <c r="AB109" s="304">
        <f t="shared" si="147"/>
        <v>0</v>
      </c>
      <c r="AC109" s="304"/>
      <c r="AD109" s="304">
        <v>517</v>
      </c>
      <c r="AE109" s="303">
        <f>E109-AD109</f>
        <v>4652</v>
      </c>
      <c r="AF109" s="317"/>
      <c r="AG109" s="314">
        <f t="shared" si="97"/>
        <v>0</v>
      </c>
      <c r="AH109" s="696">
        <f t="shared" si="98"/>
        <v>0</v>
      </c>
      <c r="AI109" s="314">
        <f t="shared" si="99"/>
        <v>0</v>
      </c>
      <c r="AJ109" s="314">
        <f t="shared" si="100"/>
        <v>0</v>
      </c>
      <c r="AK109" s="314">
        <f t="shared" si="101"/>
        <v>0</v>
      </c>
      <c r="AL109" s="314">
        <f t="shared" si="102"/>
        <v>0</v>
      </c>
      <c r="AM109" s="314">
        <f t="shared" si="103"/>
        <v>0</v>
      </c>
      <c r="AN109" s="314">
        <f t="shared" si="104"/>
        <v>0</v>
      </c>
      <c r="AO109" s="314">
        <f t="shared" si="105"/>
        <v>0</v>
      </c>
      <c r="AP109" s="314">
        <f t="shared" si="106"/>
        <v>0</v>
      </c>
    </row>
    <row r="110" spans="1:42" ht="138" outlineLevel="1">
      <c r="A110" s="593" t="s">
        <v>23</v>
      </c>
      <c r="B110" s="316" t="s">
        <v>2055</v>
      </c>
      <c r="C110" s="302"/>
      <c r="D110" s="303">
        <v>597</v>
      </c>
      <c r="E110" s="303">
        <f t="shared" ref="E110:Y110" si="148">E111+E112+E113</f>
        <v>615</v>
      </c>
      <c r="F110" s="303">
        <f t="shared" si="148"/>
        <v>615</v>
      </c>
      <c r="G110" s="303">
        <f t="shared" si="148"/>
        <v>18</v>
      </c>
      <c r="H110" s="303">
        <f t="shared" si="148"/>
        <v>615</v>
      </c>
      <c r="I110" s="303">
        <f t="shared" si="148"/>
        <v>0</v>
      </c>
      <c r="J110" s="303">
        <f t="shared" si="148"/>
        <v>0</v>
      </c>
      <c r="K110" s="303">
        <f t="shared" si="148"/>
        <v>0</v>
      </c>
      <c r="L110" s="303">
        <f t="shared" si="148"/>
        <v>0</v>
      </c>
      <c r="M110" s="303">
        <f t="shared" si="148"/>
        <v>0</v>
      </c>
      <c r="N110" s="303">
        <f t="shared" si="148"/>
        <v>0</v>
      </c>
      <c r="O110" s="303">
        <f t="shared" si="148"/>
        <v>0</v>
      </c>
      <c r="P110" s="303">
        <f t="shared" si="148"/>
        <v>0</v>
      </c>
      <c r="Q110" s="303">
        <f t="shared" si="148"/>
        <v>0</v>
      </c>
      <c r="R110" s="303">
        <f t="shared" si="148"/>
        <v>0</v>
      </c>
      <c r="S110" s="303">
        <f t="shared" si="148"/>
        <v>0</v>
      </c>
      <c r="T110" s="303">
        <f t="shared" si="148"/>
        <v>0</v>
      </c>
      <c r="U110" s="303">
        <f t="shared" si="148"/>
        <v>0</v>
      </c>
      <c r="V110" s="303">
        <f t="shared" si="148"/>
        <v>0</v>
      </c>
      <c r="W110" s="303">
        <f t="shared" si="148"/>
        <v>615</v>
      </c>
      <c r="X110" s="303">
        <f t="shared" si="148"/>
        <v>0</v>
      </c>
      <c r="Y110" s="303">
        <f t="shared" si="148"/>
        <v>0</v>
      </c>
      <c r="Z110" s="303">
        <f>Z111+Z112+Z113</f>
        <v>615</v>
      </c>
      <c r="AA110" s="303">
        <f t="shared" ref="AA110:AB110" si="149">AA111+AA112+AA113</f>
        <v>0</v>
      </c>
      <c r="AB110" s="303">
        <f t="shared" si="149"/>
        <v>0</v>
      </c>
      <c r="AC110" s="303"/>
      <c r="AD110" s="303"/>
      <c r="AE110" s="303"/>
      <c r="AF110" s="1263" t="s">
        <v>1787</v>
      </c>
      <c r="AG110" s="314">
        <f t="shared" si="97"/>
        <v>0</v>
      </c>
      <c r="AH110" s="696">
        <f t="shared" si="98"/>
        <v>0</v>
      </c>
      <c r="AI110" s="314">
        <f t="shared" si="99"/>
        <v>0</v>
      </c>
      <c r="AJ110" s="314">
        <f t="shared" si="100"/>
        <v>0</v>
      </c>
      <c r="AK110" s="314">
        <f t="shared" si="101"/>
        <v>0</v>
      </c>
      <c r="AL110" s="314">
        <f t="shared" si="102"/>
        <v>0</v>
      </c>
      <c r="AM110" s="314">
        <f t="shared" si="103"/>
        <v>0</v>
      </c>
      <c r="AN110" s="314">
        <f t="shared" si="104"/>
        <v>0</v>
      </c>
      <c r="AO110" s="314">
        <f t="shared" si="105"/>
        <v>0</v>
      </c>
      <c r="AP110" s="314">
        <f t="shared" si="106"/>
        <v>0</v>
      </c>
    </row>
    <row r="111" spans="1:42" ht="55.2" outlineLevel="2">
      <c r="A111" s="593" t="s">
        <v>281</v>
      </c>
      <c r="B111" s="316" t="s">
        <v>2056</v>
      </c>
      <c r="C111" s="302"/>
      <c r="D111" s="304">
        <v>278</v>
      </c>
      <c r="E111" s="304">
        <f t="shared" si="110"/>
        <v>296</v>
      </c>
      <c r="F111" s="304">
        <f t="shared" ref="F111:F115" si="150">H111-AB111</f>
        <v>296</v>
      </c>
      <c r="G111" s="304">
        <f t="shared" ref="G111:G119" si="151">F111-D111</f>
        <v>18</v>
      </c>
      <c r="H111" s="303">
        <f t="shared" ref="H111:H113" si="152">I111+W111</f>
        <v>296</v>
      </c>
      <c r="I111" s="303">
        <f>M111+P111</f>
        <v>0</v>
      </c>
      <c r="J111" s="311"/>
      <c r="K111" s="311"/>
      <c r="L111" s="311"/>
      <c r="M111" s="303"/>
      <c r="N111" s="311"/>
      <c r="O111" s="311"/>
      <c r="P111" s="303">
        <f>S111+T111</f>
        <v>0</v>
      </c>
      <c r="Q111" s="311"/>
      <c r="R111" s="312"/>
      <c r="S111" s="304"/>
      <c r="T111" s="303">
        <f>U111+V111</f>
        <v>0</v>
      </c>
      <c r="U111" s="304"/>
      <c r="V111" s="304"/>
      <c r="W111" s="303">
        <f>Z111+AA111</f>
        <v>296</v>
      </c>
      <c r="X111" s="303"/>
      <c r="Y111" s="303"/>
      <c r="Z111" s="304">
        <v>296</v>
      </c>
      <c r="AA111" s="297"/>
      <c r="AB111" s="304"/>
      <c r="AC111" s="304"/>
      <c r="AD111" s="304"/>
      <c r="AE111" s="304"/>
      <c r="AF111" s="317"/>
      <c r="AG111" s="314">
        <f t="shared" si="97"/>
        <v>0</v>
      </c>
      <c r="AH111" s="696">
        <f t="shared" si="98"/>
        <v>0</v>
      </c>
      <c r="AI111" s="314">
        <f t="shared" si="99"/>
        <v>0</v>
      </c>
      <c r="AJ111" s="314">
        <f t="shared" si="100"/>
        <v>0</v>
      </c>
      <c r="AK111" s="314">
        <f t="shared" si="101"/>
        <v>0</v>
      </c>
      <c r="AL111" s="314">
        <f t="shared" si="102"/>
        <v>0</v>
      </c>
      <c r="AM111" s="314">
        <f t="shared" si="103"/>
        <v>0</v>
      </c>
      <c r="AN111" s="314">
        <f t="shared" si="104"/>
        <v>0</v>
      </c>
      <c r="AO111" s="314">
        <f t="shared" si="105"/>
        <v>0</v>
      </c>
      <c r="AP111" s="314">
        <f t="shared" si="106"/>
        <v>0</v>
      </c>
    </row>
    <row r="112" spans="1:42" ht="27.6" outlineLevel="2">
      <c r="A112" s="593" t="s">
        <v>281</v>
      </c>
      <c r="B112" s="316" t="s">
        <v>2057</v>
      </c>
      <c r="C112" s="302"/>
      <c r="D112" s="304">
        <v>97</v>
      </c>
      <c r="E112" s="304">
        <f t="shared" si="110"/>
        <v>97</v>
      </c>
      <c r="F112" s="304">
        <f t="shared" si="150"/>
        <v>97</v>
      </c>
      <c r="G112" s="304">
        <f t="shared" si="151"/>
        <v>0</v>
      </c>
      <c r="H112" s="303">
        <f t="shared" si="152"/>
        <v>97</v>
      </c>
      <c r="I112" s="303">
        <f t="shared" ref="I112:I113" si="153">M112+P112</f>
        <v>0</v>
      </c>
      <c r="J112" s="311"/>
      <c r="K112" s="311"/>
      <c r="L112" s="311"/>
      <c r="M112" s="303"/>
      <c r="N112" s="311"/>
      <c r="O112" s="311"/>
      <c r="P112" s="303">
        <f t="shared" ref="P112:P113" si="154">S112+T112</f>
        <v>0</v>
      </c>
      <c r="Q112" s="311"/>
      <c r="R112" s="312"/>
      <c r="S112" s="304"/>
      <c r="T112" s="303">
        <f t="shared" ref="T112:T113" si="155">U112+V112</f>
        <v>0</v>
      </c>
      <c r="U112" s="304"/>
      <c r="V112" s="304"/>
      <c r="W112" s="303">
        <f>Z112+AA112</f>
        <v>97</v>
      </c>
      <c r="X112" s="303"/>
      <c r="Y112" s="303"/>
      <c r="Z112" s="304">
        <v>97</v>
      </c>
      <c r="AA112" s="304"/>
      <c r="AB112" s="304"/>
      <c r="AC112" s="304"/>
      <c r="AD112" s="304"/>
      <c r="AE112" s="304"/>
      <c r="AF112" s="317"/>
      <c r="AG112" s="314">
        <f t="shared" si="97"/>
        <v>0</v>
      </c>
      <c r="AH112" s="696">
        <f t="shared" si="98"/>
        <v>0</v>
      </c>
      <c r="AI112" s="314">
        <f t="shared" si="99"/>
        <v>0</v>
      </c>
      <c r="AJ112" s="314">
        <f t="shared" si="100"/>
        <v>0</v>
      </c>
      <c r="AK112" s="314">
        <f t="shared" si="101"/>
        <v>0</v>
      </c>
      <c r="AL112" s="314">
        <f t="shared" si="102"/>
        <v>0</v>
      </c>
      <c r="AM112" s="314">
        <f t="shared" si="103"/>
        <v>0</v>
      </c>
      <c r="AN112" s="314">
        <f t="shared" si="104"/>
        <v>0</v>
      </c>
      <c r="AO112" s="314">
        <f t="shared" si="105"/>
        <v>0</v>
      </c>
      <c r="AP112" s="314">
        <f t="shared" si="106"/>
        <v>0</v>
      </c>
    </row>
    <row r="113" spans="1:42" ht="41.4" outlineLevel="2" collapsed="1">
      <c r="A113" s="593" t="s">
        <v>281</v>
      </c>
      <c r="B113" s="316" t="s">
        <v>2058</v>
      </c>
      <c r="C113" s="302"/>
      <c r="D113" s="304">
        <v>222</v>
      </c>
      <c r="E113" s="304">
        <f t="shared" si="110"/>
        <v>222</v>
      </c>
      <c r="F113" s="304">
        <f t="shared" si="150"/>
        <v>222</v>
      </c>
      <c r="G113" s="304">
        <f t="shared" si="151"/>
        <v>0</v>
      </c>
      <c r="H113" s="303">
        <f t="shared" si="152"/>
        <v>222</v>
      </c>
      <c r="I113" s="303">
        <f t="shared" si="153"/>
        <v>0</v>
      </c>
      <c r="J113" s="311"/>
      <c r="K113" s="311"/>
      <c r="L113" s="311"/>
      <c r="M113" s="303"/>
      <c r="N113" s="311"/>
      <c r="O113" s="311"/>
      <c r="P113" s="303">
        <f t="shared" si="154"/>
        <v>0</v>
      </c>
      <c r="Q113" s="311"/>
      <c r="R113" s="312"/>
      <c r="S113" s="304"/>
      <c r="T113" s="303">
        <f t="shared" si="155"/>
        <v>0</v>
      </c>
      <c r="U113" s="304"/>
      <c r="V113" s="304"/>
      <c r="W113" s="303">
        <f t="shared" ref="W113" si="156">Z113+AA113</f>
        <v>222</v>
      </c>
      <c r="X113" s="303"/>
      <c r="Y113" s="303"/>
      <c r="Z113" s="304">
        <v>222</v>
      </c>
      <c r="AA113" s="304"/>
      <c r="AB113" s="304"/>
      <c r="AC113" s="304"/>
      <c r="AD113" s="304"/>
      <c r="AE113" s="304"/>
      <c r="AF113" s="317"/>
      <c r="AG113" s="314">
        <f t="shared" si="97"/>
        <v>0</v>
      </c>
      <c r="AH113" s="696">
        <f t="shared" si="98"/>
        <v>0</v>
      </c>
      <c r="AI113" s="314">
        <f t="shared" si="99"/>
        <v>0</v>
      </c>
      <c r="AJ113" s="314">
        <f t="shared" si="100"/>
        <v>0</v>
      </c>
      <c r="AK113" s="314">
        <f t="shared" si="101"/>
        <v>0</v>
      </c>
      <c r="AL113" s="314">
        <f t="shared" si="102"/>
        <v>0</v>
      </c>
      <c r="AM113" s="314">
        <f t="shared" si="103"/>
        <v>0</v>
      </c>
      <c r="AN113" s="314">
        <f t="shared" si="104"/>
        <v>0</v>
      </c>
      <c r="AO113" s="314">
        <f t="shared" si="105"/>
        <v>0</v>
      </c>
      <c r="AP113" s="314">
        <f t="shared" si="106"/>
        <v>0</v>
      </c>
    </row>
    <row r="114" spans="1:42" ht="69" outlineLevel="1">
      <c r="A114" s="593" t="s">
        <v>23</v>
      </c>
      <c r="B114" s="316" t="s">
        <v>1587</v>
      </c>
      <c r="C114" s="302"/>
      <c r="D114" s="304">
        <v>4458</v>
      </c>
      <c r="E114" s="304">
        <f>F114+AC114</f>
        <v>3578</v>
      </c>
      <c r="F114" s="304">
        <f t="shared" si="150"/>
        <v>3578</v>
      </c>
      <c r="G114" s="304">
        <f t="shared" si="151"/>
        <v>-880</v>
      </c>
      <c r="H114" s="303">
        <f>I114+W114</f>
        <v>3578</v>
      </c>
      <c r="I114" s="303">
        <f>M114+P114</f>
        <v>0</v>
      </c>
      <c r="J114" s="311"/>
      <c r="K114" s="311"/>
      <c r="L114" s="311"/>
      <c r="M114" s="303"/>
      <c r="N114" s="311"/>
      <c r="O114" s="311"/>
      <c r="P114" s="303">
        <f>S114+T114</f>
        <v>0</v>
      </c>
      <c r="Q114" s="311"/>
      <c r="R114" s="312"/>
      <c r="S114" s="304"/>
      <c r="T114" s="303">
        <f>U114+V114</f>
        <v>0</v>
      </c>
      <c r="U114" s="304"/>
      <c r="V114" s="304"/>
      <c r="W114" s="303">
        <f>Z114+AA114</f>
        <v>3578</v>
      </c>
      <c r="X114" s="303"/>
      <c r="Y114" s="303"/>
      <c r="Z114" s="304">
        <v>206</v>
      </c>
      <c r="AA114" s="304">
        <v>3372</v>
      </c>
      <c r="AB114" s="304"/>
      <c r="AC114" s="304"/>
      <c r="AD114" s="304"/>
      <c r="AE114" s="304"/>
      <c r="AF114" s="1263" t="s">
        <v>2521</v>
      </c>
      <c r="AG114" s="314">
        <f t="shared" si="97"/>
        <v>0</v>
      </c>
      <c r="AH114" s="696">
        <f t="shared" si="98"/>
        <v>0</v>
      </c>
      <c r="AI114" s="314">
        <f t="shared" si="99"/>
        <v>0</v>
      </c>
      <c r="AJ114" s="314">
        <f t="shared" si="100"/>
        <v>0</v>
      </c>
      <c r="AK114" s="314">
        <f t="shared" si="101"/>
        <v>0</v>
      </c>
      <c r="AL114" s="314">
        <f t="shared" si="102"/>
        <v>0</v>
      </c>
      <c r="AM114" s="314">
        <f t="shared" si="103"/>
        <v>0</v>
      </c>
      <c r="AN114" s="314">
        <f t="shared" si="104"/>
        <v>0</v>
      </c>
      <c r="AO114" s="314">
        <f t="shared" si="105"/>
        <v>0</v>
      </c>
      <c r="AP114" s="314">
        <f t="shared" si="106"/>
        <v>0</v>
      </c>
    </row>
    <row r="115" spans="1:42" ht="151.80000000000001" outlineLevel="1">
      <c r="A115" s="593" t="s">
        <v>23</v>
      </c>
      <c r="B115" s="316" t="s">
        <v>869</v>
      </c>
      <c r="C115" s="302"/>
      <c r="D115" s="304">
        <v>703</v>
      </c>
      <c r="E115" s="304">
        <f t="shared" si="110"/>
        <v>703</v>
      </c>
      <c r="F115" s="304">
        <f t="shared" si="150"/>
        <v>703</v>
      </c>
      <c r="G115" s="304">
        <f t="shared" si="151"/>
        <v>0</v>
      </c>
      <c r="H115" s="303">
        <f t="shared" ref="H115:H117" si="157">I115+W115</f>
        <v>703</v>
      </c>
      <c r="I115" s="303">
        <f t="shared" ref="I115:I117" si="158">M115+P115</f>
        <v>0</v>
      </c>
      <c r="J115" s="311"/>
      <c r="K115" s="311"/>
      <c r="L115" s="311"/>
      <c r="M115" s="303"/>
      <c r="N115" s="311"/>
      <c r="O115" s="311"/>
      <c r="P115" s="303">
        <f t="shared" ref="P115:P117" si="159">S115+T115</f>
        <v>0</v>
      </c>
      <c r="Q115" s="311"/>
      <c r="R115" s="312"/>
      <c r="S115" s="304"/>
      <c r="T115" s="303">
        <f t="shared" ref="T115:T117" si="160">U115+V115</f>
        <v>0</v>
      </c>
      <c r="U115" s="304"/>
      <c r="V115" s="304"/>
      <c r="W115" s="303">
        <f t="shared" ref="W115:W117" si="161">Z115+AA115</f>
        <v>703</v>
      </c>
      <c r="X115" s="303"/>
      <c r="Y115" s="303"/>
      <c r="Z115" s="304">
        <v>703</v>
      </c>
      <c r="AA115" s="304"/>
      <c r="AB115" s="304"/>
      <c r="AC115" s="304"/>
      <c r="AD115" s="304"/>
      <c r="AE115" s="304"/>
      <c r="AF115" s="596" t="s">
        <v>2545</v>
      </c>
      <c r="AG115" s="314">
        <f t="shared" si="97"/>
        <v>0</v>
      </c>
      <c r="AH115" s="696">
        <f t="shared" si="98"/>
        <v>0</v>
      </c>
      <c r="AI115" s="314">
        <f t="shared" si="99"/>
        <v>0</v>
      </c>
      <c r="AJ115" s="314">
        <f t="shared" si="100"/>
        <v>0</v>
      </c>
      <c r="AK115" s="314">
        <f t="shared" si="101"/>
        <v>0</v>
      </c>
      <c r="AL115" s="314">
        <f t="shared" si="102"/>
        <v>0</v>
      </c>
      <c r="AM115" s="314">
        <f t="shared" si="103"/>
        <v>0</v>
      </c>
      <c r="AN115" s="314">
        <f t="shared" si="104"/>
        <v>0</v>
      </c>
      <c r="AO115" s="314">
        <f t="shared" si="105"/>
        <v>0</v>
      </c>
      <c r="AP115" s="314">
        <f t="shared" si="106"/>
        <v>0</v>
      </c>
    </row>
    <row r="116" spans="1:42" ht="96.6" outlineLevel="1">
      <c r="A116" s="593" t="s">
        <v>23</v>
      </c>
      <c r="B116" s="316" t="s">
        <v>2302</v>
      </c>
      <c r="C116" s="302"/>
      <c r="D116" s="304">
        <v>573</v>
      </c>
      <c r="E116" s="304">
        <f>F116+AC116</f>
        <v>229</v>
      </c>
      <c r="F116" s="304">
        <f>H116-AB116</f>
        <v>229</v>
      </c>
      <c r="G116" s="304">
        <f>F116-D116</f>
        <v>-344</v>
      </c>
      <c r="H116" s="303">
        <f t="shared" si="157"/>
        <v>229</v>
      </c>
      <c r="I116" s="303">
        <f t="shared" si="158"/>
        <v>0</v>
      </c>
      <c r="J116" s="311"/>
      <c r="K116" s="311"/>
      <c r="L116" s="311"/>
      <c r="M116" s="303"/>
      <c r="N116" s="311"/>
      <c r="O116" s="311"/>
      <c r="P116" s="303">
        <f t="shared" si="159"/>
        <v>0</v>
      </c>
      <c r="Q116" s="311"/>
      <c r="R116" s="312"/>
      <c r="S116" s="304"/>
      <c r="T116" s="303">
        <f t="shared" si="160"/>
        <v>0</v>
      </c>
      <c r="U116" s="304"/>
      <c r="V116" s="304"/>
      <c r="W116" s="303">
        <f t="shared" si="161"/>
        <v>229</v>
      </c>
      <c r="X116" s="303"/>
      <c r="Y116" s="303"/>
      <c r="Z116" s="304">
        <v>229</v>
      </c>
      <c r="AA116" s="304"/>
      <c r="AB116" s="304"/>
      <c r="AC116" s="304"/>
      <c r="AD116" s="304"/>
      <c r="AE116" s="304"/>
      <c r="AF116" s="1263" t="s">
        <v>2522</v>
      </c>
      <c r="AG116" s="314">
        <f t="shared" si="97"/>
        <v>0</v>
      </c>
      <c r="AH116" s="696">
        <f t="shared" si="98"/>
        <v>0</v>
      </c>
      <c r="AI116" s="314">
        <f t="shared" si="99"/>
        <v>0</v>
      </c>
      <c r="AJ116" s="314">
        <f t="shared" si="100"/>
        <v>0</v>
      </c>
      <c r="AK116" s="314">
        <f t="shared" si="101"/>
        <v>0</v>
      </c>
      <c r="AL116" s="314">
        <f t="shared" si="102"/>
        <v>0</v>
      </c>
      <c r="AM116" s="314">
        <f t="shared" si="103"/>
        <v>0</v>
      </c>
      <c r="AN116" s="314">
        <f t="shared" si="104"/>
        <v>0</v>
      </c>
      <c r="AO116" s="314">
        <f t="shared" si="105"/>
        <v>0</v>
      </c>
      <c r="AP116" s="314">
        <f t="shared" si="106"/>
        <v>0</v>
      </c>
    </row>
    <row r="117" spans="1:42" ht="55.2" outlineLevel="1">
      <c r="A117" s="593" t="s">
        <v>23</v>
      </c>
      <c r="B117" s="316" t="s">
        <v>2059</v>
      </c>
      <c r="C117" s="302"/>
      <c r="D117" s="304"/>
      <c r="E117" s="304">
        <f t="shared" ref="E117" si="162">F117+AC117</f>
        <v>44</v>
      </c>
      <c r="F117" s="304">
        <f t="shared" ref="F117" si="163">H117-AB117</f>
        <v>44</v>
      </c>
      <c r="G117" s="304">
        <f t="shared" ref="G117" si="164">F117-D117</f>
        <v>44</v>
      </c>
      <c r="H117" s="303">
        <f t="shared" si="157"/>
        <v>44</v>
      </c>
      <c r="I117" s="303">
        <f t="shared" si="158"/>
        <v>0</v>
      </c>
      <c r="J117" s="311"/>
      <c r="K117" s="311"/>
      <c r="L117" s="311"/>
      <c r="M117" s="303"/>
      <c r="N117" s="311"/>
      <c r="O117" s="311"/>
      <c r="P117" s="303">
        <f t="shared" si="159"/>
        <v>0</v>
      </c>
      <c r="Q117" s="311"/>
      <c r="R117" s="312"/>
      <c r="S117" s="304"/>
      <c r="T117" s="303">
        <f t="shared" si="160"/>
        <v>0</v>
      </c>
      <c r="U117" s="304"/>
      <c r="V117" s="304"/>
      <c r="W117" s="303">
        <f t="shared" si="161"/>
        <v>44</v>
      </c>
      <c r="X117" s="303"/>
      <c r="Y117" s="303"/>
      <c r="Z117" s="304">
        <v>44</v>
      </c>
      <c r="AA117" s="304"/>
      <c r="AB117" s="304"/>
      <c r="AC117" s="304"/>
      <c r="AD117" s="304"/>
      <c r="AE117" s="304"/>
      <c r="AF117" s="1263" t="s">
        <v>2523</v>
      </c>
      <c r="AG117" s="314">
        <f t="shared" si="97"/>
        <v>0</v>
      </c>
      <c r="AH117" s="696">
        <f t="shared" si="98"/>
        <v>0</v>
      </c>
      <c r="AI117" s="314">
        <f t="shared" si="99"/>
        <v>0</v>
      </c>
      <c r="AJ117" s="314">
        <f t="shared" si="100"/>
        <v>0</v>
      </c>
      <c r="AK117" s="314">
        <f t="shared" si="101"/>
        <v>0</v>
      </c>
      <c r="AL117" s="314">
        <f t="shared" si="102"/>
        <v>0</v>
      </c>
      <c r="AM117" s="314">
        <f t="shared" si="103"/>
        <v>0</v>
      </c>
      <c r="AN117" s="314">
        <f t="shared" si="104"/>
        <v>0</v>
      </c>
      <c r="AO117" s="314">
        <f t="shared" si="105"/>
        <v>0</v>
      </c>
      <c r="AP117" s="314">
        <f t="shared" si="106"/>
        <v>0</v>
      </c>
    </row>
    <row r="118" spans="1:42" s="314" customFormat="1">
      <c r="A118" s="592" t="s">
        <v>73</v>
      </c>
      <c r="B118" s="320" t="s">
        <v>2060</v>
      </c>
      <c r="C118" s="297"/>
      <c r="D118" s="299">
        <f>D119+D127+D139</f>
        <v>28150</v>
      </c>
      <c r="E118" s="299">
        <f>E119+E127+E139</f>
        <v>28516</v>
      </c>
      <c r="F118" s="299">
        <f>F119+F127+F139</f>
        <v>27957</v>
      </c>
      <c r="G118" s="299">
        <f t="shared" si="151"/>
        <v>-193</v>
      </c>
      <c r="H118" s="299">
        <f t="shared" ref="H118:P118" si="165">H119+H127+H139</f>
        <v>29392</v>
      </c>
      <c r="I118" s="299">
        <f t="shared" si="165"/>
        <v>11964</v>
      </c>
      <c r="J118" s="299">
        <f t="shared" si="165"/>
        <v>69</v>
      </c>
      <c r="K118" s="299">
        <f t="shared" si="165"/>
        <v>67</v>
      </c>
      <c r="L118" s="299">
        <f t="shared" si="165"/>
        <v>2</v>
      </c>
      <c r="M118" s="299">
        <f t="shared" si="165"/>
        <v>8532</v>
      </c>
      <c r="N118" s="299">
        <f t="shared" si="165"/>
        <v>8412</v>
      </c>
      <c r="O118" s="299">
        <f t="shared" si="165"/>
        <v>120</v>
      </c>
      <c r="P118" s="299">
        <f t="shared" si="165"/>
        <v>3432</v>
      </c>
      <c r="Q118" s="299"/>
      <c r="R118" s="299"/>
      <c r="S118" s="299">
        <f>S119+S127+S139</f>
        <v>2932</v>
      </c>
      <c r="T118" s="299">
        <f>T119+T127+T139</f>
        <v>500</v>
      </c>
      <c r="U118" s="299">
        <f>U119+U127+U139</f>
        <v>100</v>
      </c>
      <c r="V118" s="299">
        <f>V119+V127+V139</f>
        <v>400</v>
      </c>
      <c r="W118" s="299">
        <f>W119+W127+W139</f>
        <v>17428</v>
      </c>
      <c r="X118" s="299"/>
      <c r="Y118" s="299"/>
      <c r="Z118" s="299">
        <f t="shared" ref="Z118:AE118" si="166">Z119+Z127+Z139</f>
        <v>16928</v>
      </c>
      <c r="AA118" s="299">
        <f t="shared" si="166"/>
        <v>500</v>
      </c>
      <c r="AB118" s="299">
        <f t="shared" si="166"/>
        <v>1435</v>
      </c>
      <c r="AC118" s="299">
        <f t="shared" si="166"/>
        <v>559</v>
      </c>
      <c r="AD118" s="299">
        <f t="shared" si="166"/>
        <v>1893</v>
      </c>
      <c r="AE118" s="299">
        <f t="shared" si="166"/>
        <v>26123</v>
      </c>
      <c r="AF118" s="321"/>
      <c r="AG118" s="314">
        <f t="shared" si="97"/>
        <v>0</v>
      </c>
      <c r="AH118" s="696">
        <f t="shared" si="98"/>
        <v>0</v>
      </c>
      <c r="AI118" s="314">
        <f t="shared" si="99"/>
        <v>0</v>
      </c>
      <c r="AJ118" s="314">
        <f t="shared" si="100"/>
        <v>0</v>
      </c>
      <c r="AK118" s="314">
        <f t="shared" si="101"/>
        <v>0</v>
      </c>
      <c r="AL118" s="314">
        <f t="shared" si="102"/>
        <v>0</v>
      </c>
      <c r="AM118" s="314">
        <f t="shared" si="103"/>
        <v>0</v>
      </c>
      <c r="AN118" s="314">
        <f t="shared" si="104"/>
        <v>0</v>
      </c>
      <c r="AO118" s="314">
        <f t="shared" si="105"/>
        <v>0</v>
      </c>
      <c r="AP118" s="314">
        <f t="shared" si="106"/>
        <v>0</v>
      </c>
    </row>
    <row r="119" spans="1:42" s="314" customFormat="1">
      <c r="A119" s="592" t="s">
        <v>393</v>
      </c>
      <c r="B119" s="357" t="s">
        <v>861</v>
      </c>
      <c r="C119" s="298" t="s">
        <v>756</v>
      </c>
      <c r="D119" s="297">
        <f>D120+D124+D122</f>
        <v>6947</v>
      </c>
      <c r="E119" s="297">
        <f>E120+E124+E122</f>
        <v>7837</v>
      </c>
      <c r="F119" s="297">
        <f>F120+F124+F122</f>
        <v>7540</v>
      </c>
      <c r="G119" s="297">
        <f t="shared" si="151"/>
        <v>593</v>
      </c>
      <c r="H119" s="297">
        <f t="shared" ref="H119:W119" si="167">H120+H124+H122</f>
        <v>7540</v>
      </c>
      <c r="I119" s="297">
        <f t="shared" si="167"/>
        <v>7540</v>
      </c>
      <c r="J119" s="297">
        <f t="shared" si="167"/>
        <v>38</v>
      </c>
      <c r="K119" s="297">
        <f t="shared" si="167"/>
        <v>37</v>
      </c>
      <c r="L119" s="297">
        <f t="shared" si="167"/>
        <v>1</v>
      </c>
      <c r="M119" s="297">
        <f t="shared" si="167"/>
        <v>5037</v>
      </c>
      <c r="N119" s="297">
        <f t="shared" si="167"/>
        <v>4972</v>
      </c>
      <c r="O119" s="297">
        <f t="shared" si="167"/>
        <v>65</v>
      </c>
      <c r="P119" s="297">
        <f t="shared" si="167"/>
        <v>2503</v>
      </c>
      <c r="Q119" s="297"/>
      <c r="R119" s="297"/>
      <c r="S119" s="297">
        <f t="shared" si="167"/>
        <v>2003</v>
      </c>
      <c r="T119" s="297">
        <f t="shared" si="167"/>
        <v>500</v>
      </c>
      <c r="U119" s="297">
        <f t="shared" si="167"/>
        <v>100</v>
      </c>
      <c r="V119" s="297">
        <f t="shared" si="167"/>
        <v>400</v>
      </c>
      <c r="W119" s="297">
        <f t="shared" si="167"/>
        <v>0</v>
      </c>
      <c r="X119" s="297"/>
      <c r="Y119" s="297"/>
      <c r="Z119" s="297">
        <f t="shared" ref="Z119:AE119" si="168">Z120+Z124+Z122</f>
        <v>0</v>
      </c>
      <c r="AA119" s="297">
        <f t="shared" si="168"/>
        <v>0</v>
      </c>
      <c r="AB119" s="297">
        <f t="shared" si="168"/>
        <v>0</v>
      </c>
      <c r="AC119" s="297">
        <f t="shared" si="168"/>
        <v>297</v>
      </c>
      <c r="AD119" s="297">
        <f t="shared" si="168"/>
        <v>200</v>
      </c>
      <c r="AE119" s="297">
        <f t="shared" si="168"/>
        <v>7137</v>
      </c>
      <c r="AF119" s="321"/>
      <c r="AG119" s="314">
        <f t="shared" si="97"/>
        <v>0</v>
      </c>
      <c r="AH119" s="696">
        <f t="shared" si="98"/>
        <v>0</v>
      </c>
      <c r="AI119" s="314">
        <f t="shared" si="99"/>
        <v>0</v>
      </c>
      <c r="AJ119" s="314">
        <f t="shared" si="100"/>
        <v>0</v>
      </c>
      <c r="AK119" s="314">
        <f t="shared" si="101"/>
        <v>0</v>
      </c>
      <c r="AL119" s="314">
        <f t="shared" si="102"/>
        <v>0</v>
      </c>
      <c r="AM119" s="314">
        <f t="shared" si="103"/>
        <v>0</v>
      </c>
      <c r="AN119" s="314">
        <f t="shared" si="104"/>
        <v>0</v>
      </c>
      <c r="AO119" s="314">
        <f t="shared" si="105"/>
        <v>0</v>
      </c>
      <c r="AP119" s="314">
        <f t="shared" si="106"/>
        <v>0</v>
      </c>
    </row>
    <row r="120" spans="1:42">
      <c r="A120" s="583" t="s">
        <v>45</v>
      </c>
      <c r="B120" s="324" t="s">
        <v>862</v>
      </c>
      <c r="C120" s="304"/>
      <c r="D120" s="304">
        <f t="shared" ref="D120:AE120" si="169">D121</f>
        <v>6637</v>
      </c>
      <c r="E120" s="304">
        <f>E121</f>
        <v>7337</v>
      </c>
      <c r="F120" s="304">
        <f>F121</f>
        <v>7040</v>
      </c>
      <c r="G120" s="304">
        <f>G121</f>
        <v>403</v>
      </c>
      <c r="H120" s="304">
        <f t="shared" si="169"/>
        <v>7040</v>
      </c>
      <c r="I120" s="304">
        <f t="shared" si="169"/>
        <v>7040</v>
      </c>
      <c r="J120" s="304">
        <f t="shared" si="169"/>
        <v>38</v>
      </c>
      <c r="K120" s="304">
        <f t="shared" si="169"/>
        <v>37</v>
      </c>
      <c r="L120" s="304">
        <f t="shared" si="169"/>
        <v>1</v>
      </c>
      <c r="M120" s="304">
        <f t="shared" si="169"/>
        <v>5037</v>
      </c>
      <c r="N120" s="304">
        <f t="shared" si="169"/>
        <v>4972</v>
      </c>
      <c r="O120" s="304">
        <f t="shared" si="169"/>
        <v>65</v>
      </c>
      <c r="P120" s="304">
        <f t="shared" si="169"/>
        <v>2003</v>
      </c>
      <c r="Q120" s="304"/>
      <c r="R120" s="863"/>
      <c r="S120" s="304">
        <f t="shared" si="169"/>
        <v>2003</v>
      </c>
      <c r="T120" s="304">
        <f t="shared" si="169"/>
        <v>0</v>
      </c>
      <c r="U120" s="304">
        <f t="shared" si="169"/>
        <v>0</v>
      </c>
      <c r="V120" s="304">
        <f t="shared" si="169"/>
        <v>0</v>
      </c>
      <c r="W120" s="304">
        <f t="shared" si="169"/>
        <v>0</v>
      </c>
      <c r="X120" s="304">
        <f t="shared" si="169"/>
        <v>0</v>
      </c>
      <c r="Y120" s="304">
        <f t="shared" si="169"/>
        <v>0</v>
      </c>
      <c r="Z120" s="304">
        <f t="shared" si="169"/>
        <v>0</v>
      </c>
      <c r="AA120" s="304">
        <f t="shared" si="169"/>
        <v>0</v>
      </c>
      <c r="AB120" s="304">
        <f t="shared" si="169"/>
        <v>0</v>
      </c>
      <c r="AC120" s="304">
        <f t="shared" si="169"/>
        <v>297</v>
      </c>
      <c r="AD120" s="304">
        <f t="shared" si="169"/>
        <v>200</v>
      </c>
      <c r="AE120" s="304">
        <f t="shared" si="169"/>
        <v>7137</v>
      </c>
      <c r="AF120" s="317"/>
      <c r="AG120" s="314">
        <f t="shared" si="97"/>
        <v>0</v>
      </c>
      <c r="AH120" s="696">
        <f t="shared" si="98"/>
        <v>0</v>
      </c>
      <c r="AI120" s="314">
        <f t="shared" si="99"/>
        <v>0</v>
      </c>
      <c r="AJ120" s="314">
        <f t="shared" si="100"/>
        <v>0</v>
      </c>
      <c r="AK120" s="314">
        <f t="shared" si="101"/>
        <v>0</v>
      </c>
      <c r="AL120" s="314">
        <f t="shared" si="102"/>
        <v>0</v>
      </c>
      <c r="AM120" s="314">
        <f t="shared" si="103"/>
        <v>0</v>
      </c>
      <c r="AN120" s="314">
        <f t="shared" si="104"/>
        <v>0</v>
      </c>
      <c r="AO120" s="314">
        <f t="shared" si="105"/>
        <v>0</v>
      </c>
      <c r="AP120" s="314">
        <f t="shared" si="106"/>
        <v>0</v>
      </c>
    </row>
    <row r="121" spans="1:42" outlineLevel="1">
      <c r="A121" s="583" t="s">
        <v>23</v>
      </c>
      <c r="B121" s="324" t="s">
        <v>866</v>
      </c>
      <c r="C121" s="304"/>
      <c r="D121" s="304">
        <v>6637</v>
      </c>
      <c r="E121" s="304">
        <f t="shared" si="110"/>
        <v>7337</v>
      </c>
      <c r="F121" s="304">
        <f>H121-AB121</f>
        <v>7040</v>
      </c>
      <c r="G121" s="304">
        <f>F121-D121</f>
        <v>403</v>
      </c>
      <c r="H121" s="303">
        <f t="shared" ref="H121" si="170">I121+W121</f>
        <v>7040</v>
      </c>
      <c r="I121" s="303">
        <f>M121+P121</f>
        <v>7040</v>
      </c>
      <c r="J121" s="311">
        <v>38</v>
      </c>
      <c r="K121" s="311">
        <v>37</v>
      </c>
      <c r="L121" s="311">
        <f>J121-K121</f>
        <v>1</v>
      </c>
      <c r="M121" s="303">
        <f>N121+O121</f>
        <v>5037</v>
      </c>
      <c r="N121" s="311">
        <v>4972</v>
      </c>
      <c r="O121" s="311">
        <v>65</v>
      </c>
      <c r="P121" s="303">
        <f>S121+T121</f>
        <v>2003</v>
      </c>
      <c r="Q121" s="294">
        <v>31</v>
      </c>
      <c r="R121" s="312">
        <v>1.7000000000000002</v>
      </c>
      <c r="S121" s="304">
        <f>ROUND(J121*Q121*R121,0)</f>
        <v>2003</v>
      </c>
      <c r="T121" s="303">
        <f>U121+V121</f>
        <v>0</v>
      </c>
      <c r="U121" s="304"/>
      <c r="V121" s="304"/>
      <c r="W121" s="303">
        <f>Z121+AA121</f>
        <v>0</v>
      </c>
      <c r="X121" s="303"/>
      <c r="Y121" s="303"/>
      <c r="Z121" s="304"/>
      <c r="AA121" s="304"/>
      <c r="AB121" s="304"/>
      <c r="AC121" s="304">
        <v>297</v>
      </c>
      <c r="AD121" s="304">
        <v>200</v>
      </c>
      <c r="AE121" s="303">
        <f>E121-AD121</f>
        <v>7137</v>
      </c>
      <c r="AF121" s="317"/>
      <c r="AG121" s="314">
        <f t="shared" si="97"/>
        <v>0</v>
      </c>
      <c r="AH121" s="696">
        <f t="shared" si="98"/>
        <v>0</v>
      </c>
      <c r="AI121" s="314">
        <f t="shared" si="99"/>
        <v>0</v>
      </c>
      <c r="AJ121" s="314">
        <f t="shared" si="100"/>
        <v>0</v>
      </c>
      <c r="AK121" s="314">
        <f t="shared" si="101"/>
        <v>0</v>
      </c>
      <c r="AL121" s="314">
        <f t="shared" si="102"/>
        <v>0</v>
      </c>
      <c r="AM121" s="314">
        <f t="shared" si="103"/>
        <v>0</v>
      </c>
      <c r="AN121" s="314">
        <f t="shared" si="104"/>
        <v>0</v>
      </c>
      <c r="AO121" s="314">
        <f t="shared" si="105"/>
        <v>0</v>
      </c>
      <c r="AP121" s="314">
        <f t="shared" si="106"/>
        <v>0</v>
      </c>
    </row>
    <row r="122" spans="1:42" ht="27.6" hidden="1" outlineLevel="3">
      <c r="A122" s="583" t="s">
        <v>47</v>
      </c>
      <c r="B122" s="324" t="s">
        <v>1521</v>
      </c>
      <c r="C122" s="304"/>
      <c r="D122" s="303">
        <v>210</v>
      </c>
      <c r="E122" s="303">
        <f t="shared" ref="E122:F122" si="171">E123</f>
        <v>0</v>
      </c>
      <c r="F122" s="303">
        <f t="shared" si="171"/>
        <v>0</v>
      </c>
      <c r="G122" s="303">
        <f>F122-D122</f>
        <v>-210</v>
      </c>
      <c r="H122" s="303">
        <f>H123</f>
        <v>0</v>
      </c>
      <c r="I122" s="303">
        <f t="shared" ref="I122:AE122" si="172">I123</f>
        <v>0</v>
      </c>
      <c r="J122" s="303">
        <f t="shared" si="172"/>
        <v>0</v>
      </c>
      <c r="K122" s="303">
        <f t="shared" si="172"/>
        <v>0</v>
      </c>
      <c r="L122" s="303">
        <f t="shared" si="172"/>
        <v>0</v>
      </c>
      <c r="M122" s="303">
        <f t="shared" si="172"/>
        <v>0</v>
      </c>
      <c r="N122" s="303">
        <f t="shared" si="172"/>
        <v>0</v>
      </c>
      <c r="O122" s="303">
        <f t="shared" si="172"/>
        <v>0</v>
      </c>
      <c r="P122" s="303">
        <f t="shared" si="172"/>
        <v>0</v>
      </c>
      <c r="Q122" s="303">
        <f t="shared" si="172"/>
        <v>0</v>
      </c>
      <c r="R122" s="303">
        <f t="shared" si="172"/>
        <v>0</v>
      </c>
      <c r="S122" s="303">
        <f t="shared" si="172"/>
        <v>0</v>
      </c>
      <c r="T122" s="303">
        <f t="shared" si="172"/>
        <v>0</v>
      </c>
      <c r="U122" s="303">
        <f t="shared" si="172"/>
        <v>0</v>
      </c>
      <c r="V122" s="303">
        <f t="shared" si="172"/>
        <v>0</v>
      </c>
      <c r="W122" s="303">
        <f>W123</f>
        <v>0</v>
      </c>
      <c r="X122" s="303"/>
      <c r="Y122" s="303"/>
      <c r="Z122" s="303">
        <f t="shared" si="172"/>
        <v>0</v>
      </c>
      <c r="AA122" s="303">
        <f>AA123</f>
        <v>0</v>
      </c>
      <c r="AB122" s="303">
        <f>AB123</f>
        <v>0</v>
      </c>
      <c r="AC122" s="303">
        <f t="shared" si="172"/>
        <v>0</v>
      </c>
      <c r="AD122" s="303"/>
      <c r="AE122" s="303">
        <f t="shared" si="172"/>
        <v>0</v>
      </c>
      <c r="AF122" s="317" t="s">
        <v>2061</v>
      </c>
      <c r="AG122" s="314">
        <f t="shared" si="97"/>
        <v>0</v>
      </c>
      <c r="AH122" s="696">
        <f t="shared" si="98"/>
        <v>0</v>
      </c>
      <c r="AI122" s="314">
        <f t="shared" si="99"/>
        <v>0</v>
      </c>
      <c r="AJ122" s="314">
        <f t="shared" si="100"/>
        <v>0</v>
      </c>
      <c r="AK122" s="314">
        <f t="shared" si="101"/>
        <v>0</v>
      </c>
      <c r="AL122" s="314">
        <f t="shared" si="102"/>
        <v>0</v>
      </c>
      <c r="AM122" s="314">
        <f t="shared" si="103"/>
        <v>0</v>
      </c>
      <c r="AN122" s="314">
        <f t="shared" si="104"/>
        <v>0</v>
      </c>
      <c r="AO122" s="314">
        <f t="shared" si="105"/>
        <v>0</v>
      </c>
      <c r="AP122" s="314">
        <f t="shared" si="106"/>
        <v>0</v>
      </c>
    </row>
    <row r="123" spans="1:42" hidden="1" outlineLevel="3">
      <c r="A123" s="583" t="s">
        <v>23</v>
      </c>
      <c r="B123" s="324" t="s">
        <v>866</v>
      </c>
      <c r="C123" s="304"/>
      <c r="D123" s="304">
        <v>210</v>
      </c>
      <c r="E123" s="304">
        <f t="shared" si="110"/>
        <v>0</v>
      </c>
      <c r="F123" s="304">
        <f>H123-AB123</f>
        <v>0</v>
      </c>
      <c r="G123" s="304">
        <f>F123-D123</f>
        <v>-210</v>
      </c>
      <c r="H123" s="303">
        <f t="shared" ref="H123" si="173">I123+W123</f>
        <v>0</v>
      </c>
      <c r="I123" s="303">
        <f t="shared" ref="I123" si="174">M123+P123</f>
        <v>0</v>
      </c>
      <c r="J123" s="294"/>
      <c r="K123" s="294">
        <v>0</v>
      </c>
      <c r="L123" s="294"/>
      <c r="M123" s="304">
        <f t="shared" ref="M123" si="175">N123+O123</f>
        <v>0</v>
      </c>
      <c r="N123" s="294"/>
      <c r="O123" s="294"/>
      <c r="P123" s="303">
        <f t="shared" ref="P123" si="176">S123+T123</f>
        <v>0</v>
      </c>
      <c r="Q123" s="311">
        <v>0</v>
      </c>
      <c r="R123" s="305"/>
      <c r="S123" s="304">
        <f>J123*Q123</f>
        <v>0</v>
      </c>
      <c r="T123" s="303">
        <f t="shared" ref="T123" si="177">U123+V123</f>
        <v>0</v>
      </c>
      <c r="U123" s="304"/>
      <c r="V123" s="304"/>
      <c r="W123" s="303">
        <f>Z123+AA123</f>
        <v>0</v>
      </c>
      <c r="X123" s="303"/>
      <c r="Y123" s="303"/>
      <c r="Z123" s="304"/>
      <c r="AA123" s="304"/>
      <c r="AB123" s="304"/>
      <c r="AC123" s="304"/>
      <c r="AD123" s="304"/>
      <c r="AE123" s="303">
        <f>E123-AD123</f>
        <v>0</v>
      </c>
      <c r="AF123" s="317"/>
      <c r="AG123" s="314">
        <f t="shared" si="97"/>
        <v>0</v>
      </c>
      <c r="AH123" s="696">
        <f t="shared" si="98"/>
        <v>0</v>
      </c>
      <c r="AI123" s="314">
        <f t="shared" si="99"/>
        <v>0</v>
      </c>
      <c r="AJ123" s="314">
        <f t="shared" si="100"/>
        <v>0</v>
      </c>
      <c r="AK123" s="314">
        <f t="shared" si="101"/>
        <v>0</v>
      </c>
      <c r="AL123" s="314">
        <f t="shared" si="102"/>
        <v>0</v>
      </c>
      <c r="AM123" s="314">
        <f t="shared" si="103"/>
        <v>0</v>
      </c>
      <c r="AN123" s="314">
        <f t="shared" si="104"/>
        <v>0</v>
      </c>
      <c r="AO123" s="314">
        <f t="shared" si="105"/>
        <v>0</v>
      </c>
      <c r="AP123" s="314">
        <f t="shared" si="106"/>
        <v>0</v>
      </c>
    </row>
    <row r="124" spans="1:42" ht="27.6">
      <c r="A124" s="583" t="s">
        <v>47</v>
      </c>
      <c r="B124" s="1273" t="s">
        <v>1737</v>
      </c>
      <c r="C124" s="304"/>
      <c r="D124" s="304">
        <v>100</v>
      </c>
      <c r="E124" s="304">
        <f>E125+E126</f>
        <v>500</v>
      </c>
      <c r="F124" s="304">
        <f t="shared" ref="F124:AE124" si="178">F125+F126</f>
        <v>500</v>
      </c>
      <c r="G124" s="304">
        <f t="shared" si="178"/>
        <v>400</v>
      </c>
      <c r="H124" s="304">
        <f t="shared" si="178"/>
        <v>500</v>
      </c>
      <c r="I124" s="304">
        <f t="shared" si="178"/>
        <v>500</v>
      </c>
      <c r="J124" s="304">
        <f t="shared" si="178"/>
        <v>0</v>
      </c>
      <c r="K124" s="304">
        <f t="shared" si="178"/>
        <v>0</v>
      </c>
      <c r="L124" s="304">
        <f t="shared" si="178"/>
        <v>0</v>
      </c>
      <c r="M124" s="304">
        <f t="shared" si="178"/>
        <v>0</v>
      </c>
      <c r="N124" s="304">
        <f t="shared" si="178"/>
        <v>0</v>
      </c>
      <c r="O124" s="304">
        <f t="shared" si="178"/>
        <v>0</v>
      </c>
      <c r="P124" s="304">
        <f t="shared" si="178"/>
        <v>500</v>
      </c>
      <c r="Q124" s="304">
        <f t="shared" si="178"/>
        <v>0</v>
      </c>
      <c r="R124" s="304">
        <f t="shared" si="178"/>
        <v>0</v>
      </c>
      <c r="S124" s="304">
        <f t="shared" si="178"/>
        <v>0</v>
      </c>
      <c r="T124" s="304">
        <f t="shared" si="178"/>
        <v>500</v>
      </c>
      <c r="U124" s="304">
        <f t="shared" si="178"/>
        <v>100</v>
      </c>
      <c r="V124" s="304">
        <f t="shared" si="178"/>
        <v>400</v>
      </c>
      <c r="W124" s="304">
        <f t="shared" si="178"/>
        <v>0</v>
      </c>
      <c r="X124" s="304">
        <f t="shared" si="178"/>
        <v>0</v>
      </c>
      <c r="Y124" s="304">
        <f t="shared" si="178"/>
        <v>0</v>
      </c>
      <c r="Z124" s="304">
        <f t="shared" si="178"/>
        <v>0</v>
      </c>
      <c r="AA124" s="304">
        <f t="shared" si="178"/>
        <v>0</v>
      </c>
      <c r="AB124" s="304">
        <f t="shared" si="178"/>
        <v>0</v>
      </c>
      <c r="AC124" s="304">
        <f t="shared" si="178"/>
        <v>0</v>
      </c>
      <c r="AD124" s="304">
        <f t="shared" si="178"/>
        <v>0</v>
      </c>
      <c r="AE124" s="304">
        <f t="shared" si="178"/>
        <v>0</v>
      </c>
      <c r="AF124" s="317"/>
      <c r="AG124" s="314">
        <f t="shared" si="97"/>
        <v>0</v>
      </c>
      <c r="AH124" s="696">
        <f t="shared" si="98"/>
        <v>0</v>
      </c>
      <c r="AI124" s="314">
        <f t="shared" si="99"/>
        <v>0</v>
      </c>
      <c r="AJ124" s="314">
        <f t="shared" si="100"/>
        <v>0</v>
      </c>
      <c r="AK124" s="314">
        <f t="shared" si="101"/>
        <v>0</v>
      </c>
      <c r="AL124" s="314">
        <f t="shared" si="102"/>
        <v>0</v>
      </c>
      <c r="AM124" s="314">
        <f t="shared" si="103"/>
        <v>0</v>
      </c>
      <c r="AN124" s="314">
        <f t="shared" si="104"/>
        <v>0</v>
      </c>
      <c r="AO124" s="314">
        <f t="shared" si="105"/>
        <v>0</v>
      </c>
      <c r="AP124" s="314">
        <f t="shared" si="106"/>
        <v>0</v>
      </c>
    </row>
    <row r="125" spans="1:42" ht="41.4" outlineLevel="2">
      <c r="A125" s="583" t="s">
        <v>23</v>
      </c>
      <c r="B125" s="316" t="s">
        <v>2062</v>
      </c>
      <c r="C125" s="304"/>
      <c r="D125" s="304">
        <v>100</v>
      </c>
      <c r="E125" s="304">
        <f t="shared" si="110"/>
        <v>200</v>
      </c>
      <c r="F125" s="304">
        <f>H125-AB125</f>
        <v>200</v>
      </c>
      <c r="G125" s="304">
        <f t="shared" ref="G125:G156" si="179">F125-D125</f>
        <v>100</v>
      </c>
      <c r="H125" s="303">
        <f>I125+W125</f>
        <v>200</v>
      </c>
      <c r="I125" s="303">
        <f>M125+P125</f>
        <v>200</v>
      </c>
      <c r="J125" s="294"/>
      <c r="K125" s="294"/>
      <c r="L125" s="294"/>
      <c r="M125" s="304"/>
      <c r="N125" s="294"/>
      <c r="O125" s="294"/>
      <c r="P125" s="303">
        <f>S125+T125</f>
        <v>200</v>
      </c>
      <c r="Q125" s="294"/>
      <c r="R125" s="305"/>
      <c r="S125" s="304"/>
      <c r="T125" s="303">
        <f>U125+V125</f>
        <v>200</v>
      </c>
      <c r="U125" s="304">
        <v>100</v>
      </c>
      <c r="V125" s="304">
        <v>100</v>
      </c>
      <c r="W125" s="303">
        <f>Z125+AA125</f>
        <v>0</v>
      </c>
      <c r="X125" s="303"/>
      <c r="Y125" s="303"/>
      <c r="Z125" s="304"/>
      <c r="AA125" s="304"/>
      <c r="AB125" s="304"/>
      <c r="AC125" s="304"/>
      <c r="AD125" s="304"/>
      <c r="AE125" s="304"/>
      <c r="AF125" s="317" t="s">
        <v>2311</v>
      </c>
      <c r="AG125" s="314">
        <f t="shared" si="97"/>
        <v>0</v>
      </c>
      <c r="AH125" s="696">
        <f t="shared" si="98"/>
        <v>0</v>
      </c>
      <c r="AI125" s="314">
        <f t="shared" si="99"/>
        <v>0</v>
      </c>
      <c r="AJ125" s="314">
        <f t="shared" si="100"/>
        <v>0</v>
      </c>
      <c r="AK125" s="314">
        <f t="shared" si="101"/>
        <v>0</v>
      </c>
      <c r="AL125" s="314">
        <f t="shared" si="102"/>
        <v>0</v>
      </c>
      <c r="AM125" s="314">
        <f t="shared" si="103"/>
        <v>0</v>
      </c>
      <c r="AN125" s="314">
        <f t="shared" si="104"/>
        <v>0</v>
      </c>
      <c r="AO125" s="314">
        <f t="shared" si="105"/>
        <v>0</v>
      </c>
      <c r="AP125" s="314">
        <f t="shared" si="106"/>
        <v>0</v>
      </c>
    </row>
    <row r="126" spans="1:42" ht="69" outlineLevel="1">
      <c r="A126" s="583" t="s">
        <v>23</v>
      </c>
      <c r="B126" s="1275" t="s">
        <v>2063</v>
      </c>
      <c r="C126" s="304"/>
      <c r="D126" s="304"/>
      <c r="E126" s="304">
        <f t="shared" si="110"/>
        <v>300</v>
      </c>
      <c r="F126" s="304">
        <f>H126-AB126</f>
        <v>300</v>
      </c>
      <c r="G126" s="304">
        <f t="shared" si="179"/>
        <v>300</v>
      </c>
      <c r="H126" s="303">
        <f>I126+W126</f>
        <v>300</v>
      </c>
      <c r="I126" s="303">
        <f>M126+P126</f>
        <v>300</v>
      </c>
      <c r="J126" s="294"/>
      <c r="K126" s="294"/>
      <c r="L126" s="294"/>
      <c r="M126" s="304"/>
      <c r="N126" s="294"/>
      <c r="O126" s="294"/>
      <c r="P126" s="303">
        <f>S126+T126</f>
        <v>300</v>
      </c>
      <c r="Q126" s="294"/>
      <c r="R126" s="305"/>
      <c r="S126" s="304"/>
      <c r="T126" s="303">
        <f>U126+V126</f>
        <v>300</v>
      </c>
      <c r="U126" s="304"/>
      <c r="V126" s="304">
        <v>300</v>
      </c>
      <c r="W126" s="303">
        <f t="shared" ref="W126" si="180">Z126+AA126</f>
        <v>0</v>
      </c>
      <c r="X126" s="303"/>
      <c r="Y126" s="303"/>
      <c r="Z126" s="304"/>
      <c r="AA126" s="304"/>
      <c r="AB126" s="304"/>
      <c r="AC126" s="304"/>
      <c r="AD126" s="304"/>
      <c r="AE126" s="304"/>
      <c r="AF126" s="317" t="s">
        <v>2312</v>
      </c>
      <c r="AG126" s="314">
        <f t="shared" si="97"/>
        <v>0</v>
      </c>
      <c r="AH126" s="696">
        <f t="shared" si="98"/>
        <v>0</v>
      </c>
      <c r="AI126" s="314">
        <f t="shared" si="99"/>
        <v>0</v>
      </c>
      <c r="AJ126" s="314">
        <f t="shared" si="100"/>
        <v>0</v>
      </c>
      <c r="AK126" s="314">
        <f t="shared" si="101"/>
        <v>0</v>
      </c>
      <c r="AL126" s="314">
        <f t="shared" si="102"/>
        <v>0</v>
      </c>
      <c r="AM126" s="314">
        <f t="shared" si="103"/>
        <v>0</v>
      </c>
      <c r="AN126" s="314">
        <f t="shared" si="104"/>
        <v>0</v>
      </c>
      <c r="AO126" s="314">
        <f t="shared" si="105"/>
        <v>0</v>
      </c>
      <c r="AP126" s="314">
        <f t="shared" si="106"/>
        <v>0</v>
      </c>
    </row>
    <row r="127" spans="1:42" s="314" customFormat="1">
      <c r="A127" s="592" t="s">
        <v>396</v>
      </c>
      <c r="B127" s="357" t="s">
        <v>870</v>
      </c>
      <c r="C127" s="298" t="s">
        <v>728</v>
      </c>
      <c r="D127" s="299">
        <f t="shared" ref="D127" si="181">D128+D132</f>
        <v>9725</v>
      </c>
      <c r="E127" s="299">
        <f>E128+E132</f>
        <v>8548</v>
      </c>
      <c r="F127" s="299">
        <f>F128+F132</f>
        <v>8325</v>
      </c>
      <c r="G127" s="299">
        <f t="shared" si="179"/>
        <v>-1400</v>
      </c>
      <c r="H127" s="299">
        <f t="shared" ref="H127:P127" si="182">H128+H132</f>
        <v>9664</v>
      </c>
      <c r="I127" s="299">
        <f t="shared" si="182"/>
        <v>3732</v>
      </c>
      <c r="J127" s="299">
        <f t="shared" si="182"/>
        <v>26</v>
      </c>
      <c r="K127" s="299">
        <f t="shared" si="182"/>
        <v>26</v>
      </c>
      <c r="L127" s="299">
        <f t="shared" si="182"/>
        <v>0</v>
      </c>
      <c r="M127" s="299">
        <f t="shared" si="182"/>
        <v>2958</v>
      </c>
      <c r="N127" s="299">
        <f t="shared" si="182"/>
        <v>2958</v>
      </c>
      <c r="O127" s="299">
        <f t="shared" si="182"/>
        <v>0</v>
      </c>
      <c r="P127" s="299">
        <f t="shared" si="182"/>
        <v>774</v>
      </c>
      <c r="Q127" s="299"/>
      <c r="R127" s="299"/>
      <c r="S127" s="299">
        <f t="shared" ref="S127:Z127" si="183">S128+S132</f>
        <v>774</v>
      </c>
      <c r="T127" s="299">
        <f t="shared" si="183"/>
        <v>0</v>
      </c>
      <c r="U127" s="299">
        <f t="shared" si="183"/>
        <v>0</v>
      </c>
      <c r="V127" s="299">
        <f t="shared" si="183"/>
        <v>0</v>
      </c>
      <c r="W127" s="299">
        <f>W128+W132</f>
        <v>5932</v>
      </c>
      <c r="X127" s="299"/>
      <c r="Y127" s="299"/>
      <c r="Z127" s="299">
        <f t="shared" si="183"/>
        <v>5632</v>
      </c>
      <c r="AA127" s="299">
        <f>AA128+AA132</f>
        <v>300</v>
      </c>
      <c r="AB127" s="299">
        <f>AB128+AB132</f>
        <v>1339</v>
      </c>
      <c r="AC127" s="299">
        <f t="shared" ref="AC127:AE127" si="184">AC128+AC132</f>
        <v>223</v>
      </c>
      <c r="AD127" s="299">
        <f t="shared" si="184"/>
        <v>537</v>
      </c>
      <c r="AE127" s="299">
        <f t="shared" si="184"/>
        <v>8011</v>
      </c>
      <c r="AF127" s="321"/>
      <c r="AG127" s="314">
        <f t="shared" si="97"/>
        <v>0</v>
      </c>
      <c r="AH127" s="696">
        <f t="shared" si="98"/>
        <v>0</v>
      </c>
      <c r="AI127" s="314">
        <f t="shared" si="99"/>
        <v>0</v>
      </c>
      <c r="AJ127" s="314">
        <f t="shared" si="100"/>
        <v>0</v>
      </c>
      <c r="AK127" s="314">
        <f t="shared" si="101"/>
        <v>0</v>
      </c>
      <c r="AL127" s="314">
        <f t="shared" si="102"/>
        <v>0</v>
      </c>
      <c r="AM127" s="314">
        <f t="shared" si="103"/>
        <v>0</v>
      </c>
      <c r="AN127" s="314">
        <f t="shared" si="104"/>
        <v>0</v>
      </c>
      <c r="AO127" s="314">
        <f t="shared" si="105"/>
        <v>0</v>
      </c>
      <c r="AP127" s="314">
        <f t="shared" si="106"/>
        <v>0</v>
      </c>
    </row>
    <row r="128" spans="1:42">
      <c r="A128" s="583" t="s">
        <v>45</v>
      </c>
      <c r="B128" s="324" t="s">
        <v>846</v>
      </c>
      <c r="C128" s="304"/>
      <c r="D128" s="303">
        <f t="shared" ref="D128" si="185">D129+D130+D131</f>
        <v>4093</v>
      </c>
      <c r="E128" s="303">
        <f>E129+E130+E131</f>
        <v>2616</v>
      </c>
      <c r="F128" s="303">
        <f>F129+F130+F131</f>
        <v>2393</v>
      </c>
      <c r="G128" s="303">
        <f t="shared" si="179"/>
        <v>-1700</v>
      </c>
      <c r="H128" s="303">
        <f t="shared" ref="H128:Z128" si="186">H129+H130+H131</f>
        <v>3732</v>
      </c>
      <c r="I128" s="303">
        <f t="shared" si="186"/>
        <v>3732</v>
      </c>
      <c r="J128" s="303">
        <f t="shared" si="186"/>
        <v>26</v>
      </c>
      <c r="K128" s="303">
        <f t="shared" si="186"/>
        <v>26</v>
      </c>
      <c r="L128" s="303">
        <f t="shared" si="186"/>
        <v>0</v>
      </c>
      <c r="M128" s="303">
        <f t="shared" si="186"/>
        <v>2958</v>
      </c>
      <c r="N128" s="303">
        <f t="shared" si="186"/>
        <v>2958</v>
      </c>
      <c r="O128" s="303">
        <f t="shared" si="186"/>
        <v>0</v>
      </c>
      <c r="P128" s="303">
        <f t="shared" si="186"/>
        <v>774</v>
      </c>
      <c r="Q128" s="303"/>
      <c r="R128" s="303"/>
      <c r="S128" s="303">
        <f t="shared" si="186"/>
        <v>774</v>
      </c>
      <c r="T128" s="303">
        <f t="shared" si="186"/>
        <v>0</v>
      </c>
      <c r="U128" s="303">
        <f t="shared" si="186"/>
        <v>0</v>
      </c>
      <c r="V128" s="303">
        <f t="shared" si="186"/>
        <v>0</v>
      </c>
      <c r="W128" s="303">
        <f>W129+W130+W131</f>
        <v>0</v>
      </c>
      <c r="X128" s="303"/>
      <c r="Y128" s="303"/>
      <c r="Z128" s="303">
        <f t="shared" si="186"/>
        <v>0</v>
      </c>
      <c r="AA128" s="303">
        <f>AA129+AA130+AA131</f>
        <v>0</v>
      </c>
      <c r="AB128" s="303">
        <f>AB129+AB130+AB131</f>
        <v>1339</v>
      </c>
      <c r="AC128" s="303">
        <f t="shared" ref="AC128:AE128" si="187">AC129+AC130+AC131</f>
        <v>223</v>
      </c>
      <c r="AD128" s="303">
        <f t="shared" si="187"/>
        <v>-56</v>
      </c>
      <c r="AE128" s="303">
        <f t="shared" si="187"/>
        <v>2672</v>
      </c>
      <c r="AF128" s="317"/>
      <c r="AG128" s="314">
        <f t="shared" si="97"/>
        <v>0</v>
      </c>
      <c r="AH128" s="696">
        <f t="shared" si="98"/>
        <v>0</v>
      </c>
      <c r="AI128" s="314">
        <f t="shared" si="99"/>
        <v>0</v>
      </c>
      <c r="AJ128" s="314">
        <f t="shared" si="100"/>
        <v>0</v>
      </c>
      <c r="AK128" s="314">
        <f t="shared" si="101"/>
        <v>0</v>
      </c>
      <c r="AL128" s="314">
        <f t="shared" si="102"/>
        <v>0</v>
      </c>
      <c r="AM128" s="314">
        <f t="shared" si="103"/>
        <v>0</v>
      </c>
      <c r="AN128" s="314">
        <f t="shared" si="104"/>
        <v>0</v>
      </c>
      <c r="AO128" s="314">
        <f t="shared" si="105"/>
        <v>0</v>
      </c>
      <c r="AP128" s="314">
        <f t="shared" si="106"/>
        <v>0</v>
      </c>
    </row>
    <row r="129" spans="1:42" outlineLevel="1">
      <c r="A129" s="583" t="s">
        <v>23</v>
      </c>
      <c r="B129" s="316" t="s">
        <v>871</v>
      </c>
      <c r="C129" s="317"/>
      <c r="D129" s="304">
        <v>2832</v>
      </c>
      <c r="E129" s="304">
        <f t="shared" si="110"/>
        <v>999</v>
      </c>
      <c r="F129" s="304">
        <f t="shared" ref="F129:F137" si="188">H129-AB129</f>
        <v>999</v>
      </c>
      <c r="G129" s="304">
        <f t="shared" si="179"/>
        <v>-1833</v>
      </c>
      <c r="H129" s="303">
        <f t="shared" ref="H129:H138" si="189">I129+W129</f>
        <v>2333</v>
      </c>
      <c r="I129" s="303">
        <f>M129+P129</f>
        <v>2333</v>
      </c>
      <c r="J129" s="304">
        <v>16</v>
      </c>
      <c r="K129" s="304">
        <v>16</v>
      </c>
      <c r="L129" s="294">
        <f>J129-K129</f>
        <v>0</v>
      </c>
      <c r="M129" s="304">
        <f>N129+O129</f>
        <v>1869</v>
      </c>
      <c r="N129" s="294">
        <v>1869</v>
      </c>
      <c r="O129" s="294">
        <v>0</v>
      </c>
      <c r="P129" s="303">
        <f>S129+T129</f>
        <v>464</v>
      </c>
      <c r="Q129" s="294">
        <v>29</v>
      </c>
      <c r="R129" s="305">
        <v>1</v>
      </c>
      <c r="S129" s="304">
        <f t="shared" ref="S129:S131" si="190">ROUND(J129*Q129*R129,0)</f>
        <v>464</v>
      </c>
      <c r="T129" s="304"/>
      <c r="U129" s="304"/>
      <c r="V129" s="304"/>
      <c r="W129" s="303">
        <f t="shared" ref="W129:W138" si="191">Z129+AA129</f>
        <v>0</v>
      </c>
      <c r="X129" s="303"/>
      <c r="Y129" s="303"/>
      <c r="Z129" s="304"/>
      <c r="AA129" s="304"/>
      <c r="AB129" s="304">
        <v>1334</v>
      </c>
      <c r="AC129" s="304">
        <v>0</v>
      </c>
      <c r="AD129" s="304">
        <v>-87</v>
      </c>
      <c r="AE129" s="303">
        <f>E129-AD129</f>
        <v>1086</v>
      </c>
      <c r="AF129" s="317"/>
      <c r="AG129" s="314">
        <f t="shared" si="97"/>
        <v>0</v>
      </c>
      <c r="AH129" s="696">
        <f t="shared" si="98"/>
        <v>0</v>
      </c>
      <c r="AI129" s="314">
        <f t="shared" si="99"/>
        <v>0</v>
      </c>
      <c r="AJ129" s="314">
        <f t="shared" si="100"/>
        <v>0</v>
      </c>
      <c r="AK129" s="314">
        <f t="shared" si="101"/>
        <v>0</v>
      </c>
      <c r="AL129" s="314">
        <f t="shared" si="102"/>
        <v>0</v>
      </c>
      <c r="AM129" s="314">
        <f t="shared" si="103"/>
        <v>0</v>
      </c>
      <c r="AN129" s="314">
        <f t="shared" si="104"/>
        <v>0</v>
      </c>
      <c r="AO129" s="314">
        <f t="shared" si="105"/>
        <v>0</v>
      </c>
      <c r="AP129" s="314">
        <f t="shared" si="106"/>
        <v>0</v>
      </c>
    </row>
    <row r="130" spans="1:42" ht="27.6" outlineLevel="1">
      <c r="A130" s="583" t="s">
        <v>23</v>
      </c>
      <c r="B130" s="316" t="s">
        <v>872</v>
      </c>
      <c r="C130" s="317"/>
      <c r="D130" s="304">
        <v>676</v>
      </c>
      <c r="E130" s="304">
        <f t="shared" si="110"/>
        <v>801</v>
      </c>
      <c r="F130" s="304">
        <f t="shared" si="188"/>
        <v>692</v>
      </c>
      <c r="G130" s="304">
        <f t="shared" si="179"/>
        <v>16</v>
      </c>
      <c r="H130" s="303">
        <f t="shared" si="189"/>
        <v>697</v>
      </c>
      <c r="I130" s="303">
        <f>M130+P130</f>
        <v>697</v>
      </c>
      <c r="J130" s="304">
        <v>5</v>
      </c>
      <c r="K130" s="304">
        <v>5</v>
      </c>
      <c r="L130" s="294">
        <f>J130-K130</f>
        <v>0</v>
      </c>
      <c r="M130" s="304">
        <f>N130+O130</f>
        <v>542</v>
      </c>
      <c r="N130" s="294">
        <v>542</v>
      </c>
      <c r="O130" s="294">
        <v>0</v>
      </c>
      <c r="P130" s="303">
        <f>S130+T130</f>
        <v>155</v>
      </c>
      <c r="Q130" s="294">
        <v>31</v>
      </c>
      <c r="R130" s="305">
        <v>1</v>
      </c>
      <c r="S130" s="304">
        <f t="shared" si="190"/>
        <v>155</v>
      </c>
      <c r="T130" s="303">
        <f>U130+V130</f>
        <v>0</v>
      </c>
      <c r="U130" s="304"/>
      <c r="V130" s="304"/>
      <c r="W130" s="303">
        <f t="shared" si="191"/>
        <v>0</v>
      </c>
      <c r="X130" s="303"/>
      <c r="Y130" s="303"/>
      <c r="Z130" s="304"/>
      <c r="AA130" s="304"/>
      <c r="AB130" s="304">
        <v>5</v>
      </c>
      <c r="AC130" s="304">
        <v>109</v>
      </c>
      <c r="AD130" s="304">
        <v>15</v>
      </c>
      <c r="AE130" s="303">
        <f>E130-AD130</f>
        <v>786</v>
      </c>
      <c r="AF130" s="317"/>
      <c r="AG130" s="314">
        <f t="shared" si="97"/>
        <v>0</v>
      </c>
      <c r="AH130" s="696">
        <f t="shared" si="98"/>
        <v>0</v>
      </c>
      <c r="AI130" s="314">
        <f t="shared" si="99"/>
        <v>0</v>
      </c>
      <c r="AJ130" s="314">
        <f t="shared" si="100"/>
        <v>0</v>
      </c>
      <c r="AK130" s="314">
        <f t="shared" si="101"/>
        <v>0</v>
      </c>
      <c r="AL130" s="314">
        <f t="shared" si="102"/>
        <v>0</v>
      </c>
      <c r="AM130" s="314">
        <f t="shared" si="103"/>
        <v>0</v>
      </c>
      <c r="AN130" s="314">
        <f t="shared" si="104"/>
        <v>0</v>
      </c>
      <c r="AO130" s="314">
        <f t="shared" si="105"/>
        <v>0</v>
      </c>
      <c r="AP130" s="314">
        <f t="shared" si="106"/>
        <v>0</v>
      </c>
    </row>
    <row r="131" spans="1:42" outlineLevel="1">
      <c r="A131" s="583" t="s">
        <v>23</v>
      </c>
      <c r="B131" s="316" t="s">
        <v>873</v>
      </c>
      <c r="C131" s="317"/>
      <c r="D131" s="304">
        <v>585</v>
      </c>
      <c r="E131" s="304">
        <f t="shared" si="110"/>
        <v>816</v>
      </c>
      <c r="F131" s="304">
        <f t="shared" si="188"/>
        <v>702</v>
      </c>
      <c r="G131" s="304">
        <f t="shared" si="179"/>
        <v>117</v>
      </c>
      <c r="H131" s="303">
        <f t="shared" si="189"/>
        <v>702</v>
      </c>
      <c r="I131" s="303">
        <f>M131+P131</f>
        <v>702</v>
      </c>
      <c r="J131" s="304">
        <v>5</v>
      </c>
      <c r="K131" s="304">
        <v>5</v>
      </c>
      <c r="L131" s="294">
        <f>J131-K131</f>
        <v>0</v>
      </c>
      <c r="M131" s="304">
        <f>N131+O131</f>
        <v>547</v>
      </c>
      <c r="N131" s="294">
        <v>547</v>
      </c>
      <c r="O131" s="294">
        <v>0</v>
      </c>
      <c r="P131" s="303">
        <f>S131+T131</f>
        <v>155</v>
      </c>
      <c r="Q131" s="294">
        <v>31</v>
      </c>
      <c r="R131" s="305">
        <v>1</v>
      </c>
      <c r="S131" s="304">
        <f t="shared" si="190"/>
        <v>155</v>
      </c>
      <c r="T131" s="303">
        <f>U131+V131</f>
        <v>0</v>
      </c>
      <c r="U131" s="304"/>
      <c r="V131" s="304"/>
      <c r="W131" s="303">
        <f t="shared" si="191"/>
        <v>0</v>
      </c>
      <c r="X131" s="303"/>
      <c r="Y131" s="303"/>
      <c r="Z131" s="304"/>
      <c r="AA131" s="304"/>
      <c r="AB131" s="304">
        <v>0</v>
      </c>
      <c r="AC131" s="304">
        <v>114</v>
      </c>
      <c r="AD131" s="304">
        <v>16</v>
      </c>
      <c r="AE131" s="303">
        <f>E131-AD131</f>
        <v>800</v>
      </c>
      <c r="AF131" s="317"/>
      <c r="AG131" s="314">
        <f t="shared" si="97"/>
        <v>0</v>
      </c>
      <c r="AH131" s="696">
        <f t="shared" si="98"/>
        <v>0</v>
      </c>
      <c r="AI131" s="314">
        <f t="shared" si="99"/>
        <v>0</v>
      </c>
      <c r="AJ131" s="314">
        <f t="shared" si="100"/>
        <v>0</v>
      </c>
      <c r="AK131" s="314">
        <f t="shared" si="101"/>
        <v>0</v>
      </c>
      <c r="AL131" s="314">
        <f t="shared" si="102"/>
        <v>0</v>
      </c>
      <c r="AM131" s="314">
        <f t="shared" si="103"/>
        <v>0</v>
      </c>
      <c r="AN131" s="314">
        <f t="shared" si="104"/>
        <v>0</v>
      </c>
      <c r="AO131" s="314">
        <f t="shared" si="105"/>
        <v>0</v>
      </c>
      <c r="AP131" s="314">
        <f t="shared" si="106"/>
        <v>0</v>
      </c>
    </row>
    <row r="132" spans="1:42">
      <c r="A132" s="583" t="s">
        <v>47</v>
      </c>
      <c r="B132" s="324" t="s">
        <v>1476</v>
      </c>
      <c r="C132" s="304"/>
      <c r="D132" s="304">
        <v>5632</v>
      </c>
      <c r="E132" s="304">
        <f t="shared" si="110"/>
        <v>5932</v>
      </c>
      <c r="F132" s="304">
        <f t="shared" si="188"/>
        <v>5932</v>
      </c>
      <c r="G132" s="304">
        <f t="shared" si="179"/>
        <v>300</v>
      </c>
      <c r="H132" s="303">
        <f t="shared" si="189"/>
        <v>5932</v>
      </c>
      <c r="I132" s="303">
        <f>M132+P132</f>
        <v>0</v>
      </c>
      <c r="J132" s="311"/>
      <c r="K132" s="311"/>
      <c r="L132" s="311"/>
      <c r="M132" s="303"/>
      <c r="N132" s="311"/>
      <c r="O132" s="311"/>
      <c r="P132" s="303">
        <f>S132+T132</f>
        <v>0</v>
      </c>
      <c r="Q132" s="311"/>
      <c r="R132" s="312"/>
      <c r="S132" s="304"/>
      <c r="T132" s="303">
        <f>U132+V132</f>
        <v>0</v>
      </c>
      <c r="U132" s="304"/>
      <c r="V132" s="304"/>
      <c r="W132" s="303">
        <f t="shared" si="191"/>
        <v>5932</v>
      </c>
      <c r="X132" s="303"/>
      <c r="Y132" s="303"/>
      <c r="Z132" s="304">
        <v>5632</v>
      </c>
      <c r="AA132" s="304">
        <f>AA133</f>
        <v>300</v>
      </c>
      <c r="AB132" s="304"/>
      <c r="AC132" s="304"/>
      <c r="AD132" s="304">
        <v>593</v>
      </c>
      <c r="AE132" s="303">
        <f>E132-AD132</f>
        <v>5339</v>
      </c>
      <c r="AF132" s="317"/>
      <c r="AG132" s="314">
        <f t="shared" si="97"/>
        <v>0</v>
      </c>
      <c r="AH132" s="696">
        <f t="shared" si="98"/>
        <v>0</v>
      </c>
      <c r="AI132" s="314">
        <f t="shared" si="99"/>
        <v>0</v>
      </c>
      <c r="AJ132" s="314">
        <f t="shared" si="100"/>
        <v>0</v>
      </c>
      <c r="AK132" s="314">
        <f t="shared" si="101"/>
        <v>0</v>
      </c>
      <c r="AL132" s="314">
        <f t="shared" si="102"/>
        <v>0</v>
      </c>
      <c r="AM132" s="314">
        <f t="shared" si="103"/>
        <v>0</v>
      </c>
      <c r="AN132" s="314">
        <f t="shared" si="104"/>
        <v>0</v>
      </c>
      <c r="AO132" s="314">
        <f t="shared" si="105"/>
        <v>0</v>
      </c>
      <c r="AP132" s="314">
        <f t="shared" si="106"/>
        <v>0</v>
      </c>
    </row>
    <row r="133" spans="1:42" ht="55.2" outlineLevel="1">
      <c r="A133" s="583" t="s">
        <v>23</v>
      </c>
      <c r="B133" s="1275" t="s">
        <v>1433</v>
      </c>
      <c r="C133" s="304"/>
      <c r="D133" s="304">
        <v>2200</v>
      </c>
      <c r="E133" s="304">
        <f t="shared" si="110"/>
        <v>2500</v>
      </c>
      <c r="F133" s="304">
        <f t="shared" si="188"/>
        <v>2500</v>
      </c>
      <c r="G133" s="304">
        <f t="shared" si="179"/>
        <v>300</v>
      </c>
      <c r="H133" s="303">
        <f t="shared" si="189"/>
        <v>2500</v>
      </c>
      <c r="I133" s="303"/>
      <c r="J133" s="311"/>
      <c r="K133" s="311"/>
      <c r="L133" s="311"/>
      <c r="M133" s="303"/>
      <c r="N133" s="311"/>
      <c r="O133" s="311"/>
      <c r="P133" s="303"/>
      <c r="Q133" s="311"/>
      <c r="R133" s="312"/>
      <c r="S133" s="304"/>
      <c r="T133" s="303"/>
      <c r="U133" s="304"/>
      <c r="V133" s="304"/>
      <c r="W133" s="303">
        <f t="shared" si="191"/>
        <v>2500</v>
      </c>
      <c r="X133" s="303"/>
      <c r="Y133" s="303"/>
      <c r="Z133" s="304">
        <v>2200</v>
      </c>
      <c r="AA133" s="304">
        <v>300</v>
      </c>
      <c r="AB133" s="304"/>
      <c r="AC133" s="304"/>
      <c r="AD133" s="304"/>
      <c r="AE133" s="304"/>
      <c r="AF133" s="317"/>
      <c r="AG133" s="314">
        <f t="shared" si="97"/>
        <v>0</v>
      </c>
      <c r="AH133" s="696">
        <f t="shared" si="98"/>
        <v>0</v>
      </c>
      <c r="AI133" s="314">
        <f t="shared" si="99"/>
        <v>0</v>
      </c>
      <c r="AJ133" s="314">
        <f t="shared" si="100"/>
        <v>0</v>
      </c>
      <c r="AK133" s="314">
        <f t="shared" si="101"/>
        <v>0</v>
      </c>
      <c r="AL133" s="314">
        <f t="shared" si="102"/>
        <v>0</v>
      </c>
      <c r="AM133" s="314">
        <f t="shared" si="103"/>
        <v>0</v>
      </c>
      <c r="AN133" s="314">
        <f t="shared" si="104"/>
        <v>0</v>
      </c>
      <c r="AO133" s="314">
        <f t="shared" si="105"/>
        <v>0</v>
      </c>
      <c r="AP133" s="314">
        <f t="shared" si="106"/>
        <v>0</v>
      </c>
    </row>
    <row r="134" spans="1:42" ht="96.6" outlineLevel="1">
      <c r="A134" s="597" t="s">
        <v>23</v>
      </c>
      <c r="B134" s="864" t="s">
        <v>2064</v>
      </c>
      <c r="C134" s="304"/>
      <c r="D134" s="304">
        <v>1500</v>
      </c>
      <c r="E134" s="304">
        <f t="shared" si="110"/>
        <v>1000</v>
      </c>
      <c r="F134" s="304">
        <f t="shared" si="188"/>
        <v>1000</v>
      </c>
      <c r="G134" s="304">
        <f t="shared" si="179"/>
        <v>-500</v>
      </c>
      <c r="H134" s="303">
        <f t="shared" si="189"/>
        <v>1000</v>
      </c>
      <c r="I134" s="303"/>
      <c r="J134" s="311"/>
      <c r="K134" s="311"/>
      <c r="L134" s="311"/>
      <c r="M134" s="303"/>
      <c r="N134" s="311"/>
      <c r="O134" s="311"/>
      <c r="P134" s="303"/>
      <c r="Q134" s="311"/>
      <c r="R134" s="312"/>
      <c r="S134" s="304"/>
      <c r="T134" s="303"/>
      <c r="U134" s="304"/>
      <c r="V134" s="304"/>
      <c r="W134" s="303">
        <f t="shared" si="191"/>
        <v>1000</v>
      </c>
      <c r="X134" s="303"/>
      <c r="Y134" s="303"/>
      <c r="Z134" s="304">
        <v>1000</v>
      </c>
      <c r="AA134" s="304"/>
      <c r="AB134" s="304"/>
      <c r="AC134" s="304"/>
      <c r="AD134" s="304"/>
      <c r="AE134" s="304"/>
      <c r="AF134" s="317" t="s">
        <v>1741</v>
      </c>
      <c r="AG134" s="314">
        <f t="shared" si="97"/>
        <v>0</v>
      </c>
      <c r="AH134" s="696">
        <f t="shared" si="98"/>
        <v>0</v>
      </c>
      <c r="AI134" s="314">
        <f t="shared" si="99"/>
        <v>0</v>
      </c>
      <c r="AJ134" s="314">
        <f t="shared" si="100"/>
        <v>0</v>
      </c>
      <c r="AK134" s="314">
        <f t="shared" si="101"/>
        <v>0</v>
      </c>
      <c r="AL134" s="314">
        <f t="shared" si="102"/>
        <v>0</v>
      </c>
      <c r="AM134" s="314">
        <f t="shared" si="103"/>
        <v>0</v>
      </c>
      <c r="AN134" s="314">
        <f t="shared" si="104"/>
        <v>0</v>
      </c>
      <c r="AO134" s="314">
        <f t="shared" si="105"/>
        <v>0</v>
      </c>
      <c r="AP134" s="314">
        <f t="shared" si="106"/>
        <v>0</v>
      </c>
    </row>
    <row r="135" spans="1:42" ht="69" outlineLevel="1">
      <c r="A135" s="597" t="s">
        <v>23</v>
      </c>
      <c r="B135" s="864" t="s">
        <v>1860</v>
      </c>
      <c r="C135" s="304"/>
      <c r="D135" s="304">
        <v>64</v>
      </c>
      <c r="E135" s="304">
        <f t="shared" si="110"/>
        <v>182</v>
      </c>
      <c r="F135" s="304">
        <f t="shared" si="188"/>
        <v>182</v>
      </c>
      <c r="G135" s="304">
        <f t="shared" si="179"/>
        <v>118</v>
      </c>
      <c r="H135" s="303">
        <f t="shared" si="189"/>
        <v>182</v>
      </c>
      <c r="I135" s="303"/>
      <c r="J135" s="311"/>
      <c r="K135" s="311"/>
      <c r="L135" s="311"/>
      <c r="M135" s="303"/>
      <c r="N135" s="311"/>
      <c r="O135" s="311"/>
      <c r="P135" s="303"/>
      <c r="Q135" s="311"/>
      <c r="R135" s="312"/>
      <c r="S135" s="304"/>
      <c r="T135" s="303"/>
      <c r="U135" s="304"/>
      <c r="V135" s="304"/>
      <c r="W135" s="303">
        <f t="shared" si="191"/>
        <v>182</v>
      </c>
      <c r="X135" s="303"/>
      <c r="Y135" s="303"/>
      <c r="Z135" s="304">
        <v>182</v>
      </c>
      <c r="AA135" s="304"/>
      <c r="AB135" s="304"/>
      <c r="AC135" s="304"/>
      <c r="AD135" s="304"/>
      <c r="AE135" s="304"/>
      <c r="AF135" s="317"/>
      <c r="AG135" s="314">
        <f t="shared" si="97"/>
        <v>0</v>
      </c>
      <c r="AH135" s="696">
        <f t="shared" si="98"/>
        <v>0</v>
      </c>
      <c r="AI135" s="314">
        <f t="shared" si="99"/>
        <v>0</v>
      </c>
      <c r="AJ135" s="314">
        <f t="shared" si="100"/>
        <v>0</v>
      </c>
      <c r="AK135" s="314">
        <f t="shared" si="101"/>
        <v>0</v>
      </c>
      <c r="AL135" s="314">
        <f t="shared" si="102"/>
        <v>0</v>
      </c>
      <c r="AM135" s="314">
        <f t="shared" si="103"/>
        <v>0</v>
      </c>
      <c r="AN135" s="314">
        <f t="shared" si="104"/>
        <v>0</v>
      </c>
      <c r="AO135" s="314">
        <f t="shared" si="105"/>
        <v>0</v>
      </c>
      <c r="AP135" s="314">
        <f t="shared" si="106"/>
        <v>0</v>
      </c>
    </row>
    <row r="136" spans="1:42" ht="55.2" outlineLevel="1">
      <c r="A136" s="597" t="s">
        <v>23</v>
      </c>
      <c r="B136" s="864" t="s">
        <v>2065</v>
      </c>
      <c r="C136" s="304"/>
      <c r="D136" s="304"/>
      <c r="E136" s="304">
        <f t="shared" si="110"/>
        <v>1250</v>
      </c>
      <c r="F136" s="304">
        <f t="shared" si="188"/>
        <v>1250</v>
      </c>
      <c r="G136" s="304">
        <f t="shared" si="179"/>
        <v>1250</v>
      </c>
      <c r="H136" s="303">
        <f t="shared" si="189"/>
        <v>1250</v>
      </c>
      <c r="I136" s="303"/>
      <c r="J136" s="311"/>
      <c r="K136" s="311"/>
      <c r="L136" s="311"/>
      <c r="M136" s="303"/>
      <c r="N136" s="311"/>
      <c r="O136" s="311"/>
      <c r="P136" s="303"/>
      <c r="Q136" s="311"/>
      <c r="R136" s="312"/>
      <c r="S136" s="304"/>
      <c r="T136" s="303"/>
      <c r="U136" s="304"/>
      <c r="V136" s="304"/>
      <c r="W136" s="303">
        <f t="shared" si="191"/>
        <v>1250</v>
      </c>
      <c r="X136" s="303"/>
      <c r="Y136" s="303"/>
      <c r="Z136" s="304">
        <v>1250</v>
      </c>
      <c r="AA136" s="304"/>
      <c r="AB136" s="304"/>
      <c r="AC136" s="304"/>
      <c r="AD136" s="304"/>
      <c r="AE136" s="304"/>
      <c r="AF136" s="317" t="s">
        <v>2066</v>
      </c>
      <c r="AG136" s="314">
        <f t="shared" si="97"/>
        <v>0</v>
      </c>
      <c r="AH136" s="696">
        <f t="shared" si="98"/>
        <v>0</v>
      </c>
      <c r="AI136" s="314">
        <f t="shared" si="99"/>
        <v>0</v>
      </c>
      <c r="AJ136" s="314">
        <f t="shared" si="100"/>
        <v>0</v>
      </c>
      <c r="AK136" s="314">
        <f t="shared" si="101"/>
        <v>0</v>
      </c>
      <c r="AL136" s="314">
        <f t="shared" si="102"/>
        <v>0</v>
      </c>
      <c r="AM136" s="314">
        <f t="shared" si="103"/>
        <v>0</v>
      </c>
      <c r="AN136" s="314">
        <f t="shared" si="104"/>
        <v>0</v>
      </c>
      <c r="AO136" s="314">
        <f t="shared" si="105"/>
        <v>0</v>
      </c>
      <c r="AP136" s="314">
        <f t="shared" si="106"/>
        <v>0</v>
      </c>
    </row>
    <row r="137" spans="1:42" ht="96.6" outlineLevel="1">
      <c r="A137" s="597" t="s">
        <v>23</v>
      </c>
      <c r="B137" s="864" t="s">
        <v>1861</v>
      </c>
      <c r="C137" s="304"/>
      <c r="D137" s="304">
        <v>1310</v>
      </c>
      <c r="E137" s="304">
        <f t="shared" si="110"/>
        <v>1000</v>
      </c>
      <c r="F137" s="304">
        <f t="shared" si="188"/>
        <v>1000</v>
      </c>
      <c r="G137" s="304">
        <f t="shared" si="179"/>
        <v>-310</v>
      </c>
      <c r="H137" s="303">
        <f t="shared" si="189"/>
        <v>1000</v>
      </c>
      <c r="I137" s="303"/>
      <c r="J137" s="311"/>
      <c r="K137" s="311"/>
      <c r="L137" s="311"/>
      <c r="M137" s="303"/>
      <c r="N137" s="311"/>
      <c r="O137" s="311"/>
      <c r="P137" s="303"/>
      <c r="Q137" s="311"/>
      <c r="R137" s="312"/>
      <c r="S137" s="304"/>
      <c r="T137" s="303"/>
      <c r="U137" s="304"/>
      <c r="V137" s="304"/>
      <c r="W137" s="303">
        <f t="shared" si="191"/>
        <v>1000</v>
      </c>
      <c r="X137" s="304"/>
      <c r="Y137" s="304"/>
      <c r="Z137" s="304">
        <f>Z132-Z133-Z138-Z134-Z135-Z136</f>
        <v>1000</v>
      </c>
      <c r="AA137" s="304"/>
      <c r="AB137" s="304"/>
      <c r="AC137" s="304"/>
      <c r="AD137" s="304"/>
      <c r="AE137" s="304"/>
      <c r="AF137" s="317"/>
      <c r="AG137" s="314">
        <f t="shared" si="97"/>
        <v>0</v>
      </c>
      <c r="AH137" s="696">
        <f t="shared" si="98"/>
        <v>0</v>
      </c>
      <c r="AI137" s="314">
        <f t="shared" si="99"/>
        <v>0</v>
      </c>
      <c r="AJ137" s="314">
        <f t="shared" si="100"/>
        <v>0</v>
      </c>
      <c r="AK137" s="314">
        <f t="shared" si="101"/>
        <v>0</v>
      </c>
      <c r="AL137" s="314">
        <f t="shared" si="102"/>
        <v>0</v>
      </c>
      <c r="AM137" s="314">
        <f t="shared" si="103"/>
        <v>0</v>
      </c>
      <c r="AN137" s="314">
        <f t="shared" si="104"/>
        <v>0</v>
      </c>
      <c r="AO137" s="314">
        <f t="shared" si="105"/>
        <v>0</v>
      </c>
      <c r="AP137" s="314">
        <f t="shared" si="106"/>
        <v>0</v>
      </c>
    </row>
    <row r="138" spans="1:42" ht="82.8" hidden="1" outlineLevel="3">
      <c r="A138" s="597" t="s">
        <v>23</v>
      </c>
      <c r="B138" s="324" t="s">
        <v>874</v>
      </c>
      <c r="C138" s="304"/>
      <c r="D138" s="304">
        <v>558</v>
      </c>
      <c r="E138" s="304">
        <f>F138+AC138</f>
        <v>0</v>
      </c>
      <c r="F138" s="304">
        <f>H138-AB138</f>
        <v>0</v>
      </c>
      <c r="G138" s="304">
        <f>F138-D138</f>
        <v>-558</v>
      </c>
      <c r="H138" s="303">
        <f t="shared" si="189"/>
        <v>0</v>
      </c>
      <c r="I138" s="303"/>
      <c r="J138" s="311"/>
      <c r="K138" s="311"/>
      <c r="L138" s="311"/>
      <c r="M138" s="303"/>
      <c r="N138" s="311"/>
      <c r="O138" s="311"/>
      <c r="P138" s="303"/>
      <c r="Q138" s="311"/>
      <c r="R138" s="312"/>
      <c r="S138" s="304"/>
      <c r="T138" s="303"/>
      <c r="U138" s="304"/>
      <c r="V138" s="304"/>
      <c r="W138" s="303">
        <f t="shared" si="191"/>
        <v>0</v>
      </c>
      <c r="X138" s="303"/>
      <c r="Y138" s="303"/>
      <c r="Z138" s="304"/>
      <c r="AA138" s="304"/>
      <c r="AB138" s="304"/>
      <c r="AC138" s="304"/>
      <c r="AD138" s="304"/>
      <c r="AE138" s="304"/>
      <c r="AF138" s="317" t="s">
        <v>1740</v>
      </c>
      <c r="AG138" s="314">
        <f t="shared" si="97"/>
        <v>0</v>
      </c>
      <c r="AH138" s="696">
        <f t="shared" si="98"/>
        <v>0</v>
      </c>
      <c r="AI138" s="314">
        <f t="shared" si="99"/>
        <v>0</v>
      </c>
      <c r="AJ138" s="314">
        <f t="shared" si="100"/>
        <v>0</v>
      </c>
      <c r="AK138" s="314">
        <f t="shared" si="101"/>
        <v>0</v>
      </c>
      <c r="AL138" s="314">
        <f t="shared" si="102"/>
        <v>0</v>
      </c>
      <c r="AM138" s="314">
        <f t="shared" si="103"/>
        <v>0</v>
      </c>
      <c r="AN138" s="314">
        <f t="shared" si="104"/>
        <v>0</v>
      </c>
      <c r="AO138" s="314">
        <f t="shared" si="105"/>
        <v>0</v>
      </c>
      <c r="AP138" s="314">
        <f t="shared" si="106"/>
        <v>0</v>
      </c>
    </row>
    <row r="139" spans="1:42" s="314" customFormat="1">
      <c r="A139" s="592" t="s">
        <v>397</v>
      </c>
      <c r="B139" s="320" t="s">
        <v>875</v>
      </c>
      <c r="C139" s="298" t="s">
        <v>726</v>
      </c>
      <c r="D139" s="299">
        <f t="shared" ref="D139" si="192">D140+D142</f>
        <v>11478</v>
      </c>
      <c r="E139" s="299">
        <f>E140+E142</f>
        <v>12131</v>
      </c>
      <c r="F139" s="299">
        <f>F140+F142</f>
        <v>12092</v>
      </c>
      <c r="G139" s="299">
        <f t="shared" si="179"/>
        <v>614</v>
      </c>
      <c r="H139" s="299">
        <f>H140+H142</f>
        <v>12188</v>
      </c>
      <c r="I139" s="299">
        <f t="shared" ref="I139:Z139" si="193">I140+I142</f>
        <v>692</v>
      </c>
      <c r="J139" s="318">
        <f t="shared" si="193"/>
        <v>5</v>
      </c>
      <c r="K139" s="318">
        <f t="shared" si="193"/>
        <v>4</v>
      </c>
      <c r="L139" s="318">
        <f t="shared" si="193"/>
        <v>1</v>
      </c>
      <c r="M139" s="299">
        <f t="shared" si="193"/>
        <v>537</v>
      </c>
      <c r="N139" s="318">
        <f t="shared" si="193"/>
        <v>482</v>
      </c>
      <c r="O139" s="318">
        <f t="shared" si="193"/>
        <v>55</v>
      </c>
      <c r="P139" s="299">
        <f>P140+P142</f>
        <v>155</v>
      </c>
      <c r="Q139" s="318">
        <f>Q140+Q142</f>
        <v>0</v>
      </c>
      <c r="R139" s="318">
        <f>R140+R142</f>
        <v>0</v>
      </c>
      <c r="S139" s="299">
        <f t="shared" si="193"/>
        <v>155</v>
      </c>
      <c r="T139" s="299">
        <f t="shared" si="193"/>
        <v>0</v>
      </c>
      <c r="U139" s="299">
        <f t="shared" si="193"/>
        <v>0</v>
      </c>
      <c r="V139" s="299">
        <f t="shared" si="193"/>
        <v>0</v>
      </c>
      <c r="W139" s="299">
        <f>W140+W142</f>
        <v>11496</v>
      </c>
      <c r="X139" s="299"/>
      <c r="Y139" s="299"/>
      <c r="Z139" s="299">
        <f t="shared" si="193"/>
        <v>11296</v>
      </c>
      <c r="AA139" s="299">
        <f>AA140+AA142</f>
        <v>200</v>
      </c>
      <c r="AB139" s="299">
        <f>AB140+AB142</f>
        <v>96</v>
      </c>
      <c r="AC139" s="299">
        <f>AC140+AC142</f>
        <v>39</v>
      </c>
      <c r="AD139" s="299">
        <f>AD140+AD142</f>
        <v>1156</v>
      </c>
      <c r="AE139" s="299">
        <f>AE140+AE142</f>
        <v>10975</v>
      </c>
      <c r="AF139" s="321"/>
      <c r="AG139" s="314">
        <f t="shared" si="97"/>
        <v>0</v>
      </c>
      <c r="AH139" s="696">
        <f t="shared" si="98"/>
        <v>0</v>
      </c>
      <c r="AI139" s="314">
        <f t="shared" si="99"/>
        <v>0</v>
      </c>
      <c r="AJ139" s="314">
        <f t="shared" si="100"/>
        <v>0</v>
      </c>
      <c r="AK139" s="314">
        <f t="shared" si="101"/>
        <v>0</v>
      </c>
      <c r="AL139" s="314">
        <f t="shared" si="102"/>
        <v>0</v>
      </c>
      <c r="AM139" s="314">
        <f t="shared" si="103"/>
        <v>0</v>
      </c>
      <c r="AN139" s="314">
        <f t="shared" si="104"/>
        <v>0</v>
      </c>
      <c r="AO139" s="314">
        <f t="shared" si="105"/>
        <v>0</v>
      </c>
      <c r="AP139" s="314">
        <f t="shared" si="106"/>
        <v>0</v>
      </c>
    </row>
    <row r="140" spans="1:42">
      <c r="A140" s="583" t="s">
        <v>45</v>
      </c>
      <c r="B140" s="324" t="s">
        <v>846</v>
      </c>
      <c r="C140" s="304"/>
      <c r="D140" s="303">
        <f t="shared" ref="D140:H140" si="194">D141</f>
        <v>182</v>
      </c>
      <c r="E140" s="303">
        <f>E141</f>
        <v>635</v>
      </c>
      <c r="F140" s="303">
        <f>F141</f>
        <v>596</v>
      </c>
      <c r="G140" s="303">
        <f t="shared" si="179"/>
        <v>414</v>
      </c>
      <c r="H140" s="303">
        <f t="shared" si="194"/>
        <v>692</v>
      </c>
      <c r="I140" s="303">
        <f>M140+P140</f>
        <v>692</v>
      </c>
      <c r="J140" s="311">
        <f t="shared" ref="J140:O140" si="195">J141</f>
        <v>5</v>
      </c>
      <c r="K140" s="311">
        <f t="shared" si="195"/>
        <v>4</v>
      </c>
      <c r="L140" s="311">
        <f t="shared" si="195"/>
        <v>1</v>
      </c>
      <c r="M140" s="303">
        <f t="shared" si="195"/>
        <v>537</v>
      </c>
      <c r="N140" s="311">
        <f t="shared" si="195"/>
        <v>482</v>
      </c>
      <c r="O140" s="311">
        <f t="shared" si="195"/>
        <v>55</v>
      </c>
      <c r="P140" s="303">
        <f>S140+T140</f>
        <v>155</v>
      </c>
      <c r="Q140" s="311"/>
      <c r="R140" s="311"/>
      <c r="S140" s="303">
        <f>S141</f>
        <v>155</v>
      </c>
      <c r="T140" s="303">
        <f t="shared" ref="T140:Z140" si="196">T141</f>
        <v>0</v>
      </c>
      <c r="U140" s="303">
        <f t="shared" si="196"/>
        <v>0</v>
      </c>
      <c r="V140" s="303">
        <f t="shared" si="196"/>
        <v>0</v>
      </c>
      <c r="W140" s="303">
        <f>W141</f>
        <v>0</v>
      </c>
      <c r="X140" s="303"/>
      <c r="Y140" s="303"/>
      <c r="Z140" s="303">
        <f t="shared" si="196"/>
        <v>0</v>
      </c>
      <c r="AA140" s="303">
        <f>AA141</f>
        <v>0</v>
      </c>
      <c r="AB140" s="303">
        <f>AB141</f>
        <v>96</v>
      </c>
      <c r="AC140" s="303">
        <f>AC141</f>
        <v>39</v>
      </c>
      <c r="AD140" s="303">
        <f>AD141</f>
        <v>6</v>
      </c>
      <c r="AE140" s="303">
        <f>AE141</f>
        <v>629</v>
      </c>
      <c r="AF140" s="317"/>
      <c r="AG140" s="314">
        <f t="shared" si="97"/>
        <v>0</v>
      </c>
      <c r="AH140" s="696">
        <f t="shared" si="98"/>
        <v>0</v>
      </c>
      <c r="AI140" s="314">
        <f t="shared" si="99"/>
        <v>0</v>
      </c>
      <c r="AJ140" s="314">
        <f t="shared" si="100"/>
        <v>0</v>
      </c>
      <c r="AK140" s="314">
        <f t="shared" si="101"/>
        <v>0</v>
      </c>
      <c r="AL140" s="314">
        <f t="shared" si="102"/>
        <v>0</v>
      </c>
      <c r="AM140" s="314">
        <f t="shared" si="103"/>
        <v>0</v>
      </c>
      <c r="AN140" s="314">
        <f t="shared" si="104"/>
        <v>0</v>
      </c>
      <c r="AO140" s="314">
        <f t="shared" si="105"/>
        <v>0</v>
      </c>
      <c r="AP140" s="314">
        <f t="shared" si="106"/>
        <v>0</v>
      </c>
    </row>
    <row r="141" spans="1:42" s="322" customFormat="1" outlineLevel="1">
      <c r="A141" s="593" t="s">
        <v>23</v>
      </c>
      <c r="B141" s="316" t="s">
        <v>876</v>
      </c>
      <c r="C141" s="317"/>
      <c r="D141" s="304">
        <v>182</v>
      </c>
      <c r="E141" s="304">
        <f t="shared" si="110"/>
        <v>635</v>
      </c>
      <c r="F141" s="304">
        <f t="shared" ref="F141:F150" si="197">H141-AB141</f>
        <v>596</v>
      </c>
      <c r="G141" s="304">
        <f t="shared" si="179"/>
        <v>414</v>
      </c>
      <c r="H141" s="303">
        <f t="shared" ref="H141:H144" si="198">I141+W141</f>
        <v>692</v>
      </c>
      <c r="I141" s="303">
        <f>M141+P141</f>
        <v>692</v>
      </c>
      <c r="J141" s="311">
        <v>5</v>
      </c>
      <c r="K141" s="311">
        <v>4</v>
      </c>
      <c r="L141" s="294">
        <f>J141-K141</f>
        <v>1</v>
      </c>
      <c r="M141" s="304">
        <f>N141+O141</f>
        <v>537</v>
      </c>
      <c r="N141" s="294">
        <v>482</v>
      </c>
      <c r="O141" s="294">
        <v>55</v>
      </c>
      <c r="P141" s="303">
        <f>S141+T141</f>
        <v>155</v>
      </c>
      <c r="Q141" s="294">
        <v>31</v>
      </c>
      <c r="R141" s="312">
        <v>1</v>
      </c>
      <c r="S141" s="304">
        <f t="shared" ref="S141" si="199">ROUND(J141*Q141*R141,0)</f>
        <v>155</v>
      </c>
      <c r="T141" s="303">
        <f>U141+V141</f>
        <v>0</v>
      </c>
      <c r="U141" s="304"/>
      <c r="V141" s="304"/>
      <c r="W141" s="303">
        <f>Z141+AA141</f>
        <v>0</v>
      </c>
      <c r="X141" s="303"/>
      <c r="Y141" s="303"/>
      <c r="Z141" s="304"/>
      <c r="AA141" s="304"/>
      <c r="AB141" s="304">
        <v>96</v>
      </c>
      <c r="AC141" s="304">
        <v>39</v>
      </c>
      <c r="AD141" s="304">
        <v>6</v>
      </c>
      <c r="AE141" s="303">
        <f>E141-AD141</f>
        <v>629</v>
      </c>
      <c r="AF141" s="317"/>
      <c r="AG141" s="314">
        <f t="shared" si="97"/>
        <v>0</v>
      </c>
      <c r="AH141" s="696">
        <f t="shared" si="98"/>
        <v>0</v>
      </c>
      <c r="AI141" s="314">
        <f t="shared" si="99"/>
        <v>0</v>
      </c>
      <c r="AJ141" s="314">
        <f t="shared" si="100"/>
        <v>0</v>
      </c>
      <c r="AK141" s="314">
        <f t="shared" si="101"/>
        <v>0</v>
      </c>
      <c r="AL141" s="314">
        <f t="shared" si="102"/>
        <v>0</v>
      </c>
      <c r="AM141" s="314">
        <f t="shared" si="103"/>
        <v>0</v>
      </c>
      <c r="AN141" s="314">
        <f t="shared" si="104"/>
        <v>0</v>
      </c>
      <c r="AO141" s="314">
        <f t="shared" si="105"/>
        <v>0</v>
      </c>
      <c r="AP141" s="314">
        <f t="shared" si="106"/>
        <v>0</v>
      </c>
    </row>
    <row r="142" spans="1:42">
      <c r="A142" s="583" t="s">
        <v>47</v>
      </c>
      <c r="B142" s="310" t="s">
        <v>844</v>
      </c>
      <c r="C142" s="304"/>
      <c r="D142" s="304">
        <v>11296</v>
      </c>
      <c r="E142" s="304">
        <f t="shared" si="110"/>
        <v>11496</v>
      </c>
      <c r="F142" s="304">
        <f t="shared" si="197"/>
        <v>11496</v>
      </c>
      <c r="G142" s="304">
        <f t="shared" si="179"/>
        <v>200</v>
      </c>
      <c r="H142" s="303">
        <f t="shared" si="198"/>
        <v>11496</v>
      </c>
      <c r="I142" s="303">
        <f>M142+P142</f>
        <v>0</v>
      </c>
      <c r="J142" s="311"/>
      <c r="K142" s="311"/>
      <c r="L142" s="311"/>
      <c r="M142" s="303"/>
      <c r="N142" s="311"/>
      <c r="O142" s="311"/>
      <c r="P142" s="303">
        <f>S142+T142</f>
        <v>0</v>
      </c>
      <c r="Q142" s="311"/>
      <c r="R142" s="312"/>
      <c r="S142" s="304"/>
      <c r="T142" s="303">
        <f>U142+V142</f>
        <v>0</v>
      </c>
      <c r="U142" s="304"/>
      <c r="V142" s="304"/>
      <c r="W142" s="303">
        <f>Z142+AA142</f>
        <v>11496</v>
      </c>
      <c r="X142" s="303"/>
      <c r="Y142" s="303"/>
      <c r="Z142" s="304">
        <v>11296</v>
      </c>
      <c r="AA142" s="304">
        <f>AA150</f>
        <v>200</v>
      </c>
      <c r="AB142" s="304"/>
      <c r="AC142" s="304"/>
      <c r="AD142" s="304">
        <v>1150</v>
      </c>
      <c r="AE142" s="303">
        <f>E142-AD142</f>
        <v>10346</v>
      </c>
      <c r="AF142" s="332"/>
      <c r="AG142" s="314">
        <f t="shared" si="97"/>
        <v>0</v>
      </c>
      <c r="AH142" s="696">
        <f t="shared" si="98"/>
        <v>0</v>
      </c>
      <c r="AI142" s="314">
        <f t="shared" si="99"/>
        <v>0</v>
      </c>
      <c r="AJ142" s="314">
        <f t="shared" si="100"/>
        <v>0</v>
      </c>
      <c r="AK142" s="314">
        <f t="shared" si="101"/>
        <v>0</v>
      </c>
      <c r="AL142" s="314">
        <f t="shared" si="102"/>
        <v>0</v>
      </c>
      <c r="AM142" s="314">
        <f t="shared" si="103"/>
        <v>0</v>
      </c>
      <c r="AN142" s="314">
        <f t="shared" si="104"/>
        <v>0</v>
      </c>
      <c r="AO142" s="314">
        <f t="shared" si="105"/>
        <v>0</v>
      </c>
      <c r="AP142" s="314">
        <f t="shared" si="106"/>
        <v>0</v>
      </c>
    </row>
    <row r="143" spans="1:42" ht="69" outlineLevel="1">
      <c r="A143" s="1276" t="s">
        <v>23</v>
      </c>
      <c r="B143" s="1277" t="s">
        <v>2067</v>
      </c>
      <c r="C143" s="304"/>
      <c r="D143" s="304">
        <v>1364</v>
      </c>
      <c r="E143" s="304">
        <f t="shared" si="110"/>
        <v>1364</v>
      </c>
      <c r="F143" s="304">
        <f t="shared" si="197"/>
        <v>1364</v>
      </c>
      <c r="G143" s="304">
        <f t="shared" si="179"/>
        <v>0</v>
      </c>
      <c r="H143" s="303">
        <f t="shared" si="198"/>
        <v>1364</v>
      </c>
      <c r="I143" s="303"/>
      <c r="J143" s="311"/>
      <c r="K143" s="311"/>
      <c r="L143" s="311"/>
      <c r="M143" s="303"/>
      <c r="N143" s="311"/>
      <c r="O143" s="311"/>
      <c r="P143" s="303"/>
      <c r="Q143" s="311"/>
      <c r="R143" s="312"/>
      <c r="S143" s="304"/>
      <c r="T143" s="303"/>
      <c r="U143" s="304"/>
      <c r="V143" s="304"/>
      <c r="W143" s="303">
        <f t="shared" ref="W143:W144" si="200">Z143+AA143</f>
        <v>1364</v>
      </c>
      <c r="X143" s="303"/>
      <c r="Y143" s="303"/>
      <c r="Z143" s="304">
        <f>1200+164</f>
        <v>1364</v>
      </c>
      <c r="AA143" s="304"/>
      <c r="AB143" s="304"/>
      <c r="AC143" s="304"/>
      <c r="AD143" s="304"/>
      <c r="AE143" s="303"/>
      <c r="AF143" s="1278" t="s">
        <v>1742</v>
      </c>
      <c r="AG143" s="314">
        <f t="shared" si="97"/>
        <v>0</v>
      </c>
      <c r="AH143" s="696">
        <f t="shared" si="98"/>
        <v>0</v>
      </c>
      <c r="AI143" s="314">
        <f t="shared" si="99"/>
        <v>0</v>
      </c>
      <c r="AJ143" s="314">
        <f t="shared" si="100"/>
        <v>0</v>
      </c>
      <c r="AK143" s="314">
        <f t="shared" si="101"/>
        <v>0</v>
      </c>
      <c r="AL143" s="314">
        <f t="shared" si="102"/>
        <v>0</v>
      </c>
      <c r="AM143" s="314">
        <f t="shared" si="103"/>
        <v>0</v>
      </c>
      <c r="AN143" s="314">
        <f t="shared" si="104"/>
        <v>0</v>
      </c>
      <c r="AO143" s="314">
        <f t="shared" si="105"/>
        <v>0</v>
      </c>
      <c r="AP143" s="314">
        <f t="shared" si="106"/>
        <v>0</v>
      </c>
    </row>
    <row r="144" spans="1:42" ht="96.6" outlineLevel="1">
      <c r="A144" s="1276" t="s">
        <v>23</v>
      </c>
      <c r="B144" s="1275" t="s">
        <v>2068</v>
      </c>
      <c r="C144" s="304"/>
      <c r="D144" s="304">
        <v>3031</v>
      </c>
      <c r="E144" s="304">
        <f t="shared" si="110"/>
        <v>3031</v>
      </c>
      <c r="F144" s="304">
        <f t="shared" si="197"/>
        <v>3031</v>
      </c>
      <c r="G144" s="304">
        <f t="shared" si="179"/>
        <v>0</v>
      </c>
      <c r="H144" s="303">
        <f t="shared" si="198"/>
        <v>3031</v>
      </c>
      <c r="I144" s="303"/>
      <c r="J144" s="311"/>
      <c r="K144" s="311"/>
      <c r="L144" s="311"/>
      <c r="M144" s="303"/>
      <c r="N144" s="311"/>
      <c r="O144" s="311"/>
      <c r="P144" s="303"/>
      <c r="Q144" s="311"/>
      <c r="R144" s="312"/>
      <c r="S144" s="304"/>
      <c r="T144" s="303"/>
      <c r="U144" s="304"/>
      <c r="V144" s="304"/>
      <c r="W144" s="303">
        <f t="shared" si="200"/>
        <v>3031</v>
      </c>
      <c r="X144" s="303"/>
      <c r="Y144" s="303"/>
      <c r="Z144" s="304">
        <f>1195+1836</f>
        <v>3031</v>
      </c>
      <c r="AA144" s="304"/>
      <c r="AB144" s="304"/>
      <c r="AC144" s="304"/>
      <c r="AD144" s="304"/>
      <c r="AE144" s="304"/>
      <c r="AF144" s="1278" t="s">
        <v>1741</v>
      </c>
      <c r="AG144" s="314">
        <f t="shared" ref="AG144:AG207" si="201">E144-F144-AC144</f>
        <v>0</v>
      </c>
      <c r="AH144" s="696">
        <f t="shared" ref="AH144:AH207" si="202">F144-H144+AB144</f>
        <v>0</v>
      </c>
      <c r="AI144" s="314">
        <f t="shared" ref="AI144:AI207" si="203">H144-I144-W144</f>
        <v>0</v>
      </c>
      <c r="AJ144" s="314">
        <f t="shared" ref="AJ144:AJ207" si="204">I144-M144-P144</f>
        <v>0</v>
      </c>
      <c r="AK144" s="314">
        <f t="shared" ref="AK144:AK207" si="205">J144-K144-L144</f>
        <v>0</v>
      </c>
      <c r="AL144" s="314">
        <f t="shared" ref="AL144:AL207" si="206">M144-N144-O144</f>
        <v>0</v>
      </c>
      <c r="AM144" s="314">
        <f t="shared" ref="AM144:AM207" si="207">P144-S144-T144</f>
        <v>0</v>
      </c>
      <c r="AN144" s="314">
        <f t="shared" ref="AN144:AN207" si="208">T144-U144-V144</f>
        <v>0</v>
      </c>
      <c r="AO144" s="314">
        <f t="shared" ref="AO144:AO207" si="209">W144-Z144-AA144</f>
        <v>0</v>
      </c>
      <c r="AP144" s="314">
        <f t="shared" ref="AP144:AP207" si="210">AC144+AA144+Z144+V144+U144+S144+O144+N144-AB144-E144</f>
        <v>0</v>
      </c>
    </row>
    <row r="145" spans="1:42" ht="96.6" outlineLevel="1">
      <c r="A145" s="597" t="s">
        <v>23</v>
      </c>
      <c r="B145" s="324" t="s">
        <v>1804</v>
      </c>
      <c r="C145" s="304"/>
      <c r="D145" s="304">
        <v>4000</v>
      </c>
      <c r="E145" s="304">
        <f t="shared" si="110"/>
        <v>2000</v>
      </c>
      <c r="F145" s="304">
        <f t="shared" si="197"/>
        <v>2000</v>
      </c>
      <c r="G145" s="304">
        <f t="shared" si="179"/>
        <v>-2000</v>
      </c>
      <c r="H145" s="303">
        <f>I145+W145</f>
        <v>2000</v>
      </c>
      <c r="I145" s="303"/>
      <c r="J145" s="311"/>
      <c r="K145" s="311"/>
      <c r="L145" s="311"/>
      <c r="M145" s="303"/>
      <c r="N145" s="311"/>
      <c r="O145" s="311"/>
      <c r="P145" s="303"/>
      <c r="Q145" s="311"/>
      <c r="R145" s="312"/>
      <c r="S145" s="304"/>
      <c r="T145" s="303"/>
      <c r="U145" s="304"/>
      <c r="V145" s="304"/>
      <c r="W145" s="303">
        <f>Z145+AA145</f>
        <v>2000</v>
      </c>
      <c r="X145" s="303"/>
      <c r="Y145" s="303"/>
      <c r="Z145" s="304">
        <v>2000</v>
      </c>
      <c r="AA145" s="304"/>
      <c r="AB145" s="304"/>
      <c r="AC145" s="304"/>
      <c r="AD145" s="304"/>
      <c r="AE145" s="304"/>
      <c r="AF145" s="317"/>
      <c r="AG145" s="314">
        <f t="shared" si="201"/>
        <v>0</v>
      </c>
      <c r="AH145" s="696">
        <f t="shared" si="202"/>
        <v>0</v>
      </c>
      <c r="AI145" s="314">
        <f t="shared" si="203"/>
        <v>0</v>
      </c>
      <c r="AJ145" s="314">
        <f t="shared" si="204"/>
        <v>0</v>
      </c>
      <c r="AK145" s="314">
        <f t="shared" si="205"/>
        <v>0</v>
      </c>
      <c r="AL145" s="314">
        <f t="shared" si="206"/>
        <v>0</v>
      </c>
      <c r="AM145" s="314">
        <f t="shared" si="207"/>
        <v>0</v>
      </c>
      <c r="AN145" s="314">
        <f t="shared" si="208"/>
        <v>0</v>
      </c>
      <c r="AO145" s="314">
        <f t="shared" si="209"/>
        <v>0</v>
      </c>
      <c r="AP145" s="314">
        <f t="shared" si="210"/>
        <v>0</v>
      </c>
    </row>
    <row r="146" spans="1:42" ht="96.6" outlineLevel="1">
      <c r="A146" s="597"/>
      <c r="B146" s="1275" t="s">
        <v>2064</v>
      </c>
      <c r="C146" s="304"/>
      <c r="D146" s="304"/>
      <c r="E146" s="304">
        <f t="shared" si="110"/>
        <v>1000</v>
      </c>
      <c r="F146" s="304">
        <f t="shared" si="197"/>
        <v>1000</v>
      </c>
      <c r="G146" s="304">
        <f t="shared" si="179"/>
        <v>1000</v>
      </c>
      <c r="H146" s="303">
        <f t="shared" ref="H146:H149" si="211">I146+W146</f>
        <v>1000</v>
      </c>
      <c r="I146" s="303"/>
      <c r="J146" s="311"/>
      <c r="K146" s="311"/>
      <c r="L146" s="311"/>
      <c r="M146" s="303"/>
      <c r="N146" s="311"/>
      <c r="O146" s="311"/>
      <c r="P146" s="303"/>
      <c r="Q146" s="311"/>
      <c r="R146" s="312"/>
      <c r="S146" s="304"/>
      <c r="T146" s="303"/>
      <c r="U146" s="304"/>
      <c r="V146" s="304"/>
      <c r="W146" s="303">
        <f t="shared" ref="W146:W149" si="212">Z146+AA146</f>
        <v>1000</v>
      </c>
      <c r="X146" s="303"/>
      <c r="Y146" s="303"/>
      <c r="Z146" s="304">
        <v>1000</v>
      </c>
      <c r="AA146" s="304"/>
      <c r="AB146" s="304"/>
      <c r="AC146" s="304"/>
      <c r="AD146" s="304"/>
      <c r="AE146" s="304"/>
      <c r="AF146" s="1653" t="s">
        <v>2069</v>
      </c>
      <c r="AG146" s="314">
        <f t="shared" si="201"/>
        <v>0</v>
      </c>
      <c r="AH146" s="696">
        <f t="shared" si="202"/>
        <v>0</v>
      </c>
      <c r="AI146" s="314">
        <f t="shared" si="203"/>
        <v>0</v>
      </c>
      <c r="AJ146" s="314">
        <f t="shared" si="204"/>
        <v>0</v>
      </c>
      <c r="AK146" s="314">
        <f t="shared" si="205"/>
        <v>0</v>
      </c>
      <c r="AL146" s="314">
        <f t="shared" si="206"/>
        <v>0</v>
      </c>
      <c r="AM146" s="314">
        <f t="shared" si="207"/>
        <v>0</v>
      </c>
      <c r="AN146" s="314">
        <f t="shared" si="208"/>
        <v>0</v>
      </c>
      <c r="AO146" s="314">
        <f t="shared" si="209"/>
        <v>0</v>
      </c>
      <c r="AP146" s="314">
        <f t="shared" si="210"/>
        <v>0</v>
      </c>
    </row>
    <row r="147" spans="1:42" ht="41.4" outlineLevel="1">
      <c r="A147" s="597"/>
      <c r="B147" s="324" t="s">
        <v>2070</v>
      </c>
      <c r="C147" s="304"/>
      <c r="D147" s="304"/>
      <c r="E147" s="304">
        <f t="shared" si="110"/>
        <v>925</v>
      </c>
      <c r="F147" s="304">
        <f t="shared" si="197"/>
        <v>925</v>
      </c>
      <c r="G147" s="304">
        <f t="shared" si="179"/>
        <v>925</v>
      </c>
      <c r="H147" s="303">
        <f t="shared" si="211"/>
        <v>925</v>
      </c>
      <c r="I147" s="303"/>
      <c r="J147" s="311"/>
      <c r="K147" s="311"/>
      <c r="L147" s="311"/>
      <c r="M147" s="303"/>
      <c r="N147" s="311"/>
      <c r="O147" s="311"/>
      <c r="P147" s="303"/>
      <c r="Q147" s="311"/>
      <c r="R147" s="312"/>
      <c r="S147" s="304"/>
      <c r="T147" s="303"/>
      <c r="U147" s="304"/>
      <c r="V147" s="304"/>
      <c r="W147" s="303">
        <f t="shared" si="212"/>
        <v>925</v>
      </c>
      <c r="X147" s="303"/>
      <c r="Y147" s="303"/>
      <c r="Z147" s="304">
        <v>925</v>
      </c>
      <c r="AA147" s="304"/>
      <c r="AB147" s="304"/>
      <c r="AC147" s="304"/>
      <c r="AD147" s="304"/>
      <c r="AE147" s="304"/>
      <c r="AF147" s="1654"/>
      <c r="AG147" s="314">
        <f t="shared" si="201"/>
        <v>0</v>
      </c>
      <c r="AH147" s="696">
        <f t="shared" si="202"/>
        <v>0</v>
      </c>
      <c r="AI147" s="314">
        <f t="shared" si="203"/>
        <v>0</v>
      </c>
      <c r="AJ147" s="314">
        <f t="shared" si="204"/>
        <v>0</v>
      </c>
      <c r="AK147" s="314">
        <f t="shared" si="205"/>
        <v>0</v>
      </c>
      <c r="AL147" s="314">
        <f t="shared" si="206"/>
        <v>0</v>
      </c>
      <c r="AM147" s="314">
        <f t="shared" si="207"/>
        <v>0</v>
      </c>
      <c r="AN147" s="314">
        <f t="shared" si="208"/>
        <v>0</v>
      </c>
      <c r="AO147" s="314">
        <f t="shared" si="209"/>
        <v>0</v>
      </c>
      <c r="AP147" s="314">
        <f t="shared" si="210"/>
        <v>0</v>
      </c>
    </row>
    <row r="148" spans="1:42" ht="27.6" outlineLevel="1">
      <c r="A148" s="597"/>
      <c r="B148" s="324" t="s">
        <v>878</v>
      </c>
      <c r="C148" s="304"/>
      <c r="D148" s="304"/>
      <c r="E148" s="304">
        <f t="shared" si="110"/>
        <v>500</v>
      </c>
      <c r="F148" s="304">
        <f t="shared" si="197"/>
        <v>500</v>
      </c>
      <c r="G148" s="304">
        <f t="shared" si="179"/>
        <v>500</v>
      </c>
      <c r="H148" s="303">
        <f t="shared" si="211"/>
        <v>500</v>
      </c>
      <c r="I148" s="303"/>
      <c r="J148" s="311"/>
      <c r="K148" s="311"/>
      <c r="L148" s="311"/>
      <c r="M148" s="303"/>
      <c r="N148" s="311"/>
      <c r="O148" s="311"/>
      <c r="P148" s="303"/>
      <c r="Q148" s="311"/>
      <c r="R148" s="312"/>
      <c r="S148" s="304"/>
      <c r="T148" s="303"/>
      <c r="U148" s="304"/>
      <c r="V148" s="304"/>
      <c r="W148" s="303">
        <f t="shared" si="212"/>
        <v>500</v>
      </c>
      <c r="X148" s="303"/>
      <c r="Y148" s="303"/>
      <c r="Z148" s="304">
        <v>500</v>
      </c>
      <c r="AA148" s="304"/>
      <c r="AB148" s="304"/>
      <c r="AC148" s="304"/>
      <c r="AD148" s="304"/>
      <c r="AE148" s="304"/>
      <c r="AF148" s="1655"/>
      <c r="AG148" s="314">
        <f t="shared" si="201"/>
        <v>0</v>
      </c>
      <c r="AH148" s="696">
        <f t="shared" si="202"/>
        <v>0</v>
      </c>
      <c r="AI148" s="314">
        <f t="shared" si="203"/>
        <v>0</v>
      </c>
      <c r="AJ148" s="314">
        <f t="shared" si="204"/>
        <v>0</v>
      </c>
      <c r="AK148" s="314">
        <f t="shared" si="205"/>
        <v>0</v>
      </c>
      <c r="AL148" s="314">
        <f t="shared" si="206"/>
        <v>0</v>
      </c>
      <c r="AM148" s="314">
        <f t="shared" si="207"/>
        <v>0</v>
      </c>
      <c r="AN148" s="314">
        <f t="shared" si="208"/>
        <v>0</v>
      </c>
      <c r="AO148" s="314">
        <f t="shared" si="209"/>
        <v>0</v>
      </c>
      <c r="AP148" s="314">
        <f t="shared" si="210"/>
        <v>0</v>
      </c>
    </row>
    <row r="149" spans="1:42" ht="27.6" outlineLevel="1">
      <c r="A149" s="597"/>
      <c r="B149" s="324" t="s">
        <v>2071</v>
      </c>
      <c r="C149" s="304"/>
      <c r="D149" s="304"/>
      <c r="E149" s="304">
        <f t="shared" si="110"/>
        <v>2000</v>
      </c>
      <c r="F149" s="304">
        <f t="shared" si="197"/>
        <v>2000</v>
      </c>
      <c r="G149" s="304">
        <f t="shared" si="179"/>
        <v>2000</v>
      </c>
      <c r="H149" s="303">
        <f t="shared" si="211"/>
        <v>2000</v>
      </c>
      <c r="I149" s="303"/>
      <c r="J149" s="311"/>
      <c r="K149" s="311"/>
      <c r="L149" s="311"/>
      <c r="M149" s="303"/>
      <c r="N149" s="311"/>
      <c r="O149" s="311"/>
      <c r="P149" s="303"/>
      <c r="Q149" s="311"/>
      <c r="R149" s="312"/>
      <c r="S149" s="304"/>
      <c r="T149" s="303"/>
      <c r="U149" s="304"/>
      <c r="V149" s="304"/>
      <c r="W149" s="303">
        <f t="shared" si="212"/>
        <v>2000</v>
      </c>
      <c r="X149" s="303"/>
      <c r="Y149" s="303"/>
      <c r="Z149" s="304">
        <v>2000</v>
      </c>
      <c r="AA149" s="304"/>
      <c r="AB149" s="304"/>
      <c r="AC149" s="304"/>
      <c r="AD149" s="304"/>
      <c r="AE149" s="304"/>
      <c r="AF149" s="1320"/>
      <c r="AG149" s="314">
        <f t="shared" si="201"/>
        <v>0</v>
      </c>
      <c r="AH149" s="696">
        <f t="shared" si="202"/>
        <v>0</v>
      </c>
      <c r="AI149" s="314">
        <f t="shared" si="203"/>
        <v>0</v>
      </c>
      <c r="AJ149" s="314">
        <f t="shared" si="204"/>
        <v>0</v>
      </c>
      <c r="AK149" s="314">
        <f t="shared" si="205"/>
        <v>0</v>
      </c>
      <c r="AL149" s="314">
        <f t="shared" si="206"/>
        <v>0</v>
      </c>
      <c r="AM149" s="314">
        <f t="shared" si="207"/>
        <v>0</v>
      </c>
      <c r="AN149" s="314">
        <f t="shared" si="208"/>
        <v>0</v>
      </c>
      <c r="AO149" s="314">
        <f t="shared" si="209"/>
        <v>0</v>
      </c>
      <c r="AP149" s="314">
        <f t="shared" si="210"/>
        <v>0</v>
      </c>
    </row>
    <row r="150" spans="1:42" ht="124.2" outlineLevel="1">
      <c r="A150" s="1276" t="s">
        <v>23</v>
      </c>
      <c r="B150" s="864" t="s">
        <v>2072</v>
      </c>
      <c r="C150" s="304"/>
      <c r="D150" s="304">
        <v>665</v>
      </c>
      <c r="E150" s="304">
        <f t="shared" si="110"/>
        <v>676</v>
      </c>
      <c r="F150" s="304">
        <f t="shared" si="197"/>
        <v>676</v>
      </c>
      <c r="G150" s="304">
        <f t="shared" si="179"/>
        <v>11</v>
      </c>
      <c r="H150" s="303">
        <f>I150+W150</f>
        <v>676</v>
      </c>
      <c r="I150" s="304"/>
      <c r="J150" s="304"/>
      <c r="K150" s="304"/>
      <c r="L150" s="304"/>
      <c r="M150" s="304"/>
      <c r="N150" s="304"/>
      <c r="O150" s="304"/>
      <c r="P150" s="304"/>
      <c r="Q150" s="304"/>
      <c r="R150" s="304"/>
      <c r="S150" s="304"/>
      <c r="T150" s="304"/>
      <c r="U150" s="304"/>
      <c r="V150" s="304"/>
      <c r="W150" s="303">
        <f>Z150+AA150</f>
        <v>676</v>
      </c>
      <c r="X150" s="304"/>
      <c r="Y150" s="304"/>
      <c r="Z150" s="304">
        <f>Z142-Z143-Z151-Z144-Z145-Z146-Z147-Z148-Z149</f>
        <v>476</v>
      </c>
      <c r="AA150" s="304">
        <v>200</v>
      </c>
      <c r="AB150" s="304"/>
      <c r="AC150" s="304"/>
      <c r="AD150" s="304"/>
      <c r="AE150" s="304"/>
      <c r="AF150" s="332" t="s">
        <v>2073</v>
      </c>
      <c r="AG150" s="314">
        <f t="shared" si="201"/>
        <v>0</v>
      </c>
      <c r="AH150" s="696">
        <f t="shared" si="202"/>
        <v>0</v>
      </c>
      <c r="AI150" s="314">
        <f t="shared" si="203"/>
        <v>0</v>
      </c>
      <c r="AJ150" s="314">
        <f t="shared" si="204"/>
        <v>0</v>
      </c>
      <c r="AK150" s="314">
        <f t="shared" si="205"/>
        <v>0</v>
      </c>
      <c r="AL150" s="314">
        <f t="shared" si="206"/>
        <v>0</v>
      </c>
      <c r="AM150" s="314">
        <f t="shared" si="207"/>
        <v>0</v>
      </c>
      <c r="AN150" s="314">
        <f t="shared" si="208"/>
        <v>0</v>
      </c>
      <c r="AO150" s="314">
        <f t="shared" si="209"/>
        <v>0</v>
      </c>
      <c r="AP150" s="314">
        <f t="shared" si="210"/>
        <v>0</v>
      </c>
    </row>
    <row r="151" spans="1:42" ht="82.8" hidden="1" outlineLevel="3">
      <c r="A151" s="1276" t="s">
        <v>23</v>
      </c>
      <c r="B151" s="1277" t="s">
        <v>877</v>
      </c>
      <c r="C151" s="304"/>
      <c r="D151" s="304">
        <v>2236</v>
      </c>
      <c r="E151" s="304">
        <f>F151+AC151</f>
        <v>0</v>
      </c>
      <c r="F151" s="304">
        <f>H151-AB151</f>
        <v>0</v>
      </c>
      <c r="G151" s="304">
        <f>F151-D151</f>
        <v>-2236</v>
      </c>
      <c r="H151" s="303">
        <f>I151+W151</f>
        <v>0</v>
      </c>
      <c r="I151" s="303"/>
      <c r="J151" s="311"/>
      <c r="K151" s="311"/>
      <c r="L151" s="311"/>
      <c r="M151" s="303"/>
      <c r="N151" s="311"/>
      <c r="O151" s="311"/>
      <c r="P151" s="303"/>
      <c r="Q151" s="311"/>
      <c r="R151" s="312"/>
      <c r="S151" s="304"/>
      <c r="T151" s="303"/>
      <c r="U151" s="304"/>
      <c r="V151" s="304"/>
      <c r="W151" s="303">
        <f>Z151+AA151</f>
        <v>0</v>
      </c>
      <c r="X151" s="303"/>
      <c r="Y151" s="303"/>
      <c r="Z151" s="304"/>
      <c r="AA151" s="304"/>
      <c r="AB151" s="304"/>
      <c r="AC151" s="304"/>
      <c r="AD151" s="304"/>
      <c r="AE151" s="303"/>
      <c r="AF151" s="1278" t="s">
        <v>1740</v>
      </c>
      <c r="AG151" s="314">
        <f t="shared" si="201"/>
        <v>0</v>
      </c>
      <c r="AH151" s="696">
        <f t="shared" si="202"/>
        <v>0</v>
      </c>
      <c r="AI151" s="314">
        <f t="shared" si="203"/>
        <v>0</v>
      </c>
      <c r="AJ151" s="314">
        <f t="shared" si="204"/>
        <v>0</v>
      </c>
      <c r="AK151" s="314">
        <f t="shared" si="205"/>
        <v>0</v>
      </c>
      <c r="AL151" s="314">
        <f t="shared" si="206"/>
        <v>0</v>
      </c>
      <c r="AM151" s="314">
        <f t="shared" si="207"/>
        <v>0</v>
      </c>
      <c r="AN151" s="314">
        <f t="shared" si="208"/>
        <v>0</v>
      </c>
      <c r="AO151" s="314">
        <f t="shared" si="209"/>
        <v>0</v>
      </c>
      <c r="AP151" s="314">
        <f t="shared" si="210"/>
        <v>0</v>
      </c>
    </row>
    <row r="152" spans="1:42" s="314" customFormat="1">
      <c r="A152" s="592" t="s">
        <v>74</v>
      </c>
      <c r="B152" s="357" t="s">
        <v>879</v>
      </c>
      <c r="C152" s="297"/>
      <c r="D152" s="299">
        <f>D153+D159</f>
        <v>9302</v>
      </c>
      <c r="E152" s="299">
        <f>E153+E159</f>
        <v>10766</v>
      </c>
      <c r="F152" s="299">
        <f>F153+F159</f>
        <v>9858</v>
      </c>
      <c r="G152" s="299">
        <f t="shared" si="179"/>
        <v>556</v>
      </c>
      <c r="H152" s="299">
        <f t="shared" ref="H152:P152" si="213">H153+H159</f>
        <v>9858</v>
      </c>
      <c r="I152" s="299">
        <f t="shared" si="213"/>
        <v>7233</v>
      </c>
      <c r="J152" s="299">
        <f t="shared" si="213"/>
        <v>42</v>
      </c>
      <c r="K152" s="299">
        <f t="shared" si="213"/>
        <v>42</v>
      </c>
      <c r="L152" s="299">
        <f t="shared" si="213"/>
        <v>0</v>
      </c>
      <c r="M152" s="299">
        <f t="shared" si="213"/>
        <v>4893</v>
      </c>
      <c r="N152" s="299">
        <f t="shared" si="213"/>
        <v>4893</v>
      </c>
      <c r="O152" s="299">
        <f t="shared" si="213"/>
        <v>0</v>
      </c>
      <c r="P152" s="299">
        <f t="shared" si="213"/>
        <v>2340</v>
      </c>
      <c r="Q152" s="299"/>
      <c r="R152" s="299"/>
      <c r="S152" s="299">
        <f>S153+S159</f>
        <v>2240</v>
      </c>
      <c r="T152" s="299">
        <f>T153+T159</f>
        <v>100</v>
      </c>
      <c r="U152" s="299">
        <f>U153+U159</f>
        <v>100</v>
      </c>
      <c r="V152" s="299">
        <f>V153+V159</f>
        <v>0</v>
      </c>
      <c r="W152" s="299">
        <f>W153+W159</f>
        <v>2625</v>
      </c>
      <c r="X152" s="299"/>
      <c r="Y152" s="299"/>
      <c r="Z152" s="299">
        <f t="shared" ref="Z152:AE152" si="214">Z153+Z159</f>
        <v>2470</v>
      </c>
      <c r="AA152" s="299">
        <f t="shared" si="214"/>
        <v>155</v>
      </c>
      <c r="AB152" s="299">
        <f t="shared" si="214"/>
        <v>0</v>
      </c>
      <c r="AC152" s="299">
        <f t="shared" si="214"/>
        <v>908</v>
      </c>
      <c r="AD152" s="299">
        <f t="shared" si="214"/>
        <v>488</v>
      </c>
      <c r="AE152" s="299">
        <f t="shared" si="214"/>
        <v>10278</v>
      </c>
      <c r="AF152" s="321"/>
      <c r="AG152" s="314">
        <f t="shared" si="201"/>
        <v>0</v>
      </c>
      <c r="AH152" s="696">
        <f t="shared" si="202"/>
        <v>0</v>
      </c>
      <c r="AI152" s="314">
        <f t="shared" si="203"/>
        <v>0</v>
      </c>
      <c r="AJ152" s="314">
        <f t="shared" si="204"/>
        <v>0</v>
      </c>
      <c r="AK152" s="314">
        <f t="shared" si="205"/>
        <v>0</v>
      </c>
      <c r="AL152" s="314">
        <f t="shared" si="206"/>
        <v>0</v>
      </c>
      <c r="AM152" s="314">
        <f t="shared" si="207"/>
        <v>0</v>
      </c>
      <c r="AN152" s="314">
        <f t="shared" si="208"/>
        <v>0</v>
      </c>
      <c r="AO152" s="314">
        <f t="shared" si="209"/>
        <v>0</v>
      </c>
      <c r="AP152" s="314">
        <f t="shared" si="210"/>
        <v>0</v>
      </c>
    </row>
    <row r="153" spans="1:42" s="314" customFormat="1">
      <c r="A153" s="592" t="s">
        <v>880</v>
      </c>
      <c r="B153" s="357" t="s">
        <v>826</v>
      </c>
      <c r="C153" s="298" t="s">
        <v>756</v>
      </c>
      <c r="D153" s="299">
        <f t="shared" ref="D153" si="215">D154+D157+D155</f>
        <v>6024</v>
      </c>
      <c r="E153" s="299">
        <f>E154+E157+E155</f>
        <v>7241</v>
      </c>
      <c r="F153" s="299">
        <f>F154+F157+F155</f>
        <v>6451</v>
      </c>
      <c r="G153" s="299">
        <f t="shared" si="179"/>
        <v>427</v>
      </c>
      <c r="H153" s="299">
        <f>H154+H157+H155</f>
        <v>6451</v>
      </c>
      <c r="I153" s="299">
        <f t="shared" ref="I153:Z153" si="216">I154+I157+I155</f>
        <v>6451</v>
      </c>
      <c r="J153" s="299">
        <f t="shared" si="216"/>
        <v>35</v>
      </c>
      <c r="K153" s="299">
        <f t="shared" si="216"/>
        <v>35</v>
      </c>
      <c r="L153" s="299">
        <f t="shared" si="216"/>
        <v>0</v>
      </c>
      <c r="M153" s="299">
        <f t="shared" si="216"/>
        <v>4328</v>
      </c>
      <c r="N153" s="299">
        <f t="shared" si="216"/>
        <v>4328</v>
      </c>
      <c r="O153" s="299">
        <f t="shared" si="216"/>
        <v>0</v>
      </c>
      <c r="P153" s="299">
        <f t="shared" si="216"/>
        <v>2123</v>
      </c>
      <c r="Q153" s="299"/>
      <c r="R153" s="299"/>
      <c r="S153" s="299">
        <f t="shared" si="216"/>
        <v>2023</v>
      </c>
      <c r="T153" s="299">
        <f t="shared" si="216"/>
        <v>100</v>
      </c>
      <c r="U153" s="299">
        <f t="shared" si="216"/>
        <v>100</v>
      </c>
      <c r="V153" s="299">
        <f t="shared" si="216"/>
        <v>0</v>
      </c>
      <c r="W153" s="299">
        <f>W154+W157+W155</f>
        <v>0</v>
      </c>
      <c r="X153" s="299"/>
      <c r="Y153" s="299"/>
      <c r="Z153" s="299">
        <f t="shared" si="216"/>
        <v>0</v>
      </c>
      <c r="AA153" s="299">
        <f>AA154+AA157+AA155</f>
        <v>0</v>
      </c>
      <c r="AB153" s="299">
        <f>AB154+AB157+AB155</f>
        <v>0</v>
      </c>
      <c r="AC153" s="299">
        <f>AC154+AC157+AC155</f>
        <v>790</v>
      </c>
      <c r="AD153" s="299">
        <f>AD154+AD157+AD155</f>
        <v>205</v>
      </c>
      <c r="AE153" s="299">
        <f>AE154+AE157+AE155</f>
        <v>7036</v>
      </c>
      <c r="AF153" s="321"/>
      <c r="AG153" s="314">
        <f t="shared" si="201"/>
        <v>0</v>
      </c>
      <c r="AH153" s="696">
        <f t="shared" si="202"/>
        <v>0</v>
      </c>
      <c r="AI153" s="314">
        <f t="shared" si="203"/>
        <v>0</v>
      </c>
      <c r="AJ153" s="314">
        <f t="shared" si="204"/>
        <v>0</v>
      </c>
      <c r="AK153" s="314">
        <f t="shared" si="205"/>
        <v>0</v>
      </c>
      <c r="AL153" s="314">
        <f t="shared" si="206"/>
        <v>0</v>
      </c>
      <c r="AM153" s="314">
        <f t="shared" si="207"/>
        <v>0</v>
      </c>
      <c r="AN153" s="314">
        <f t="shared" si="208"/>
        <v>0</v>
      </c>
      <c r="AO153" s="314">
        <f t="shared" si="209"/>
        <v>0</v>
      </c>
      <c r="AP153" s="314">
        <f t="shared" si="210"/>
        <v>0</v>
      </c>
    </row>
    <row r="154" spans="1:42">
      <c r="A154" s="583" t="s">
        <v>45</v>
      </c>
      <c r="B154" s="324" t="s">
        <v>862</v>
      </c>
      <c r="C154" s="304"/>
      <c r="D154" s="304">
        <v>5784</v>
      </c>
      <c r="E154" s="304">
        <f t="shared" si="110"/>
        <v>7141</v>
      </c>
      <c r="F154" s="304">
        <f>H154-AB154</f>
        <v>6351</v>
      </c>
      <c r="G154" s="304">
        <f t="shared" si="179"/>
        <v>567</v>
      </c>
      <c r="H154" s="303">
        <f t="shared" ref="H154" si="217">I154+W154</f>
        <v>6351</v>
      </c>
      <c r="I154" s="303">
        <f>M154+P154</f>
        <v>6351</v>
      </c>
      <c r="J154" s="294">
        <v>35</v>
      </c>
      <c r="K154" s="294">
        <v>35</v>
      </c>
      <c r="L154" s="294">
        <f>J154-K154</f>
        <v>0</v>
      </c>
      <c r="M154" s="304">
        <f>N154+O154</f>
        <v>4328</v>
      </c>
      <c r="N154" s="294">
        <v>4328</v>
      </c>
      <c r="O154" s="294">
        <v>0</v>
      </c>
      <c r="P154" s="303">
        <f>S154+T154</f>
        <v>2023</v>
      </c>
      <c r="Q154" s="294">
        <v>34</v>
      </c>
      <c r="R154" s="305">
        <v>1.7000000000000002</v>
      </c>
      <c r="S154" s="304">
        <f>ROUND(J154*Q154*R154,0)</f>
        <v>2023</v>
      </c>
      <c r="T154" s="303">
        <f>U154+V154</f>
        <v>0</v>
      </c>
      <c r="U154" s="304"/>
      <c r="V154" s="304"/>
      <c r="W154" s="303">
        <f>Z154+AA154</f>
        <v>0</v>
      </c>
      <c r="X154" s="303"/>
      <c r="Y154" s="303"/>
      <c r="Z154" s="304"/>
      <c r="AA154" s="304"/>
      <c r="AB154" s="304"/>
      <c r="AC154" s="304">
        <v>790</v>
      </c>
      <c r="AD154" s="304">
        <v>195</v>
      </c>
      <c r="AE154" s="303">
        <f>E154-AD154</f>
        <v>6946</v>
      </c>
      <c r="AF154" s="317"/>
      <c r="AG154" s="314">
        <f t="shared" si="201"/>
        <v>0</v>
      </c>
      <c r="AH154" s="696">
        <f t="shared" si="202"/>
        <v>0</v>
      </c>
      <c r="AI154" s="314">
        <f t="shared" si="203"/>
        <v>0</v>
      </c>
      <c r="AJ154" s="314">
        <f t="shared" si="204"/>
        <v>0</v>
      </c>
      <c r="AK154" s="314">
        <f t="shared" si="205"/>
        <v>0</v>
      </c>
      <c r="AL154" s="314">
        <f t="shared" si="206"/>
        <v>0</v>
      </c>
      <c r="AM154" s="314">
        <f t="shared" si="207"/>
        <v>0</v>
      </c>
      <c r="AN154" s="314">
        <f t="shared" si="208"/>
        <v>0</v>
      </c>
      <c r="AO154" s="314">
        <f t="shared" si="209"/>
        <v>0</v>
      </c>
      <c r="AP154" s="314">
        <f t="shared" si="210"/>
        <v>0</v>
      </c>
    </row>
    <row r="155" spans="1:42" ht="27.6" hidden="1" outlineLevel="3">
      <c r="A155" s="583" t="s">
        <v>47</v>
      </c>
      <c r="B155" s="324" t="s">
        <v>1521</v>
      </c>
      <c r="C155" s="304"/>
      <c r="D155" s="304">
        <v>140</v>
      </c>
      <c r="E155" s="304">
        <f t="shared" ref="E155:E233" si="218">F155+AC155</f>
        <v>0</v>
      </c>
      <c r="F155" s="304">
        <f>H155-AB155</f>
        <v>0</v>
      </c>
      <c r="G155" s="304">
        <f t="shared" si="179"/>
        <v>-140</v>
      </c>
      <c r="H155" s="303">
        <f>H156</f>
        <v>0</v>
      </c>
      <c r="I155" s="303">
        <f t="shared" ref="I155:W155" si="219">I156</f>
        <v>0</v>
      </c>
      <c r="J155" s="303">
        <f t="shared" si="219"/>
        <v>0</v>
      </c>
      <c r="K155" s="303">
        <f t="shared" si="219"/>
        <v>0</v>
      </c>
      <c r="L155" s="303">
        <f t="shared" si="219"/>
        <v>0</v>
      </c>
      <c r="M155" s="303">
        <f t="shared" si="219"/>
        <v>0</v>
      </c>
      <c r="N155" s="303">
        <f t="shared" si="219"/>
        <v>0</v>
      </c>
      <c r="O155" s="303">
        <f t="shared" si="219"/>
        <v>0</v>
      </c>
      <c r="P155" s="303">
        <f t="shared" si="219"/>
        <v>0</v>
      </c>
      <c r="Q155" s="303">
        <f t="shared" si="219"/>
        <v>0</v>
      </c>
      <c r="R155" s="303">
        <f t="shared" si="219"/>
        <v>0</v>
      </c>
      <c r="S155" s="303">
        <f t="shared" si="219"/>
        <v>0</v>
      </c>
      <c r="T155" s="303">
        <f t="shared" si="219"/>
        <v>0</v>
      </c>
      <c r="U155" s="303">
        <f t="shared" si="219"/>
        <v>0</v>
      </c>
      <c r="V155" s="303">
        <f t="shared" si="219"/>
        <v>0</v>
      </c>
      <c r="W155" s="303">
        <f t="shared" si="219"/>
        <v>0</v>
      </c>
      <c r="X155" s="303"/>
      <c r="Y155" s="303"/>
      <c r="Z155" s="303">
        <f t="shared" ref="Z155" si="220">Z156</f>
        <v>0</v>
      </c>
      <c r="AA155" s="303">
        <f>AA156</f>
        <v>0</v>
      </c>
      <c r="AB155" s="303">
        <f>AB156</f>
        <v>0</v>
      </c>
      <c r="AC155" s="303">
        <f t="shared" ref="AC155:AE155" si="221">AC156</f>
        <v>0</v>
      </c>
      <c r="AD155" s="303"/>
      <c r="AE155" s="303">
        <f t="shared" si="221"/>
        <v>0</v>
      </c>
      <c r="AF155" s="317"/>
      <c r="AG155" s="314">
        <f t="shared" si="201"/>
        <v>0</v>
      </c>
      <c r="AH155" s="696">
        <f t="shared" si="202"/>
        <v>0</v>
      </c>
      <c r="AI155" s="314">
        <f t="shared" si="203"/>
        <v>0</v>
      </c>
      <c r="AJ155" s="314">
        <f t="shared" si="204"/>
        <v>0</v>
      </c>
      <c r="AK155" s="314">
        <f t="shared" si="205"/>
        <v>0</v>
      </c>
      <c r="AL155" s="314">
        <f t="shared" si="206"/>
        <v>0</v>
      </c>
      <c r="AM155" s="314">
        <f t="shared" si="207"/>
        <v>0</v>
      </c>
      <c r="AN155" s="314">
        <f t="shared" si="208"/>
        <v>0</v>
      </c>
      <c r="AO155" s="314">
        <f t="shared" si="209"/>
        <v>0</v>
      </c>
      <c r="AP155" s="314">
        <f t="shared" si="210"/>
        <v>0</v>
      </c>
    </row>
    <row r="156" spans="1:42" hidden="1" outlineLevel="3">
      <c r="A156" s="583" t="s">
        <v>23</v>
      </c>
      <c r="B156" s="324" t="s">
        <v>866</v>
      </c>
      <c r="C156" s="304"/>
      <c r="D156" s="304">
        <v>140</v>
      </c>
      <c r="E156" s="304">
        <f t="shared" si="218"/>
        <v>0</v>
      </c>
      <c r="F156" s="304">
        <f>H156-AB156</f>
        <v>0</v>
      </c>
      <c r="G156" s="304">
        <f t="shared" si="179"/>
        <v>-140</v>
      </c>
      <c r="H156" s="303">
        <f t="shared" ref="H156" si="222">I156+W156</f>
        <v>0</v>
      </c>
      <c r="I156" s="303">
        <f t="shared" ref="I156" si="223">M156+P156</f>
        <v>0</v>
      </c>
      <c r="J156" s="294"/>
      <c r="K156" s="294">
        <v>0</v>
      </c>
      <c r="L156" s="294"/>
      <c r="M156" s="304">
        <f t="shared" ref="M156" si="224">N156+O156</f>
        <v>0</v>
      </c>
      <c r="N156" s="294"/>
      <c r="O156" s="294"/>
      <c r="P156" s="303">
        <f t="shared" ref="P156" si="225">S156+T156</f>
        <v>0</v>
      </c>
      <c r="Q156" s="311">
        <v>0</v>
      </c>
      <c r="R156" s="305"/>
      <c r="S156" s="304">
        <f>J156*Q156</f>
        <v>0</v>
      </c>
      <c r="T156" s="303">
        <f t="shared" ref="T156" si="226">U156+V156</f>
        <v>0</v>
      </c>
      <c r="U156" s="304"/>
      <c r="V156" s="304"/>
      <c r="W156" s="303">
        <f>Z156+AA156</f>
        <v>0</v>
      </c>
      <c r="X156" s="303"/>
      <c r="Y156" s="303"/>
      <c r="Z156" s="304"/>
      <c r="AA156" s="304"/>
      <c r="AB156" s="304"/>
      <c r="AC156" s="304"/>
      <c r="AD156" s="304"/>
      <c r="AE156" s="303">
        <f>E156-AD156</f>
        <v>0</v>
      </c>
      <c r="AF156" s="317"/>
      <c r="AG156" s="314">
        <f t="shared" si="201"/>
        <v>0</v>
      </c>
      <c r="AH156" s="696">
        <f t="shared" si="202"/>
        <v>0</v>
      </c>
      <c r="AI156" s="314">
        <f t="shared" si="203"/>
        <v>0</v>
      </c>
      <c r="AJ156" s="314">
        <f t="shared" si="204"/>
        <v>0</v>
      </c>
      <c r="AK156" s="314">
        <f t="shared" si="205"/>
        <v>0</v>
      </c>
      <c r="AL156" s="314">
        <f t="shared" si="206"/>
        <v>0</v>
      </c>
      <c r="AM156" s="314">
        <f t="shared" si="207"/>
        <v>0</v>
      </c>
      <c r="AN156" s="314">
        <f t="shared" si="208"/>
        <v>0</v>
      </c>
      <c r="AO156" s="314">
        <f t="shared" si="209"/>
        <v>0</v>
      </c>
      <c r="AP156" s="314">
        <f t="shared" si="210"/>
        <v>0</v>
      </c>
    </row>
    <row r="157" spans="1:42" ht="27.6" collapsed="1">
      <c r="A157" s="583" t="s">
        <v>47</v>
      </c>
      <c r="B157" s="1273" t="s">
        <v>1737</v>
      </c>
      <c r="C157" s="304"/>
      <c r="D157" s="304">
        <v>100</v>
      </c>
      <c r="E157" s="304">
        <f>E158</f>
        <v>100</v>
      </c>
      <c r="F157" s="304">
        <f>F158</f>
        <v>100</v>
      </c>
      <c r="G157" s="304">
        <f>G158</f>
        <v>0</v>
      </c>
      <c r="H157" s="304">
        <f t="shared" ref="H157:AB157" si="227">H158</f>
        <v>100</v>
      </c>
      <c r="I157" s="304">
        <f t="shared" si="227"/>
        <v>100</v>
      </c>
      <c r="J157" s="304">
        <f t="shared" si="227"/>
        <v>0</v>
      </c>
      <c r="K157" s="304">
        <f t="shared" si="227"/>
        <v>0</v>
      </c>
      <c r="L157" s="304">
        <f t="shared" si="227"/>
        <v>0</v>
      </c>
      <c r="M157" s="304">
        <f t="shared" si="227"/>
        <v>0</v>
      </c>
      <c r="N157" s="304">
        <f t="shared" si="227"/>
        <v>0</v>
      </c>
      <c r="O157" s="304">
        <f t="shared" si="227"/>
        <v>0</v>
      </c>
      <c r="P157" s="304">
        <f t="shared" si="227"/>
        <v>100</v>
      </c>
      <c r="Q157" s="304">
        <f t="shared" si="227"/>
        <v>0</v>
      </c>
      <c r="R157" s="304">
        <f t="shared" si="227"/>
        <v>0</v>
      </c>
      <c r="S157" s="304">
        <f t="shared" si="227"/>
        <v>0</v>
      </c>
      <c r="T157" s="304">
        <f t="shared" si="227"/>
        <v>100</v>
      </c>
      <c r="U157" s="304">
        <f t="shared" si="227"/>
        <v>100</v>
      </c>
      <c r="V157" s="304">
        <f t="shared" si="227"/>
        <v>0</v>
      </c>
      <c r="W157" s="304">
        <f t="shared" si="227"/>
        <v>0</v>
      </c>
      <c r="X157" s="304">
        <f t="shared" si="227"/>
        <v>0</v>
      </c>
      <c r="Y157" s="304">
        <f t="shared" si="227"/>
        <v>0</v>
      </c>
      <c r="Z157" s="304">
        <f t="shared" si="227"/>
        <v>0</v>
      </c>
      <c r="AA157" s="304">
        <f t="shared" si="227"/>
        <v>0</v>
      </c>
      <c r="AB157" s="304">
        <f t="shared" si="227"/>
        <v>0</v>
      </c>
      <c r="AC157" s="303"/>
      <c r="AD157" s="303">
        <v>10</v>
      </c>
      <c r="AE157" s="303">
        <f>E157-AD157</f>
        <v>90</v>
      </c>
      <c r="AF157" s="317"/>
      <c r="AG157" s="314">
        <f t="shared" si="201"/>
        <v>0</v>
      </c>
      <c r="AH157" s="696">
        <f t="shared" si="202"/>
        <v>0</v>
      </c>
      <c r="AI157" s="314">
        <f t="shared" si="203"/>
        <v>0</v>
      </c>
      <c r="AJ157" s="314">
        <f t="shared" si="204"/>
        <v>0</v>
      </c>
      <c r="AK157" s="314">
        <f t="shared" si="205"/>
        <v>0</v>
      </c>
      <c r="AL157" s="314">
        <f t="shared" si="206"/>
        <v>0</v>
      </c>
      <c r="AM157" s="314">
        <f t="shared" si="207"/>
        <v>0</v>
      </c>
      <c r="AN157" s="314">
        <f t="shared" si="208"/>
        <v>0</v>
      </c>
      <c r="AO157" s="314">
        <f t="shared" si="209"/>
        <v>0</v>
      </c>
      <c r="AP157" s="314">
        <f t="shared" si="210"/>
        <v>0</v>
      </c>
    </row>
    <row r="158" spans="1:42" ht="41.4" outlineLevel="1">
      <c r="A158" s="596" t="s">
        <v>23</v>
      </c>
      <c r="B158" s="316" t="s">
        <v>1590</v>
      </c>
      <c r="C158" s="304"/>
      <c r="D158" s="304">
        <v>100</v>
      </c>
      <c r="E158" s="304">
        <f t="shared" si="218"/>
        <v>100</v>
      </c>
      <c r="F158" s="304">
        <f>H158-AB158</f>
        <v>100</v>
      </c>
      <c r="G158" s="304">
        <f t="shared" ref="G158:G167" si="228">F158-D158</f>
        <v>0</v>
      </c>
      <c r="H158" s="303">
        <f t="shared" ref="H158" si="229">I158+W158</f>
        <v>100</v>
      </c>
      <c r="I158" s="303">
        <f t="shared" ref="I158" si="230">M158+P158</f>
        <v>100</v>
      </c>
      <c r="J158" s="311"/>
      <c r="K158" s="311"/>
      <c r="L158" s="311"/>
      <c r="M158" s="303"/>
      <c r="N158" s="311"/>
      <c r="O158" s="311"/>
      <c r="P158" s="303">
        <f t="shared" ref="P158" si="231">S158+T158</f>
        <v>100</v>
      </c>
      <c r="Q158" s="311"/>
      <c r="R158" s="312"/>
      <c r="S158" s="304"/>
      <c r="T158" s="303">
        <f t="shared" ref="T158" si="232">U158+V158</f>
        <v>100</v>
      </c>
      <c r="U158" s="304">
        <v>100</v>
      </c>
      <c r="V158" s="304"/>
      <c r="W158" s="303">
        <f t="shared" ref="W158" si="233">Z158+AA158</f>
        <v>0</v>
      </c>
      <c r="X158" s="303"/>
      <c r="Y158" s="303"/>
      <c r="Z158" s="304"/>
      <c r="AA158" s="304"/>
      <c r="AB158" s="304"/>
      <c r="AC158" s="304"/>
      <c r="AD158" s="304"/>
      <c r="AE158" s="304"/>
      <c r="AF158" s="317"/>
      <c r="AG158" s="314">
        <f t="shared" si="201"/>
        <v>0</v>
      </c>
      <c r="AH158" s="696">
        <f t="shared" si="202"/>
        <v>0</v>
      </c>
      <c r="AI158" s="314">
        <f t="shared" si="203"/>
        <v>0</v>
      </c>
      <c r="AJ158" s="314">
        <f t="shared" si="204"/>
        <v>0</v>
      </c>
      <c r="AK158" s="314">
        <f t="shared" si="205"/>
        <v>0</v>
      </c>
      <c r="AL158" s="314">
        <f t="shared" si="206"/>
        <v>0</v>
      </c>
      <c r="AM158" s="314">
        <f t="shared" si="207"/>
        <v>0</v>
      </c>
      <c r="AN158" s="314">
        <f t="shared" si="208"/>
        <v>0</v>
      </c>
      <c r="AO158" s="314">
        <f t="shared" si="209"/>
        <v>0</v>
      </c>
      <c r="AP158" s="314">
        <f t="shared" si="210"/>
        <v>0</v>
      </c>
    </row>
    <row r="159" spans="1:42" s="314" customFormat="1">
      <c r="A159" s="592" t="s">
        <v>881</v>
      </c>
      <c r="B159" s="357" t="s">
        <v>867</v>
      </c>
      <c r="C159" s="298" t="s">
        <v>728</v>
      </c>
      <c r="D159" s="299">
        <f t="shared" ref="D159" si="234">D160+D162</f>
        <v>3278</v>
      </c>
      <c r="E159" s="299">
        <f>E160+E162</f>
        <v>3525</v>
      </c>
      <c r="F159" s="299">
        <f>F160+F162</f>
        <v>3407</v>
      </c>
      <c r="G159" s="299">
        <f t="shared" si="228"/>
        <v>129</v>
      </c>
      <c r="H159" s="299">
        <f>H160+H162</f>
        <v>3407</v>
      </c>
      <c r="I159" s="299">
        <f t="shared" ref="I159:Z159" si="235">I160+I162</f>
        <v>782</v>
      </c>
      <c r="J159" s="299">
        <f t="shared" si="235"/>
        <v>7</v>
      </c>
      <c r="K159" s="299">
        <f t="shared" si="235"/>
        <v>7</v>
      </c>
      <c r="L159" s="299">
        <f t="shared" si="235"/>
        <v>0</v>
      </c>
      <c r="M159" s="299">
        <f t="shared" si="235"/>
        <v>565</v>
      </c>
      <c r="N159" s="299">
        <f t="shared" si="235"/>
        <v>565</v>
      </c>
      <c r="O159" s="299">
        <f t="shared" si="235"/>
        <v>0</v>
      </c>
      <c r="P159" s="299">
        <f t="shared" si="235"/>
        <v>217</v>
      </c>
      <c r="Q159" s="299"/>
      <c r="R159" s="299"/>
      <c r="S159" s="299">
        <f t="shared" si="235"/>
        <v>217</v>
      </c>
      <c r="T159" s="299">
        <f t="shared" si="235"/>
        <v>0</v>
      </c>
      <c r="U159" s="299">
        <f t="shared" si="235"/>
        <v>0</v>
      </c>
      <c r="V159" s="299">
        <f t="shared" si="235"/>
        <v>0</v>
      </c>
      <c r="W159" s="299">
        <f>W160+W162</f>
        <v>2625</v>
      </c>
      <c r="X159" s="299"/>
      <c r="Y159" s="299"/>
      <c r="Z159" s="299">
        <f t="shared" si="235"/>
        <v>2470</v>
      </c>
      <c r="AA159" s="299">
        <f>AA160+AA162</f>
        <v>155</v>
      </c>
      <c r="AB159" s="299">
        <f>AB160+AB162</f>
        <v>0</v>
      </c>
      <c r="AC159" s="299">
        <f>AC160+AC162</f>
        <v>118</v>
      </c>
      <c r="AD159" s="299">
        <f>AD160+AD162</f>
        <v>283</v>
      </c>
      <c r="AE159" s="299">
        <f>AE160+AE162</f>
        <v>3242</v>
      </c>
      <c r="AF159" s="321"/>
      <c r="AG159" s="314">
        <f t="shared" si="201"/>
        <v>0</v>
      </c>
      <c r="AH159" s="696">
        <f t="shared" si="202"/>
        <v>0</v>
      </c>
      <c r="AI159" s="314">
        <f t="shared" si="203"/>
        <v>0</v>
      </c>
      <c r="AJ159" s="314">
        <f t="shared" si="204"/>
        <v>0</v>
      </c>
      <c r="AK159" s="314">
        <f t="shared" si="205"/>
        <v>0</v>
      </c>
      <c r="AL159" s="314">
        <f t="shared" si="206"/>
        <v>0</v>
      </c>
      <c r="AM159" s="314">
        <f t="shared" si="207"/>
        <v>0</v>
      </c>
      <c r="AN159" s="314">
        <f t="shared" si="208"/>
        <v>0</v>
      </c>
      <c r="AO159" s="314">
        <f t="shared" si="209"/>
        <v>0</v>
      </c>
      <c r="AP159" s="314">
        <f t="shared" si="210"/>
        <v>0</v>
      </c>
    </row>
    <row r="160" spans="1:42">
      <c r="A160" s="583" t="s">
        <v>45</v>
      </c>
      <c r="B160" s="324" t="s">
        <v>846</v>
      </c>
      <c r="C160" s="304"/>
      <c r="D160" s="303">
        <f t="shared" ref="D160" si="236">D161</f>
        <v>808</v>
      </c>
      <c r="E160" s="303">
        <f>E161</f>
        <v>900</v>
      </c>
      <c r="F160" s="303">
        <f>F161</f>
        <v>782</v>
      </c>
      <c r="G160" s="303">
        <f t="shared" si="228"/>
        <v>-26</v>
      </c>
      <c r="H160" s="303">
        <f>H161</f>
        <v>782</v>
      </c>
      <c r="I160" s="303">
        <f t="shared" ref="I160:Z160" si="237">I161</f>
        <v>782</v>
      </c>
      <c r="J160" s="303">
        <f t="shared" si="237"/>
        <v>7</v>
      </c>
      <c r="K160" s="303">
        <f t="shared" si="237"/>
        <v>7</v>
      </c>
      <c r="L160" s="303">
        <f t="shared" si="237"/>
        <v>0</v>
      </c>
      <c r="M160" s="303">
        <f t="shared" si="237"/>
        <v>565</v>
      </c>
      <c r="N160" s="303">
        <f t="shared" si="237"/>
        <v>565</v>
      </c>
      <c r="O160" s="303">
        <f t="shared" si="237"/>
        <v>0</v>
      </c>
      <c r="P160" s="303">
        <f t="shared" si="237"/>
        <v>217</v>
      </c>
      <c r="Q160" s="303"/>
      <c r="R160" s="303"/>
      <c r="S160" s="303">
        <f t="shared" si="237"/>
        <v>217</v>
      </c>
      <c r="T160" s="303">
        <f t="shared" si="237"/>
        <v>0</v>
      </c>
      <c r="U160" s="303">
        <f t="shared" si="237"/>
        <v>0</v>
      </c>
      <c r="V160" s="303">
        <f t="shared" si="237"/>
        <v>0</v>
      </c>
      <c r="W160" s="303">
        <f>W161</f>
        <v>0</v>
      </c>
      <c r="X160" s="303"/>
      <c r="Y160" s="303"/>
      <c r="Z160" s="303">
        <f t="shared" si="237"/>
        <v>0</v>
      </c>
      <c r="AA160" s="303">
        <f>AA161</f>
        <v>0</v>
      </c>
      <c r="AB160" s="303">
        <f>AB161</f>
        <v>0</v>
      </c>
      <c r="AC160" s="303">
        <f>AC161</f>
        <v>118</v>
      </c>
      <c r="AD160" s="303">
        <f>AD161</f>
        <v>20</v>
      </c>
      <c r="AE160" s="303">
        <f>AE161</f>
        <v>880</v>
      </c>
      <c r="AF160" s="317"/>
      <c r="AG160" s="314">
        <f t="shared" si="201"/>
        <v>0</v>
      </c>
      <c r="AH160" s="696">
        <f t="shared" si="202"/>
        <v>0</v>
      </c>
      <c r="AI160" s="314">
        <f t="shared" si="203"/>
        <v>0</v>
      </c>
      <c r="AJ160" s="314">
        <f t="shared" si="204"/>
        <v>0</v>
      </c>
      <c r="AK160" s="314">
        <f t="shared" si="205"/>
        <v>0</v>
      </c>
      <c r="AL160" s="314">
        <f t="shared" si="206"/>
        <v>0</v>
      </c>
      <c r="AM160" s="314">
        <f t="shared" si="207"/>
        <v>0</v>
      </c>
      <c r="AN160" s="314">
        <f t="shared" si="208"/>
        <v>0</v>
      </c>
      <c r="AO160" s="314">
        <f t="shared" si="209"/>
        <v>0</v>
      </c>
      <c r="AP160" s="314">
        <f t="shared" si="210"/>
        <v>0</v>
      </c>
    </row>
    <row r="161" spans="1:42" ht="27.6" outlineLevel="1">
      <c r="A161" s="583" t="s">
        <v>23</v>
      </c>
      <c r="B161" s="324" t="s">
        <v>882</v>
      </c>
      <c r="C161" s="304"/>
      <c r="D161" s="304">
        <v>808</v>
      </c>
      <c r="E161" s="304">
        <f t="shared" si="218"/>
        <v>900</v>
      </c>
      <c r="F161" s="304">
        <f t="shared" ref="F161:F175" si="238">H161-AB161</f>
        <v>782</v>
      </c>
      <c r="G161" s="304">
        <f t="shared" si="228"/>
        <v>-26</v>
      </c>
      <c r="H161" s="303">
        <f t="shared" ref="H161:H165" si="239">I161+W161</f>
        <v>782</v>
      </c>
      <c r="I161" s="303">
        <f t="shared" ref="I161:I162" si="240">M161+P161</f>
        <v>782</v>
      </c>
      <c r="J161" s="303">
        <v>7</v>
      </c>
      <c r="K161" s="303">
        <v>7</v>
      </c>
      <c r="L161" s="303">
        <f>J161-K161</f>
        <v>0</v>
      </c>
      <c r="M161" s="303">
        <f>N161+O161</f>
        <v>565</v>
      </c>
      <c r="N161" s="303">
        <v>565</v>
      </c>
      <c r="O161" s="303">
        <v>0</v>
      </c>
      <c r="P161" s="303">
        <f t="shared" ref="P161:P162" si="241">S161+T161</f>
        <v>217</v>
      </c>
      <c r="Q161" s="294">
        <v>31</v>
      </c>
      <c r="R161" s="325">
        <v>1</v>
      </c>
      <c r="S161" s="304">
        <f>ROUND(J161*Q161*R161,0)</f>
        <v>217</v>
      </c>
      <c r="T161" s="303">
        <f t="shared" ref="T161:T162" si="242">U161+V161</f>
        <v>0</v>
      </c>
      <c r="U161" s="303"/>
      <c r="V161" s="303"/>
      <c r="W161" s="303">
        <f>Z161+AA161</f>
        <v>0</v>
      </c>
      <c r="X161" s="303"/>
      <c r="Y161" s="303"/>
      <c r="Z161" s="303"/>
      <c r="AA161" s="303"/>
      <c r="AB161" s="303"/>
      <c r="AC161" s="303">
        <v>118</v>
      </c>
      <c r="AD161" s="303">
        <v>20</v>
      </c>
      <c r="AE161" s="303">
        <f>E161-AD161</f>
        <v>880</v>
      </c>
      <c r="AF161" s="317"/>
      <c r="AG161" s="314">
        <f t="shared" si="201"/>
        <v>0</v>
      </c>
      <c r="AH161" s="696">
        <f t="shared" si="202"/>
        <v>0</v>
      </c>
      <c r="AI161" s="314">
        <f t="shared" si="203"/>
        <v>0</v>
      </c>
      <c r="AJ161" s="314">
        <f t="shared" si="204"/>
        <v>0</v>
      </c>
      <c r="AK161" s="314">
        <f t="shared" si="205"/>
        <v>0</v>
      </c>
      <c r="AL161" s="314">
        <f t="shared" si="206"/>
        <v>0</v>
      </c>
      <c r="AM161" s="314">
        <f t="shared" si="207"/>
        <v>0</v>
      </c>
      <c r="AN161" s="314">
        <f t="shared" si="208"/>
        <v>0</v>
      </c>
      <c r="AO161" s="314">
        <f t="shared" si="209"/>
        <v>0</v>
      </c>
      <c r="AP161" s="314">
        <f t="shared" si="210"/>
        <v>0</v>
      </c>
    </row>
    <row r="162" spans="1:42">
      <c r="A162" s="583" t="s">
        <v>47</v>
      </c>
      <c r="B162" s="316" t="s">
        <v>883</v>
      </c>
      <c r="C162" s="304"/>
      <c r="D162" s="304">
        <v>2470</v>
      </c>
      <c r="E162" s="304">
        <f t="shared" si="218"/>
        <v>2625</v>
      </c>
      <c r="F162" s="304">
        <f t="shared" si="238"/>
        <v>2625</v>
      </c>
      <c r="G162" s="304">
        <f t="shared" si="228"/>
        <v>155</v>
      </c>
      <c r="H162" s="303">
        <f t="shared" si="239"/>
        <v>2625</v>
      </c>
      <c r="I162" s="303">
        <f t="shared" si="240"/>
        <v>0</v>
      </c>
      <c r="J162" s="311"/>
      <c r="K162" s="311"/>
      <c r="L162" s="311"/>
      <c r="M162" s="303"/>
      <c r="N162" s="311"/>
      <c r="O162" s="311"/>
      <c r="P162" s="303">
        <f t="shared" si="241"/>
        <v>0</v>
      </c>
      <c r="Q162" s="311"/>
      <c r="R162" s="312"/>
      <c r="S162" s="304"/>
      <c r="T162" s="303">
        <f t="shared" si="242"/>
        <v>0</v>
      </c>
      <c r="U162" s="304"/>
      <c r="V162" s="304"/>
      <c r="W162" s="303">
        <f>Z162+AA162</f>
        <v>2625</v>
      </c>
      <c r="X162" s="303"/>
      <c r="Y162" s="303"/>
      <c r="Z162" s="304">
        <f>2215+355-100</f>
        <v>2470</v>
      </c>
      <c r="AA162" s="304">
        <f>AA164+AA174+AA175</f>
        <v>155</v>
      </c>
      <c r="AB162" s="304"/>
      <c r="AC162" s="303"/>
      <c r="AD162" s="303">
        <v>263</v>
      </c>
      <c r="AE162" s="303">
        <f>E162-AD162</f>
        <v>2362</v>
      </c>
      <c r="AF162" s="317"/>
      <c r="AG162" s="314">
        <f t="shared" si="201"/>
        <v>0</v>
      </c>
      <c r="AH162" s="696">
        <f t="shared" si="202"/>
        <v>0</v>
      </c>
      <c r="AI162" s="314">
        <f t="shared" si="203"/>
        <v>0</v>
      </c>
      <c r="AJ162" s="314">
        <f t="shared" si="204"/>
        <v>0</v>
      </c>
      <c r="AK162" s="314">
        <f t="shared" si="205"/>
        <v>0</v>
      </c>
      <c r="AL162" s="314">
        <f t="shared" si="206"/>
        <v>0</v>
      </c>
      <c r="AM162" s="314">
        <f t="shared" si="207"/>
        <v>0</v>
      </c>
      <c r="AN162" s="314">
        <f t="shared" si="208"/>
        <v>0</v>
      </c>
      <c r="AO162" s="314">
        <f t="shared" si="209"/>
        <v>0</v>
      </c>
      <c r="AP162" s="314">
        <f t="shared" si="210"/>
        <v>0</v>
      </c>
    </row>
    <row r="163" spans="1:42" ht="27.6" outlineLevel="1">
      <c r="A163" s="596" t="s">
        <v>23</v>
      </c>
      <c r="B163" s="316" t="s">
        <v>1588</v>
      </c>
      <c r="C163" s="304"/>
      <c r="D163" s="304">
        <v>480</v>
      </c>
      <c r="E163" s="304">
        <f t="shared" si="218"/>
        <v>480</v>
      </c>
      <c r="F163" s="304">
        <f t="shared" si="238"/>
        <v>480</v>
      </c>
      <c r="G163" s="304">
        <f t="shared" si="228"/>
        <v>0</v>
      </c>
      <c r="H163" s="303">
        <f t="shared" si="239"/>
        <v>480</v>
      </c>
      <c r="I163" s="303"/>
      <c r="J163" s="311"/>
      <c r="K163" s="311"/>
      <c r="L163" s="311"/>
      <c r="M163" s="303"/>
      <c r="N163" s="311"/>
      <c r="O163" s="311"/>
      <c r="P163" s="303"/>
      <c r="Q163" s="311"/>
      <c r="R163" s="312"/>
      <c r="S163" s="304"/>
      <c r="T163" s="303"/>
      <c r="U163" s="304"/>
      <c r="V163" s="304"/>
      <c r="W163" s="303">
        <f t="shared" ref="W163:W165" si="243">Z163+AA163</f>
        <v>480</v>
      </c>
      <c r="X163" s="303"/>
      <c r="Y163" s="303"/>
      <c r="Z163" s="304">
        <v>480</v>
      </c>
      <c r="AA163" s="304"/>
      <c r="AB163" s="304"/>
      <c r="AC163" s="304"/>
      <c r="AD163" s="304"/>
      <c r="AE163" s="304"/>
      <c r="AF163" s="317"/>
      <c r="AG163" s="314">
        <f t="shared" si="201"/>
        <v>0</v>
      </c>
      <c r="AH163" s="696">
        <f t="shared" si="202"/>
        <v>0</v>
      </c>
      <c r="AI163" s="314">
        <f t="shared" si="203"/>
        <v>0</v>
      </c>
      <c r="AJ163" s="314">
        <f t="shared" si="204"/>
        <v>0</v>
      </c>
      <c r="AK163" s="314">
        <f t="shared" si="205"/>
        <v>0</v>
      </c>
      <c r="AL163" s="314">
        <f t="shared" si="206"/>
        <v>0</v>
      </c>
      <c r="AM163" s="314">
        <f t="shared" si="207"/>
        <v>0</v>
      </c>
      <c r="AN163" s="314">
        <f t="shared" si="208"/>
        <v>0</v>
      </c>
      <c r="AO163" s="314">
        <f t="shared" si="209"/>
        <v>0</v>
      </c>
      <c r="AP163" s="314">
        <f t="shared" si="210"/>
        <v>0</v>
      </c>
    </row>
    <row r="164" spans="1:42" ht="82.8" outlineLevel="1">
      <c r="A164" s="596" t="s">
        <v>23</v>
      </c>
      <c r="B164" s="316" t="s">
        <v>884</v>
      </c>
      <c r="C164" s="304"/>
      <c r="D164" s="304">
        <v>80</v>
      </c>
      <c r="E164" s="304">
        <f t="shared" si="218"/>
        <v>120</v>
      </c>
      <c r="F164" s="304">
        <f t="shared" si="238"/>
        <v>120</v>
      </c>
      <c r="G164" s="304">
        <f t="shared" si="228"/>
        <v>40</v>
      </c>
      <c r="H164" s="303">
        <f t="shared" si="239"/>
        <v>120</v>
      </c>
      <c r="I164" s="303"/>
      <c r="J164" s="311"/>
      <c r="K164" s="311"/>
      <c r="L164" s="311"/>
      <c r="M164" s="303"/>
      <c r="N164" s="311"/>
      <c r="O164" s="311"/>
      <c r="P164" s="303"/>
      <c r="Q164" s="311"/>
      <c r="R164" s="312"/>
      <c r="S164" s="304"/>
      <c r="T164" s="303"/>
      <c r="U164" s="304"/>
      <c r="V164" s="304"/>
      <c r="W164" s="303">
        <f t="shared" si="243"/>
        <v>120</v>
      </c>
      <c r="X164" s="303"/>
      <c r="Y164" s="303"/>
      <c r="Z164" s="304">
        <v>80</v>
      </c>
      <c r="AA164" s="304">
        <v>40</v>
      </c>
      <c r="AB164" s="304"/>
      <c r="AC164" s="304"/>
      <c r="AD164" s="304"/>
      <c r="AE164" s="304"/>
      <c r="AF164" s="317" t="s">
        <v>2313</v>
      </c>
      <c r="AG164" s="314">
        <f t="shared" si="201"/>
        <v>0</v>
      </c>
      <c r="AH164" s="696">
        <f t="shared" si="202"/>
        <v>0</v>
      </c>
      <c r="AI164" s="314">
        <f t="shared" si="203"/>
        <v>0</v>
      </c>
      <c r="AJ164" s="314">
        <f t="shared" si="204"/>
        <v>0</v>
      </c>
      <c r="AK164" s="314">
        <f t="shared" si="205"/>
        <v>0</v>
      </c>
      <c r="AL164" s="314">
        <f t="shared" si="206"/>
        <v>0</v>
      </c>
      <c r="AM164" s="314">
        <f t="shared" si="207"/>
        <v>0</v>
      </c>
      <c r="AN164" s="314">
        <f t="shared" si="208"/>
        <v>0</v>
      </c>
      <c r="AO164" s="314">
        <f t="shared" si="209"/>
        <v>0</v>
      </c>
      <c r="AP164" s="314">
        <f t="shared" si="210"/>
        <v>0</v>
      </c>
    </row>
    <row r="165" spans="1:42" ht="69" outlineLevel="1">
      <c r="A165" s="596" t="s">
        <v>23</v>
      </c>
      <c r="B165" s="316" t="s">
        <v>1589</v>
      </c>
      <c r="C165" s="304"/>
      <c r="D165" s="304">
        <v>250</v>
      </c>
      <c r="E165" s="304">
        <f t="shared" si="218"/>
        <v>250</v>
      </c>
      <c r="F165" s="304">
        <f t="shared" si="238"/>
        <v>250</v>
      </c>
      <c r="G165" s="304">
        <f t="shared" si="228"/>
        <v>0</v>
      </c>
      <c r="H165" s="303">
        <f t="shared" si="239"/>
        <v>250</v>
      </c>
      <c r="I165" s="303"/>
      <c r="J165" s="311"/>
      <c r="K165" s="311"/>
      <c r="L165" s="311"/>
      <c r="M165" s="303"/>
      <c r="N165" s="311"/>
      <c r="O165" s="311"/>
      <c r="P165" s="303"/>
      <c r="Q165" s="311"/>
      <c r="R165" s="312"/>
      <c r="S165" s="304"/>
      <c r="T165" s="303"/>
      <c r="U165" s="304"/>
      <c r="V165" s="304"/>
      <c r="W165" s="303">
        <f t="shared" si="243"/>
        <v>250</v>
      </c>
      <c r="X165" s="303"/>
      <c r="Y165" s="303"/>
      <c r="Z165" s="304">
        <f>205+45</f>
        <v>250</v>
      </c>
      <c r="AA165" s="304"/>
      <c r="AB165" s="304"/>
      <c r="AC165" s="304"/>
      <c r="AD165" s="304"/>
      <c r="AE165" s="304"/>
      <c r="AF165" s="317"/>
      <c r="AG165" s="314">
        <f t="shared" si="201"/>
        <v>0</v>
      </c>
      <c r="AH165" s="696">
        <f t="shared" si="202"/>
        <v>0</v>
      </c>
      <c r="AI165" s="314">
        <f t="shared" si="203"/>
        <v>0</v>
      </c>
      <c r="AJ165" s="314">
        <f t="shared" si="204"/>
        <v>0</v>
      </c>
      <c r="AK165" s="314">
        <f t="shared" si="205"/>
        <v>0</v>
      </c>
      <c r="AL165" s="314">
        <f t="shared" si="206"/>
        <v>0</v>
      </c>
      <c r="AM165" s="314">
        <f t="shared" si="207"/>
        <v>0</v>
      </c>
      <c r="AN165" s="314">
        <f t="shared" si="208"/>
        <v>0</v>
      </c>
      <c r="AO165" s="314">
        <f t="shared" si="209"/>
        <v>0</v>
      </c>
      <c r="AP165" s="314">
        <f t="shared" si="210"/>
        <v>0</v>
      </c>
    </row>
    <row r="166" spans="1:42" outlineLevel="1">
      <c r="A166" s="596" t="s">
        <v>23</v>
      </c>
      <c r="B166" s="316" t="s">
        <v>885</v>
      </c>
      <c r="C166" s="304"/>
      <c r="D166" s="304">
        <v>1020</v>
      </c>
      <c r="E166" s="304">
        <f t="shared" si="218"/>
        <v>1020</v>
      </c>
      <c r="F166" s="304">
        <f t="shared" si="238"/>
        <v>1020</v>
      </c>
      <c r="G166" s="304">
        <f t="shared" si="228"/>
        <v>0</v>
      </c>
      <c r="H166" s="303">
        <f>I166+W166</f>
        <v>1020</v>
      </c>
      <c r="I166" s="303">
        <f t="shared" ref="I166" si="244">M166+P166</f>
        <v>0</v>
      </c>
      <c r="J166" s="311"/>
      <c r="K166" s="311"/>
      <c r="L166" s="311"/>
      <c r="M166" s="303"/>
      <c r="N166" s="311"/>
      <c r="O166" s="311"/>
      <c r="P166" s="303">
        <f t="shared" ref="P166" si="245">S166+T166</f>
        <v>0</v>
      </c>
      <c r="Q166" s="311"/>
      <c r="R166" s="312"/>
      <c r="S166" s="304"/>
      <c r="T166" s="303">
        <f t="shared" ref="T166" si="246">U166+V166</f>
        <v>0</v>
      </c>
      <c r="U166" s="304"/>
      <c r="V166" s="304"/>
      <c r="W166" s="303">
        <f>Z166+AA166</f>
        <v>1020</v>
      </c>
      <c r="X166" s="303"/>
      <c r="Y166" s="303"/>
      <c r="Z166" s="304">
        <v>1020</v>
      </c>
      <c r="AA166" s="304"/>
      <c r="AB166" s="304"/>
      <c r="AC166" s="304"/>
      <c r="AD166" s="304"/>
      <c r="AE166" s="304"/>
      <c r="AF166" s="317"/>
      <c r="AG166" s="314">
        <f t="shared" si="201"/>
        <v>0</v>
      </c>
      <c r="AH166" s="696">
        <f t="shared" si="202"/>
        <v>0</v>
      </c>
      <c r="AI166" s="314">
        <f t="shared" si="203"/>
        <v>0</v>
      </c>
      <c r="AJ166" s="314">
        <f t="shared" si="204"/>
        <v>0</v>
      </c>
      <c r="AK166" s="314">
        <f t="shared" si="205"/>
        <v>0</v>
      </c>
      <c r="AL166" s="314">
        <f t="shared" si="206"/>
        <v>0</v>
      </c>
      <c r="AM166" s="314">
        <f t="shared" si="207"/>
        <v>0</v>
      </c>
      <c r="AN166" s="314">
        <f t="shared" si="208"/>
        <v>0</v>
      </c>
      <c r="AO166" s="314">
        <f t="shared" si="209"/>
        <v>0</v>
      </c>
      <c r="AP166" s="314">
        <f t="shared" si="210"/>
        <v>0</v>
      </c>
    </row>
    <row r="167" spans="1:42" outlineLevel="1">
      <c r="A167" s="596" t="s">
        <v>23</v>
      </c>
      <c r="B167" s="316" t="s">
        <v>886</v>
      </c>
      <c r="C167" s="304"/>
      <c r="D167" s="304">
        <v>640</v>
      </c>
      <c r="E167" s="304">
        <f t="shared" si="218"/>
        <v>640</v>
      </c>
      <c r="F167" s="304">
        <f t="shared" si="238"/>
        <v>640</v>
      </c>
      <c r="G167" s="304">
        <f t="shared" si="228"/>
        <v>0</v>
      </c>
      <c r="H167" s="303">
        <f>I167+W167</f>
        <v>640</v>
      </c>
      <c r="I167" s="303"/>
      <c r="J167" s="311"/>
      <c r="K167" s="311"/>
      <c r="L167" s="311"/>
      <c r="M167" s="303"/>
      <c r="N167" s="311"/>
      <c r="O167" s="311"/>
      <c r="P167" s="303"/>
      <c r="Q167" s="311"/>
      <c r="R167" s="312"/>
      <c r="S167" s="304"/>
      <c r="T167" s="303"/>
      <c r="U167" s="304"/>
      <c r="V167" s="304"/>
      <c r="W167" s="303">
        <f>Z167+AA167</f>
        <v>640</v>
      </c>
      <c r="X167" s="303"/>
      <c r="Y167" s="303"/>
      <c r="Z167" s="304">
        <v>640</v>
      </c>
      <c r="AA167" s="304"/>
      <c r="AB167" s="304"/>
      <c r="AC167" s="304"/>
      <c r="AD167" s="304"/>
      <c r="AE167" s="304"/>
      <c r="AF167" s="317"/>
      <c r="AG167" s="314">
        <f t="shared" si="201"/>
        <v>0</v>
      </c>
      <c r="AH167" s="696">
        <f t="shared" si="202"/>
        <v>0</v>
      </c>
      <c r="AI167" s="314">
        <f t="shared" si="203"/>
        <v>0</v>
      </c>
      <c r="AJ167" s="314">
        <f t="shared" si="204"/>
        <v>0</v>
      </c>
      <c r="AK167" s="314">
        <f t="shared" si="205"/>
        <v>0</v>
      </c>
      <c r="AL167" s="314">
        <f t="shared" si="206"/>
        <v>0</v>
      </c>
      <c r="AM167" s="314">
        <f t="shared" si="207"/>
        <v>0</v>
      </c>
      <c r="AN167" s="314">
        <f t="shared" si="208"/>
        <v>0</v>
      </c>
      <c r="AO167" s="314">
        <f t="shared" si="209"/>
        <v>0</v>
      </c>
      <c r="AP167" s="314">
        <f t="shared" si="210"/>
        <v>0</v>
      </c>
    </row>
    <row r="168" spans="1:42" outlineLevel="2">
      <c r="A168" s="597" t="s">
        <v>281</v>
      </c>
      <c r="B168" s="316" t="s">
        <v>1591</v>
      </c>
      <c r="C168" s="304"/>
      <c r="D168" s="304">
        <v>71</v>
      </c>
      <c r="E168" s="304">
        <f t="shared" si="218"/>
        <v>71</v>
      </c>
      <c r="F168" s="304">
        <f t="shared" si="238"/>
        <v>71</v>
      </c>
      <c r="G168" s="304"/>
      <c r="H168" s="303">
        <f>I168+W168</f>
        <v>71</v>
      </c>
      <c r="I168" s="303"/>
      <c r="J168" s="311"/>
      <c r="K168" s="311"/>
      <c r="L168" s="311"/>
      <c r="M168" s="303"/>
      <c r="N168" s="311"/>
      <c r="O168" s="311"/>
      <c r="P168" s="303"/>
      <c r="Q168" s="311"/>
      <c r="R168" s="312"/>
      <c r="S168" s="304"/>
      <c r="T168" s="303"/>
      <c r="U168" s="304"/>
      <c r="V168" s="304"/>
      <c r="W168" s="303">
        <f>Z168+AA168</f>
        <v>71</v>
      </c>
      <c r="X168" s="303"/>
      <c r="Y168" s="303"/>
      <c r="Z168" s="304">
        <v>71</v>
      </c>
      <c r="AA168" s="304"/>
      <c r="AB168" s="304"/>
      <c r="AC168" s="304"/>
      <c r="AD168" s="304"/>
      <c r="AE168" s="304"/>
      <c r="AF168" s="317"/>
      <c r="AG168" s="314">
        <f t="shared" si="201"/>
        <v>0</v>
      </c>
      <c r="AH168" s="696">
        <f t="shared" si="202"/>
        <v>0</v>
      </c>
      <c r="AI168" s="314">
        <f t="shared" si="203"/>
        <v>0</v>
      </c>
      <c r="AJ168" s="314">
        <f t="shared" si="204"/>
        <v>0</v>
      </c>
      <c r="AK168" s="314">
        <f t="shared" si="205"/>
        <v>0</v>
      </c>
      <c r="AL168" s="314">
        <f t="shared" si="206"/>
        <v>0</v>
      </c>
      <c r="AM168" s="314">
        <f t="shared" si="207"/>
        <v>0</v>
      </c>
      <c r="AN168" s="314">
        <f t="shared" si="208"/>
        <v>0</v>
      </c>
      <c r="AO168" s="314">
        <f t="shared" si="209"/>
        <v>0</v>
      </c>
      <c r="AP168" s="314">
        <f t="shared" si="210"/>
        <v>0</v>
      </c>
    </row>
    <row r="169" spans="1:42" ht="27.6" outlineLevel="2">
      <c r="A169" s="597" t="s">
        <v>281</v>
      </c>
      <c r="B169" s="316" t="s">
        <v>1592</v>
      </c>
      <c r="C169" s="304"/>
      <c r="D169" s="304">
        <v>180</v>
      </c>
      <c r="E169" s="304">
        <f t="shared" si="218"/>
        <v>180</v>
      </c>
      <c r="F169" s="304">
        <f t="shared" si="238"/>
        <v>180</v>
      </c>
      <c r="G169" s="304"/>
      <c r="H169" s="303">
        <f t="shared" ref="H169:H175" si="247">I169+W169</f>
        <v>180</v>
      </c>
      <c r="I169" s="303"/>
      <c r="J169" s="311"/>
      <c r="K169" s="311"/>
      <c r="L169" s="311"/>
      <c r="M169" s="303"/>
      <c r="N169" s="311"/>
      <c r="O169" s="311"/>
      <c r="P169" s="303"/>
      <c r="Q169" s="311"/>
      <c r="R169" s="312"/>
      <c r="S169" s="304"/>
      <c r="T169" s="303"/>
      <c r="U169" s="304"/>
      <c r="V169" s="304"/>
      <c r="W169" s="303">
        <f t="shared" ref="W169:W175" si="248">Z169+AA169</f>
        <v>180</v>
      </c>
      <c r="X169" s="303"/>
      <c r="Y169" s="303"/>
      <c r="Z169" s="304">
        <v>180</v>
      </c>
      <c r="AA169" s="304"/>
      <c r="AB169" s="304"/>
      <c r="AC169" s="304"/>
      <c r="AD169" s="304"/>
      <c r="AE169" s="304"/>
      <c r="AF169" s="317"/>
      <c r="AG169" s="314">
        <f t="shared" si="201"/>
        <v>0</v>
      </c>
      <c r="AH169" s="696">
        <f t="shared" si="202"/>
        <v>0</v>
      </c>
      <c r="AI169" s="314">
        <f t="shared" si="203"/>
        <v>0</v>
      </c>
      <c r="AJ169" s="314">
        <f t="shared" si="204"/>
        <v>0</v>
      </c>
      <c r="AK169" s="314">
        <f t="shared" si="205"/>
        <v>0</v>
      </c>
      <c r="AL169" s="314">
        <f t="shared" si="206"/>
        <v>0</v>
      </c>
      <c r="AM169" s="314">
        <f t="shared" si="207"/>
        <v>0</v>
      </c>
      <c r="AN169" s="314">
        <f t="shared" si="208"/>
        <v>0</v>
      </c>
      <c r="AO169" s="314">
        <f t="shared" si="209"/>
        <v>0</v>
      </c>
      <c r="AP169" s="314">
        <f t="shared" si="210"/>
        <v>0</v>
      </c>
    </row>
    <row r="170" spans="1:42" outlineLevel="2">
      <c r="A170" s="597" t="s">
        <v>281</v>
      </c>
      <c r="B170" s="316" t="s">
        <v>1593</v>
      </c>
      <c r="C170" s="304"/>
      <c r="D170" s="304">
        <v>72</v>
      </c>
      <c r="E170" s="304">
        <f t="shared" si="218"/>
        <v>72</v>
      </c>
      <c r="F170" s="304">
        <f t="shared" si="238"/>
        <v>72</v>
      </c>
      <c r="G170" s="304"/>
      <c r="H170" s="303">
        <f t="shared" si="247"/>
        <v>72</v>
      </c>
      <c r="I170" s="303"/>
      <c r="J170" s="311"/>
      <c r="K170" s="311"/>
      <c r="L170" s="311"/>
      <c r="M170" s="303"/>
      <c r="N170" s="311"/>
      <c r="O170" s="311"/>
      <c r="P170" s="303"/>
      <c r="Q170" s="311"/>
      <c r="R170" s="312"/>
      <c r="S170" s="304"/>
      <c r="T170" s="303"/>
      <c r="U170" s="304"/>
      <c r="V170" s="304"/>
      <c r="W170" s="303">
        <f t="shared" si="248"/>
        <v>72</v>
      </c>
      <c r="X170" s="303"/>
      <c r="Y170" s="303"/>
      <c r="Z170" s="304">
        <v>72</v>
      </c>
      <c r="AA170" s="304"/>
      <c r="AB170" s="304"/>
      <c r="AC170" s="304"/>
      <c r="AD170" s="304"/>
      <c r="AE170" s="304"/>
      <c r="AF170" s="317"/>
      <c r="AG170" s="314">
        <f t="shared" si="201"/>
        <v>0</v>
      </c>
      <c r="AH170" s="696">
        <f t="shared" si="202"/>
        <v>0</v>
      </c>
      <c r="AI170" s="314">
        <f t="shared" si="203"/>
        <v>0</v>
      </c>
      <c r="AJ170" s="314">
        <f t="shared" si="204"/>
        <v>0</v>
      </c>
      <c r="AK170" s="314">
        <f t="shared" si="205"/>
        <v>0</v>
      </c>
      <c r="AL170" s="314">
        <f t="shared" si="206"/>
        <v>0</v>
      </c>
      <c r="AM170" s="314">
        <f t="shared" si="207"/>
        <v>0</v>
      </c>
      <c r="AN170" s="314">
        <f t="shared" si="208"/>
        <v>0</v>
      </c>
      <c r="AO170" s="314">
        <f t="shared" si="209"/>
        <v>0</v>
      </c>
      <c r="AP170" s="314">
        <f t="shared" si="210"/>
        <v>0</v>
      </c>
    </row>
    <row r="171" spans="1:42" ht="41.4" outlineLevel="2">
      <c r="A171" s="597" t="s">
        <v>281</v>
      </c>
      <c r="B171" s="316" t="s">
        <v>1594</v>
      </c>
      <c r="C171" s="304"/>
      <c r="D171" s="304">
        <v>145</v>
      </c>
      <c r="E171" s="304">
        <f t="shared" si="218"/>
        <v>145</v>
      </c>
      <c r="F171" s="304">
        <f t="shared" si="238"/>
        <v>145</v>
      </c>
      <c r="G171" s="304"/>
      <c r="H171" s="303">
        <f t="shared" si="247"/>
        <v>145</v>
      </c>
      <c r="I171" s="303"/>
      <c r="J171" s="311"/>
      <c r="K171" s="311"/>
      <c r="L171" s="311"/>
      <c r="M171" s="303"/>
      <c r="N171" s="311"/>
      <c r="O171" s="311"/>
      <c r="P171" s="303"/>
      <c r="Q171" s="311"/>
      <c r="R171" s="312"/>
      <c r="S171" s="304"/>
      <c r="T171" s="303"/>
      <c r="U171" s="304"/>
      <c r="V171" s="304"/>
      <c r="W171" s="303">
        <f t="shared" si="248"/>
        <v>145</v>
      </c>
      <c r="X171" s="303"/>
      <c r="Y171" s="303"/>
      <c r="Z171" s="304">
        <v>145</v>
      </c>
      <c r="AA171" s="304"/>
      <c r="AB171" s="304"/>
      <c r="AC171" s="304"/>
      <c r="AD171" s="304"/>
      <c r="AE171" s="304"/>
      <c r="AF171" s="317"/>
      <c r="AG171" s="314">
        <f t="shared" si="201"/>
        <v>0</v>
      </c>
      <c r="AH171" s="696">
        <f t="shared" si="202"/>
        <v>0</v>
      </c>
      <c r="AI171" s="314">
        <f t="shared" si="203"/>
        <v>0</v>
      </c>
      <c r="AJ171" s="314">
        <f t="shared" si="204"/>
        <v>0</v>
      </c>
      <c r="AK171" s="314">
        <f t="shared" si="205"/>
        <v>0</v>
      </c>
      <c r="AL171" s="314">
        <f t="shared" si="206"/>
        <v>0</v>
      </c>
      <c r="AM171" s="314">
        <f t="shared" si="207"/>
        <v>0</v>
      </c>
      <c r="AN171" s="314">
        <f t="shared" si="208"/>
        <v>0</v>
      </c>
      <c r="AO171" s="314">
        <f t="shared" si="209"/>
        <v>0</v>
      </c>
      <c r="AP171" s="314">
        <f t="shared" si="210"/>
        <v>0</v>
      </c>
    </row>
    <row r="172" spans="1:42" outlineLevel="2">
      <c r="A172" s="597" t="s">
        <v>281</v>
      </c>
      <c r="B172" s="316" t="s">
        <v>1595</v>
      </c>
      <c r="C172" s="304"/>
      <c r="D172" s="304">
        <v>110</v>
      </c>
      <c r="E172" s="304">
        <f t="shared" si="218"/>
        <v>110</v>
      </c>
      <c r="F172" s="304">
        <f t="shared" si="238"/>
        <v>110</v>
      </c>
      <c r="G172" s="304"/>
      <c r="H172" s="303">
        <f t="shared" si="247"/>
        <v>110</v>
      </c>
      <c r="I172" s="303"/>
      <c r="J172" s="311"/>
      <c r="K172" s="311"/>
      <c r="L172" s="311"/>
      <c r="M172" s="303"/>
      <c r="N172" s="311"/>
      <c r="O172" s="311"/>
      <c r="P172" s="303"/>
      <c r="Q172" s="311"/>
      <c r="R172" s="312"/>
      <c r="S172" s="304"/>
      <c r="T172" s="303"/>
      <c r="U172" s="304"/>
      <c r="V172" s="304"/>
      <c r="W172" s="303">
        <f t="shared" si="248"/>
        <v>110</v>
      </c>
      <c r="X172" s="303"/>
      <c r="Y172" s="303"/>
      <c r="Z172" s="304">
        <v>110</v>
      </c>
      <c r="AA172" s="304"/>
      <c r="AB172" s="304"/>
      <c r="AC172" s="304"/>
      <c r="AD172" s="304"/>
      <c r="AE172" s="304"/>
      <c r="AF172" s="317"/>
      <c r="AG172" s="314">
        <f t="shared" si="201"/>
        <v>0</v>
      </c>
      <c r="AH172" s="696">
        <f t="shared" si="202"/>
        <v>0</v>
      </c>
      <c r="AI172" s="314">
        <f t="shared" si="203"/>
        <v>0</v>
      </c>
      <c r="AJ172" s="314">
        <f t="shared" si="204"/>
        <v>0</v>
      </c>
      <c r="AK172" s="314">
        <f t="shared" si="205"/>
        <v>0</v>
      </c>
      <c r="AL172" s="314">
        <f t="shared" si="206"/>
        <v>0</v>
      </c>
      <c r="AM172" s="314">
        <f t="shared" si="207"/>
        <v>0</v>
      </c>
      <c r="AN172" s="314">
        <f t="shared" si="208"/>
        <v>0</v>
      </c>
      <c r="AO172" s="314">
        <f t="shared" si="209"/>
        <v>0</v>
      </c>
      <c r="AP172" s="314">
        <f t="shared" si="210"/>
        <v>0</v>
      </c>
    </row>
    <row r="173" spans="1:42" ht="96.6" outlineLevel="2">
      <c r="A173" s="597" t="s">
        <v>281</v>
      </c>
      <c r="B173" s="865" t="s">
        <v>1596</v>
      </c>
      <c r="C173" s="304"/>
      <c r="D173" s="304">
        <v>62</v>
      </c>
      <c r="E173" s="304">
        <f t="shared" si="218"/>
        <v>62</v>
      </c>
      <c r="F173" s="304">
        <f t="shared" si="238"/>
        <v>62</v>
      </c>
      <c r="G173" s="304"/>
      <c r="H173" s="303">
        <f t="shared" si="247"/>
        <v>62</v>
      </c>
      <c r="I173" s="303"/>
      <c r="J173" s="311"/>
      <c r="K173" s="311"/>
      <c r="L173" s="311"/>
      <c r="M173" s="303"/>
      <c r="N173" s="311"/>
      <c r="O173" s="311"/>
      <c r="P173" s="303"/>
      <c r="Q173" s="311"/>
      <c r="R173" s="312"/>
      <c r="S173" s="304"/>
      <c r="T173" s="303"/>
      <c r="U173" s="304"/>
      <c r="V173" s="304"/>
      <c r="W173" s="303">
        <f t="shared" si="248"/>
        <v>62</v>
      </c>
      <c r="X173" s="303"/>
      <c r="Y173" s="303"/>
      <c r="Z173" s="304">
        <f>44+18</f>
        <v>62</v>
      </c>
      <c r="AA173" s="304"/>
      <c r="AB173" s="304"/>
      <c r="AC173" s="304"/>
      <c r="AD173" s="304"/>
      <c r="AE173" s="304"/>
      <c r="AF173" s="317"/>
      <c r="AG173" s="314">
        <f t="shared" si="201"/>
        <v>0</v>
      </c>
      <c r="AH173" s="696">
        <f t="shared" si="202"/>
        <v>0</v>
      </c>
      <c r="AI173" s="314">
        <f t="shared" si="203"/>
        <v>0</v>
      </c>
      <c r="AJ173" s="314">
        <f t="shared" si="204"/>
        <v>0</v>
      </c>
      <c r="AK173" s="314">
        <f t="shared" si="205"/>
        <v>0</v>
      </c>
      <c r="AL173" s="314">
        <f t="shared" si="206"/>
        <v>0</v>
      </c>
      <c r="AM173" s="314">
        <f t="shared" si="207"/>
        <v>0</v>
      </c>
      <c r="AN173" s="314">
        <f t="shared" si="208"/>
        <v>0</v>
      </c>
      <c r="AO173" s="314">
        <f t="shared" si="209"/>
        <v>0</v>
      </c>
      <c r="AP173" s="314">
        <f t="shared" si="210"/>
        <v>0</v>
      </c>
    </row>
    <row r="174" spans="1:42" ht="27.6" outlineLevel="2">
      <c r="A174" s="597" t="s">
        <v>23</v>
      </c>
      <c r="B174" s="865" t="s">
        <v>2074</v>
      </c>
      <c r="C174" s="304"/>
      <c r="D174" s="304"/>
      <c r="E174" s="304">
        <f t="shared" si="218"/>
        <v>80</v>
      </c>
      <c r="F174" s="304">
        <f t="shared" si="238"/>
        <v>80</v>
      </c>
      <c r="G174" s="304"/>
      <c r="H174" s="303">
        <f t="shared" si="247"/>
        <v>80</v>
      </c>
      <c r="I174" s="303"/>
      <c r="J174" s="311"/>
      <c r="K174" s="311"/>
      <c r="L174" s="311"/>
      <c r="M174" s="303"/>
      <c r="N174" s="311"/>
      <c r="O174" s="311"/>
      <c r="P174" s="303"/>
      <c r="Q174" s="311"/>
      <c r="R174" s="312"/>
      <c r="S174" s="304"/>
      <c r="T174" s="303"/>
      <c r="U174" s="304"/>
      <c r="V174" s="304"/>
      <c r="W174" s="303">
        <f t="shared" si="248"/>
        <v>80</v>
      </c>
      <c r="X174" s="303"/>
      <c r="Y174" s="303"/>
      <c r="Z174" s="304"/>
      <c r="AA174" s="304">
        <v>80</v>
      </c>
      <c r="AB174" s="304"/>
      <c r="AC174" s="304"/>
      <c r="AD174" s="304"/>
      <c r="AE174" s="304"/>
      <c r="AF174" s="1236"/>
      <c r="AG174" s="314">
        <f t="shared" si="201"/>
        <v>0</v>
      </c>
      <c r="AH174" s="696">
        <f t="shared" si="202"/>
        <v>0</v>
      </c>
      <c r="AI174" s="314">
        <f t="shared" si="203"/>
        <v>0</v>
      </c>
      <c r="AJ174" s="314">
        <f t="shared" si="204"/>
        <v>0</v>
      </c>
      <c r="AK174" s="314">
        <f t="shared" si="205"/>
        <v>0</v>
      </c>
      <c r="AL174" s="314">
        <f t="shared" si="206"/>
        <v>0</v>
      </c>
      <c r="AM174" s="314">
        <f t="shared" si="207"/>
        <v>0</v>
      </c>
      <c r="AN174" s="314">
        <f t="shared" si="208"/>
        <v>0</v>
      </c>
      <c r="AO174" s="314">
        <f t="shared" si="209"/>
        <v>0</v>
      </c>
      <c r="AP174" s="314">
        <f t="shared" si="210"/>
        <v>0</v>
      </c>
    </row>
    <row r="175" spans="1:42" ht="82.8" outlineLevel="2">
      <c r="A175" s="597" t="s">
        <v>23</v>
      </c>
      <c r="B175" s="865" t="s">
        <v>2075</v>
      </c>
      <c r="C175" s="304"/>
      <c r="D175" s="304"/>
      <c r="E175" s="304">
        <f t="shared" si="218"/>
        <v>35</v>
      </c>
      <c r="F175" s="304">
        <f t="shared" si="238"/>
        <v>35</v>
      </c>
      <c r="G175" s="304"/>
      <c r="H175" s="303">
        <f t="shared" si="247"/>
        <v>35</v>
      </c>
      <c r="I175" s="303"/>
      <c r="J175" s="311"/>
      <c r="K175" s="311"/>
      <c r="L175" s="311"/>
      <c r="M175" s="303"/>
      <c r="N175" s="311"/>
      <c r="O175" s="311"/>
      <c r="P175" s="303"/>
      <c r="Q175" s="311"/>
      <c r="R175" s="312"/>
      <c r="S175" s="304"/>
      <c r="T175" s="303"/>
      <c r="U175" s="304"/>
      <c r="V175" s="304"/>
      <c r="W175" s="303">
        <f t="shared" si="248"/>
        <v>35</v>
      </c>
      <c r="X175" s="303"/>
      <c r="Y175" s="303"/>
      <c r="Z175" s="304"/>
      <c r="AA175" s="304">
        <v>35</v>
      </c>
      <c r="AB175" s="304"/>
      <c r="AC175" s="304"/>
      <c r="AD175" s="304"/>
      <c r="AE175" s="304"/>
      <c r="AF175" s="1315" t="s">
        <v>2313</v>
      </c>
      <c r="AG175" s="314">
        <f t="shared" si="201"/>
        <v>0</v>
      </c>
      <c r="AH175" s="696">
        <f t="shared" si="202"/>
        <v>0</v>
      </c>
      <c r="AI175" s="314">
        <f t="shared" si="203"/>
        <v>0</v>
      </c>
      <c r="AJ175" s="314">
        <f t="shared" si="204"/>
        <v>0</v>
      </c>
      <c r="AK175" s="314">
        <f t="shared" si="205"/>
        <v>0</v>
      </c>
      <c r="AL175" s="314">
        <f t="shared" si="206"/>
        <v>0</v>
      </c>
      <c r="AM175" s="314">
        <f t="shared" si="207"/>
        <v>0</v>
      </c>
      <c r="AN175" s="314">
        <f t="shared" si="208"/>
        <v>0</v>
      </c>
      <c r="AO175" s="314">
        <f t="shared" si="209"/>
        <v>0</v>
      </c>
      <c r="AP175" s="314">
        <f t="shared" si="210"/>
        <v>0</v>
      </c>
    </row>
    <row r="176" spans="1:42" s="314" customFormat="1">
      <c r="A176" s="592" t="s">
        <v>75</v>
      </c>
      <c r="B176" s="320" t="s">
        <v>887</v>
      </c>
      <c r="C176" s="297"/>
      <c r="D176" s="297">
        <f>D177+D214+D222</f>
        <v>382744.4</v>
      </c>
      <c r="E176" s="297">
        <f>E177+E214+E222+E225</f>
        <v>439168</v>
      </c>
      <c r="F176" s="297">
        <f t="shared" ref="F176:AE176" si="249">F177+F214+F222+F225</f>
        <v>387563</v>
      </c>
      <c r="G176" s="297">
        <f t="shared" si="249"/>
        <v>4818.5999999999767</v>
      </c>
      <c r="H176" s="297">
        <f t="shared" si="249"/>
        <v>381499</v>
      </c>
      <c r="I176" s="297">
        <f t="shared" si="249"/>
        <v>7681</v>
      </c>
      <c r="J176" s="297">
        <f t="shared" si="249"/>
        <v>43</v>
      </c>
      <c r="K176" s="297">
        <f t="shared" si="249"/>
        <v>40</v>
      </c>
      <c r="L176" s="297">
        <f t="shared" si="249"/>
        <v>3</v>
      </c>
      <c r="M176" s="297">
        <f t="shared" si="249"/>
        <v>5415</v>
      </c>
      <c r="N176" s="297">
        <f t="shared" si="249"/>
        <v>5219</v>
      </c>
      <c r="O176" s="297">
        <f t="shared" si="249"/>
        <v>196</v>
      </c>
      <c r="P176" s="297">
        <f t="shared" si="249"/>
        <v>2266</v>
      </c>
      <c r="Q176" s="297">
        <f t="shared" si="249"/>
        <v>0</v>
      </c>
      <c r="R176" s="297">
        <f t="shared" si="249"/>
        <v>0</v>
      </c>
      <c r="S176" s="297">
        <f t="shared" si="249"/>
        <v>2266</v>
      </c>
      <c r="T176" s="297">
        <f t="shared" si="249"/>
        <v>0</v>
      </c>
      <c r="U176" s="297">
        <f t="shared" si="249"/>
        <v>0</v>
      </c>
      <c r="V176" s="297">
        <f t="shared" si="249"/>
        <v>0</v>
      </c>
      <c r="W176" s="297">
        <f t="shared" si="249"/>
        <v>373818</v>
      </c>
      <c r="X176" s="297">
        <f t="shared" si="249"/>
        <v>0</v>
      </c>
      <c r="Y176" s="297">
        <f t="shared" si="249"/>
        <v>0</v>
      </c>
      <c r="Z176" s="297">
        <f t="shared" si="249"/>
        <v>363342</v>
      </c>
      <c r="AA176" s="297">
        <f t="shared" si="249"/>
        <v>10476</v>
      </c>
      <c r="AB176" s="297">
        <f t="shared" si="249"/>
        <v>-6064</v>
      </c>
      <c r="AC176" s="297">
        <f t="shared" si="249"/>
        <v>51605</v>
      </c>
      <c r="AD176" s="297">
        <f t="shared" si="249"/>
        <v>6797</v>
      </c>
      <c r="AE176" s="297">
        <f t="shared" si="249"/>
        <v>422853</v>
      </c>
      <c r="AF176" s="321"/>
      <c r="AG176" s="314">
        <f t="shared" si="201"/>
        <v>0</v>
      </c>
      <c r="AH176" s="696">
        <f t="shared" si="202"/>
        <v>0</v>
      </c>
      <c r="AI176" s="314">
        <f t="shared" si="203"/>
        <v>0</v>
      </c>
      <c r="AJ176" s="314">
        <f t="shared" si="204"/>
        <v>0</v>
      </c>
      <c r="AK176" s="314">
        <f t="shared" si="205"/>
        <v>0</v>
      </c>
      <c r="AL176" s="314">
        <f t="shared" si="206"/>
        <v>0</v>
      </c>
      <c r="AM176" s="314">
        <f t="shared" si="207"/>
        <v>0</v>
      </c>
      <c r="AN176" s="314">
        <f t="shared" si="208"/>
        <v>0</v>
      </c>
      <c r="AO176" s="314">
        <f t="shared" si="209"/>
        <v>0</v>
      </c>
      <c r="AP176" s="314">
        <f t="shared" si="210"/>
        <v>0</v>
      </c>
    </row>
    <row r="177" spans="1:42" s="314" customFormat="1">
      <c r="A177" s="592" t="s">
        <v>888</v>
      </c>
      <c r="B177" s="320" t="s">
        <v>889</v>
      </c>
      <c r="C177" s="297"/>
      <c r="D177" s="299">
        <f t="shared" ref="D177:AE177" si="250">D178+D183+D210+D204</f>
        <v>369326</v>
      </c>
      <c r="E177" s="299">
        <f t="shared" si="250"/>
        <v>420478</v>
      </c>
      <c r="F177" s="299">
        <f t="shared" si="250"/>
        <v>368873</v>
      </c>
      <c r="G177" s="299">
        <f t="shared" si="250"/>
        <v>-453</v>
      </c>
      <c r="H177" s="299">
        <f t="shared" si="250"/>
        <v>372467</v>
      </c>
      <c r="I177" s="299">
        <f t="shared" si="250"/>
        <v>7681</v>
      </c>
      <c r="J177" s="299">
        <f t="shared" si="250"/>
        <v>43</v>
      </c>
      <c r="K177" s="299">
        <f t="shared" si="250"/>
        <v>40</v>
      </c>
      <c r="L177" s="299">
        <f t="shared" si="250"/>
        <v>3</v>
      </c>
      <c r="M177" s="299">
        <f t="shared" si="250"/>
        <v>5415</v>
      </c>
      <c r="N177" s="299">
        <f t="shared" si="250"/>
        <v>5219</v>
      </c>
      <c r="O177" s="299">
        <f t="shared" si="250"/>
        <v>196</v>
      </c>
      <c r="P177" s="299">
        <f t="shared" si="250"/>
        <v>2266</v>
      </c>
      <c r="Q177" s="299">
        <f t="shared" si="250"/>
        <v>0</v>
      </c>
      <c r="R177" s="299">
        <f t="shared" si="250"/>
        <v>0</v>
      </c>
      <c r="S177" s="299">
        <f t="shared" si="250"/>
        <v>2266</v>
      </c>
      <c r="T177" s="299">
        <f t="shared" si="250"/>
        <v>0</v>
      </c>
      <c r="U177" s="299">
        <f t="shared" si="250"/>
        <v>0</v>
      </c>
      <c r="V177" s="299">
        <f t="shared" si="250"/>
        <v>0</v>
      </c>
      <c r="W177" s="299">
        <f t="shared" si="250"/>
        <v>364786</v>
      </c>
      <c r="X177" s="299">
        <f t="shared" si="250"/>
        <v>0</v>
      </c>
      <c r="Y177" s="299">
        <f t="shared" si="250"/>
        <v>0</v>
      </c>
      <c r="Z177" s="299">
        <f t="shared" si="250"/>
        <v>354310</v>
      </c>
      <c r="AA177" s="299">
        <f t="shared" si="250"/>
        <v>10476</v>
      </c>
      <c r="AB177" s="299">
        <f t="shared" si="250"/>
        <v>3594</v>
      </c>
      <c r="AC177" s="299">
        <f t="shared" si="250"/>
        <v>51605</v>
      </c>
      <c r="AD177" s="299">
        <f t="shared" si="250"/>
        <v>6150</v>
      </c>
      <c r="AE177" s="299">
        <f t="shared" si="250"/>
        <v>411437</v>
      </c>
      <c r="AF177" s="321"/>
      <c r="AG177" s="314">
        <f t="shared" si="201"/>
        <v>0</v>
      </c>
      <c r="AH177" s="696">
        <f t="shared" si="202"/>
        <v>0</v>
      </c>
      <c r="AI177" s="314">
        <f t="shared" si="203"/>
        <v>0</v>
      </c>
      <c r="AJ177" s="314">
        <f t="shared" si="204"/>
        <v>0</v>
      </c>
      <c r="AK177" s="314">
        <f t="shared" si="205"/>
        <v>0</v>
      </c>
      <c r="AL177" s="314">
        <f t="shared" si="206"/>
        <v>0</v>
      </c>
      <c r="AM177" s="314">
        <f t="shared" si="207"/>
        <v>0</v>
      </c>
      <c r="AN177" s="314">
        <f t="shared" si="208"/>
        <v>0</v>
      </c>
      <c r="AO177" s="314">
        <f t="shared" si="209"/>
        <v>0</v>
      </c>
      <c r="AP177" s="314">
        <f t="shared" si="210"/>
        <v>0</v>
      </c>
    </row>
    <row r="178" spans="1:42" s="314" customFormat="1">
      <c r="A178" s="591" t="s">
        <v>1597</v>
      </c>
      <c r="B178" s="357" t="s">
        <v>826</v>
      </c>
      <c r="C178" s="298" t="s">
        <v>756</v>
      </c>
      <c r="D178" s="299">
        <f t="shared" ref="D178" si="251">D179+D181+D180</f>
        <v>7604</v>
      </c>
      <c r="E178" s="299">
        <f>E179+E181+E180</f>
        <v>8792</v>
      </c>
      <c r="F178" s="299">
        <f>F179+F181+F180</f>
        <v>7681</v>
      </c>
      <c r="G178" s="299">
        <f>F178-D178</f>
        <v>77</v>
      </c>
      <c r="H178" s="299">
        <f t="shared" ref="H178:Z178" si="252">H179+H181+H180</f>
        <v>7681</v>
      </c>
      <c r="I178" s="299">
        <f t="shared" si="252"/>
        <v>7681</v>
      </c>
      <c r="J178" s="299">
        <f t="shared" si="252"/>
        <v>43</v>
      </c>
      <c r="K178" s="299">
        <f t="shared" si="252"/>
        <v>40</v>
      </c>
      <c r="L178" s="299">
        <f t="shared" si="252"/>
        <v>3</v>
      </c>
      <c r="M178" s="299">
        <f t="shared" si="252"/>
        <v>5415</v>
      </c>
      <c r="N178" s="299">
        <f t="shared" si="252"/>
        <v>5219</v>
      </c>
      <c r="O178" s="299">
        <f t="shared" si="252"/>
        <v>196</v>
      </c>
      <c r="P178" s="299">
        <f t="shared" si="252"/>
        <v>2266</v>
      </c>
      <c r="Q178" s="299"/>
      <c r="R178" s="299"/>
      <c r="S178" s="299">
        <f t="shared" si="252"/>
        <v>2266</v>
      </c>
      <c r="T178" s="299">
        <f t="shared" si="252"/>
        <v>0</v>
      </c>
      <c r="U178" s="299">
        <f t="shared" si="252"/>
        <v>0</v>
      </c>
      <c r="V178" s="299">
        <f t="shared" si="252"/>
        <v>0</v>
      </c>
      <c r="W178" s="299">
        <f>W179+W181+W180</f>
        <v>0</v>
      </c>
      <c r="X178" s="299"/>
      <c r="Y178" s="299"/>
      <c r="Z178" s="299">
        <f t="shared" si="252"/>
        <v>0</v>
      </c>
      <c r="AA178" s="299">
        <f>AA179+AA181+AA180</f>
        <v>0</v>
      </c>
      <c r="AB178" s="299">
        <f>AB179+AB181+AB180</f>
        <v>0</v>
      </c>
      <c r="AC178" s="299">
        <f>AC179+AC181+AC180</f>
        <v>1111</v>
      </c>
      <c r="AD178" s="299">
        <f>AD179+AD181+AD180</f>
        <v>227</v>
      </c>
      <c r="AE178" s="299">
        <f>AE179+AE181+AE180</f>
        <v>8565</v>
      </c>
      <c r="AF178" s="321"/>
      <c r="AG178" s="314">
        <f t="shared" si="201"/>
        <v>0</v>
      </c>
      <c r="AH178" s="696">
        <f t="shared" si="202"/>
        <v>0</v>
      </c>
      <c r="AI178" s="314">
        <f t="shared" si="203"/>
        <v>0</v>
      </c>
      <c r="AJ178" s="314">
        <f t="shared" si="204"/>
        <v>0</v>
      </c>
      <c r="AK178" s="314">
        <f t="shared" si="205"/>
        <v>0</v>
      </c>
      <c r="AL178" s="314">
        <f t="shared" si="206"/>
        <v>0</v>
      </c>
      <c r="AM178" s="314">
        <f t="shared" si="207"/>
        <v>0</v>
      </c>
      <c r="AN178" s="314">
        <f t="shared" si="208"/>
        <v>0</v>
      </c>
      <c r="AO178" s="314">
        <f t="shared" si="209"/>
        <v>0</v>
      </c>
      <c r="AP178" s="314">
        <f t="shared" si="210"/>
        <v>0</v>
      </c>
    </row>
    <row r="179" spans="1:42">
      <c r="A179" s="593" t="s">
        <v>23</v>
      </c>
      <c r="B179" s="324" t="s">
        <v>862</v>
      </c>
      <c r="C179" s="302"/>
      <c r="D179" s="304">
        <v>7394</v>
      </c>
      <c r="E179" s="304">
        <f t="shared" si="218"/>
        <v>8792</v>
      </c>
      <c r="F179" s="304">
        <f>H179-AB179</f>
        <v>7681</v>
      </c>
      <c r="G179" s="304">
        <f>F179-D179</f>
        <v>287</v>
      </c>
      <c r="H179" s="303">
        <f t="shared" ref="H179:H180" si="253">I179+W179</f>
        <v>7681</v>
      </c>
      <c r="I179" s="303">
        <f>M179+P179</f>
        <v>7681</v>
      </c>
      <c r="J179" s="311">
        <v>43</v>
      </c>
      <c r="K179" s="311">
        <v>40</v>
      </c>
      <c r="L179" s="311">
        <f>J179-K179</f>
        <v>3</v>
      </c>
      <c r="M179" s="303">
        <f>N179+O179</f>
        <v>5415</v>
      </c>
      <c r="N179" s="311">
        <v>5219</v>
      </c>
      <c r="O179" s="311">
        <v>196</v>
      </c>
      <c r="P179" s="303">
        <f>S179+T179</f>
        <v>2266</v>
      </c>
      <c r="Q179" s="294">
        <v>31</v>
      </c>
      <c r="R179" s="312">
        <v>1.7000000000000002</v>
      </c>
      <c r="S179" s="303">
        <f>ROUND(J179*Q179*R179,0)</f>
        <v>2266</v>
      </c>
      <c r="T179" s="303">
        <f>U179+V179</f>
        <v>0</v>
      </c>
      <c r="U179" s="303"/>
      <c r="V179" s="303"/>
      <c r="W179" s="303">
        <f>Z179+AA179</f>
        <v>0</v>
      </c>
      <c r="X179" s="303"/>
      <c r="Y179" s="303"/>
      <c r="Z179" s="303"/>
      <c r="AA179" s="303"/>
      <c r="AB179" s="304"/>
      <c r="AC179" s="304">
        <v>1111</v>
      </c>
      <c r="AD179" s="304">
        <v>227</v>
      </c>
      <c r="AE179" s="303">
        <f>E179-AD179</f>
        <v>8565</v>
      </c>
      <c r="AF179" s="317"/>
      <c r="AG179" s="314">
        <f t="shared" si="201"/>
        <v>0</v>
      </c>
      <c r="AH179" s="696">
        <f t="shared" si="202"/>
        <v>0</v>
      </c>
      <c r="AI179" s="314">
        <f t="shared" si="203"/>
        <v>0</v>
      </c>
      <c r="AJ179" s="314">
        <f t="shared" si="204"/>
        <v>0</v>
      </c>
      <c r="AK179" s="314">
        <f t="shared" si="205"/>
        <v>0</v>
      </c>
      <c r="AL179" s="314">
        <f t="shared" si="206"/>
        <v>0</v>
      </c>
      <c r="AM179" s="314">
        <f t="shared" si="207"/>
        <v>0</v>
      </c>
      <c r="AN179" s="314">
        <f t="shared" si="208"/>
        <v>0</v>
      </c>
      <c r="AO179" s="314">
        <f t="shared" si="209"/>
        <v>0</v>
      </c>
      <c r="AP179" s="314">
        <f t="shared" si="210"/>
        <v>0</v>
      </c>
    </row>
    <row r="180" spans="1:42" ht="27.6" hidden="1" outlineLevel="3">
      <c r="A180" s="583" t="s">
        <v>23</v>
      </c>
      <c r="B180" s="324" t="s">
        <v>1521</v>
      </c>
      <c r="C180" s="304"/>
      <c r="D180" s="304">
        <v>210</v>
      </c>
      <c r="E180" s="304">
        <f t="shared" si="218"/>
        <v>0</v>
      </c>
      <c r="F180" s="304">
        <f>H180-AB180</f>
        <v>0</v>
      </c>
      <c r="G180" s="304">
        <f>F180-D180</f>
        <v>-210</v>
      </c>
      <c r="H180" s="303">
        <f t="shared" si="253"/>
        <v>0</v>
      </c>
      <c r="I180" s="303">
        <f t="shared" ref="I180" si="254">M180+P180</f>
        <v>0</v>
      </c>
      <c r="J180" s="294"/>
      <c r="K180" s="294">
        <v>0</v>
      </c>
      <c r="L180" s="294"/>
      <c r="M180" s="304">
        <f t="shared" ref="M180" si="255">N180+O180</f>
        <v>0</v>
      </c>
      <c r="N180" s="294"/>
      <c r="O180" s="294"/>
      <c r="P180" s="303">
        <f t="shared" ref="P180" si="256">S180+T180</f>
        <v>0</v>
      </c>
      <c r="Q180" s="311">
        <v>0</v>
      </c>
      <c r="R180" s="305"/>
      <c r="S180" s="304">
        <f>J180*Q180</f>
        <v>0</v>
      </c>
      <c r="T180" s="303">
        <f t="shared" ref="T180" si="257">U180+V180</f>
        <v>0</v>
      </c>
      <c r="U180" s="304"/>
      <c r="V180" s="304"/>
      <c r="W180" s="303">
        <f>Z180+AA180</f>
        <v>0</v>
      </c>
      <c r="X180" s="303"/>
      <c r="Y180" s="303"/>
      <c r="Z180" s="304"/>
      <c r="AA180" s="304"/>
      <c r="AB180" s="304"/>
      <c r="AC180" s="304"/>
      <c r="AD180" s="304"/>
      <c r="AE180" s="303">
        <f>E180-AD180</f>
        <v>0</v>
      </c>
      <c r="AF180" s="317"/>
      <c r="AG180" s="314">
        <f t="shared" si="201"/>
        <v>0</v>
      </c>
      <c r="AH180" s="696">
        <f t="shared" si="202"/>
        <v>0</v>
      </c>
      <c r="AI180" s="314">
        <f t="shared" si="203"/>
        <v>0</v>
      </c>
      <c r="AJ180" s="314">
        <f t="shared" si="204"/>
        <v>0</v>
      </c>
      <c r="AK180" s="314">
        <f t="shared" si="205"/>
        <v>0</v>
      </c>
      <c r="AL180" s="314">
        <f t="shared" si="206"/>
        <v>0</v>
      </c>
      <c r="AM180" s="314">
        <f t="shared" si="207"/>
        <v>0</v>
      </c>
      <c r="AN180" s="314">
        <f t="shared" si="208"/>
        <v>0</v>
      </c>
      <c r="AO180" s="314">
        <f t="shared" si="209"/>
        <v>0</v>
      </c>
      <c r="AP180" s="314">
        <f t="shared" si="210"/>
        <v>0</v>
      </c>
    </row>
    <row r="181" spans="1:42" ht="27.6" hidden="1" outlineLevel="3">
      <c r="A181" s="593" t="s">
        <v>23</v>
      </c>
      <c r="B181" s="1273" t="s">
        <v>1737</v>
      </c>
      <c r="C181" s="302"/>
      <c r="D181" s="304"/>
      <c r="E181" s="304">
        <f t="shared" si="218"/>
        <v>0</v>
      </c>
      <c r="F181" s="304"/>
      <c r="G181" s="304"/>
      <c r="H181" s="303"/>
      <c r="I181" s="303"/>
      <c r="J181" s="303"/>
      <c r="K181" s="303"/>
      <c r="L181" s="303"/>
      <c r="M181" s="303"/>
      <c r="N181" s="303"/>
      <c r="O181" s="303"/>
      <c r="P181" s="303"/>
      <c r="Q181" s="303"/>
      <c r="R181" s="303"/>
      <c r="S181" s="303"/>
      <c r="T181" s="303"/>
      <c r="U181" s="303"/>
      <c r="V181" s="303"/>
      <c r="W181" s="303"/>
      <c r="X181" s="303"/>
      <c r="Y181" s="303"/>
      <c r="Z181" s="303"/>
      <c r="AA181" s="303"/>
      <c r="AB181" s="304"/>
      <c r="AC181" s="304"/>
      <c r="AD181" s="304"/>
      <c r="AE181" s="303"/>
      <c r="AF181" s="317"/>
      <c r="AG181" s="314">
        <f t="shared" si="201"/>
        <v>0</v>
      </c>
      <c r="AH181" s="696">
        <f t="shared" si="202"/>
        <v>0</v>
      </c>
      <c r="AI181" s="314">
        <f t="shared" si="203"/>
        <v>0</v>
      </c>
      <c r="AJ181" s="314">
        <f t="shared" si="204"/>
        <v>0</v>
      </c>
      <c r="AK181" s="314">
        <f t="shared" si="205"/>
        <v>0</v>
      </c>
      <c r="AL181" s="314">
        <f t="shared" si="206"/>
        <v>0</v>
      </c>
      <c r="AM181" s="314">
        <f t="shared" si="207"/>
        <v>0</v>
      </c>
      <c r="AN181" s="314">
        <f t="shared" si="208"/>
        <v>0</v>
      </c>
      <c r="AO181" s="314">
        <f t="shared" si="209"/>
        <v>0</v>
      </c>
      <c r="AP181" s="314">
        <f t="shared" si="210"/>
        <v>0</v>
      </c>
    </row>
    <row r="182" spans="1:42" s="314" customFormat="1" collapsed="1">
      <c r="A182" s="591" t="s">
        <v>1598</v>
      </c>
      <c r="B182" s="327" t="s">
        <v>890</v>
      </c>
      <c r="C182" s="298" t="s">
        <v>720</v>
      </c>
      <c r="D182" s="297">
        <f t="shared" ref="D182:AE182" si="258">D183+D204</f>
        <v>352729</v>
      </c>
      <c r="E182" s="297">
        <f t="shared" si="258"/>
        <v>409008</v>
      </c>
      <c r="F182" s="297">
        <f t="shared" si="258"/>
        <v>358514</v>
      </c>
      <c r="G182" s="297">
        <f t="shared" si="258"/>
        <v>5785</v>
      </c>
      <c r="H182" s="297">
        <f t="shared" si="258"/>
        <v>362108</v>
      </c>
      <c r="I182" s="297">
        <f t="shared" si="258"/>
        <v>0</v>
      </c>
      <c r="J182" s="297">
        <f t="shared" si="258"/>
        <v>0</v>
      </c>
      <c r="K182" s="297">
        <f t="shared" si="258"/>
        <v>0</v>
      </c>
      <c r="L182" s="297">
        <f t="shared" si="258"/>
        <v>0</v>
      </c>
      <c r="M182" s="297">
        <f t="shared" si="258"/>
        <v>0</v>
      </c>
      <c r="N182" s="297">
        <f t="shared" si="258"/>
        <v>0</v>
      </c>
      <c r="O182" s="297">
        <f t="shared" si="258"/>
        <v>0</v>
      </c>
      <c r="P182" s="297">
        <f t="shared" si="258"/>
        <v>0</v>
      </c>
      <c r="Q182" s="297">
        <f t="shared" si="258"/>
        <v>0</v>
      </c>
      <c r="R182" s="297">
        <f t="shared" si="258"/>
        <v>0</v>
      </c>
      <c r="S182" s="297">
        <f t="shared" si="258"/>
        <v>0</v>
      </c>
      <c r="T182" s="297">
        <f t="shared" si="258"/>
        <v>0</v>
      </c>
      <c r="U182" s="297">
        <f t="shared" si="258"/>
        <v>0</v>
      </c>
      <c r="V182" s="297">
        <f t="shared" si="258"/>
        <v>0</v>
      </c>
      <c r="W182" s="297">
        <f t="shared" si="258"/>
        <v>362108</v>
      </c>
      <c r="X182" s="297">
        <f t="shared" si="258"/>
        <v>0</v>
      </c>
      <c r="Y182" s="297">
        <f t="shared" si="258"/>
        <v>0</v>
      </c>
      <c r="Z182" s="297">
        <f t="shared" si="258"/>
        <v>351632</v>
      </c>
      <c r="AA182" s="297">
        <f t="shared" si="258"/>
        <v>10476</v>
      </c>
      <c r="AB182" s="297">
        <f t="shared" si="258"/>
        <v>3594</v>
      </c>
      <c r="AC182" s="297">
        <f t="shared" si="258"/>
        <v>50494</v>
      </c>
      <c r="AD182" s="297">
        <f t="shared" si="258"/>
        <v>5923</v>
      </c>
      <c r="AE182" s="297">
        <f t="shared" si="258"/>
        <v>400194</v>
      </c>
      <c r="AF182" s="315"/>
      <c r="AG182" s="314">
        <f t="shared" si="201"/>
        <v>0</v>
      </c>
      <c r="AH182" s="696">
        <f t="shared" si="202"/>
        <v>0</v>
      </c>
      <c r="AI182" s="314">
        <f t="shared" si="203"/>
        <v>0</v>
      </c>
      <c r="AJ182" s="314">
        <f t="shared" si="204"/>
        <v>0</v>
      </c>
      <c r="AK182" s="314">
        <f t="shared" si="205"/>
        <v>0</v>
      </c>
      <c r="AL182" s="314">
        <f t="shared" si="206"/>
        <v>0</v>
      </c>
      <c r="AM182" s="314">
        <f t="shared" si="207"/>
        <v>0</v>
      </c>
      <c r="AN182" s="314">
        <f t="shared" si="208"/>
        <v>0</v>
      </c>
      <c r="AO182" s="314">
        <f t="shared" si="209"/>
        <v>0</v>
      </c>
      <c r="AP182" s="314">
        <f t="shared" si="210"/>
        <v>0</v>
      </c>
    </row>
    <row r="183" spans="1:42" outlineLevel="1">
      <c r="A183" s="583" t="s">
        <v>45</v>
      </c>
      <c r="B183" s="324" t="s">
        <v>892</v>
      </c>
      <c r="C183" s="302"/>
      <c r="D183" s="303">
        <f>D184+D197</f>
        <v>337879</v>
      </c>
      <c r="E183" s="303">
        <f>E184+E197</f>
        <v>395212</v>
      </c>
      <c r="F183" s="303">
        <f t="shared" ref="F183:AE183" si="259">F184+F197</f>
        <v>344718</v>
      </c>
      <c r="G183" s="303">
        <f t="shared" si="259"/>
        <v>6839</v>
      </c>
      <c r="H183" s="303">
        <f t="shared" si="259"/>
        <v>348312</v>
      </c>
      <c r="I183" s="303">
        <f t="shared" si="259"/>
        <v>0</v>
      </c>
      <c r="J183" s="303">
        <f t="shared" si="259"/>
        <v>0</v>
      </c>
      <c r="K183" s="303">
        <f t="shared" si="259"/>
        <v>0</v>
      </c>
      <c r="L183" s="303">
        <f t="shared" si="259"/>
        <v>0</v>
      </c>
      <c r="M183" s="303">
        <f t="shared" si="259"/>
        <v>0</v>
      </c>
      <c r="N183" s="303">
        <f t="shared" si="259"/>
        <v>0</v>
      </c>
      <c r="O183" s="303">
        <f t="shared" si="259"/>
        <v>0</v>
      </c>
      <c r="P183" s="303">
        <f t="shared" si="259"/>
        <v>0</v>
      </c>
      <c r="Q183" s="303">
        <f t="shared" si="259"/>
        <v>0</v>
      </c>
      <c r="R183" s="303">
        <f t="shared" si="259"/>
        <v>0</v>
      </c>
      <c r="S183" s="303">
        <f t="shared" si="259"/>
        <v>0</v>
      </c>
      <c r="T183" s="303">
        <f t="shared" si="259"/>
        <v>0</v>
      </c>
      <c r="U183" s="303">
        <f t="shared" si="259"/>
        <v>0</v>
      </c>
      <c r="V183" s="303">
        <f t="shared" si="259"/>
        <v>0</v>
      </c>
      <c r="W183" s="303">
        <f t="shared" si="259"/>
        <v>348312</v>
      </c>
      <c r="X183" s="303">
        <f t="shared" si="259"/>
        <v>0</v>
      </c>
      <c r="Y183" s="303">
        <f t="shared" si="259"/>
        <v>0</v>
      </c>
      <c r="Z183" s="303">
        <f t="shared" si="259"/>
        <v>337836</v>
      </c>
      <c r="AA183" s="303">
        <f t="shared" si="259"/>
        <v>10476</v>
      </c>
      <c r="AB183" s="303">
        <f t="shared" si="259"/>
        <v>3594</v>
      </c>
      <c r="AC183" s="303">
        <f t="shared" si="259"/>
        <v>50494</v>
      </c>
      <c r="AD183" s="303">
        <f t="shared" si="259"/>
        <v>5923</v>
      </c>
      <c r="AE183" s="303">
        <f t="shared" si="259"/>
        <v>386398</v>
      </c>
      <c r="AF183" s="317"/>
      <c r="AG183" s="314">
        <f t="shared" si="201"/>
        <v>0</v>
      </c>
      <c r="AH183" s="696">
        <f t="shared" si="202"/>
        <v>0</v>
      </c>
      <c r="AI183" s="314">
        <f t="shared" si="203"/>
        <v>0</v>
      </c>
      <c r="AJ183" s="314">
        <f t="shared" si="204"/>
        <v>0</v>
      </c>
      <c r="AK183" s="314">
        <f t="shared" si="205"/>
        <v>0</v>
      </c>
      <c r="AL183" s="314">
        <f t="shared" si="206"/>
        <v>0</v>
      </c>
      <c r="AM183" s="314">
        <f t="shared" si="207"/>
        <v>0</v>
      </c>
      <c r="AN183" s="314">
        <f t="shared" si="208"/>
        <v>0</v>
      </c>
      <c r="AO183" s="314">
        <f t="shared" si="209"/>
        <v>0</v>
      </c>
      <c r="AP183" s="314">
        <f t="shared" si="210"/>
        <v>0</v>
      </c>
    </row>
    <row r="184" spans="1:42" outlineLevel="1">
      <c r="A184" s="593" t="s">
        <v>1108</v>
      </c>
      <c r="B184" s="316" t="s">
        <v>1599</v>
      </c>
      <c r="C184" s="304"/>
      <c r="D184" s="304">
        <v>328029</v>
      </c>
      <c r="E184" s="304">
        <f t="shared" si="218"/>
        <v>378886</v>
      </c>
      <c r="F184" s="304">
        <f t="shared" ref="F184:F196" si="260">H184-AB184</f>
        <v>328392</v>
      </c>
      <c r="G184" s="304">
        <f t="shared" ref="G184:G192" si="261">F184-D184</f>
        <v>363</v>
      </c>
      <c r="H184" s="303">
        <f t="shared" ref="H184:H196" si="262">I184+W184</f>
        <v>331986</v>
      </c>
      <c r="I184" s="303">
        <f>M184+P184</f>
        <v>0</v>
      </c>
      <c r="J184" s="311"/>
      <c r="K184" s="311"/>
      <c r="L184" s="311"/>
      <c r="M184" s="303"/>
      <c r="N184" s="311"/>
      <c r="O184" s="311"/>
      <c r="P184" s="303">
        <f>S184+T184</f>
        <v>0</v>
      </c>
      <c r="Q184" s="311"/>
      <c r="R184" s="312"/>
      <c r="S184" s="303"/>
      <c r="T184" s="303">
        <f>U184+V184</f>
        <v>0</v>
      </c>
      <c r="U184" s="303"/>
      <c r="V184" s="303"/>
      <c r="W184" s="303">
        <f>Z184+AA184</f>
        <v>331986</v>
      </c>
      <c r="X184" s="303"/>
      <c r="Y184" s="303"/>
      <c r="Z184" s="303">
        <f>Z185+Z186+Z187</f>
        <v>331986</v>
      </c>
      <c r="AA184" s="303">
        <f t="shared" ref="AA184:AB184" si="263">AA185+AA186+AA187</f>
        <v>0</v>
      </c>
      <c r="AB184" s="303">
        <f t="shared" si="263"/>
        <v>3594</v>
      </c>
      <c r="AC184" s="303">
        <f>AC185+AC186</f>
        <v>50494</v>
      </c>
      <c r="AD184" s="303">
        <v>4591</v>
      </c>
      <c r="AE184" s="303">
        <f>E184-AD184</f>
        <v>374295</v>
      </c>
      <c r="AF184" s="317"/>
      <c r="AG184" s="314">
        <f t="shared" si="201"/>
        <v>0</v>
      </c>
      <c r="AH184" s="696">
        <f t="shared" si="202"/>
        <v>0</v>
      </c>
      <c r="AI184" s="314">
        <f t="shared" si="203"/>
        <v>0</v>
      </c>
      <c r="AJ184" s="314">
        <f t="shared" si="204"/>
        <v>0</v>
      </c>
      <c r="AK184" s="314">
        <f t="shared" si="205"/>
        <v>0</v>
      </c>
      <c r="AL184" s="314">
        <f t="shared" si="206"/>
        <v>0</v>
      </c>
      <c r="AM184" s="314">
        <f t="shared" si="207"/>
        <v>0</v>
      </c>
      <c r="AN184" s="314">
        <f t="shared" si="208"/>
        <v>0</v>
      </c>
      <c r="AO184" s="314">
        <f t="shared" si="209"/>
        <v>0</v>
      </c>
      <c r="AP184" s="314">
        <f t="shared" si="210"/>
        <v>0</v>
      </c>
    </row>
    <row r="185" spans="1:42" ht="41.4" outlineLevel="2">
      <c r="A185" s="593" t="s">
        <v>23</v>
      </c>
      <c r="B185" s="316" t="s">
        <v>893</v>
      </c>
      <c r="C185" s="304"/>
      <c r="D185" s="304">
        <v>223302</v>
      </c>
      <c r="E185" s="304">
        <f t="shared" si="218"/>
        <v>269081</v>
      </c>
      <c r="F185" s="304">
        <f t="shared" si="260"/>
        <v>226682</v>
      </c>
      <c r="G185" s="304">
        <f t="shared" si="261"/>
        <v>3380</v>
      </c>
      <c r="H185" s="303">
        <f t="shared" si="262"/>
        <v>226682</v>
      </c>
      <c r="I185" s="303">
        <f t="shared" ref="I185:I189" si="264">M185+P185</f>
        <v>0</v>
      </c>
      <c r="J185" s="311"/>
      <c r="K185" s="311"/>
      <c r="L185" s="311"/>
      <c r="M185" s="303"/>
      <c r="N185" s="311"/>
      <c r="O185" s="311"/>
      <c r="P185" s="303">
        <f t="shared" ref="P185:P191" si="265">S185+T185</f>
        <v>0</v>
      </c>
      <c r="Q185" s="311"/>
      <c r="R185" s="312"/>
      <c r="S185" s="303"/>
      <c r="T185" s="303">
        <f t="shared" ref="T185:T191" si="266">U185+V185</f>
        <v>0</v>
      </c>
      <c r="U185" s="303"/>
      <c r="V185" s="303"/>
      <c r="W185" s="303">
        <f t="shared" ref="W185:W196" si="267">Z185+AA185</f>
        <v>226682</v>
      </c>
      <c r="X185" s="303"/>
      <c r="Y185" s="303"/>
      <c r="Z185" s="303">
        <f>226822-140</f>
        <v>226682</v>
      </c>
      <c r="AA185" s="303"/>
      <c r="AB185" s="303"/>
      <c r="AC185" s="303">
        <v>42399</v>
      </c>
      <c r="AD185" s="303"/>
      <c r="AE185" s="303">
        <f>E185-AD185</f>
        <v>269081</v>
      </c>
      <c r="AF185" s="317" t="s">
        <v>2513</v>
      </c>
      <c r="AG185" s="314">
        <f t="shared" si="201"/>
        <v>0</v>
      </c>
      <c r="AH185" s="696">
        <f t="shared" si="202"/>
        <v>0</v>
      </c>
      <c r="AI185" s="314">
        <f t="shared" si="203"/>
        <v>0</v>
      </c>
      <c r="AJ185" s="314">
        <f t="shared" si="204"/>
        <v>0</v>
      </c>
      <c r="AK185" s="314">
        <f t="shared" si="205"/>
        <v>0</v>
      </c>
      <c r="AL185" s="314">
        <f t="shared" si="206"/>
        <v>0</v>
      </c>
      <c r="AM185" s="314">
        <f t="shared" si="207"/>
        <v>0</v>
      </c>
      <c r="AN185" s="314">
        <f t="shared" si="208"/>
        <v>0</v>
      </c>
      <c r="AO185" s="314">
        <f t="shared" si="209"/>
        <v>0</v>
      </c>
      <c r="AP185" s="314">
        <f t="shared" si="210"/>
        <v>0</v>
      </c>
    </row>
    <row r="186" spans="1:42" ht="41.4" outlineLevel="2">
      <c r="A186" s="593" t="s">
        <v>23</v>
      </c>
      <c r="B186" s="316" t="s">
        <v>894</v>
      </c>
      <c r="C186" s="304"/>
      <c r="D186" s="304">
        <v>39121</v>
      </c>
      <c r="E186" s="304">
        <f t="shared" si="218"/>
        <v>47002</v>
      </c>
      <c r="F186" s="304">
        <f t="shared" si="260"/>
        <v>38907</v>
      </c>
      <c r="G186" s="304">
        <f t="shared" si="261"/>
        <v>-214</v>
      </c>
      <c r="H186" s="303">
        <f t="shared" si="262"/>
        <v>38907</v>
      </c>
      <c r="I186" s="303">
        <f t="shared" si="264"/>
        <v>0</v>
      </c>
      <c r="J186" s="311"/>
      <c r="K186" s="311"/>
      <c r="L186" s="311"/>
      <c r="M186" s="303"/>
      <c r="N186" s="311"/>
      <c r="O186" s="311"/>
      <c r="P186" s="303">
        <f t="shared" si="265"/>
        <v>0</v>
      </c>
      <c r="Q186" s="311"/>
      <c r="R186" s="312"/>
      <c r="S186" s="303"/>
      <c r="T186" s="303">
        <f t="shared" si="266"/>
        <v>0</v>
      </c>
      <c r="U186" s="303"/>
      <c r="V186" s="303"/>
      <c r="W186" s="303">
        <f t="shared" si="267"/>
        <v>38907</v>
      </c>
      <c r="X186" s="303">
        <v>2720</v>
      </c>
      <c r="Y186" s="303">
        <f>1.49*80%*12</f>
        <v>14.303999999999998</v>
      </c>
      <c r="Z186" s="303">
        <f>ROUND(X186*Y186,0)</f>
        <v>38907</v>
      </c>
      <c r="AA186" s="303"/>
      <c r="AB186" s="303"/>
      <c r="AC186" s="303">
        <v>8095</v>
      </c>
      <c r="AD186" s="303"/>
      <c r="AE186" s="303">
        <f>E186-AD186</f>
        <v>47002</v>
      </c>
      <c r="AF186" s="317" t="s">
        <v>2076</v>
      </c>
      <c r="AG186" s="314">
        <f t="shared" si="201"/>
        <v>0</v>
      </c>
      <c r="AH186" s="696">
        <f t="shared" si="202"/>
        <v>0</v>
      </c>
      <c r="AI186" s="314">
        <f t="shared" si="203"/>
        <v>0</v>
      </c>
      <c r="AJ186" s="314">
        <f t="shared" si="204"/>
        <v>0</v>
      </c>
      <c r="AK186" s="314">
        <f t="shared" si="205"/>
        <v>0</v>
      </c>
      <c r="AL186" s="314">
        <f t="shared" si="206"/>
        <v>0</v>
      </c>
      <c r="AM186" s="314">
        <f t="shared" si="207"/>
        <v>0</v>
      </c>
      <c r="AN186" s="314">
        <f t="shared" si="208"/>
        <v>0</v>
      </c>
      <c r="AO186" s="314">
        <f t="shared" si="209"/>
        <v>0</v>
      </c>
      <c r="AP186" s="314">
        <f t="shared" si="210"/>
        <v>0</v>
      </c>
    </row>
    <row r="187" spans="1:42" outlineLevel="2">
      <c r="A187" s="593" t="s">
        <v>23</v>
      </c>
      <c r="B187" s="316" t="s">
        <v>1354</v>
      </c>
      <c r="C187" s="304"/>
      <c r="D187" s="304">
        <v>65606</v>
      </c>
      <c r="E187" s="304">
        <f t="shared" si="218"/>
        <v>62803</v>
      </c>
      <c r="F187" s="304">
        <f t="shared" si="260"/>
        <v>62803</v>
      </c>
      <c r="G187" s="304">
        <f t="shared" si="261"/>
        <v>-2803</v>
      </c>
      <c r="H187" s="303">
        <f t="shared" si="262"/>
        <v>66397</v>
      </c>
      <c r="I187" s="303">
        <f t="shared" si="264"/>
        <v>0</v>
      </c>
      <c r="J187" s="311"/>
      <c r="K187" s="311"/>
      <c r="L187" s="311"/>
      <c r="M187" s="303"/>
      <c r="N187" s="311"/>
      <c r="O187" s="311"/>
      <c r="P187" s="303">
        <f t="shared" si="265"/>
        <v>0</v>
      </c>
      <c r="Q187" s="311"/>
      <c r="R187" s="312"/>
      <c r="S187" s="303"/>
      <c r="T187" s="303">
        <f t="shared" si="266"/>
        <v>0</v>
      </c>
      <c r="U187" s="303"/>
      <c r="V187" s="303"/>
      <c r="W187" s="303">
        <f t="shared" si="267"/>
        <v>66397</v>
      </c>
      <c r="X187" s="303"/>
      <c r="Y187" s="303"/>
      <c r="Z187" s="303">
        <f>ROUND((Z185+Z186)/0.8*0.2,0)</f>
        <v>66397</v>
      </c>
      <c r="AA187" s="303"/>
      <c r="AB187" s="303">
        <f>AB188+AB189</f>
        <v>3594</v>
      </c>
      <c r="AC187" s="303"/>
      <c r="AD187" s="303"/>
      <c r="AE187" s="303">
        <f>E187-AD187</f>
        <v>62803</v>
      </c>
      <c r="AF187" s="317"/>
      <c r="AG187" s="314">
        <f t="shared" si="201"/>
        <v>0</v>
      </c>
      <c r="AH187" s="696">
        <f t="shared" si="202"/>
        <v>0</v>
      </c>
      <c r="AI187" s="314">
        <f t="shared" si="203"/>
        <v>0</v>
      </c>
      <c r="AJ187" s="314">
        <f t="shared" si="204"/>
        <v>0</v>
      </c>
      <c r="AK187" s="314">
        <f t="shared" si="205"/>
        <v>0</v>
      </c>
      <c r="AL187" s="314">
        <f t="shared" si="206"/>
        <v>0</v>
      </c>
      <c r="AM187" s="314">
        <f t="shared" si="207"/>
        <v>0</v>
      </c>
      <c r="AN187" s="314">
        <f t="shared" si="208"/>
        <v>0</v>
      </c>
      <c r="AO187" s="314">
        <f t="shared" si="209"/>
        <v>0</v>
      </c>
      <c r="AP187" s="314">
        <f t="shared" si="210"/>
        <v>0</v>
      </c>
    </row>
    <row r="188" spans="1:42" outlineLevel="2">
      <c r="A188" s="593" t="s">
        <v>281</v>
      </c>
      <c r="B188" s="316" t="s">
        <v>1600</v>
      </c>
      <c r="C188" s="304"/>
      <c r="D188" s="304">
        <v>41349</v>
      </c>
      <c r="E188" s="304">
        <f t="shared" si="218"/>
        <v>39681</v>
      </c>
      <c r="F188" s="304">
        <f t="shared" si="260"/>
        <v>39681</v>
      </c>
      <c r="G188" s="304">
        <f t="shared" si="261"/>
        <v>-1668</v>
      </c>
      <c r="H188" s="303">
        <f t="shared" si="262"/>
        <v>46869</v>
      </c>
      <c r="I188" s="303">
        <f t="shared" si="264"/>
        <v>0</v>
      </c>
      <c r="J188" s="311"/>
      <c r="K188" s="311"/>
      <c r="L188" s="311"/>
      <c r="M188" s="303"/>
      <c r="N188" s="311"/>
      <c r="O188" s="311"/>
      <c r="P188" s="303">
        <f t="shared" si="265"/>
        <v>0</v>
      </c>
      <c r="Q188" s="311"/>
      <c r="R188" s="312"/>
      <c r="S188" s="303"/>
      <c r="T188" s="303">
        <f t="shared" si="266"/>
        <v>0</v>
      </c>
      <c r="U188" s="303"/>
      <c r="V188" s="303"/>
      <c r="W188" s="303">
        <f t="shared" si="267"/>
        <v>46869</v>
      </c>
      <c r="X188" s="303"/>
      <c r="Y188" s="303"/>
      <c r="Z188" s="303">
        <f>ROUND((Z185+Z186)/85*15,0)</f>
        <v>46869</v>
      </c>
      <c r="AA188" s="303"/>
      <c r="AB188" s="303">
        <v>7188</v>
      </c>
      <c r="AC188" s="303"/>
      <c r="AD188" s="303"/>
      <c r="AE188" s="303"/>
      <c r="AF188" s="317"/>
      <c r="AG188" s="314">
        <f t="shared" si="201"/>
        <v>0</v>
      </c>
      <c r="AH188" s="696">
        <f t="shared" si="202"/>
        <v>0</v>
      </c>
      <c r="AI188" s="314">
        <f t="shared" si="203"/>
        <v>0</v>
      </c>
      <c r="AJ188" s="314">
        <f t="shared" si="204"/>
        <v>0</v>
      </c>
      <c r="AK188" s="314">
        <f t="shared" si="205"/>
        <v>0</v>
      </c>
      <c r="AL188" s="314">
        <f t="shared" si="206"/>
        <v>0</v>
      </c>
      <c r="AM188" s="314">
        <f t="shared" si="207"/>
        <v>0</v>
      </c>
      <c r="AN188" s="314">
        <f t="shared" si="208"/>
        <v>0</v>
      </c>
      <c r="AO188" s="314">
        <f t="shared" si="209"/>
        <v>0</v>
      </c>
      <c r="AP188" s="314">
        <f t="shared" si="210"/>
        <v>0</v>
      </c>
    </row>
    <row r="189" spans="1:42" outlineLevel="2">
      <c r="A189" s="593" t="s">
        <v>281</v>
      </c>
      <c r="B189" s="316" t="s">
        <v>1601</v>
      </c>
      <c r="C189" s="304"/>
      <c r="D189" s="304">
        <v>24257</v>
      </c>
      <c r="E189" s="304">
        <f t="shared" si="218"/>
        <v>23122</v>
      </c>
      <c r="F189" s="304">
        <f t="shared" si="260"/>
        <v>23122</v>
      </c>
      <c r="G189" s="304">
        <f t="shared" si="261"/>
        <v>-1135</v>
      </c>
      <c r="H189" s="303">
        <f t="shared" si="262"/>
        <v>19528</v>
      </c>
      <c r="I189" s="303">
        <f t="shared" si="264"/>
        <v>0</v>
      </c>
      <c r="J189" s="311"/>
      <c r="K189" s="311"/>
      <c r="L189" s="311"/>
      <c r="M189" s="303"/>
      <c r="N189" s="311"/>
      <c r="O189" s="311"/>
      <c r="P189" s="303">
        <f t="shared" si="265"/>
        <v>0</v>
      </c>
      <c r="Q189" s="311"/>
      <c r="R189" s="312"/>
      <c r="S189" s="303"/>
      <c r="T189" s="303">
        <f t="shared" si="266"/>
        <v>0</v>
      </c>
      <c r="U189" s="303"/>
      <c r="V189" s="303"/>
      <c r="W189" s="303">
        <f t="shared" si="267"/>
        <v>19528</v>
      </c>
      <c r="X189" s="303"/>
      <c r="Y189" s="303"/>
      <c r="Z189" s="303">
        <f>Z187-Z188</f>
        <v>19528</v>
      </c>
      <c r="AA189" s="303"/>
      <c r="AB189" s="303">
        <f>AB196</f>
        <v>-3594</v>
      </c>
      <c r="AC189" s="303"/>
      <c r="AD189" s="303"/>
      <c r="AE189" s="303"/>
      <c r="AF189" s="317"/>
      <c r="AG189" s="314">
        <f t="shared" si="201"/>
        <v>0</v>
      </c>
      <c r="AH189" s="696">
        <f t="shared" si="202"/>
        <v>0</v>
      </c>
      <c r="AI189" s="314">
        <f t="shared" si="203"/>
        <v>0</v>
      </c>
      <c r="AJ189" s="314">
        <f t="shared" si="204"/>
        <v>0</v>
      </c>
      <c r="AK189" s="314">
        <f t="shared" si="205"/>
        <v>0</v>
      </c>
      <c r="AL189" s="314">
        <f t="shared" si="206"/>
        <v>0</v>
      </c>
      <c r="AM189" s="314">
        <f t="shared" si="207"/>
        <v>0</v>
      </c>
      <c r="AN189" s="314">
        <f t="shared" si="208"/>
        <v>0</v>
      </c>
      <c r="AO189" s="314">
        <f t="shared" si="209"/>
        <v>0</v>
      </c>
      <c r="AP189" s="314">
        <f t="shared" si="210"/>
        <v>0</v>
      </c>
    </row>
    <row r="190" spans="1:42" ht="69" outlineLevel="2">
      <c r="A190" s="593"/>
      <c r="B190" s="316" t="s">
        <v>1862</v>
      </c>
      <c r="C190" s="304"/>
      <c r="D190" s="304">
        <v>1500</v>
      </c>
      <c r="E190" s="304">
        <f t="shared" si="218"/>
        <v>1425</v>
      </c>
      <c r="F190" s="304">
        <f t="shared" si="260"/>
        <v>1425</v>
      </c>
      <c r="G190" s="304">
        <f t="shared" si="261"/>
        <v>-75</v>
      </c>
      <c r="H190" s="303">
        <f t="shared" si="262"/>
        <v>1425</v>
      </c>
      <c r="I190" s="303">
        <f>M190+P190</f>
        <v>0</v>
      </c>
      <c r="J190" s="311"/>
      <c r="K190" s="311"/>
      <c r="L190" s="311"/>
      <c r="M190" s="303"/>
      <c r="N190" s="311"/>
      <c r="O190" s="311"/>
      <c r="P190" s="303">
        <f t="shared" si="265"/>
        <v>0</v>
      </c>
      <c r="Q190" s="311"/>
      <c r="R190" s="312"/>
      <c r="S190" s="303"/>
      <c r="T190" s="303">
        <f t="shared" si="266"/>
        <v>0</v>
      </c>
      <c r="U190" s="303"/>
      <c r="V190" s="303"/>
      <c r="W190" s="303">
        <f t="shared" si="267"/>
        <v>1425</v>
      </c>
      <c r="X190" s="303"/>
      <c r="Y190" s="303"/>
      <c r="Z190" s="303">
        <v>1425</v>
      </c>
      <c r="AA190" s="303"/>
      <c r="AB190" s="303"/>
      <c r="AC190" s="303"/>
      <c r="AD190" s="303"/>
      <c r="AE190" s="303">
        <f t="shared" ref="AE190:AE196" si="268">E190-AD190</f>
        <v>1425</v>
      </c>
      <c r="AF190" s="317" t="s">
        <v>2524</v>
      </c>
      <c r="AG190" s="314">
        <f t="shared" si="201"/>
        <v>0</v>
      </c>
      <c r="AH190" s="696">
        <f t="shared" si="202"/>
        <v>0</v>
      </c>
      <c r="AI190" s="314">
        <f t="shared" si="203"/>
        <v>0</v>
      </c>
      <c r="AJ190" s="314">
        <f t="shared" si="204"/>
        <v>0</v>
      </c>
      <c r="AK190" s="314">
        <f t="shared" si="205"/>
        <v>0</v>
      </c>
      <c r="AL190" s="314">
        <f t="shared" si="206"/>
        <v>0</v>
      </c>
      <c r="AM190" s="314">
        <f t="shared" si="207"/>
        <v>0</v>
      </c>
      <c r="AN190" s="314">
        <f t="shared" si="208"/>
        <v>0</v>
      </c>
      <c r="AO190" s="314">
        <f t="shared" si="209"/>
        <v>0</v>
      </c>
      <c r="AP190" s="314">
        <f t="shared" si="210"/>
        <v>0</v>
      </c>
    </row>
    <row r="191" spans="1:42" s="322" customFormat="1" ht="82.8" outlineLevel="2">
      <c r="A191" s="583"/>
      <c r="B191" s="316" t="s">
        <v>1863</v>
      </c>
      <c r="C191" s="302"/>
      <c r="D191" s="304">
        <v>5000</v>
      </c>
      <c r="E191" s="304">
        <f t="shared" si="218"/>
        <v>5000</v>
      </c>
      <c r="F191" s="304">
        <f t="shared" si="260"/>
        <v>5000</v>
      </c>
      <c r="G191" s="304">
        <f t="shared" si="261"/>
        <v>0</v>
      </c>
      <c r="H191" s="303">
        <f t="shared" si="262"/>
        <v>5000</v>
      </c>
      <c r="I191" s="303">
        <f>M191+P191</f>
        <v>0</v>
      </c>
      <c r="J191" s="311"/>
      <c r="K191" s="311"/>
      <c r="L191" s="311"/>
      <c r="M191" s="303"/>
      <c r="N191" s="311"/>
      <c r="O191" s="311"/>
      <c r="P191" s="303">
        <f t="shared" si="265"/>
        <v>0</v>
      </c>
      <c r="Q191" s="311"/>
      <c r="R191" s="312"/>
      <c r="S191" s="303"/>
      <c r="T191" s="303">
        <f t="shared" si="266"/>
        <v>0</v>
      </c>
      <c r="U191" s="303"/>
      <c r="V191" s="303"/>
      <c r="W191" s="303">
        <f t="shared" si="267"/>
        <v>5000</v>
      </c>
      <c r="X191" s="303"/>
      <c r="Y191" s="303"/>
      <c r="Z191" s="303">
        <v>5000</v>
      </c>
      <c r="AA191" s="303"/>
      <c r="AB191" s="304"/>
      <c r="AC191" s="304"/>
      <c r="AD191" s="304"/>
      <c r="AE191" s="303">
        <f t="shared" si="268"/>
        <v>5000</v>
      </c>
      <c r="AF191" s="317" t="s">
        <v>2525</v>
      </c>
      <c r="AG191" s="314">
        <f t="shared" si="201"/>
        <v>0</v>
      </c>
      <c r="AH191" s="696">
        <f t="shared" si="202"/>
        <v>0</v>
      </c>
      <c r="AI191" s="314">
        <f t="shared" si="203"/>
        <v>0</v>
      </c>
      <c r="AJ191" s="314">
        <f t="shared" si="204"/>
        <v>0</v>
      </c>
      <c r="AK191" s="314">
        <f t="shared" si="205"/>
        <v>0</v>
      </c>
      <c r="AL191" s="314">
        <f t="shared" si="206"/>
        <v>0</v>
      </c>
      <c r="AM191" s="314">
        <f t="shared" si="207"/>
        <v>0</v>
      </c>
      <c r="AN191" s="314">
        <f t="shared" si="208"/>
        <v>0</v>
      </c>
      <c r="AO191" s="314">
        <f t="shared" si="209"/>
        <v>0</v>
      </c>
      <c r="AP191" s="314">
        <f t="shared" si="210"/>
        <v>0</v>
      </c>
    </row>
    <row r="192" spans="1:42" ht="69" outlineLevel="2">
      <c r="A192" s="583"/>
      <c r="B192" s="324" t="s">
        <v>896</v>
      </c>
      <c r="C192" s="302"/>
      <c r="D192" s="304">
        <v>3607</v>
      </c>
      <c r="E192" s="304">
        <f t="shared" si="218"/>
        <v>3906</v>
      </c>
      <c r="F192" s="304">
        <f t="shared" si="260"/>
        <v>3906</v>
      </c>
      <c r="G192" s="304">
        <f t="shared" si="261"/>
        <v>299</v>
      </c>
      <c r="H192" s="303">
        <f>I192+W192</f>
        <v>3906</v>
      </c>
      <c r="I192" s="303"/>
      <c r="J192" s="311"/>
      <c r="K192" s="311"/>
      <c r="L192" s="311"/>
      <c r="M192" s="303"/>
      <c r="N192" s="311"/>
      <c r="O192" s="311"/>
      <c r="P192" s="303"/>
      <c r="Q192" s="311"/>
      <c r="R192" s="311"/>
      <c r="S192" s="303"/>
      <c r="T192" s="303"/>
      <c r="U192" s="303"/>
      <c r="V192" s="303"/>
      <c r="W192" s="303">
        <f>Z192+AA192</f>
        <v>3906</v>
      </c>
      <c r="X192" s="303"/>
      <c r="Y192" s="303"/>
      <c r="Z192" s="303">
        <v>3906</v>
      </c>
      <c r="AA192" s="303"/>
      <c r="AB192" s="304"/>
      <c r="AC192" s="304"/>
      <c r="AD192" s="304"/>
      <c r="AE192" s="303">
        <f t="shared" si="268"/>
        <v>3906</v>
      </c>
      <c r="AF192" s="317" t="s">
        <v>2526</v>
      </c>
      <c r="AG192" s="314">
        <f t="shared" si="201"/>
        <v>0</v>
      </c>
      <c r="AH192" s="696">
        <f t="shared" si="202"/>
        <v>0</v>
      </c>
      <c r="AI192" s="314">
        <f t="shared" si="203"/>
        <v>0</v>
      </c>
      <c r="AJ192" s="314">
        <f t="shared" si="204"/>
        <v>0</v>
      </c>
      <c r="AK192" s="314">
        <f t="shared" si="205"/>
        <v>0</v>
      </c>
      <c r="AL192" s="314">
        <f t="shared" si="206"/>
        <v>0</v>
      </c>
      <c r="AM192" s="314">
        <f t="shared" si="207"/>
        <v>0</v>
      </c>
      <c r="AN192" s="314">
        <f t="shared" si="208"/>
        <v>0</v>
      </c>
      <c r="AO192" s="314">
        <f t="shared" si="209"/>
        <v>0</v>
      </c>
      <c r="AP192" s="314">
        <f t="shared" si="210"/>
        <v>0</v>
      </c>
    </row>
    <row r="193" spans="1:42" s="322" customFormat="1" ht="151.80000000000001" outlineLevel="2">
      <c r="A193" s="583"/>
      <c r="B193" s="316" t="s">
        <v>2077</v>
      </c>
      <c r="C193" s="302"/>
      <c r="D193" s="304">
        <v>2300</v>
      </c>
      <c r="E193" s="304">
        <f t="shared" si="218"/>
        <v>2832</v>
      </c>
      <c r="F193" s="304">
        <f t="shared" si="260"/>
        <v>2832</v>
      </c>
      <c r="G193" s="304"/>
      <c r="H193" s="303">
        <f>I193+W193</f>
        <v>2832</v>
      </c>
      <c r="I193" s="303">
        <f>M193+P193</f>
        <v>0</v>
      </c>
      <c r="J193" s="311"/>
      <c r="K193" s="311"/>
      <c r="L193" s="311"/>
      <c r="M193" s="303"/>
      <c r="N193" s="311"/>
      <c r="O193" s="311"/>
      <c r="P193" s="303">
        <f>S193+T193</f>
        <v>0</v>
      </c>
      <c r="Q193" s="311"/>
      <c r="R193" s="312"/>
      <c r="S193" s="303"/>
      <c r="T193" s="303">
        <f>U193+V193</f>
        <v>0</v>
      </c>
      <c r="U193" s="303"/>
      <c r="V193" s="303"/>
      <c r="W193" s="303">
        <f>Z193+AA193</f>
        <v>2832</v>
      </c>
      <c r="X193" s="303"/>
      <c r="Y193" s="303"/>
      <c r="Z193" s="303">
        <v>2832</v>
      </c>
      <c r="AA193" s="303"/>
      <c r="AB193" s="304"/>
      <c r="AC193" s="304"/>
      <c r="AD193" s="304"/>
      <c r="AE193" s="303">
        <f t="shared" si="268"/>
        <v>2832</v>
      </c>
      <c r="AF193" s="1263" t="s">
        <v>2527</v>
      </c>
      <c r="AG193" s="314">
        <f t="shared" si="201"/>
        <v>0</v>
      </c>
      <c r="AH193" s="696">
        <f t="shared" si="202"/>
        <v>0</v>
      </c>
      <c r="AI193" s="314">
        <f t="shared" si="203"/>
        <v>0</v>
      </c>
      <c r="AJ193" s="314">
        <f t="shared" si="204"/>
        <v>0</v>
      </c>
      <c r="AK193" s="314">
        <f t="shared" si="205"/>
        <v>0</v>
      </c>
      <c r="AL193" s="314">
        <f t="shared" si="206"/>
        <v>0</v>
      </c>
      <c r="AM193" s="314">
        <f t="shared" si="207"/>
        <v>0</v>
      </c>
      <c r="AN193" s="314">
        <f t="shared" si="208"/>
        <v>0</v>
      </c>
      <c r="AO193" s="314">
        <f t="shared" si="209"/>
        <v>0</v>
      </c>
      <c r="AP193" s="314">
        <f t="shared" si="210"/>
        <v>0</v>
      </c>
    </row>
    <row r="194" spans="1:42" ht="27.6" outlineLevel="2">
      <c r="A194" s="583"/>
      <c r="B194" s="324" t="s">
        <v>895</v>
      </c>
      <c r="C194" s="302"/>
      <c r="D194" s="304">
        <v>295</v>
      </c>
      <c r="E194" s="304">
        <f t="shared" si="218"/>
        <v>183</v>
      </c>
      <c r="F194" s="304">
        <f t="shared" si="260"/>
        <v>183</v>
      </c>
      <c r="G194" s="304">
        <f>F194-D194</f>
        <v>-112</v>
      </c>
      <c r="H194" s="303">
        <f t="shared" si="262"/>
        <v>183</v>
      </c>
      <c r="I194" s="303"/>
      <c r="J194" s="311"/>
      <c r="K194" s="311"/>
      <c r="L194" s="311"/>
      <c r="M194" s="303"/>
      <c r="N194" s="311"/>
      <c r="O194" s="311"/>
      <c r="P194" s="303"/>
      <c r="Q194" s="311"/>
      <c r="R194" s="311"/>
      <c r="S194" s="303"/>
      <c r="T194" s="303"/>
      <c r="U194" s="303"/>
      <c r="V194" s="303"/>
      <c r="W194" s="303">
        <f t="shared" si="267"/>
        <v>183</v>
      </c>
      <c r="X194" s="303"/>
      <c r="Y194" s="303"/>
      <c r="Z194" s="303">
        <v>183</v>
      </c>
      <c r="AA194" s="303"/>
      <c r="AB194" s="304"/>
      <c r="AC194" s="304"/>
      <c r="AD194" s="304"/>
      <c r="AE194" s="303">
        <f t="shared" si="268"/>
        <v>183</v>
      </c>
      <c r="AF194" s="317" t="s">
        <v>1842</v>
      </c>
      <c r="AG194" s="314">
        <f t="shared" si="201"/>
        <v>0</v>
      </c>
      <c r="AH194" s="696">
        <f t="shared" si="202"/>
        <v>0</v>
      </c>
      <c r="AI194" s="314">
        <f t="shared" si="203"/>
        <v>0</v>
      </c>
      <c r="AJ194" s="314">
        <f t="shared" si="204"/>
        <v>0</v>
      </c>
      <c r="AK194" s="314">
        <f t="shared" si="205"/>
        <v>0</v>
      </c>
      <c r="AL194" s="314">
        <f t="shared" si="206"/>
        <v>0</v>
      </c>
      <c r="AM194" s="314">
        <f t="shared" si="207"/>
        <v>0</v>
      </c>
      <c r="AN194" s="314">
        <f t="shared" si="208"/>
        <v>0</v>
      </c>
      <c r="AO194" s="314">
        <f t="shared" si="209"/>
        <v>0</v>
      </c>
      <c r="AP194" s="314">
        <f t="shared" si="210"/>
        <v>0</v>
      </c>
    </row>
    <row r="195" spans="1:42" ht="27.6" outlineLevel="2">
      <c r="A195" s="583"/>
      <c r="B195" s="324" t="s">
        <v>2078</v>
      </c>
      <c r="C195" s="302"/>
      <c r="D195" s="304"/>
      <c r="E195" s="304">
        <f t="shared" si="218"/>
        <v>4500</v>
      </c>
      <c r="F195" s="304">
        <f t="shared" si="260"/>
        <v>4500</v>
      </c>
      <c r="G195" s="304">
        <f>F195-D195</f>
        <v>4500</v>
      </c>
      <c r="H195" s="303">
        <f t="shared" si="262"/>
        <v>4500</v>
      </c>
      <c r="I195" s="303"/>
      <c r="J195" s="311"/>
      <c r="K195" s="311"/>
      <c r="L195" s="311"/>
      <c r="M195" s="303"/>
      <c r="N195" s="311"/>
      <c r="O195" s="311"/>
      <c r="P195" s="303"/>
      <c r="Q195" s="311"/>
      <c r="R195" s="311"/>
      <c r="S195" s="303"/>
      <c r="T195" s="303"/>
      <c r="U195" s="303"/>
      <c r="V195" s="303"/>
      <c r="W195" s="303">
        <f t="shared" si="267"/>
        <v>4500</v>
      </c>
      <c r="X195" s="303"/>
      <c r="Y195" s="303"/>
      <c r="Z195" s="303">
        <v>4500</v>
      </c>
      <c r="AA195" s="303"/>
      <c r="AB195" s="304"/>
      <c r="AC195" s="304"/>
      <c r="AD195" s="304"/>
      <c r="AE195" s="303">
        <f t="shared" si="268"/>
        <v>4500</v>
      </c>
      <c r="AF195" s="317"/>
      <c r="AG195" s="314">
        <f t="shared" si="201"/>
        <v>0</v>
      </c>
      <c r="AH195" s="696">
        <f t="shared" si="202"/>
        <v>0</v>
      </c>
      <c r="AI195" s="314">
        <f t="shared" si="203"/>
        <v>0</v>
      </c>
      <c r="AJ195" s="314">
        <f t="shared" si="204"/>
        <v>0</v>
      </c>
      <c r="AK195" s="314">
        <f t="shared" si="205"/>
        <v>0</v>
      </c>
      <c r="AL195" s="314">
        <f t="shared" si="206"/>
        <v>0</v>
      </c>
      <c r="AM195" s="314">
        <f t="shared" si="207"/>
        <v>0</v>
      </c>
      <c r="AN195" s="314">
        <f t="shared" si="208"/>
        <v>0</v>
      </c>
      <c r="AO195" s="314">
        <f t="shared" si="209"/>
        <v>0</v>
      </c>
      <c r="AP195" s="314">
        <f t="shared" si="210"/>
        <v>0</v>
      </c>
    </row>
    <row r="196" spans="1:42" ht="96.6" outlineLevel="2">
      <c r="A196" s="583"/>
      <c r="B196" s="1275" t="s">
        <v>2079</v>
      </c>
      <c r="C196" s="302"/>
      <c r="D196" s="304">
        <v>11555</v>
      </c>
      <c r="E196" s="304">
        <f t="shared" si="218"/>
        <v>5276</v>
      </c>
      <c r="F196" s="304">
        <f t="shared" si="260"/>
        <v>5276</v>
      </c>
      <c r="G196" s="304"/>
      <c r="H196" s="303">
        <f t="shared" si="262"/>
        <v>1682</v>
      </c>
      <c r="I196" s="303"/>
      <c r="J196" s="311"/>
      <c r="K196" s="311"/>
      <c r="L196" s="311"/>
      <c r="M196" s="303"/>
      <c r="N196" s="311"/>
      <c r="O196" s="311"/>
      <c r="P196" s="303"/>
      <c r="Q196" s="311"/>
      <c r="R196" s="311"/>
      <c r="S196" s="303"/>
      <c r="T196" s="303"/>
      <c r="U196" s="303"/>
      <c r="V196" s="303"/>
      <c r="W196" s="303">
        <f t="shared" si="267"/>
        <v>1682</v>
      </c>
      <c r="X196" s="303"/>
      <c r="Y196" s="303"/>
      <c r="Z196" s="303">
        <f>Z189-Z190-Z191-Z192-Z193-Z194-Z195</f>
        <v>1682</v>
      </c>
      <c r="AA196" s="303"/>
      <c r="AB196" s="304">
        <f>-ROUND(AB188*50%,0)</f>
        <v>-3594</v>
      </c>
      <c r="AC196" s="304"/>
      <c r="AD196" s="304">
        <v>0</v>
      </c>
      <c r="AE196" s="303">
        <f t="shared" si="268"/>
        <v>5276</v>
      </c>
      <c r="AF196" s="596" t="s">
        <v>2546</v>
      </c>
      <c r="AG196" s="314">
        <f t="shared" si="201"/>
        <v>0</v>
      </c>
      <c r="AH196" s="696">
        <f t="shared" si="202"/>
        <v>0</v>
      </c>
      <c r="AI196" s="314">
        <f t="shared" si="203"/>
        <v>0</v>
      </c>
      <c r="AJ196" s="314">
        <f t="shared" si="204"/>
        <v>0</v>
      </c>
      <c r="AK196" s="314">
        <f t="shared" si="205"/>
        <v>0</v>
      </c>
      <c r="AL196" s="314">
        <f t="shared" si="206"/>
        <v>0</v>
      </c>
      <c r="AM196" s="314">
        <f t="shared" si="207"/>
        <v>0</v>
      </c>
      <c r="AN196" s="314">
        <f t="shared" si="208"/>
        <v>0</v>
      </c>
      <c r="AO196" s="314">
        <f t="shared" si="209"/>
        <v>0</v>
      </c>
      <c r="AP196" s="314">
        <f t="shared" si="210"/>
        <v>0</v>
      </c>
    </row>
    <row r="197" spans="1:42" ht="27.6" outlineLevel="1">
      <c r="A197" s="593" t="s">
        <v>1110</v>
      </c>
      <c r="B197" s="1279" t="s">
        <v>1723</v>
      </c>
      <c r="C197" s="304"/>
      <c r="D197" s="304">
        <v>9850</v>
      </c>
      <c r="E197" s="304">
        <f>E198+E201+E202+E203</f>
        <v>16326</v>
      </c>
      <c r="F197" s="304">
        <f t="shared" ref="F197:AC197" si="269">F198+F201+F202+F203</f>
        <v>16326</v>
      </c>
      <c r="G197" s="304">
        <f t="shared" si="269"/>
        <v>6476</v>
      </c>
      <c r="H197" s="304">
        <f t="shared" si="269"/>
        <v>16326</v>
      </c>
      <c r="I197" s="304">
        <f t="shared" si="269"/>
        <v>0</v>
      </c>
      <c r="J197" s="304">
        <f t="shared" si="269"/>
        <v>0</v>
      </c>
      <c r="K197" s="304">
        <f t="shared" si="269"/>
        <v>0</v>
      </c>
      <c r="L197" s="304">
        <f t="shared" si="269"/>
        <v>0</v>
      </c>
      <c r="M197" s="304">
        <f t="shared" si="269"/>
        <v>0</v>
      </c>
      <c r="N197" s="304">
        <f t="shared" si="269"/>
        <v>0</v>
      </c>
      <c r="O197" s="304">
        <f t="shared" si="269"/>
        <v>0</v>
      </c>
      <c r="P197" s="304">
        <f t="shared" si="269"/>
        <v>0</v>
      </c>
      <c r="Q197" s="304">
        <f t="shared" si="269"/>
        <v>0</v>
      </c>
      <c r="R197" s="304">
        <f t="shared" si="269"/>
        <v>0</v>
      </c>
      <c r="S197" s="304">
        <f t="shared" si="269"/>
        <v>0</v>
      </c>
      <c r="T197" s="304">
        <f t="shared" si="269"/>
        <v>0</v>
      </c>
      <c r="U197" s="304">
        <f t="shared" si="269"/>
        <v>0</v>
      </c>
      <c r="V197" s="304">
        <f t="shared" si="269"/>
        <v>0</v>
      </c>
      <c r="W197" s="304">
        <f t="shared" si="269"/>
        <v>16326</v>
      </c>
      <c r="X197" s="304">
        <f t="shared" si="269"/>
        <v>0</v>
      </c>
      <c r="Y197" s="304">
        <f t="shared" si="269"/>
        <v>0</v>
      </c>
      <c r="Z197" s="304">
        <f t="shared" si="269"/>
        <v>5850</v>
      </c>
      <c r="AA197" s="304">
        <f t="shared" si="269"/>
        <v>10476</v>
      </c>
      <c r="AB197" s="304">
        <f t="shared" si="269"/>
        <v>0</v>
      </c>
      <c r="AC197" s="304">
        <f t="shared" si="269"/>
        <v>0</v>
      </c>
      <c r="AD197" s="304">
        <f t="shared" ref="AD197:AE197" si="270">AD198+AD201</f>
        <v>1332</v>
      </c>
      <c r="AE197" s="304">
        <f t="shared" si="270"/>
        <v>12103</v>
      </c>
      <c r="AF197" s="1280"/>
      <c r="AG197" s="314">
        <f t="shared" si="201"/>
        <v>0</v>
      </c>
      <c r="AH197" s="696">
        <f t="shared" si="202"/>
        <v>0</v>
      </c>
      <c r="AI197" s="314">
        <f t="shared" si="203"/>
        <v>0</v>
      </c>
      <c r="AJ197" s="314">
        <f t="shared" si="204"/>
        <v>0</v>
      </c>
      <c r="AK197" s="314">
        <f t="shared" si="205"/>
        <v>0</v>
      </c>
      <c r="AL197" s="314">
        <f t="shared" si="206"/>
        <v>0</v>
      </c>
      <c r="AM197" s="314">
        <f t="shared" si="207"/>
        <v>0</v>
      </c>
      <c r="AN197" s="314">
        <f t="shared" si="208"/>
        <v>0</v>
      </c>
      <c r="AO197" s="314">
        <f t="shared" si="209"/>
        <v>0</v>
      </c>
      <c r="AP197" s="314">
        <f t="shared" si="210"/>
        <v>0</v>
      </c>
    </row>
    <row r="198" spans="1:42" ht="69" outlineLevel="1">
      <c r="A198" s="593" t="s">
        <v>23</v>
      </c>
      <c r="B198" s="1281" t="s">
        <v>1859</v>
      </c>
      <c r="C198" s="304"/>
      <c r="D198" s="304">
        <v>5850</v>
      </c>
      <c r="E198" s="304">
        <f t="shared" si="218"/>
        <v>6435</v>
      </c>
      <c r="F198" s="304">
        <f t="shared" ref="F198:F209" si="271">H198-AB198</f>
        <v>6435</v>
      </c>
      <c r="G198" s="304">
        <f t="shared" ref="G198:G209" si="272">F198-D198</f>
        <v>585</v>
      </c>
      <c r="H198" s="303">
        <f t="shared" ref="H198:H203" si="273">I198+W198</f>
        <v>6435</v>
      </c>
      <c r="I198" s="303">
        <f>M198+P198</f>
        <v>0</v>
      </c>
      <c r="J198" s="311"/>
      <c r="K198" s="311"/>
      <c r="L198" s="311"/>
      <c r="M198" s="303"/>
      <c r="N198" s="311"/>
      <c r="O198" s="311"/>
      <c r="P198" s="303">
        <f>S198+T198</f>
        <v>0</v>
      </c>
      <c r="Q198" s="311"/>
      <c r="R198" s="312"/>
      <c r="S198" s="303"/>
      <c r="T198" s="303">
        <f>U198+V198</f>
        <v>0</v>
      </c>
      <c r="U198" s="303"/>
      <c r="V198" s="303"/>
      <c r="W198" s="303">
        <f t="shared" ref="W198:W203" si="274">Z198+AA198</f>
        <v>6435</v>
      </c>
      <c r="X198" s="303"/>
      <c r="Y198" s="303"/>
      <c r="Z198" s="303">
        <v>5850</v>
      </c>
      <c r="AA198" s="303">
        <v>585</v>
      </c>
      <c r="AB198" s="303"/>
      <c r="AC198" s="303"/>
      <c r="AD198" s="303">
        <v>632</v>
      </c>
      <c r="AE198" s="303">
        <f>E198-AD198</f>
        <v>5803</v>
      </c>
      <c r="AF198" s="1282"/>
      <c r="AG198" s="314">
        <f t="shared" si="201"/>
        <v>0</v>
      </c>
      <c r="AH198" s="696">
        <f t="shared" si="202"/>
        <v>0</v>
      </c>
      <c r="AI198" s="314">
        <f t="shared" si="203"/>
        <v>0</v>
      </c>
      <c r="AJ198" s="314">
        <f t="shared" si="204"/>
        <v>0</v>
      </c>
      <c r="AK198" s="314">
        <f t="shared" si="205"/>
        <v>0</v>
      </c>
      <c r="AL198" s="314">
        <f t="shared" si="206"/>
        <v>0</v>
      </c>
      <c r="AM198" s="314">
        <f t="shared" si="207"/>
        <v>0</v>
      </c>
      <c r="AN198" s="314">
        <f t="shared" si="208"/>
        <v>0</v>
      </c>
      <c r="AO198" s="314">
        <f t="shared" si="209"/>
        <v>0</v>
      </c>
      <c r="AP198" s="314">
        <f t="shared" si="210"/>
        <v>0</v>
      </c>
    </row>
    <row r="199" spans="1:42" ht="41.4" outlineLevel="2">
      <c r="A199" s="593" t="s">
        <v>281</v>
      </c>
      <c r="B199" s="1281" t="s">
        <v>2080</v>
      </c>
      <c r="C199" s="304"/>
      <c r="D199" s="304"/>
      <c r="E199" s="304">
        <f t="shared" si="218"/>
        <v>128</v>
      </c>
      <c r="F199" s="304">
        <f t="shared" si="271"/>
        <v>128</v>
      </c>
      <c r="G199" s="304">
        <f t="shared" si="272"/>
        <v>128</v>
      </c>
      <c r="H199" s="303">
        <f t="shared" si="273"/>
        <v>128</v>
      </c>
      <c r="I199" s="303">
        <f t="shared" ref="I199:I200" si="275">M199+P199</f>
        <v>0</v>
      </c>
      <c r="J199" s="311"/>
      <c r="K199" s="311"/>
      <c r="L199" s="311"/>
      <c r="M199" s="303"/>
      <c r="N199" s="311"/>
      <c r="O199" s="311"/>
      <c r="P199" s="303">
        <f t="shared" ref="P199:P200" si="276">S199+T199</f>
        <v>0</v>
      </c>
      <c r="Q199" s="311"/>
      <c r="R199" s="312"/>
      <c r="S199" s="303"/>
      <c r="T199" s="303">
        <f t="shared" ref="T199:T200" si="277">U199+V199</f>
        <v>0</v>
      </c>
      <c r="U199" s="303"/>
      <c r="V199" s="303"/>
      <c r="W199" s="303">
        <f t="shared" si="274"/>
        <v>128</v>
      </c>
      <c r="X199" s="303"/>
      <c r="Y199" s="303"/>
      <c r="Z199" s="303">
        <v>113</v>
      </c>
      <c r="AA199" s="303">
        <v>15</v>
      </c>
      <c r="AB199" s="303"/>
      <c r="AC199" s="303"/>
      <c r="AD199" s="303">
        <v>700</v>
      </c>
      <c r="AE199" s="303">
        <f t="shared" ref="AE199:AE200" si="278">E199-AD199</f>
        <v>-572</v>
      </c>
      <c r="AF199" s="1282" t="s">
        <v>2528</v>
      </c>
      <c r="AG199" s="314">
        <f t="shared" si="201"/>
        <v>0</v>
      </c>
      <c r="AH199" s="696">
        <f t="shared" si="202"/>
        <v>0</v>
      </c>
      <c r="AI199" s="314">
        <f t="shared" si="203"/>
        <v>0</v>
      </c>
      <c r="AJ199" s="314">
        <f t="shared" si="204"/>
        <v>0</v>
      </c>
      <c r="AK199" s="314">
        <f t="shared" si="205"/>
        <v>0</v>
      </c>
      <c r="AL199" s="314">
        <f t="shared" si="206"/>
        <v>0</v>
      </c>
      <c r="AM199" s="314">
        <f t="shared" si="207"/>
        <v>0</v>
      </c>
      <c r="AN199" s="314">
        <f t="shared" si="208"/>
        <v>0</v>
      </c>
      <c r="AO199" s="314">
        <f t="shared" si="209"/>
        <v>0</v>
      </c>
      <c r="AP199" s="314">
        <f t="shared" si="210"/>
        <v>0</v>
      </c>
    </row>
    <row r="200" spans="1:42" ht="41.4" outlineLevel="2">
      <c r="A200" s="593" t="s">
        <v>281</v>
      </c>
      <c r="B200" s="1281" t="s">
        <v>2081</v>
      </c>
      <c r="C200" s="304"/>
      <c r="D200" s="304"/>
      <c r="E200" s="304">
        <f t="shared" si="218"/>
        <v>6307</v>
      </c>
      <c r="F200" s="304">
        <f t="shared" si="271"/>
        <v>6307</v>
      </c>
      <c r="G200" s="304">
        <f t="shared" si="272"/>
        <v>6307</v>
      </c>
      <c r="H200" s="303">
        <f t="shared" si="273"/>
        <v>6307</v>
      </c>
      <c r="I200" s="303">
        <f t="shared" si="275"/>
        <v>0</v>
      </c>
      <c r="J200" s="311"/>
      <c r="K200" s="311"/>
      <c r="L200" s="311"/>
      <c r="M200" s="303"/>
      <c r="N200" s="311"/>
      <c r="O200" s="311"/>
      <c r="P200" s="303">
        <f t="shared" si="276"/>
        <v>0</v>
      </c>
      <c r="Q200" s="311"/>
      <c r="R200" s="312"/>
      <c r="S200" s="303"/>
      <c r="T200" s="303">
        <f t="shared" si="277"/>
        <v>0</v>
      </c>
      <c r="U200" s="303"/>
      <c r="V200" s="303"/>
      <c r="W200" s="303">
        <f t="shared" si="274"/>
        <v>6307</v>
      </c>
      <c r="X200" s="303"/>
      <c r="Y200" s="303"/>
      <c r="Z200" s="303">
        <f>Z198-Z199</f>
        <v>5737</v>
      </c>
      <c r="AA200" s="303">
        <f>AA198-AA199</f>
        <v>570</v>
      </c>
      <c r="AB200" s="303"/>
      <c r="AC200" s="303"/>
      <c r="AD200" s="303">
        <v>0</v>
      </c>
      <c r="AE200" s="303">
        <f t="shared" si="278"/>
        <v>6307</v>
      </c>
      <c r="AF200" s="1282"/>
      <c r="AG200" s="314">
        <f t="shared" si="201"/>
        <v>0</v>
      </c>
      <c r="AH200" s="696">
        <f t="shared" si="202"/>
        <v>0</v>
      </c>
      <c r="AI200" s="314">
        <f t="shared" si="203"/>
        <v>0</v>
      </c>
      <c r="AJ200" s="314">
        <f t="shared" si="204"/>
        <v>0</v>
      </c>
      <c r="AK200" s="314">
        <f t="shared" si="205"/>
        <v>0</v>
      </c>
      <c r="AL200" s="314">
        <f t="shared" si="206"/>
        <v>0</v>
      </c>
      <c r="AM200" s="314">
        <f t="shared" si="207"/>
        <v>0</v>
      </c>
      <c r="AN200" s="314">
        <f t="shared" si="208"/>
        <v>0</v>
      </c>
      <c r="AO200" s="314">
        <f t="shared" si="209"/>
        <v>0</v>
      </c>
      <c r="AP200" s="314">
        <f t="shared" si="210"/>
        <v>0</v>
      </c>
    </row>
    <row r="201" spans="1:42" ht="55.2" outlineLevel="1">
      <c r="A201" s="593" t="s">
        <v>23</v>
      </c>
      <c r="B201" s="1281" t="s">
        <v>1805</v>
      </c>
      <c r="C201" s="304"/>
      <c r="D201" s="304">
        <v>4000</v>
      </c>
      <c r="E201" s="304">
        <f t="shared" si="218"/>
        <v>7000</v>
      </c>
      <c r="F201" s="304">
        <f t="shared" si="271"/>
        <v>7000</v>
      </c>
      <c r="G201" s="304">
        <f t="shared" si="272"/>
        <v>3000</v>
      </c>
      <c r="H201" s="303">
        <f t="shared" si="273"/>
        <v>7000</v>
      </c>
      <c r="I201" s="303">
        <f>M201+P201</f>
        <v>0</v>
      </c>
      <c r="J201" s="311"/>
      <c r="K201" s="311"/>
      <c r="L201" s="311"/>
      <c r="M201" s="303"/>
      <c r="N201" s="311"/>
      <c r="O201" s="311"/>
      <c r="P201" s="303">
        <f>S201+T201</f>
        <v>0</v>
      </c>
      <c r="Q201" s="311"/>
      <c r="R201" s="312"/>
      <c r="S201" s="303"/>
      <c r="T201" s="303">
        <f>U201+V201</f>
        <v>0</v>
      </c>
      <c r="U201" s="303"/>
      <c r="V201" s="303"/>
      <c r="W201" s="303">
        <f t="shared" si="274"/>
        <v>7000</v>
      </c>
      <c r="X201" s="303"/>
      <c r="Y201" s="303"/>
      <c r="Z201" s="303"/>
      <c r="AA201" s="303">
        <v>7000</v>
      </c>
      <c r="AB201" s="303"/>
      <c r="AC201" s="303"/>
      <c r="AD201" s="303">
        <v>700</v>
      </c>
      <c r="AE201" s="303">
        <f>E201-AD201</f>
        <v>6300</v>
      </c>
      <c r="AF201" s="1282" t="s">
        <v>2547</v>
      </c>
      <c r="AG201" s="314">
        <f t="shared" si="201"/>
        <v>0</v>
      </c>
      <c r="AH201" s="696">
        <f t="shared" si="202"/>
        <v>0</v>
      </c>
      <c r="AI201" s="314">
        <f t="shared" si="203"/>
        <v>0</v>
      </c>
      <c r="AJ201" s="314">
        <f t="shared" si="204"/>
        <v>0</v>
      </c>
      <c r="AK201" s="314">
        <f t="shared" si="205"/>
        <v>0</v>
      </c>
      <c r="AL201" s="314">
        <f t="shared" si="206"/>
        <v>0</v>
      </c>
      <c r="AM201" s="314">
        <f t="shared" si="207"/>
        <v>0</v>
      </c>
      <c r="AN201" s="314">
        <f t="shared" si="208"/>
        <v>0</v>
      </c>
      <c r="AO201" s="314">
        <f t="shared" si="209"/>
        <v>0</v>
      </c>
      <c r="AP201" s="314">
        <f t="shared" si="210"/>
        <v>0</v>
      </c>
    </row>
    <row r="202" spans="1:42" ht="96.6" outlineLevel="1">
      <c r="A202" s="593" t="s">
        <v>23</v>
      </c>
      <c r="B202" s="1281" t="s">
        <v>2082</v>
      </c>
      <c r="C202" s="304"/>
      <c r="D202" s="304"/>
      <c r="E202" s="304">
        <f t="shared" si="218"/>
        <v>591</v>
      </c>
      <c r="F202" s="304">
        <f t="shared" si="271"/>
        <v>591</v>
      </c>
      <c r="G202" s="304">
        <f t="shared" si="272"/>
        <v>591</v>
      </c>
      <c r="H202" s="303">
        <f t="shared" si="273"/>
        <v>591</v>
      </c>
      <c r="I202" s="303">
        <f>M202+P202</f>
        <v>0</v>
      </c>
      <c r="J202" s="311"/>
      <c r="K202" s="311"/>
      <c r="L202" s="311"/>
      <c r="M202" s="303"/>
      <c r="N202" s="311"/>
      <c r="O202" s="311"/>
      <c r="P202" s="303">
        <f>S202+T202</f>
        <v>0</v>
      </c>
      <c r="Q202" s="311"/>
      <c r="R202" s="312"/>
      <c r="S202" s="303"/>
      <c r="T202" s="303">
        <f>U202+V202</f>
        <v>0</v>
      </c>
      <c r="U202" s="303"/>
      <c r="V202" s="303"/>
      <c r="W202" s="303">
        <f t="shared" si="274"/>
        <v>591</v>
      </c>
      <c r="X202" s="303"/>
      <c r="Y202" s="303"/>
      <c r="Z202" s="303"/>
      <c r="AA202" s="303">
        <v>591</v>
      </c>
      <c r="AB202" s="303"/>
      <c r="AC202" s="303"/>
      <c r="AD202" s="303"/>
      <c r="AE202" s="303"/>
      <c r="AF202" s="1282" t="s">
        <v>2534</v>
      </c>
      <c r="AG202" s="314">
        <f t="shared" si="201"/>
        <v>0</v>
      </c>
      <c r="AH202" s="696">
        <f t="shared" si="202"/>
        <v>0</v>
      </c>
      <c r="AI202" s="314">
        <f t="shared" si="203"/>
        <v>0</v>
      </c>
      <c r="AJ202" s="314">
        <f t="shared" si="204"/>
        <v>0</v>
      </c>
      <c r="AK202" s="314">
        <f t="shared" si="205"/>
        <v>0</v>
      </c>
      <c r="AL202" s="314">
        <f t="shared" si="206"/>
        <v>0</v>
      </c>
      <c r="AM202" s="314">
        <f t="shared" si="207"/>
        <v>0</v>
      </c>
      <c r="AN202" s="314">
        <f t="shared" si="208"/>
        <v>0</v>
      </c>
      <c r="AO202" s="314">
        <f t="shared" si="209"/>
        <v>0</v>
      </c>
      <c r="AP202" s="314">
        <f t="shared" si="210"/>
        <v>0</v>
      </c>
    </row>
    <row r="203" spans="1:42" ht="82.8" outlineLevel="1">
      <c r="A203" s="593" t="s">
        <v>23</v>
      </c>
      <c r="B203" s="1281" t="s">
        <v>2277</v>
      </c>
      <c r="C203" s="304"/>
      <c r="D203" s="304"/>
      <c r="E203" s="304">
        <f t="shared" si="218"/>
        <v>2300</v>
      </c>
      <c r="F203" s="304">
        <f t="shared" si="271"/>
        <v>2300</v>
      </c>
      <c r="G203" s="304">
        <f t="shared" si="272"/>
        <v>2300</v>
      </c>
      <c r="H203" s="303">
        <f t="shared" si="273"/>
        <v>2300</v>
      </c>
      <c r="I203" s="303">
        <f>M203+P203</f>
        <v>0</v>
      </c>
      <c r="J203" s="311"/>
      <c r="K203" s="311"/>
      <c r="L203" s="311"/>
      <c r="M203" s="303"/>
      <c r="N203" s="311"/>
      <c r="O203" s="311"/>
      <c r="P203" s="303">
        <f>S203+T203</f>
        <v>0</v>
      </c>
      <c r="Q203" s="311"/>
      <c r="R203" s="312"/>
      <c r="S203" s="303"/>
      <c r="T203" s="303">
        <f>U203+V203</f>
        <v>0</v>
      </c>
      <c r="U203" s="303"/>
      <c r="V203" s="303"/>
      <c r="W203" s="303">
        <f t="shared" si="274"/>
        <v>2300</v>
      </c>
      <c r="X203" s="303"/>
      <c r="Y203" s="303"/>
      <c r="Z203" s="303"/>
      <c r="AA203" s="303">
        <v>2300</v>
      </c>
      <c r="AB203" s="303"/>
      <c r="AC203" s="303"/>
      <c r="AD203" s="303"/>
      <c r="AE203" s="303"/>
      <c r="AF203" s="1263" t="s">
        <v>2529</v>
      </c>
      <c r="AG203" s="314">
        <f t="shared" si="201"/>
        <v>0</v>
      </c>
      <c r="AH203" s="696">
        <f t="shared" si="202"/>
        <v>0</v>
      </c>
      <c r="AI203" s="314">
        <f t="shared" si="203"/>
        <v>0</v>
      </c>
      <c r="AJ203" s="314">
        <f t="shared" si="204"/>
        <v>0</v>
      </c>
      <c r="AK203" s="314">
        <f t="shared" si="205"/>
        <v>0</v>
      </c>
      <c r="AL203" s="314">
        <f t="shared" si="206"/>
        <v>0</v>
      </c>
      <c r="AM203" s="314">
        <f t="shared" si="207"/>
        <v>0</v>
      </c>
      <c r="AN203" s="314">
        <f t="shared" si="208"/>
        <v>0</v>
      </c>
      <c r="AO203" s="314">
        <f t="shared" si="209"/>
        <v>0</v>
      </c>
      <c r="AP203" s="314">
        <f t="shared" si="210"/>
        <v>0</v>
      </c>
    </row>
    <row r="204" spans="1:42" s="322" customFormat="1" ht="27.6" outlineLevel="1">
      <c r="A204" s="583" t="s">
        <v>47</v>
      </c>
      <c r="B204" s="316" t="s">
        <v>898</v>
      </c>
      <c r="C204" s="302"/>
      <c r="D204" s="304">
        <v>14850</v>
      </c>
      <c r="E204" s="304">
        <f t="shared" si="218"/>
        <v>13796</v>
      </c>
      <c r="F204" s="304">
        <f t="shared" si="271"/>
        <v>13796</v>
      </c>
      <c r="G204" s="304">
        <f t="shared" si="272"/>
        <v>-1054</v>
      </c>
      <c r="H204" s="303">
        <f>H205+H206+H207+H208+H209</f>
        <v>13796</v>
      </c>
      <c r="I204" s="303">
        <f t="shared" ref="I204:AE204" si="279">I205+I206+I207+I208+I209</f>
        <v>0</v>
      </c>
      <c r="J204" s="303">
        <f t="shared" si="279"/>
        <v>0</v>
      </c>
      <c r="K204" s="303">
        <f t="shared" si="279"/>
        <v>0</v>
      </c>
      <c r="L204" s="303">
        <f t="shared" si="279"/>
        <v>0</v>
      </c>
      <c r="M204" s="303">
        <f t="shared" si="279"/>
        <v>0</v>
      </c>
      <c r="N204" s="303">
        <f t="shared" si="279"/>
        <v>0</v>
      </c>
      <c r="O204" s="303">
        <f t="shared" si="279"/>
        <v>0</v>
      </c>
      <c r="P204" s="303">
        <f t="shared" si="279"/>
        <v>0</v>
      </c>
      <c r="Q204" s="303">
        <f t="shared" si="279"/>
        <v>0</v>
      </c>
      <c r="R204" s="303">
        <f t="shared" si="279"/>
        <v>0</v>
      </c>
      <c r="S204" s="303">
        <f t="shared" si="279"/>
        <v>0</v>
      </c>
      <c r="T204" s="303">
        <f t="shared" si="279"/>
        <v>0</v>
      </c>
      <c r="U204" s="303">
        <f t="shared" si="279"/>
        <v>0</v>
      </c>
      <c r="V204" s="303">
        <f t="shared" si="279"/>
        <v>0</v>
      </c>
      <c r="W204" s="303">
        <f t="shared" si="279"/>
        <v>13796</v>
      </c>
      <c r="X204" s="303">
        <f t="shared" si="279"/>
        <v>0</v>
      </c>
      <c r="Y204" s="303">
        <f t="shared" si="279"/>
        <v>0</v>
      </c>
      <c r="Z204" s="303">
        <f t="shared" si="279"/>
        <v>13796</v>
      </c>
      <c r="AA204" s="303">
        <f t="shared" si="279"/>
        <v>0</v>
      </c>
      <c r="AB204" s="303">
        <f t="shared" si="279"/>
        <v>0</v>
      </c>
      <c r="AC204" s="303">
        <f t="shared" si="279"/>
        <v>0</v>
      </c>
      <c r="AD204" s="303">
        <f t="shared" si="279"/>
        <v>0</v>
      </c>
      <c r="AE204" s="303">
        <f t="shared" si="279"/>
        <v>13796</v>
      </c>
      <c r="AF204" s="317" t="s">
        <v>2530</v>
      </c>
      <c r="AG204" s="314">
        <f t="shared" si="201"/>
        <v>0</v>
      </c>
      <c r="AH204" s="696">
        <f t="shared" si="202"/>
        <v>0</v>
      </c>
      <c r="AI204" s="314">
        <f t="shared" si="203"/>
        <v>0</v>
      </c>
      <c r="AJ204" s="314">
        <f t="shared" si="204"/>
        <v>0</v>
      </c>
      <c r="AK204" s="314">
        <f t="shared" si="205"/>
        <v>0</v>
      </c>
      <c r="AL204" s="314">
        <f t="shared" si="206"/>
        <v>0</v>
      </c>
      <c r="AM204" s="314">
        <f t="shared" si="207"/>
        <v>0</v>
      </c>
      <c r="AN204" s="314">
        <f t="shared" si="208"/>
        <v>0</v>
      </c>
      <c r="AO204" s="314">
        <f t="shared" si="209"/>
        <v>0</v>
      </c>
      <c r="AP204" s="314">
        <f t="shared" si="210"/>
        <v>0</v>
      </c>
    </row>
    <row r="205" spans="1:42" s="322" customFormat="1" ht="27.6" outlineLevel="1" collapsed="1">
      <c r="A205" s="583" t="s">
        <v>23</v>
      </c>
      <c r="B205" s="316" t="s">
        <v>899</v>
      </c>
      <c r="C205" s="302"/>
      <c r="D205" s="304">
        <v>9023</v>
      </c>
      <c r="E205" s="304">
        <f t="shared" si="218"/>
        <v>6521</v>
      </c>
      <c r="F205" s="304">
        <f t="shared" si="271"/>
        <v>6521</v>
      </c>
      <c r="G205" s="304">
        <f t="shared" si="272"/>
        <v>-2502</v>
      </c>
      <c r="H205" s="303">
        <f t="shared" ref="H205:H228" si="280">I205+W205</f>
        <v>6521</v>
      </c>
      <c r="I205" s="303">
        <f>M205+P205</f>
        <v>0</v>
      </c>
      <c r="J205" s="311"/>
      <c r="K205" s="311"/>
      <c r="L205" s="311"/>
      <c r="M205" s="303"/>
      <c r="N205" s="311"/>
      <c r="O205" s="311"/>
      <c r="P205" s="303">
        <f t="shared" ref="P205" si="281">S205+T205</f>
        <v>0</v>
      </c>
      <c r="Q205" s="311"/>
      <c r="R205" s="312"/>
      <c r="S205" s="303"/>
      <c r="T205" s="303">
        <f t="shared" ref="T205" si="282">U205+V205</f>
        <v>0</v>
      </c>
      <c r="U205" s="303"/>
      <c r="V205" s="303"/>
      <c r="W205" s="303">
        <f>Z205+AA205</f>
        <v>6521</v>
      </c>
      <c r="X205" s="303"/>
      <c r="Y205" s="303"/>
      <c r="Z205" s="303">
        <v>6521</v>
      </c>
      <c r="AA205" s="303"/>
      <c r="AB205" s="304"/>
      <c r="AC205" s="304"/>
      <c r="AD205" s="304">
        <v>0</v>
      </c>
      <c r="AE205" s="303">
        <f>E205-AD205</f>
        <v>6521</v>
      </c>
      <c r="AF205" s="317"/>
      <c r="AG205" s="314">
        <f t="shared" si="201"/>
        <v>0</v>
      </c>
      <c r="AH205" s="696">
        <f t="shared" si="202"/>
        <v>0</v>
      </c>
      <c r="AI205" s="314">
        <f t="shared" si="203"/>
        <v>0</v>
      </c>
      <c r="AJ205" s="314">
        <f t="shared" si="204"/>
        <v>0</v>
      </c>
      <c r="AK205" s="314">
        <f t="shared" si="205"/>
        <v>0</v>
      </c>
      <c r="AL205" s="314">
        <f t="shared" si="206"/>
        <v>0</v>
      </c>
      <c r="AM205" s="314">
        <f t="shared" si="207"/>
        <v>0</v>
      </c>
      <c r="AN205" s="314">
        <f t="shared" si="208"/>
        <v>0</v>
      </c>
      <c r="AO205" s="314">
        <f t="shared" si="209"/>
        <v>0</v>
      </c>
      <c r="AP205" s="314">
        <f t="shared" si="210"/>
        <v>0</v>
      </c>
    </row>
    <row r="206" spans="1:42" s="322" customFormat="1" ht="27.6" outlineLevel="1">
      <c r="A206" s="583" t="s">
        <v>23</v>
      </c>
      <c r="B206" s="316" t="s">
        <v>1602</v>
      </c>
      <c r="C206" s="302"/>
      <c r="D206" s="304">
        <v>34</v>
      </c>
      <c r="E206" s="304">
        <f t="shared" si="218"/>
        <v>71</v>
      </c>
      <c r="F206" s="304">
        <f t="shared" si="271"/>
        <v>71</v>
      </c>
      <c r="G206" s="304">
        <f t="shared" si="272"/>
        <v>37</v>
      </c>
      <c r="H206" s="303">
        <f t="shared" si="280"/>
        <v>71</v>
      </c>
      <c r="I206" s="303"/>
      <c r="J206" s="311"/>
      <c r="K206" s="311"/>
      <c r="L206" s="311"/>
      <c r="M206" s="303"/>
      <c r="N206" s="311"/>
      <c r="O206" s="311"/>
      <c r="P206" s="303"/>
      <c r="Q206" s="311"/>
      <c r="R206" s="312"/>
      <c r="S206" s="303"/>
      <c r="T206" s="303"/>
      <c r="U206" s="303"/>
      <c r="V206" s="303"/>
      <c r="W206" s="303">
        <f>Z206+AA206</f>
        <v>71</v>
      </c>
      <c r="X206" s="303"/>
      <c r="Y206" s="303"/>
      <c r="Z206" s="303">
        <v>71</v>
      </c>
      <c r="AA206" s="303"/>
      <c r="AB206" s="304"/>
      <c r="AC206" s="304"/>
      <c r="AD206" s="304">
        <v>0</v>
      </c>
      <c r="AE206" s="303">
        <f>E206-AD206</f>
        <v>71</v>
      </c>
      <c r="AF206" s="317"/>
      <c r="AG206" s="314">
        <f t="shared" si="201"/>
        <v>0</v>
      </c>
      <c r="AH206" s="696">
        <f t="shared" si="202"/>
        <v>0</v>
      </c>
      <c r="AI206" s="314">
        <f t="shared" si="203"/>
        <v>0</v>
      </c>
      <c r="AJ206" s="314">
        <f t="shared" si="204"/>
        <v>0</v>
      </c>
      <c r="AK206" s="314">
        <f t="shared" si="205"/>
        <v>0</v>
      </c>
      <c r="AL206" s="314">
        <f t="shared" si="206"/>
        <v>0</v>
      </c>
      <c r="AM206" s="314">
        <f t="shared" si="207"/>
        <v>0</v>
      </c>
      <c r="AN206" s="314">
        <f t="shared" si="208"/>
        <v>0</v>
      </c>
      <c r="AO206" s="314">
        <f t="shared" si="209"/>
        <v>0</v>
      </c>
      <c r="AP206" s="314">
        <f t="shared" si="210"/>
        <v>0</v>
      </c>
    </row>
    <row r="207" spans="1:42" s="322" customFormat="1" ht="41.4" outlineLevel="1">
      <c r="A207" s="583" t="s">
        <v>23</v>
      </c>
      <c r="B207" s="316" t="s">
        <v>2083</v>
      </c>
      <c r="C207" s="302"/>
      <c r="D207" s="304">
        <v>5036</v>
      </c>
      <c r="E207" s="304">
        <f t="shared" si="218"/>
        <v>6406</v>
      </c>
      <c r="F207" s="304">
        <f t="shared" si="271"/>
        <v>6406</v>
      </c>
      <c r="G207" s="304">
        <f t="shared" si="272"/>
        <v>1370</v>
      </c>
      <c r="H207" s="303">
        <f t="shared" si="280"/>
        <v>6406</v>
      </c>
      <c r="I207" s="303"/>
      <c r="J207" s="311"/>
      <c r="K207" s="311"/>
      <c r="L207" s="311"/>
      <c r="M207" s="303"/>
      <c r="N207" s="311"/>
      <c r="O207" s="311"/>
      <c r="P207" s="303"/>
      <c r="Q207" s="311"/>
      <c r="R207" s="312"/>
      <c r="S207" s="303"/>
      <c r="T207" s="303"/>
      <c r="U207" s="303"/>
      <c r="V207" s="303"/>
      <c r="W207" s="303">
        <f>Z207+AA207</f>
        <v>6406</v>
      </c>
      <c r="X207" s="303"/>
      <c r="Y207" s="303"/>
      <c r="Z207" s="303">
        <v>6406</v>
      </c>
      <c r="AA207" s="303"/>
      <c r="AB207" s="304"/>
      <c r="AC207" s="304"/>
      <c r="AD207" s="304">
        <v>0</v>
      </c>
      <c r="AE207" s="303">
        <f>E207-AD207</f>
        <v>6406</v>
      </c>
      <c r="AF207" s="317"/>
      <c r="AG207" s="314">
        <f t="shared" si="201"/>
        <v>0</v>
      </c>
      <c r="AH207" s="696">
        <f t="shared" si="202"/>
        <v>0</v>
      </c>
      <c r="AI207" s="314">
        <f t="shared" si="203"/>
        <v>0</v>
      </c>
      <c r="AJ207" s="314">
        <f t="shared" si="204"/>
        <v>0</v>
      </c>
      <c r="AK207" s="314">
        <f t="shared" si="205"/>
        <v>0</v>
      </c>
      <c r="AL207" s="314">
        <f t="shared" si="206"/>
        <v>0</v>
      </c>
      <c r="AM207" s="314">
        <f t="shared" si="207"/>
        <v>0</v>
      </c>
      <c r="AN207" s="314">
        <f t="shared" si="208"/>
        <v>0</v>
      </c>
      <c r="AO207" s="314">
        <f t="shared" si="209"/>
        <v>0</v>
      </c>
      <c r="AP207" s="314">
        <f t="shared" si="210"/>
        <v>0</v>
      </c>
    </row>
    <row r="208" spans="1:42" s="314" customFormat="1" ht="41.4" outlineLevel="1">
      <c r="A208" s="593" t="s">
        <v>23</v>
      </c>
      <c r="B208" s="335" t="s">
        <v>1603</v>
      </c>
      <c r="C208" s="334"/>
      <c r="D208" s="304">
        <v>755</v>
      </c>
      <c r="E208" s="304">
        <f t="shared" si="218"/>
        <v>792</v>
      </c>
      <c r="F208" s="304">
        <f t="shared" si="271"/>
        <v>792</v>
      </c>
      <c r="G208" s="304">
        <f t="shared" si="272"/>
        <v>37</v>
      </c>
      <c r="H208" s="303">
        <f t="shared" si="280"/>
        <v>792</v>
      </c>
      <c r="I208" s="303"/>
      <c r="J208" s="311"/>
      <c r="K208" s="311"/>
      <c r="L208" s="311"/>
      <c r="M208" s="303"/>
      <c r="N208" s="311"/>
      <c r="O208" s="311"/>
      <c r="P208" s="303"/>
      <c r="Q208" s="311"/>
      <c r="R208" s="312"/>
      <c r="S208" s="303"/>
      <c r="T208" s="303"/>
      <c r="U208" s="303"/>
      <c r="V208" s="303"/>
      <c r="W208" s="303">
        <f>Z208+AA208</f>
        <v>792</v>
      </c>
      <c r="X208" s="303"/>
      <c r="Y208" s="303"/>
      <c r="Z208" s="303">
        <v>792</v>
      </c>
      <c r="AA208" s="303"/>
      <c r="AB208" s="304"/>
      <c r="AC208" s="304"/>
      <c r="AD208" s="304">
        <v>0</v>
      </c>
      <c r="AE208" s="303">
        <f>E208-AD208</f>
        <v>792</v>
      </c>
      <c r="AF208" s="599"/>
      <c r="AG208" s="314">
        <f t="shared" ref="AG208:AG271" si="283">E208-F208-AC208</f>
        <v>0</v>
      </c>
      <c r="AH208" s="696">
        <f t="shared" ref="AH208:AH271" si="284">F208-H208+AB208</f>
        <v>0</v>
      </c>
      <c r="AI208" s="314">
        <f t="shared" ref="AI208:AI271" si="285">H208-I208-W208</f>
        <v>0</v>
      </c>
      <c r="AJ208" s="314">
        <f t="shared" ref="AJ208:AJ271" si="286">I208-M208-P208</f>
        <v>0</v>
      </c>
      <c r="AK208" s="314">
        <f t="shared" ref="AK208:AK271" si="287">J208-K208-L208</f>
        <v>0</v>
      </c>
      <c r="AL208" s="314">
        <f t="shared" ref="AL208:AL271" si="288">M208-N208-O208</f>
        <v>0</v>
      </c>
      <c r="AM208" s="314">
        <f t="shared" ref="AM208:AM271" si="289">P208-S208-T208</f>
        <v>0</v>
      </c>
      <c r="AN208" s="314">
        <f t="shared" ref="AN208:AN271" si="290">T208-U208-V208</f>
        <v>0</v>
      </c>
      <c r="AO208" s="314">
        <f t="shared" ref="AO208:AO271" si="291">W208-Z208-AA208</f>
        <v>0</v>
      </c>
      <c r="AP208" s="314">
        <f t="shared" ref="AP208:AP271" si="292">AC208+AA208+Z208+V208+U208+S208+O208+N208-AB208-E208</f>
        <v>0</v>
      </c>
    </row>
    <row r="209" spans="1:42" s="314" customFormat="1" ht="27.6" outlineLevel="1">
      <c r="A209" s="593" t="s">
        <v>23</v>
      </c>
      <c r="B209" s="335" t="s">
        <v>269</v>
      </c>
      <c r="C209" s="334"/>
      <c r="D209" s="304">
        <v>2</v>
      </c>
      <c r="E209" s="304">
        <f t="shared" si="218"/>
        <v>6</v>
      </c>
      <c r="F209" s="304">
        <f t="shared" si="271"/>
        <v>6</v>
      </c>
      <c r="G209" s="304">
        <f t="shared" si="272"/>
        <v>4</v>
      </c>
      <c r="H209" s="303">
        <f t="shared" si="280"/>
        <v>6</v>
      </c>
      <c r="I209" s="303"/>
      <c r="J209" s="311"/>
      <c r="K209" s="311"/>
      <c r="L209" s="311"/>
      <c r="M209" s="303"/>
      <c r="N209" s="311"/>
      <c r="O209" s="311"/>
      <c r="P209" s="303"/>
      <c r="Q209" s="311"/>
      <c r="R209" s="312"/>
      <c r="S209" s="303"/>
      <c r="T209" s="303"/>
      <c r="U209" s="303"/>
      <c r="V209" s="303"/>
      <c r="W209" s="303">
        <f t="shared" ref="W209" si="293">Z209+AA209</f>
        <v>6</v>
      </c>
      <c r="X209" s="303"/>
      <c r="Y209" s="303"/>
      <c r="Z209" s="303">
        <v>6</v>
      </c>
      <c r="AA209" s="303"/>
      <c r="AB209" s="304"/>
      <c r="AC209" s="304"/>
      <c r="AD209" s="304">
        <v>0</v>
      </c>
      <c r="AE209" s="303">
        <f>E209-AD209</f>
        <v>6</v>
      </c>
      <c r="AF209" s="599"/>
      <c r="AG209" s="314">
        <f t="shared" si="283"/>
        <v>0</v>
      </c>
      <c r="AH209" s="696">
        <f t="shared" si="284"/>
        <v>0</v>
      </c>
      <c r="AI209" s="314">
        <f t="shared" si="285"/>
        <v>0</v>
      </c>
      <c r="AJ209" s="314">
        <f t="shared" si="286"/>
        <v>0</v>
      </c>
      <c r="AK209" s="314">
        <f t="shared" si="287"/>
        <v>0</v>
      </c>
      <c r="AL209" s="314">
        <f t="shared" si="288"/>
        <v>0</v>
      </c>
      <c r="AM209" s="314">
        <f t="shared" si="289"/>
        <v>0</v>
      </c>
      <c r="AN209" s="314">
        <f t="shared" si="290"/>
        <v>0</v>
      </c>
      <c r="AO209" s="314">
        <f t="shared" si="291"/>
        <v>0</v>
      </c>
      <c r="AP209" s="314">
        <f t="shared" si="292"/>
        <v>0</v>
      </c>
    </row>
    <row r="210" spans="1:42" s="314" customFormat="1">
      <c r="A210" s="591" t="s">
        <v>1691</v>
      </c>
      <c r="B210" s="320" t="s">
        <v>900</v>
      </c>
      <c r="C210" s="298" t="s">
        <v>720</v>
      </c>
      <c r="D210" s="299">
        <f>D211+D212+D213</f>
        <v>8993</v>
      </c>
      <c r="E210" s="299">
        <f>E211+E212+E213</f>
        <v>2678</v>
      </c>
      <c r="F210" s="299">
        <f>F211+F212+F213</f>
        <v>2678</v>
      </c>
      <c r="G210" s="299">
        <f>G211+G212+G213</f>
        <v>-6315</v>
      </c>
      <c r="H210" s="299">
        <f t="shared" ref="H210:AE210" si="294">H211+H212+H213</f>
        <v>2678</v>
      </c>
      <c r="I210" s="299">
        <f t="shared" si="294"/>
        <v>0</v>
      </c>
      <c r="J210" s="299">
        <f t="shared" si="294"/>
        <v>0</v>
      </c>
      <c r="K210" s="299">
        <f t="shared" si="294"/>
        <v>0</v>
      </c>
      <c r="L210" s="299">
        <f t="shared" si="294"/>
        <v>0</v>
      </c>
      <c r="M210" s="299">
        <f t="shared" si="294"/>
        <v>0</v>
      </c>
      <c r="N210" s="299">
        <f t="shared" si="294"/>
        <v>0</v>
      </c>
      <c r="O210" s="299">
        <f t="shared" si="294"/>
        <v>0</v>
      </c>
      <c r="P210" s="299">
        <f t="shared" si="294"/>
        <v>0</v>
      </c>
      <c r="Q210" s="299">
        <f t="shared" si="294"/>
        <v>0</v>
      </c>
      <c r="R210" s="299">
        <f t="shared" si="294"/>
        <v>0</v>
      </c>
      <c r="S210" s="299">
        <f t="shared" si="294"/>
        <v>0</v>
      </c>
      <c r="T210" s="299">
        <f t="shared" si="294"/>
        <v>0</v>
      </c>
      <c r="U210" s="299">
        <f t="shared" si="294"/>
        <v>0</v>
      </c>
      <c r="V210" s="299">
        <f t="shared" si="294"/>
        <v>0</v>
      </c>
      <c r="W210" s="299">
        <f t="shared" si="294"/>
        <v>2678</v>
      </c>
      <c r="X210" s="299">
        <f t="shared" si="294"/>
        <v>0</v>
      </c>
      <c r="Y210" s="299">
        <f t="shared" si="294"/>
        <v>0</v>
      </c>
      <c r="Z210" s="299">
        <f t="shared" si="294"/>
        <v>2678</v>
      </c>
      <c r="AA210" s="299">
        <f t="shared" si="294"/>
        <v>0</v>
      </c>
      <c r="AB210" s="299">
        <f t="shared" si="294"/>
        <v>0</v>
      </c>
      <c r="AC210" s="299">
        <f t="shared" si="294"/>
        <v>0</v>
      </c>
      <c r="AD210" s="299">
        <f t="shared" si="294"/>
        <v>0</v>
      </c>
      <c r="AE210" s="299">
        <f t="shared" si="294"/>
        <v>2678</v>
      </c>
      <c r="AF210" s="321"/>
      <c r="AG210" s="314">
        <f t="shared" si="283"/>
        <v>0</v>
      </c>
      <c r="AH210" s="696">
        <f t="shared" si="284"/>
        <v>0</v>
      </c>
      <c r="AI210" s="314">
        <f t="shared" si="285"/>
        <v>0</v>
      </c>
      <c r="AJ210" s="314">
        <f t="shared" si="286"/>
        <v>0</v>
      </c>
      <c r="AK210" s="314">
        <f t="shared" si="287"/>
        <v>0</v>
      </c>
      <c r="AL210" s="314">
        <f t="shared" si="288"/>
        <v>0</v>
      </c>
      <c r="AM210" s="314">
        <f t="shared" si="289"/>
        <v>0</v>
      </c>
      <c r="AN210" s="314">
        <f t="shared" si="290"/>
        <v>0</v>
      </c>
      <c r="AO210" s="314">
        <f t="shared" si="291"/>
        <v>0</v>
      </c>
      <c r="AP210" s="314">
        <f t="shared" si="292"/>
        <v>0</v>
      </c>
    </row>
    <row r="211" spans="1:42" ht="55.2" outlineLevel="1">
      <c r="A211" s="593" t="s">
        <v>23</v>
      </c>
      <c r="B211" s="316" t="s">
        <v>901</v>
      </c>
      <c r="C211" s="302"/>
      <c r="D211" s="304">
        <v>2013</v>
      </c>
      <c r="E211" s="304">
        <f t="shared" si="218"/>
        <v>253</v>
      </c>
      <c r="F211" s="304">
        <f t="shared" ref="F211:F228" si="295">H211-AB211</f>
        <v>253</v>
      </c>
      <c r="G211" s="304">
        <f t="shared" ref="G211:G228" si="296">F211-D211</f>
        <v>-1760</v>
      </c>
      <c r="H211" s="303">
        <f>I211+W211</f>
        <v>253</v>
      </c>
      <c r="I211" s="303">
        <f>M211+P211</f>
        <v>0</v>
      </c>
      <c r="J211" s="311"/>
      <c r="K211" s="311"/>
      <c r="L211" s="311"/>
      <c r="M211" s="303"/>
      <c r="N211" s="311"/>
      <c r="O211" s="311"/>
      <c r="P211" s="303">
        <f>S211+T211</f>
        <v>0</v>
      </c>
      <c r="Q211" s="311"/>
      <c r="R211" s="312"/>
      <c r="S211" s="303"/>
      <c r="T211" s="303">
        <f>U211+V211</f>
        <v>0</v>
      </c>
      <c r="U211" s="303"/>
      <c r="V211" s="303"/>
      <c r="W211" s="303">
        <f>Z211+AA211</f>
        <v>253</v>
      </c>
      <c r="X211" s="303"/>
      <c r="Y211" s="303"/>
      <c r="Z211" s="303">
        <v>253</v>
      </c>
      <c r="AA211" s="303"/>
      <c r="AB211" s="304"/>
      <c r="AC211" s="304"/>
      <c r="AD211" s="304">
        <v>0</v>
      </c>
      <c r="AE211" s="303">
        <f t="shared" ref="AE211:AE224" si="297">E211-AD211</f>
        <v>253</v>
      </c>
      <c r="AF211" s="1263" t="s">
        <v>2548</v>
      </c>
      <c r="AG211" s="314">
        <f t="shared" si="283"/>
        <v>0</v>
      </c>
      <c r="AH211" s="696">
        <f t="shared" si="284"/>
        <v>0</v>
      </c>
      <c r="AI211" s="314">
        <f t="shared" si="285"/>
        <v>0</v>
      </c>
      <c r="AJ211" s="314">
        <f t="shared" si="286"/>
        <v>0</v>
      </c>
      <c r="AK211" s="314">
        <f t="shared" si="287"/>
        <v>0</v>
      </c>
      <c r="AL211" s="314">
        <f t="shared" si="288"/>
        <v>0</v>
      </c>
      <c r="AM211" s="314">
        <f t="shared" si="289"/>
        <v>0</v>
      </c>
      <c r="AN211" s="314">
        <f t="shared" si="290"/>
        <v>0</v>
      </c>
      <c r="AO211" s="314">
        <f t="shared" si="291"/>
        <v>0</v>
      </c>
      <c r="AP211" s="314">
        <f t="shared" si="292"/>
        <v>0</v>
      </c>
    </row>
    <row r="212" spans="1:42" ht="82.8" outlineLevel="1">
      <c r="A212" s="593" t="s">
        <v>23</v>
      </c>
      <c r="B212" s="316" t="s">
        <v>1892</v>
      </c>
      <c r="C212" s="302"/>
      <c r="D212" s="304">
        <v>3317</v>
      </c>
      <c r="E212" s="304">
        <f t="shared" si="218"/>
        <v>2425</v>
      </c>
      <c r="F212" s="304">
        <f t="shared" si="295"/>
        <v>2425</v>
      </c>
      <c r="G212" s="304">
        <f t="shared" si="296"/>
        <v>-892</v>
      </c>
      <c r="H212" s="303">
        <f t="shared" ref="H212:H213" si="298">I212+W212</f>
        <v>2425</v>
      </c>
      <c r="I212" s="303">
        <f>M212+P212</f>
        <v>0</v>
      </c>
      <c r="J212" s="311"/>
      <c r="K212" s="311"/>
      <c r="L212" s="311"/>
      <c r="M212" s="303"/>
      <c r="N212" s="311"/>
      <c r="O212" s="311"/>
      <c r="P212" s="303">
        <f>S212+T212</f>
        <v>0</v>
      </c>
      <c r="Q212" s="311"/>
      <c r="R212" s="312"/>
      <c r="S212" s="303"/>
      <c r="T212" s="303">
        <f>U212+V212</f>
        <v>0</v>
      </c>
      <c r="U212" s="303"/>
      <c r="V212" s="303"/>
      <c r="W212" s="303">
        <f t="shared" ref="W212:W224" si="299">Z212+AA212</f>
        <v>2425</v>
      </c>
      <c r="X212" s="303"/>
      <c r="Y212" s="303"/>
      <c r="Z212" s="303">
        <v>2425</v>
      </c>
      <c r="AA212" s="303"/>
      <c r="AB212" s="304"/>
      <c r="AC212" s="304"/>
      <c r="AD212" s="304">
        <v>0</v>
      </c>
      <c r="AE212" s="303">
        <f t="shared" si="297"/>
        <v>2425</v>
      </c>
      <c r="AF212" s="317" t="s">
        <v>1893</v>
      </c>
      <c r="AG212" s="314">
        <f t="shared" si="283"/>
        <v>0</v>
      </c>
      <c r="AH212" s="696">
        <f t="shared" si="284"/>
        <v>0</v>
      </c>
      <c r="AI212" s="314">
        <f t="shared" si="285"/>
        <v>0</v>
      </c>
      <c r="AJ212" s="314">
        <f t="shared" si="286"/>
        <v>0</v>
      </c>
      <c r="AK212" s="314">
        <f t="shared" si="287"/>
        <v>0</v>
      </c>
      <c r="AL212" s="314">
        <f t="shared" si="288"/>
        <v>0</v>
      </c>
      <c r="AM212" s="314">
        <f t="shared" si="289"/>
        <v>0</v>
      </c>
      <c r="AN212" s="314">
        <f t="shared" si="290"/>
        <v>0</v>
      </c>
      <c r="AO212" s="314">
        <f t="shared" si="291"/>
        <v>0</v>
      </c>
      <c r="AP212" s="314">
        <f t="shared" si="292"/>
        <v>0</v>
      </c>
    </row>
    <row r="213" spans="1:42" ht="55.2" hidden="1" outlineLevel="3">
      <c r="A213" s="593" t="s">
        <v>23</v>
      </c>
      <c r="B213" s="316" t="s">
        <v>902</v>
      </c>
      <c r="C213" s="302"/>
      <c r="D213" s="304">
        <v>3663</v>
      </c>
      <c r="E213" s="304">
        <f t="shared" si="218"/>
        <v>0</v>
      </c>
      <c r="F213" s="304">
        <f t="shared" si="295"/>
        <v>0</v>
      </c>
      <c r="G213" s="304">
        <f t="shared" si="296"/>
        <v>-3663</v>
      </c>
      <c r="H213" s="303">
        <f t="shared" si="298"/>
        <v>0</v>
      </c>
      <c r="I213" s="303">
        <f t="shared" ref="I213" si="300">M213+P213</f>
        <v>0</v>
      </c>
      <c r="J213" s="311"/>
      <c r="K213" s="311"/>
      <c r="L213" s="311"/>
      <c r="M213" s="303"/>
      <c r="N213" s="311"/>
      <c r="O213" s="311"/>
      <c r="P213" s="303">
        <f t="shared" ref="P213" si="301">S213+T213</f>
        <v>0</v>
      </c>
      <c r="Q213" s="311"/>
      <c r="R213" s="312"/>
      <c r="S213" s="303"/>
      <c r="T213" s="303">
        <f t="shared" ref="T213" si="302">U213+V213</f>
        <v>0</v>
      </c>
      <c r="U213" s="303"/>
      <c r="V213" s="303"/>
      <c r="W213" s="303">
        <f t="shared" si="299"/>
        <v>0</v>
      </c>
      <c r="X213" s="303"/>
      <c r="Y213" s="303"/>
      <c r="Z213" s="303"/>
      <c r="AA213" s="303"/>
      <c r="AB213" s="304"/>
      <c r="AC213" s="304"/>
      <c r="AD213" s="304">
        <v>0</v>
      </c>
      <c r="AE213" s="303">
        <f t="shared" si="297"/>
        <v>0</v>
      </c>
      <c r="AF213" s="317" t="s">
        <v>2042</v>
      </c>
      <c r="AG213" s="314">
        <f t="shared" si="283"/>
        <v>0</v>
      </c>
      <c r="AH213" s="696">
        <f t="shared" si="284"/>
        <v>0</v>
      </c>
      <c r="AI213" s="314">
        <f t="shared" si="285"/>
        <v>0</v>
      </c>
      <c r="AJ213" s="314">
        <f t="shared" si="286"/>
        <v>0</v>
      </c>
      <c r="AK213" s="314">
        <f t="shared" si="287"/>
        <v>0</v>
      </c>
      <c r="AL213" s="314">
        <f t="shared" si="288"/>
        <v>0</v>
      </c>
      <c r="AM213" s="314">
        <f t="shared" si="289"/>
        <v>0</v>
      </c>
      <c r="AN213" s="314">
        <f t="shared" si="290"/>
        <v>0</v>
      </c>
      <c r="AO213" s="314">
        <f t="shared" si="291"/>
        <v>0</v>
      </c>
      <c r="AP213" s="314">
        <f t="shared" si="292"/>
        <v>0</v>
      </c>
    </row>
    <row r="214" spans="1:42" s="333" customFormat="1">
      <c r="A214" s="592" t="s">
        <v>903</v>
      </c>
      <c r="B214" s="1114" t="s">
        <v>1896</v>
      </c>
      <c r="C214" s="298" t="s">
        <v>720</v>
      </c>
      <c r="D214" s="297">
        <f>SUM(D215:D221)</f>
        <v>2746</v>
      </c>
      <c r="E214" s="297">
        <f t="shared" si="218"/>
        <v>3886</v>
      </c>
      <c r="F214" s="297">
        <f t="shared" si="295"/>
        <v>3886</v>
      </c>
      <c r="G214" s="297">
        <f t="shared" si="296"/>
        <v>1140</v>
      </c>
      <c r="H214" s="299">
        <f t="shared" si="280"/>
        <v>3886</v>
      </c>
      <c r="I214" s="299"/>
      <c r="J214" s="299"/>
      <c r="K214" s="299"/>
      <c r="L214" s="299"/>
      <c r="M214" s="299"/>
      <c r="N214" s="299"/>
      <c r="O214" s="299"/>
      <c r="P214" s="299"/>
      <c r="Q214" s="299"/>
      <c r="R214" s="299"/>
      <c r="S214" s="299"/>
      <c r="T214" s="299"/>
      <c r="U214" s="299"/>
      <c r="V214" s="299"/>
      <c r="W214" s="299">
        <f t="shared" si="299"/>
        <v>3886</v>
      </c>
      <c r="X214" s="299"/>
      <c r="Y214" s="299"/>
      <c r="Z214" s="299">
        <f>SUM(Z215:Z221)</f>
        <v>3886</v>
      </c>
      <c r="AA214" s="299"/>
      <c r="AB214" s="299"/>
      <c r="AC214" s="299">
        <f>SUM(AC215:AC218)</f>
        <v>0</v>
      </c>
      <c r="AD214" s="299">
        <f>SUM(AD215:AD218)</f>
        <v>211</v>
      </c>
      <c r="AE214" s="299">
        <f t="shared" si="297"/>
        <v>3675</v>
      </c>
      <c r="AF214" s="315"/>
      <c r="AG214" s="314">
        <f t="shared" si="283"/>
        <v>0</v>
      </c>
      <c r="AH214" s="696">
        <f t="shared" si="284"/>
        <v>0</v>
      </c>
      <c r="AI214" s="314">
        <f t="shared" si="285"/>
        <v>0</v>
      </c>
      <c r="AJ214" s="314">
        <f t="shared" si="286"/>
        <v>0</v>
      </c>
      <c r="AK214" s="314">
        <f t="shared" si="287"/>
        <v>0</v>
      </c>
      <c r="AL214" s="314">
        <f t="shared" si="288"/>
        <v>0</v>
      </c>
      <c r="AM214" s="314">
        <f t="shared" si="289"/>
        <v>0</v>
      </c>
      <c r="AN214" s="314">
        <f t="shared" si="290"/>
        <v>0</v>
      </c>
      <c r="AO214" s="314">
        <f t="shared" si="291"/>
        <v>0</v>
      </c>
      <c r="AP214" s="314">
        <f t="shared" si="292"/>
        <v>0</v>
      </c>
    </row>
    <row r="215" spans="1:42" s="322" customFormat="1">
      <c r="A215" s="593" t="s">
        <v>23</v>
      </c>
      <c r="B215" s="1115" t="s">
        <v>1054</v>
      </c>
      <c r="C215" s="302"/>
      <c r="D215" s="304">
        <v>2149</v>
      </c>
      <c r="E215" s="304">
        <f t="shared" si="218"/>
        <v>2822</v>
      </c>
      <c r="F215" s="304">
        <f t="shared" si="295"/>
        <v>2822</v>
      </c>
      <c r="G215" s="304">
        <f t="shared" si="296"/>
        <v>673</v>
      </c>
      <c r="H215" s="303">
        <f t="shared" si="280"/>
        <v>2822</v>
      </c>
      <c r="I215" s="303"/>
      <c r="J215" s="303"/>
      <c r="K215" s="303"/>
      <c r="L215" s="303"/>
      <c r="M215" s="303"/>
      <c r="N215" s="303"/>
      <c r="O215" s="303"/>
      <c r="P215" s="303"/>
      <c r="Q215" s="303"/>
      <c r="R215" s="303"/>
      <c r="S215" s="303"/>
      <c r="T215" s="303"/>
      <c r="U215" s="303"/>
      <c r="V215" s="303"/>
      <c r="W215" s="303">
        <f t="shared" si="299"/>
        <v>2822</v>
      </c>
      <c r="X215" s="303"/>
      <c r="Y215" s="303"/>
      <c r="Z215" s="303">
        <f>2722+100</f>
        <v>2822</v>
      </c>
      <c r="AA215" s="303"/>
      <c r="AB215" s="303"/>
      <c r="AC215" s="303"/>
      <c r="AD215" s="303">
        <v>175</v>
      </c>
      <c r="AE215" s="303">
        <f t="shared" si="297"/>
        <v>2647</v>
      </c>
      <c r="AF215" s="334"/>
      <c r="AG215" s="314">
        <f t="shared" si="283"/>
        <v>0</v>
      </c>
      <c r="AH215" s="696">
        <f t="shared" si="284"/>
        <v>0</v>
      </c>
      <c r="AI215" s="314">
        <f t="shared" si="285"/>
        <v>0</v>
      </c>
      <c r="AJ215" s="314">
        <f t="shared" si="286"/>
        <v>0</v>
      </c>
      <c r="AK215" s="314">
        <f t="shared" si="287"/>
        <v>0</v>
      </c>
      <c r="AL215" s="314">
        <f t="shared" si="288"/>
        <v>0</v>
      </c>
      <c r="AM215" s="314">
        <f t="shared" si="289"/>
        <v>0</v>
      </c>
      <c r="AN215" s="314">
        <f t="shared" si="290"/>
        <v>0</v>
      </c>
      <c r="AO215" s="314">
        <f t="shared" si="291"/>
        <v>0</v>
      </c>
      <c r="AP215" s="314">
        <f t="shared" si="292"/>
        <v>0</v>
      </c>
    </row>
    <row r="216" spans="1:42" s="322" customFormat="1">
      <c r="A216" s="593" t="s">
        <v>23</v>
      </c>
      <c r="B216" s="1115" t="s">
        <v>1512</v>
      </c>
      <c r="C216" s="302"/>
      <c r="D216" s="304">
        <v>247</v>
      </c>
      <c r="E216" s="304">
        <f t="shared" si="218"/>
        <v>247</v>
      </c>
      <c r="F216" s="304">
        <f t="shared" si="295"/>
        <v>247</v>
      </c>
      <c r="G216" s="304">
        <f t="shared" si="296"/>
        <v>0</v>
      </c>
      <c r="H216" s="303">
        <f t="shared" si="280"/>
        <v>247</v>
      </c>
      <c r="I216" s="303"/>
      <c r="J216" s="303"/>
      <c r="K216" s="303"/>
      <c r="L216" s="303"/>
      <c r="M216" s="303"/>
      <c r="N216" s="303"/>
      <c r="O216" s="303"/>
      <c r="P216" s="303"/>
      <c r="Q216" s="303"/>
      <c r="R216" s="303"/>
      <c r="S216" s="303"/>
      <c r="T216" s="303"/>
      <c r="U216" s="303"/>
      <c r="V216" s="303"/>
      <c r="W216" s="303">
        <f t="shared" si="299"/>
        <v>247</v>
      </c>
      <c r="X216" s="303"/>
      <c r="Y216" s="303"/>
      <c r="Z216" s="303">
        <v>247</v>
      </c>
      <c r="AA216" s="303"/>
      <c r="AB216" s="303"/>
      <c r="AC216" s="303"/>
      <c r="AD216" s="303">
        <v>10</v>
      </c>
      <c r="AE216" s="303">
        <f t="shared" si="297"/>
        <v>237</v>
      </c>
      <c r="AF216" s="334"/>
      <c r="AG216" s="314">
        <f t="shared" si="283"/>
        <v>0</v>
      </c>
      <c r="AH216" s="696">
        <f t="shared" si="284"/>
        <v>0</v>
      </c>
      <c r="AI216" s="314">
        <f t="shared" si="285"/>
        <v>0</v>
      </c>
      <c r="AJ216" s="314">
        <f t="shared" si="286"/>
        <v>0</v>
      </c>
      <c r="AK216" s="314">
        <f t="shared" si="287"/>
        <v>0</v>
      </c>
      <c r="AL216" s="314">
        <f t="shared" si="288"/>
        <v>0</v>
      </c>
      <c r="AM216" s="314">
        <f t="shared" si="289"/>
        <v>0</v>
      </c>
      <c r="AN216" s="314">
        <f t="shared" si="290"/>
        <v>0</v>
      </c>
      <c r="AO216" s="314">
        <f t="shared" si="291"/>
        <v>0</v>
      </c>
      <c r="AP216" s="314">
        <f t="shared" si="292"/>
        <v>0</v>
      </c>
    </row>
    <row r="217" spans="1:42" s="322" customFormat="1">
      <c r="A217" s="593" t="s">
        <v>23</v>
      </c>
      <c r="B217" s="1115" t="s">
        <v>1305</v>
      </c>
      <c r="C217" s="302"/>
      <c r="D217" s="304">
        <v>330</v>
      </c>
      <c r="E217" s="304">
        <f t="shared" si="218"/>
        <v>429</v>
      </c>
      <c r="F217" s="304">
        <f t="shared" si="295"/>
        <v>429</v>
      </c>
      <c r="G217" s="304">
        <f t="shared" si="296"/>
        <v>99</v>
      </c>
      <c r="H217" s="303">
        <f t="shared" si="280"/>
        <v>429</v>
      </c>
      <c r="I217" s="303"/>
      <c r="J217" s="303"/>
      <c r="K217" s="303"/>
      <c r="L217" s="303"/>
      <c r="M217" s="303"/>
      <c r="N217" s="303"/>
      <c r="O217" s="303"/>
      <c r="P217" s="303"/>
      <c r="Q217" s="303"/>
      <c r="R217" s="303"/>
      <c r="S217" s="303"/>
      <c r="T217" s="303"/>
      <c r="U217" s="303"/>
      <c r="V217" s="303"/>
      <c r="W217" s="303">
        <f t="shared" si="299"/>
        <v>429</v>
      </c>
      <c r="X217" s="303"/>
      <c r="Y217" s="303"/>
      <c r="Z217" s="303">
        <v>429</v>
      </c>
      <c r="AA217" s="303"/>
      <c r="AB217" s="303"/>
      <c r="AC217" s="303"/>
      <c r="AD217" s="303">
        <v>26</v>
      </c>
      <c r="AE217" s="303">
        <f t="shared" si="297"/>
        <v>403</v>
      </c>
      <c r="AF217" s="334"/>
      <c r="AG217" s="314">
        <f t="shared" si="283"/>
        <v>0</v>
      </c>
      <c r="AH217" s="696">
        <f t="shared" si="284"/>
        <v>0</v>
      </c>
      <c r="AI217" s="314">
        <f t="shared" si="285"/>
        <v>0</v>
      </c>
      <c r="AJ217" s="314">
        <f t="shared" si="286"/>
        <v>0</v>
      </c>
      <c r="AK217" s="314">
        <f t="shared" si="287"/>
        <v>0</v>
      </c>
      <c r="AL217" s="314">
        <f t="shared" si="288"/>
        <v>0</v>
      </c>
      <c r="AM217" s="314">
        <f t="shared" si="289"/>
        <v>0</v>
      </c>
      <c r="AN217" s="314">
        <f t="shared" si="290"/>
        <v>0</v>
      </c>
      <c r="AO217" s="314">
        <f t="shared" si="291"/>
        <v>0</v>
      </c>
      <c r="AP217" s="314">
        <f t="shared" si="292"/>
        <v>0</v>
      </c>
    </row>
    <row r="218" spans="1:42" hidden="1" outlineLevel="3">
      <c r="A218" s="583" t="s">
        <v>23</v>
      </c>
      <c r="B218" s="316" t="s">
        <v>1873</v>
      </c>
      <c r="C218" s="304"/>
      <c r="D218" s="304">
        <v>20</v>
      </c>
      <c r="E218" s="304">
        <f t="shared" si="218"/>
        <v>0</v>
      </c>
      <c r="F218" s="304">
        <f t="shared" si="295"/>
        <v>0</v>
      </c>
      <c r="G218" s="304">
        <f t="shared" si="296"/>
        <v>-20</v>
      </c>
      <c r="H218" s="303">
        <f t="shared" si="280"/>
        <v>0</v>
      </c>
      <c r="I218" s="303"/>
      <c r="J218" s="294"/>
      <c r="K218" s="294"/>
      <c r="L218" s="294"/>
      <c r="M218" s="304"/>
      <c r="N218" s="294"/>
      <c r="O218" s="294"/>
      <c r="P218" s="303"/>
      <c r="Q218" s="294"/>
      <c r="R218" s="305"/>
      <c r="S218" s="304"/>
      <c r="T218" s="303"/>
      <c r="U218" s="304"/>
      <c r="V218" s="304"/>
      <c r="W218" s="303">
        <f t="shared" si="299"/>
        <v>0</v>
      </c>
      <c r="X218" s="303"/>
      <c r="Y218" s="303"/>
      <c r="Z218" s="304"/>
      <c r="AA218" s="304"/>
      <c r="AB218" s="304"/>
      <c r="AC218" s="304"/>
      <c r="AD218" s="304">
        <v>0</v>
      </c>
      <c r="AE218" s="304">
        <f t="shared" si="297"/>
        <v>0</v>
      </c>
      <c r="AF218" s="317"/>
      <c r="AG218" s="314">
        <f t="shared" si="283"/>
        <v>0</v>
      </c>
      <c r="AH218" s="696">
        <f t="shared" si="284"/>
        <v>0</v>
      </c>
      <c r="AI218" s="314">
        <f t="shared" si="285"/>
        <v>0</v>
      </c>
      <c r="AJ218" s="314">
        <f t="shared" si="286"/>
        <v>0</v>
      </c>
      <c r="AK218" s="314">
        <f t="shared" si="287"/>
        <v>0</v>
      </c>
      <c r="AL218" s="314">
        <f t="shared" si="288"/>
        <v>0</v>
      </c>
      <c r="AM218" s="314">
        <f t="shared" si="289"/>
        <v>0</v>
      </c>
      <c r="AN218" s="314">
        <f t="shared" si="290"/>
        <v>0</v>
      </c>
      <c r="AO218" s="314">
        <f t="shared" si="291"/>
        <v>0</v>
      </c>
      <c r="AP218" s="314">
        <f t="shared" si="292"/>
        <v>0</v>
      </c>
    </row>
    <row r="219" spans="1:42" s="322" customFormat="1" collapsed="1">
      <c r="A219" s="593" t="s">
        <v>23</v>
      </c>
      <c r="B219" s="1115" t="s">
        <v>1106</v>
      </c>
      <c r="C219" s="302"/>
      <c r="D219" s="304"/>
      <c r="E219" s="304">
        <f t="shared" si="218"/>
        <v>60</v>
      </c>
      <c r="F219" s="304">
        <f t="shared" si="295"/>
        <v>60</v>
      </c>
      <c r="G219" s="304">
        <f t="shared" si="296"/>
        <v>60</v>
      </c>
      <c r="H219" s="303">
        <f t="shared" si="280"/>
        <v>60</v>
      </c>
      <c r="I219" s="303"/>
      <c r="J219" s="303"/>
      <c r="K219" s="303"/>
      <c r="L219" s="303"/>
      <c r="M219" s="303"/>
      <c r="N219" s="303"/>
      <c r="O219" s="303"/>
      <c r="P219" s="303"/>
      <c r="Q219" s="303"/>
      <c r="R219" s="303"/>
      <c r="S219" s="303"/>
      <c r="T219" s="303"/>
      <c r="U219" s="303"/>
      <c r="V219" s="303"/>
      <c r="W219" s="303">
        <f t="shared" si="299"/>
        <v>60</v>
      </c>
      <c r="X219" s="303"/>
      <c r="Y219" s="303"/>
      <c r="Z219" s="303">
        <v>60</v>
      </c>
      <c r="AA219" s="303"/>
      <c r="AB219" s="303"/>
      <c r="AC219" s="303"/>
      <c r="AD219" s="303">
        <v>436</v>
      </c>
      <c r="AE219" s="303">
        <f t="shared" si="297"/>
        <v>-376</v>
      </c>
      <c r="AF219" s="334"/>
      <c r="AG219" s="314">
        <f t="shared" si="283"/>
        <v>0</v>
      </c>
      <c r="AH219" s="696">
        <f t="shared" si="284"/>
        <v>0</v>
      </c>
      <c r="AI219" s="314">
        <f t="shared" si="285"/>
        <v>0</v>
      </c>
      <c r="AJ219" s="314">
        <f t="shared" si="286"/>
        <v>0</v>
      </c>
      <c r="AK219" s="314">
        <f t="shared" si="287"/>
        <v>0</v>
      </c>
      <c r="AL219" s="314">
        <f t="shared" si="288"/>
        <v>0</v>
      </c>
      <c r="AM219" s="314">
        <f t="shared" si="289"/>
        <v>0</v>
      </c>
      <c r="AN219" s="314">
        <f t="shared" si="290"/>
        <v>0</v>
      </c>
      <c r="AO219" s="314">
        <f t="shared" si="291"/>
        <v>0</v>
      </c>
      <c r="AP219" s="314">
        <f t="shared" si="292"/>
        <v>0</v>
      </c>
    </row>
    <row r="220" spans="1:42" s="322" customFormat="1">
      <c r="A220" s="593" t="s">
        <v>23</v>
      </c>
      <c r="B220" s="1115" t="s">
        <v>1024</v>
      </c>
      <c r="C220" s="302"/>
      <c r="D220" s="304"/>
      <c r="E220" s="304">
        <f t="shared" si="218"/>
        <v>251</v>
      </c>
      <c r="F220" s="304">
        <f t="shared" si="295"/>
        <v>251</v>
      </c>
      <c r="G220" s="304">
        <f t="shared" si="296"/>
        <v>251</v>
      </c>
      <c r="H220" s="303">
        <f t="shared" si="280"/>
        <v>251</v>
      </c>
      <c r="I220" s="303"/>
      <c r="J220" s="303"/>
      <c r="K220" s="303"/>
      <c r="L220" s="303"/>
      <c r="M220" s="303"/>
      <c r="N220" s="303"/>
      <c r="O220" s="303"/>
      <c r="P220" s="303"/>
      <c r="Q220" s="303"/>
      <c r="R220" s="303"/>
      <c r="S220" s="303"/>
      <c r="T220" s="303"/>
      <c r="U220" s="303"/>
      <c r="V220" s="303"/>
      <c r="W220" s="303">
        <f t="shared" si="299"/>
        <v>251</v>
      </c>
      <c r="X220" s="303"/>
      <c r="Y220" s="303"/>
      <c r="Z220" s="303">
        <v>251</v>
      </c>
      <c r="AA220" s="303"/>
      <c r="AB220" s="303"/>
      <c r="AC220" s="303"/>
      <c r="AD220" s="303">
        <v>0</v>
      </c>
      <c r="AE220" s="303">
        <f t="shared" si="297"/>
        <v>251</v>
      </c>
      <c r="AF220" s="334"/>
      <c r="AG220" s="314">
        <f t="shared" si="283"/>
        <v>0</v>
      </c>
      <c r="AH220" s="696">
        <f t="shared" si="284"/>
        <v>0</v>
      </c>
      <c r="AI220" s="314">
        <f t="shared" si="285"/>
        <v>0</v>
      </c>
      <c r="AJ220" s="314">
        <f t="shared" si="286"/>
        <v>0</v>
      </c>
      <c r="AK220" s="314">
        <f t="shared" si="287"/>
        <v>0</v>
      </c>
      <c r="AL220" s="314">
        <f t="shared" si="288"/>
        <v>0</v>
      </c>
      <c r="AM220" s="314">
        <f t="shared" si="289"/>
        <v>0</v>
      </c>
      <c r="AN220" s="314">
        <f t="shared" si="290"/>
        <v>0</v>
      </c>
      <c r="AO220" s="314">
        <f t="shared" si="291"/>
        <v>0</v>
      </c>
      <c r="AP220" s="314">
        <f t="shared" si="292"/>
        <v>0</v>
      </c>
    </row>
    <row r="221" spans="1:42" s="322" customFormat="1">
      <c r="A221" s="593" t="s">
        <v>23</v>
      </c>
      <c r="B221" s="1115" t="s">
        <v>1363</v>
      </c>
      <c r="C221" s="302"/>
      <c r="D221" s="304"/>
      <c r="E221" s="304">
        <f t="shared" si="218"/>
        <v>77</v>
      </c>
      <c r="F221" s="304">
        <f t="shared" si="295"/>
        <v>77</v>
      </c>
      <c r="G221" s="304">
        <f t="shared" si="296"/>
        <v>77</v>
      </c>
      <c r="H221" s="303">
        <f t="shared" si="280"/>
        <v>77</v>
      </c>
      <c r="I221" s="303"/>
      <c r="J221" s="303"/>
      <c r="K221" s="303"/>
      <c r="L221" s="303"/>
      <c r="M221" s="303"/>
      <c r="N221" s="303"/>
      <c r="O221" s="303"/>
      <c r="P221" s="303"/>
      <c r="Q221" s="303"/>
      <c r="R221" s="303"/>
      <c r="S221" s="303"/>
      <c r="T221" s="303"/>
      <c r="U221" s="303"/>
      <c r="V221" s="303"/>
      <c r="W221" s="303">
        <f t="shared" si="299"/>
        <v>77</v>
      </c>
      <c r="X221" s="303"/>
      <c r="Y221" s="303"/>
      <c r="Z221" s="303">
        <v>77</v>
      </c>
      <c r="AA221" s="303"/>
      <c r="AB221" s="303"/>
      <c r="AC221" s="303"/>
      <c r="AD221" s="303">
        <v>0</v>
      </c>
      <c r="AE221" s="303">
        <f t="shared" si="297"/>
        <v>77</v>
      </c>
      <c r="AF221" s="334"/>
      <c r="AG221" s="314">
        <f t="shared" si="283"/>
        <v>0</v>
      </c>
      <c r="AH221" s="696">
        <f t="shared" si="284"/>
        <v>0</v>
      </c>
      <c r="AI221" s="314">
        <f t="shared" si="285"/>
        <v>0</v>
      </c>
      <c r="AJ221" s="314">
        <f t="shared" si="286"/>
        <v>0</v>
      </c>
      <c r="AK221" s="314">
        <f t="shared" si="287"/>
        <v>0</v>
      </c>
      <c r="AL221" s="314">
        <f t="shared" si="288"/>
        <v>0</v>
      </c>
      <c r="AM221" s="314">
        <f t="shared" si="289"/>
        <v>0</v>
      </c>
      <c r="AN221" s="314">
        <f t="shared" si="290"/>
        <v>0</v>
      </c>
      <c r="AO221" s="314">
        <f t="shared" si="291"/>
        <v>0</v>
      </c>
      <c r="AP221" s="314">
        <f t="shared" si="292"/>
        <v>0</v>
      </c>
    </row>
    <row r="222" spans="1:42" s="333" customFormat="1" ht="96.6">
      <c r="A222" s="592" t="s">
        <v>904</v>
      </c>
      <c r="B222" s="357" t="s">
        <v>1846</v>
      </c>
      <c r="C222" s="298" t="s">
        <v>720</v>
      </c>
      <c r="D222" s="297">
        <v>10672.400000000023</v>
      </c>
      <c r="E222" s="297">
        <f>F222+AC222</f>
        <v>8177</v>
      </c>
      <c r="F222" s="297">
        <f>H222-AB222</f>
        <v>8177</v>
      </c>
      <c r="G222" s="297">
        <f t="shared" si="296"/>
        <v>-2495.4000000000233</v>
      </c>
      <c r="H222" s="299">
        <f t="shared" si="280"/>
        <v>5146</v>
      </c>
      <c r="I222" s="299"/>
      <c r="J222" s="318"/>
      <c r="K222" s="318"/>
      <c r="L222" s="318"/>
      <c r="M222" s="299"/>
      <c r="N222" s="318"/>
      <c r="O222" s="318"/>
      <c r="P222" s="299"/>
      <c r="Q222" s="318"/>
      <c r="R222" s="319"/>
      <c r="S222" s="299"/>
      <c r="T222" s="299">
        <f t="shared" ref="T222:T224" si="303">U222+V222</f>
        <v>0</v>
      </c>
      <c r="U222" s="299"/>
      <c r="V222" s="299"/>
      <c r="W222" s="299">
        <f t="shared" si="299"/>
        <v>5146</v>
      </c>
      <c r="X222" s="299"/>
      <c r="Y222" s="299"/>
      <c r="Z222" s="297">
        <f>427898+2000-735-(F182+F210+F214+F631+F643+F414+F225)+AB222</f>
        <v>5146</v>
      </c>
      <c r="AA222" s="297"/>
      <c r="AB222" s="297">
        <f>-(AB631+AB643)-AB227-AB228</f>
        <v>-3031</v>
      </c>
      <c r="AC222" s="297"/>
      <c r="AD222" s="297">
        <v>436</v>
      </c>
      <c r="AE222" s="299">
        <f t="shared" si="297"/>
        <v>7741</v>
      </c>
      <c r="AF222" s="1263"/>
      <c r="AG222" s="314">
        <f t="shared" si="283"/>
        <v>0</v>
      </c>
      <c r="AH222" s="696">
        <f t="shared" si="284"/>
        <v>0</v>
      </c>
      <c r="AI222" s="314">
        <f t="shared" si="285"/>
        <v>0</v>
      </c>
      <c r="AJ222" s="314">
        <f t="shared" si="286"/>
        <v>0</v>
      </c>
      <c r="AK222" s="314">
        <f t="shared" si="287"/>
        <v>0</v>
      </c>
      <c r="AL222" s="314">
        <f t="shared" si="288"/>
        <v>0</v>
      </c>
      <c r="AM222" s="314">
        <f t="shared" si="289"/>
        <v>0</v>
      </c>
      <c r="AN222" s="314">
        <f t="shared" si="290"/>
        <v>0</v>
      </c>
      <c r="AO222" s="314">
        <f t="shared" si="291"/>
        <v>0</v>
      </c>
      <c r="AP222" s="314">
        <f t="shared" si="292"/>
        <v>0</v>
      </c>
    </row>
    <row r="223" spans="1:42" s="322" customFormat="1" ht="69">
      <c r="A223" s="593"/>
      <c r="B223" s="324" t="s">
        <v>1743</v>
      </c>
      <c r="C223" s="302"/>
      <c r="D223" s="304">
        <v>861</v>
      </c>
      <c r="E223" s="304">
        <f t="shared" si="218"/>
        <v>696</v>
      </c>
      <c r="F223" s="304">
        <f t="shared" si="295"/>
        <v>696</v>
      </c>
      <c r="G223" s="304">
        <f t="shared" si="296"/>
        <v>-165</v>
      </c>
      <c r="H223" s="303">
        <f t="shared" si="280"/>
        <v>696</v>
      </c>
      <c r="I223" s="303"/>
      <c r="J223" s="311"/>
      <c r="K223" s="311"/>
      <c r="L223" s="311"/>
      <c r="M223" s="303"/>
      <c r="N223" s="311"/>
      <c r="O223" s="311"/>
      <c r="P223" s="303"/>
      <c r="Q223" s="311"/>
      <c r="R223" s="312"/>
      <c r="S223" s="303"/>
      <c r="T223" s="303">
        <f t="shared" si="303"/>
        <v>0</v>
      </c>
      <c r="U223" s="303"/>
      <c r="V223" s="303"/>
      <c r="W223" s="303">
        <f t="shared" si="299"/>
        <v>696</v>
      </c>
      <c r="X223" s="303"/>
      <c r="Y223" s="303"/>
      <c r="Z223" s="304">
        <f>388+9+299</f>
        <v>696</v>
      </c>
      <c r="AA223" s="304"/>
      <c r="AB223" s="304"/>
      <c r="AC223" s="304"/>
      <c r="AD223" s="304"/>
      <c r="AE223" s="303">
        <f t="shared" si="297"/>
        <v>696</v>
      </c>
      <c r="AF223" s="317"/>
      <c r="AG223" s="314">
        <f t="shared" si="283"/>
        <v>0</v>
      </c>
      <c r="AH223" s="696">
        <f t="shared" si="284"/>
        <v>0</v>
      </c>
      <c r="AI223" s="314">
        <f t="shared" si="285"/>
        <v>0</v>
      </c>
      <c r="AJ223" s="314">
        <f t="shared" si="286"/>
        <v>0</v>
      </c>
      <c r="AK223" s="314">
        <f t="shared" si="287"/>
        <v>0</v>
      </c>
      <c r="AL223" s="314">
        <f t="shared" si="288"/>
        <v>0</v>
      </c>
      <c r="AM223" s="314">
        <f t="shared" si="289"/>
        <v>0</v>
      </c>
      <c r="AN223" s="314">
        <f t="shared" si="290"/>
        <v>0</v>
      </c>
      <c r="AO223" s="314">
        <f t="shared" si="291"/>
        <v>0</v>
      </c>
      <c r="AP223" s="314">
        <f t="shared" si="292"/>
        <v>0</v>
      </c>
    </row>
    <row r="224" spans="1:42" s="322" customFormat="1" ht="27.6">
      <c r="A224" s="593"/>
      <c r="B224" s="324" t="s">
        <v>1744</v>
      </c>
      <c r="C224" s="302"/>
      <c r="D224" s="304">
        <v>3121</v>
      </c>
      <c r="E224" s="304">
        <f t="shared" si="218"/>
        <v>3121</v>
      </c>
      <c r="F224" s="304">
        <f t="shared" si="295"/>
        <v>3121</v>
      </c>
      <c r="G224" s="304">
        <f t="shared" si="296"/>
        <v>0</v>
      </c>
      <c r="H224" s="303">
        <f t="shared" si="280"/>
        <v>3121</v>
      </c>
      <c r="I224" s="303"/>
      <c r="J224" s="311"/>
      <c r="K224" s="311"/>
      <c r="L224" s="311"/>
      <c r="M224" s="303"/>
      <c r="N224" s="311"/>
      <c r="O224" s="311"/>
      <c r="P224" s="303"/>
      <c r="Q224" s="311"/>
      <c r="R224" s="312"/>
      <c r="S224" s="303"/>
      <c r="T224" s="303">
        <f t="shared" si="303"/>
        <v>0</v>
      </c>
      <c r="U224" s="303"/>
      <c r="V224" s="303"/>
      <c r="W224" s="303">
        <f t="shared" si="299"/>
        <v>3121</v>
      </c>
      <c r="X224" s="303"/>
      <c r="Y224" s="303"/>
      <c r="Z224" s="304">
        <f>2206+915</f>
        <v>3121</v>
      </c>
      <c r="AA224" s="304"/>
      <c r="AB224" s="304"/>
      <c r="AC224" s="304"/>
      <c r="AD224" s="304"/>
      <c r="AE224" s="303">
        <f t="shared" si="297"/>
        <v>3121</v>
      </c>
      <c r="AF224" s="317"/>
      <c r="AG224" s="314">
        <f t="shared" si="283"/>
        <v>0</v>
      </c>
      <c r="AH224" s="696">
        <f t="shared" si="284"/>
        <v>0</v>
      </c>
      <c r="AI224" s="314">
        <f t="shared" si="285"/>
        <v>0</v>
      </c>
      <c r="AJ224" s="314">
        <f t="shared" si="286"/>
        <v>0</v>
      </c>
      <c r="AK224" s="314">
        <f t="shared" si="287"/>
        <v>0</v>
      </c>
      <c r="AL224" s="314">
        <f t="shared" si="288"/>
        <v>0</v>
      </c>
      <c r="AM224" s="314">
        <f t="shared" si="289"/>
        <v>0</v>
      </c>
      <c r="AN224" s="314">
        <f t="shared" si="290"/>
        <v>0</v>
      </c>
      <c r="AO224" s="314">
        <f t="shared" si="291"/>
        <v>0</v>
      </c>
      <c r="AP224" s="314">
        <f t="shared" si="292"/>
        <v>0</v>
      </c>
    </row>
    <row r="225" spans="1:42" s="314" customFormat="1" ht="41.4">
      <c r="A225" s="592" t="s">
        <v>2392</v>
      </c>
      <c r="B225" s="327" t="s">
        <v>2393</v>
      </c>
      <c r="C225" s="298" t="s">
        <v>720</v>
      </c>
      <c r="D225" s="297"/>
      <c r="E225" s="297">
        <f t="shared" ref="E225:AA225" si="304">SUM(E226:E228)</f>
        <v>6627</v>
      </c>
      <c r="F225" s="297">
        <f t="shared" si="304"/>
        <v>6627</v>
      </c>
      <c r="G225" s="297">
        <f t="shared" si="304"/>
        <v>6627</v>
      </c>
      <c r="H225" s="297">
        <f t="shared" si="304"/>
        <v>0</v>
      </c>
      <c r="I225" s="297">
        <f t="shared" si="304"/>
        <v>0</v>
      </c>
      <c r="J225" s="297">
        <f t="shared" si="304"/>
        <v>0</v>
      </c>
      <c r="K225" s="297">
        <f t="shared" si="304"/>
        <v>0</v>
      </c>
      <c r="L225" s="297">
        <f t="shared" si="304"/>
        <v>0</v>
      </c>
      <c r="M225" s="297">
        <f t="shared" si="304"/>
        <v>0</v>
      </c>
      <c r="N225" s="297">
        <f t="shared" si="304"/>
        <v>0</v>
      </c>
      <c r="O225" s="297">
        <f t="shared" si="304"/>
        <v>0</v>
      </c>
      <c r="P225" s="297">
        <f t="shared" si="304"/>
        <v>0</v>
      </c>
      <c r="Q225" s="297">
        <f t="shared" si="304"/>
        <v>0</v>
      </c>
      <c r="R225" s="297">
        <f t="shared" si="304"/>
        <v>0</v>
      </c>
      <c r="S225" s="297">
        <f t="shared" si="304"/>
        <v>0</v>
      </c>
      <c r="T225" s="297">
        <f t="shared" si="304"/>
        <v>0</v>
      </c>
      <c r="U225" s="297">
        <f t="shared" si="304"/>
        <v>0</v>
      </c>
      <c r="V225" s="297">
        <f t="shared" si="304"/>
        <v>0</v>
      </c>
      <c r="W225" s="297">
        <f t="shared" si="304"/>
        <v>0</v>
      </c>
      <c r="X225" s="297">
        <f t="shared" si="304"/>
        <v>0</v>
      </c>
      <c r="Y225" s="297">
        <f t="shared" si="304"/>
        <v>0</v>
      </c>
      <c r="Z225" s="297">
        <f t="shared" si="304"/>
        <v>0</v>
      </c>
      <c r="AA225" s="297">
        <f t="shared" si="304"/>
        <v>0</v>
      </c>
      <c r="AB225" s="297">
        <f>SUM(AB226:AB228)</f>
        <v>-6627</v>
      </c>
      <c r="AC225" s="297"/>
      <c r="AD225" s="297"/>
      <c r="AE225" s="299"/>
      <c r="AF225" s="315"/>
      <c r="AG225" s="314">
        <f t="shared" si="283"/>
        <v>0</v>
      </c>
      <c r="AH225" s="696">
        <f t="shared" si="284"/>
        <v>0</v>
      </c>
      <c r="AI225" s="314">
        <f t="shared" si="285"/>
        <v>0</v>
      </c>
      <c r="AJ225" s="314">
        <f t="shared" si="286"/>
        <v>0</v>
      </c>
      <c r="AK225" s="314">
        <f t="shared" si="287"/>
        <v>0</v>
      </c>
      <c r="AL225" s="314">
        <f t="shared" si="288"/>
        <v>0</v>
      </c>
      <c r="AM225" s="314">
        <f t="shared" si="289"/>
        <v>0</v>
      </c>
      <c r="AN225" s="314">
        <f t="shared" si="290"/>
        <v>0</v>
      </c>
      <c r="AO225" s="314">
        <f t="shared" si="291"/>
        <v>0</v>
      </c>
      <c r="AP225" s="314">
        <f t="shared" si="292"/>
        <v>0</v>
      </c>
    </row>
    <row r="226" spans="1:42">
      <c r="A226" s="593" t="s">
        <v>23</v>
      </c>
      <c r="B226" s="866" t="s">
        <v>889</v>
      </c>
      <c r="C226" s="302"/>
      <c r="D226" s="304"/>
      <c r="E226" s="304">
        <f t="shared" si="218"/>
        <v>3594</v>
      </c>
      <c r="F226" s="304">
        <f t="shared" si="295"/>
        <v>3594</v>
      </c>
      <c r="G226" s="304">
        <f t="shared" si="296"/>
        <v>3594</v>
      </c>
      <c r="H226" s="303">
        <f t="shared" si="280"/>
        <v>0</v>
      </c>
      <c r="I226" s="303"/>
      <c r="J226" s="303"/>
      <c r="K226" s="303"/>
      <c r="L226" s="303"/>
      <c r="M226" s="303"/>
      <c r="N226" s="303"/>
      <c r="O226" s="303"/>
      <c r="P226" s="303"/>
      <c r="Q226" s="303"/>
      <c r="R226" s="303"/>
      <c r="S226" s="303"/>
      <c r="T226" s="303"/>
      <c r="U226" s="303"/>
      <c r="V226" s="303"/>
      <c r="W226" s="303"/>
      <c r="X226" s="303"/>
      <c r="Y226" s="303"/>
      <c r="Z226" s="303"/>
      <c r="AA226" s="303"/>
      <c r="AB226" s="304">
        <f>-ROUND((AB188)*50%,0)</f>
        <v>-3594</v>
      </c>
      <c r="AC226" s="304"/>
      <c r="AD226" s="304"/>
      <c r="AE226" s="303"/>
      <c r="AF226" s="334"/>
      <c r="AG226" s="314">
        <f t="shared" si="283"/>
        <v>0</v>
      </c>
      <c r="AH226" s="696">
        <f t="shared" si="284"/>
        <v>0</v>
      </c>
      <c r="AI226" s="314">
        <f t="shared" si="285"/>
        <v>0</v>
      </c>
      <c r="AJ226" s="314">
        <f t="shared" si="286"/>
        <v>0</v>
      </c>
      <c r="AK226" s="314">
        <f t="shared" si="287"/>
        <v>0</v>
      </c>
      <c r="AL226" s="314">
        <f t="shared" si="288"/>
        <v>0</v>
      </c>
      <c r="AM226" s="314">
        <f t="shared" si="289"/>
        <v>0</v>
      </c>
      <c r="AN226" s="314">
        <f t="shared" si="290"/>
        <v>0</v>
      </c>
      <c r="AO226" s="314">
        <f t="shared" si="291"/>
        <v>0</v>
      </c>
      <c r="AP226" s="314">
        <f t="shared" si="292"/>
        <v>0</v>
      </c>
    </row>
    <row r="227" spans="1:42">
      <c r="A227" s="593" t="s">
        <v>23</v>
      </c>
      <c r="B227" s="866" t="s">
        <v>2399</v>
      </c>
      <c r="C227" s="302"/>
      <c r="D227" s="304"/>
      <c r="E227" s="304">
        <f t="shared" si="218"/>
        <v>2868</v>
      </c>
      <c r="F227" s="304">
        <f t="shared" si="295"/>
        <v>2868</v>
      </c>
      <c r="G227" s="304">
        <f t="shared" si="296"/>
        <v>2868</v>
      </c>
      <c r="H227" s="303">
        <f t="shared" si="280"/>
        <v>0</v>
      </c>
      <c r="I227" s="303"/>
      <c r="J227" s="303"/>
      <c r="K227" s="303"/>
      <c r="L227" s="303"/>
      <c r="M227" s="303"/>
      <c r="N227" s="303"/>
      <c r="O227" s="303"/>
      <c r="P227" s="303"/>
      <c r="Q227" s="303"/>
      <c r="R227" s="303"/>
      <c r="S227" s="303"/>
      <c r="T227" s="303"/>
      <c r="U227" s="303"/>
      <c r="V227" s="303"/>
      <c r="W227" s="303"/>
      <c r="X227" s="303"/>
      <c r="Y227" s="303"/>
      <c r="Z227" s="303"/>
      <c r="AA227" s="303"/>
      <c r="AB227" s="304">
        <f>-ROUND((AB631)*50%,0)</f>
        <v>-2868</v>
      </c>
      <c r="AC227" s="304"/>
      <c r="AD227" s="304"/>
      <c r="AE227" s="303"/>
      <c r="AF227" s="334"/>
      <c r="AG227" s="314">
        <f t="shared" si="283"/>
        <v>0</v>
      </c>
      <c r="AH227" s="696">
        <f t="shared" si="284"/>
        <v>0</v>
      </c>
      <c r="AI227" s="314">
        <f t="shared" si="285"/>
        <v>0</v>
      </c>
      <c r="AJ227" s="314">
        <f t="shared" si="286"/>
        <v>0</v>
      </c>
      <c r="AK227" s="314">
        <f t="shared" si="287"/>
        <v>0</v>
      </c>
      <c r="AL227" s="314">
        <f t="shared" si="288"/>
        <v>0</v>
      </c>
      <c r="AM227" s="314">
        <f t="shared" si="289"/>
        <v>0</v>
      </c>
      <c r="AN227" s="314">
        <f t="shared" si="290"/>
        <v>0</v>
      </c>
      <c r="AO227" s="314">
        <f t="shared" si="291"/>
        <v>0</v>
      </c>
      <c r="AP227" s="314">
        <f t="shared" si="292"/>
        <v>0</v>
      </c>
    </row>
    <row r="228" spans="1:42">
      <c r="A228" s="593" t="s">
        <v>23</v>
      </c>
      <c r="B228" s="866" t="s">
        <v>1072</v>
      </c>
      <c r="C228" s="302"/>
      <c r="D228" s="304"/>
      <c r="E228" s="304">
        <f t="shared" si="218"/>
        <v>165</v>
      </c>
      <c r="F228" s="304">
        <f t="shared" si="295"/>
        <v>165</v>
      </c>
      <c r="G228" s="304">
        <f t="shared" si="296"/>
        <v>165</v>
      </c>
      <c r="H228" s="303">
        <f t="shared" si="280"/>
        <v>0</v>
      </c>
      <c r="I228" s="303"/>
      <c r="J228" s="303"/>
      <c r="K228" s="303"/>
      <c r="L228" s="303"/>
      <c r="M228" s="303"/>
      <c r="N228" s="303"/>
      <c r="O228" s="303"/>
      <c r="P228" s="303"/>
      <c r="Q228" s="303"/>
      <c r="R228" s="303"/>
      <c r="S228" s="303"/>
      <c r="T228" s="303"/>
      <c r="U228" s="303"/>
      <c r="V228" s="303"/>
      <c r="W228" s="303"/>
      <c r="X228" s="303"/>
      <c r="Y228" s="303"/>
      <c r="Z228" s="303"/>
      <c r="AA228" s="303"/>
      <c r="AB228" s="304">
        <f>-ROUND((AB643)*50%,0)</f>
        <v>-165</v>
      </c>
      <c r="AC228" s="304"/>
      <c r="AD228" s="304"/>
      <c r="AE228" s="303"/>
      <c r="AF228" s="334"/>
      <c r="AG228" s="314">
        <f t="shared" si="283"/>
        <v>0</v>
      </c>
      <c r="AH228" s="696">
        <f t="shared" si="284"/>
        <v>0</v>
      </c>
      <c r="AI228" s="314">
        <f t="shared" si="285"/>
        <v>0</v>
      </c>
      <c r="AJ228" s="314">
        <f t="shared" si="286"/>
        <v>0</v>
      </c>
      <c r="AK228" s="314">
        <f t="shared" si="287"/>
        <v>0</v>
      </c>
      <c r="AL228" s="314">
        <f t="shared" si="288"/>
        <v>0</v>
      </c>
      <c r="AM228" s="314">
        <f t="shared" si="289"/>
        <v>0</v>
      </c>
      <c r="AN228" s="314">
        <f t="shared" si="290"/>
        <v>0</v>
      </c>
      <c r="AO228" s="314">
        <f t="shared" si="291"/>
        <v>0</v>
      </c>
      <c r="AP228" s="314">
        <f t="shared" si="292"/>
        <v>0</v>
      </c>
    </row>
    <row r="229" spans="1:42" s="314" customFormat="1">
      <c r="A229" s="592" t="s">
        <v>76</v>
      </c>
      <c r="B229" s="320" t="s">
        <v>2395</v>
      </c>
      <c r="C229" s="297"/>
      <c r="D229" s="299">
        <f>D230+D280</f>
        <v>263471</v>
      </c>
      <c r="E229" s="299">
        <f t="shared" ref="E229:AC229" si="305">E230+E280</f>
        <v>296370</v>
      </c>
      <c r="F229" s="299">
        <f t="shared" si="305"/>
        <v>260984</v>
      </c>
      <c r="G229" s="299">
        <f t="shared" si="305"/>
        <v>-5344</v>
      </c>
      <c r="H229" s="299">
        <f t="shared" si="305"/>
        <v>260984</v>
      </c>
      <c r="I229" s="299">
        <f t="shared" si="305"/>
        <v>158480</v>
      </c>
      <c r="J229" s="299">
        <f t="shared" si="305"/>
        <v>1073</v>
      </c>
      <c r="K229" s="299">
        <f t="shared" si="305"/>
        <v>1003</v>
      </c>
      <c r="L229" s="299">
        <f t="shared" si="305"/>
        <v>70</v>
      </c>
      <c r="M229" s="299">
        <f t="shared" si="305"/>
        <v>130543</v>
      </c>
      <c r="N229" s="299">
        <f t="shared" si="305"/>
        <v>124837</v>
      </c>
      <c r="O229" s="299">
        <f t="shared" si="305"/>
        <v>5706</v>
      </c>
      <c r="P229" s="299">
        <f t="shared" si="305"/>
        <v>27937</v>
      </c>
      <c r="Q229" s="299">
        <f t="shared" si="305"/>
        <v>0</v>
      </c>
      <c r="R229" s="299">
        <f t="shared" si="305"/>
        <v>0</v>
      </c>
      <c r="S229" s="299">
        <f t="shared" si="305"/>
        <v>27757</v>
      </c>
      <c r="T229" s="299">
        <f t="shared" si="305"/>
        <v>180</v>
      </c>
      <c r="U229" s="299">
        <f t="shared" si="305"/>
        <v>180</v>
      </c>
      <c r="V229" s="299">
        <f t="shared" si="305"/>
        <v>0</v>
      </c>
      <c r="W229" s="299">
        <f t="shared" si="305"/>
        <v>102504</v>
      </c>
      <c r="X229" s="299">
        <f t="shared" si="305"/>
        <v>0</v>
      </c>
      <c r="Y229" s="299">
        <f t="shared" si="305"/>
        <v>0</v>
      </c>
      <c r="Z229" s="299">
        <f t="shared" si="305"/>
        <v>96489</v>
      </c>
      <c r="AA229" s="299">
        <f t="shared" si="305"/>
        <v>6015</v>
      </c>
      <c r="AB229" s="299">
        <f t="shared" si="305"/>
        <v>0</v>
      </c>
      <c r="AC229" s="299">
        <f t="shared" si="305"/>
        <v>35386</v>
      </c>
      <c r="AD229" s="299">
        <f t="shared" ref="AD229:AE229" si="306">AD231+AD241+AD279</f>
        <v>6708</v>
      </c>
      <c r="AE229" s="299">
        <f t="shared" si="306"/>
        <v>286805</v>
      </c>
      <c r="AF229" s="321"/>
      <c r="AG229" s="314">
        <f t="shared" si="283"/>
        <v>0</v>
      </c>
      <c r="AH229" s="696">
        <f t="shared" si="284"/>
        <v>0</v>
      </c>
      <c r="AI229" s="314">
        <f t="shared" si="285"/>
        <v>0</v>
      </c>
      <c r="AJ229" s="314">
        <f t="shared" si="286"/>
        <v>0</v>
      </c>
      <c r="AK229" s="314">
        <f t="shared" si="287"/>
        <v>0</v>
      </c>
      <c r="AL229" s="314">
        <f t="shared" si="288"/>
        <v>0</v>
      </c>
      <c r="AM229" s="314">
        <f t="shared" si="289"/>
        <v>0</v>
      </c>
      <c r="AN229" s="314">
        <f t="shared" si="290"/>
        <v>0</v>
      </c>
      <c r="AO229" s="314">
        <f t="shared" si="291"/>
        <v>0</v>
      </c>
      <c r="AP229" s="314">
        <f t="shared" si="292"/>
        <v>0</v>
      </c>
    </row>
    <row r="230" spans="1:42" s="314" customFormat="1">
      <c r="A230" s="592" t="s">
        <v>650</v>
      </c>
      <c r="B230" s="320" t="s">
        <v>627</v>
      </c>
      <c r="C230" s="297"/>
      <c r="D230" s="299">
        <f t="shared" ref="D230:AC230" si="307">D231+D241+D279</f>
        <v>263471</v>
      </c>
      <c r="E230" s="299">
        <f>E231+E241+E279</f>
        <v>293513</v>
      </c>
      <c r="F230" s="299">
        <f t="shared" si="307"/>
        <v>258127</v>
      </c>
      <c r="G230" s="299">
        <f t="shared" si="307"/>
        <v>-5344</v>
      </c>
      <c r="H230" s="299">
        <f t="shared" si="307"/>
        <v>260984</v>
      </c>
      <c r="I230" s="299">
        <f t="shared" si="307"/>
        <v>158480</v>
      </c>
      <c r="J230" s="299">
        <f t="shared" si="307"/>
        <v>1073</v>
      </c>
      <c r="K230" s="299">
        <f t="shared" si="307"/>
        <v>1003</v>
      </c>
      <c r="L230" s="299">
        <f t="shared" si="307"/>
        <v>70</v>
      </c>
      <c r="M230" s="299">
        <f t="shared" si="307"/>
        <v>130543</v>
      </c>
      <c r="N230" s="299">
        <f t="shared" si="307"/>
        <v>124837</v>
      </c>
      <c r="O230" s="299">
        <f t="shared" si="307"/>
        <v>5706</v>
      </c>
      <c r="P230" s="299">
        <f t="shared" si="307"/>
        <v>27937</v>
      </c>
      <c r="Q230" s="299">
        <f t="shared" si="307"/>
        <v>0</v>
      </c>
      <c r="R230" s="299">
        <f t="shared" si="307"/>
        <v>0</v>
      </c>
      <c r="S230" s="299">
        <f t="shared" si="307"/>
        <v>27757</v>
      </c>
      <c r="T230" s="299">
        <f t="shared" si="307"/>
        <v>180</v>
      </c>
      <c r="U230" s="299">
        <f t="shared" si="307"/>
        <v>180</v>
      </c>
      <c r="V230" s="299">
        <f t="shared" si="307"/>
        <v>0</v>
      </c>
      <c r="W230" s="299">
        <f t="shared" si="307"/>
        <v>102504</v>
      </c>
      <c r="X230" s="299">
        <f t="shared" si="307"/>
        <v>0</v>
      </c>
      <c r="Y230" s="299">
        <f t="shared" si="307"/>
        <v>0</v>
      </c>
      <c r="Z230" s="299">
        <f t="shared" si="307"/>
        <v>96489</v>
      </c>
      <c r="AA230" s="299">
        <f t="shared" si="307"/>
        <v>6015</v>
      </c>
      <c r="AB230" s="299">
        <f t="shared" si="307"/>
        <v>2857</v>
      </c>
      <c r="AC230" s="299">
        <f t="shared" si="307"/>
        <v>35386</v>
      </c>
      <c r="AD230" s="299"/>
      <c r="AE230" s="299"/>
      <c r="AF230" s="321"/>
      <c r="AG230" s="314">
        <f t="shared" si="283"/>
        <v>0</v>
      </c>
      <c r="AH230" s="696">
        <f t="shared" si="284"/>
        <v>0</v>
      </c>
      <c r="AI230" s="314">
        <f t="shared" si="285"/>
        <v>0</v>
      </c>
      <c r="AJ230" s="314">
        <f t="shared" si="286"/>
        <v>0</v>
      </c>
      <c r="AK230" s="314">
        <f t="shared" si="287"/>
        <v>0</v>
      </c>
      <c r="AL230" s="314">
        <f t="shared" si="288"/>
        <v>0</v>
      </c>
      <c r="AM230" s="314">
        <f t="shared" si="289"/>
        <v>0</v>
      </c>
      <c r="AN230" s="314">
        <f t="shared" si="290"/>
        <v>0</v>
      </c>
      <c r="AO230" s="314">
        <f t="shared" si="291"/>
        <v>0</v>
      </c>
      <c r="AP230" s="314">
        <f t="shared" si="292"/>
        <v>0</v>
      </c>
    </row>
    <row r="231" spans="1:42" s="314" customFormat="1">
      <c r="A231" s="592" t="s">
        <v>2396</v>
      </c>
      <c r="B231" s="357" t="s">
        <v>826</v>
      </c>
      <c r="C231" s="298" t="s">
        <v>756</v>
      </c>
      <c r="D231" s="299">
        <f t="shared" ref="D231" si="308">D232+D238+D236</f>
        <v>9899</v>
      </c>
      <c r="E231" s="299">
        <f>E232+E238+E236</f>
        <v>11199</v>
      </c>
      <c r="F231" s="299">
        <f>F232+F238+F236</f>
        <v>9926</v>
      </c>
      <c r="G231" s="299">
        <f t="shared" ref="G231:G237" si="309">F231-D231</f>
        <v>27</v>
      </c>
      <c r="H231" s="299">
        <f t="shared" ref="H231:Z231" si="310">H232+H238+H236</f>
        <v>9926</v>
      </c>
      <c r="I231" s="299">
        <f t="shared" si="310"/>
        <v>9926</v>
      </c>
      <c r="J231" s="299">
        <f t="shared" si="310"/>
        <v>57</v>
      </c>
      <c r="K231" s="299">
        <f t="shared" si="310"/>
        <v>50</v>
      </c>
      <c r="L231" s="299">
        <f t="shared" si="310"/>
        <v>7</v>
      </c>
      <c r="M231" s="299">
        <f t="shared" si="310"/>
        <v>6803</v>
      </c>
      <c r="N231" s="299">
        <f t="shared" si="310"/>
        <v>6345</v>
      </c>
      <c r="O231" s="299">
        <f t="shared" si="310"/>
        <v>458</v>
      </c>
      <c r="P231" s="299">
        <f t="shared" si="310"/>
        <v>3123</v>
      </c>
      <c r="Q231" s="299">
        <f t="shared" si="310"/>
        <v>0</v>
      </c>
      <c r="R231" s="299">
        <f t="shared" si="310"/>
        <v>0</v>
      </c>
      <c r="S231" s="299">
        <f t="shared" si="310"/>
        <v>2943</v>
      </c>
      <c r="T231" s="299">
        <f t="shared" si="310"/>
        <v>180</v>
      </c>
      <c r="U231" s="299">
        <f t="shared" si="310"/>
        <v>180</v>
      </c>
      <c r="V231" s="299">
        <f t="shared" si="310"/>
        <v>0</v>
      </c>
      <c r="W231" s="299">
        <f>W232+W238+W236</f>
        <v>0</v>
      </c>
      <c r="X231" s="299"/>
      <c r="Y231" s="299"/>
      <c r="Z231" s="299">
        <f t="shared" si="310"/>
        <v>0</v>
      </c>
      <c r="AA231" s="299">
        <f>AA232+AA238+AA236</f>
        <v>0</v>
      </c>
      <c r="AB231" s="299">
        <f>AB232+AB238+AB236</f>
        <v>0</v>
      </c>
      <c r="AC231" s="299">
        <f t="shared" ref="AC231:AE231" si="311">AC232+AC238+AC236</f>
        <v>1273</v>
      </c>
      <c r="AD231" s="299">
        <f t="shared" si="311"/>
        <v>310</v>
      </c>
      <c r="AE231" s="299">
        <f t="shared" si="311"/>
        <v>10889</v>
      </c>
      <c r="AF231" s="321"/>
      <c r="AG231" s="314">
        <f t="shared" si="283"/>
        <v>0</v>
      </c>
      <c r="AH231" s="696">
        <f t="shared" si="284"/>
        <v>0</v>
      </c>
      <c r="AI231" s="314">
        <f t="shared" si="285"/>
        <v>0</v>
      </c>
      <c r="AJ231" s="314">
        <f t="shared" si="286"/>
        <v>0</v>
      </c>
      <c r="AK231" s="314">
        <f t="shared" si="287"/>
        <v>0</v>
      </c>
      <c r="AL231" s="314">
        <f t="shared" si="288"/>
        <v>0</v>
      </c>
      <c r="AM231" s="314">
        <f t="shared" si="289"/>
        <v>0</v>
      </c>
      <c r="AN231" s="314">
        <f t="shared" si="290"/>
        <v>0</v>
      </c>
      <c r="AO231" s="314">
        <f t="shared" si="291"/>
        <v>0</v>
      </c>
      <c r="AP231" s="314">
        <f t="shared" si="292"/>
        <v>0</v>
      </c>
    </row>
    <row r="232" spans="1:42">
      <c r="A232" s="583" t="s">
        <v>45</v>
      </c>
      <c r="B232" s="324" t="s">
        <v>862</v>
      </c>
      <c r="C232" s="304"/>
      <c r="D232" s="303">
        <f t="shared" ref="D232" si="312">D233+D234+D235</f>
        <v>9019</v>
      </c>
      <c r="E232" s="303">
        <f>E233+E234+E235</f>
        <v>11019</v>
      </c>
      <c r="F232" s="303">
        <f>F233+F234+F235</f>
        <v>9746</v>
      </c>
      <c r="G232" s="303">
        <f t="shared" si="309"/>
        <v>727</v>
      </c>
      <c r="H232" s="303">
        <f>H233+H234+H235</f>
        <v>9746</v>
      </c>
      <c r="I232" s="303">
        <f t="shared" ref="I232:N232" si="313">I233+I234+I235</f>
        <v>9746</v>
      </c>
      <c r="J232" s="311">
        <f t="shared" si="313"/>
        <v>57</v>
      </c>
      <c r="K232" s="311">
        <f t="shared" si="313"/>
        <v>50</v>
      </c>
      <c r="L232" s="311">
        <f t="shared" si="313"/>
        <v>7</v>
      </c>
      <c r="M232" s="303">
        <f t="shared" si="313"/>
        <v>6803</v>
      </c>
      <c r="N232" s="311">
        <f t="shared" si="313"/>
        <v>6345</v>
      </c>
      <c r="O232" s="311">
        <f>O233+O234+O235</f>
        <v>458</v>
      </c>
      <c r="P232" s="303">
        <f>P233+P234+P235</f>
        <v>2943</v>
      </c>
      <c r="Q232" s="311"/>
      <c r="R232" s="311"/>
      <c r="S232" s="303">
        <f>S233+S234+S235</f>
        <v>2943</v>
      </c>
      <c r="T232" s="303">
        <f>T233+T234+T235</f>
        <v>0</v>
      </c>
      <c r="U232" s="303">
        <f t="shared" ref="U232:V232" si="314">U233+U234+U235</f>
        <v>0</v>
      </c>
      <c r="V232" s="303">
        <f t="shared" si="314"/>
        <v>0</v>
      </c>
      <c r="W232" s="303">
        <f>W233+W234+W235</f>
        <v>0</v>
      </c>
      <c r="X232" s="303"/>
      <c r="Y232" s="303"/>
      <c r="Z232" s="303"/>
      <c r="AA232" s="303">
        <f>AA233+AA234+AA235</f>
        <v>0</v>
      </c>
      <c r="AB232" s="303">
        <f>AB233+AB234+AB235</f>
        <v>0</v>
      </c>
      <c r="AC232" s="303">
        <f t="shared" ref="AC232:AE232" si="315">AC233+AC234+AC235</f>
        <v>1273</v>
      </c>
      <c r="AD232" s="303">
        <f t="shared" si="315"/>
        <v>292</v>
      </c>
      <c r="AE232" s="303">
        <f t="shared" si="315"/>
        <v>10727</v>
      </c>
      <c r="AF232" s="317"/>
      <c r="AG232" s="314">
        <f t="shared" si="283"/>
        <v>0</v>
      </c>
      <c r="AH232" s="696">
        <f t="shared" si="284"/>
        <v>0</v>
      </c>
      <c r="AI232" s="314">
        <f t="shared" si="285"/>
        <v>0</v>
      </c>
      <c r="AJ232" s="314">
        <f t="shared" si="286"/>
        <v>0</v>
      </c>
      <c r="AK232" s="314">
        <f t="shared" si="287"/>
        <v>0</v>
      </c>
      <c r="AL232" s="314">
        <f t="shared" si="288"/>
        <v>0</v>
      </c>
      <c r="AM232" s="314">
        <f t="shared" si="289"/>
        <v>0</v>
      </c>
      <c r="AN232" s="314">
        <f t="shared" si="290"/>
        <v>0</v>
      </c>
      <c r="AO232" s="314">
        <f t="shared" si="291"/>
        <v>0</v>
      </c>
      <c r="AP232" s="314">
        <f t="shared" si="292"/>
        <v>0</v>
      </c>
    </row>
    <row r="233" spans="1:42" outlineLevel="1">
      <c r="A233" s="593" t="s">
        <v>23</v>
      </c>
      <c r="B233" s="324" t="s">
        <v>627</v>
      </c>
      <c r="C233" s="304"/>
      <c r="D233" s="304">
        <v>5408</v>
      </c>
      <c r="E233" s="304">
        <f t="shared" si="218"/>
        <v>6890</v>
      </c>
      <c r="F233" s="304">
        <f>H233-AB233</f>
        <v>6082</v>
      </c>
      <c r="G233" s="304">
        <f t="shared" si="309"/>
        <v>674</v>
      </c>
      <c r="H233" s="303">
        <f t="shared" ref="H233:H235" si="316">I233+W233</f>
        <v>6082</v>
      </c>
      <c r="I233" s="303">
        <f>M233+P233</f>
        <v>6082</v>
      </c>
      <c r="J233" s="294">
        <v>33</v>
      </c>
      <c r="K233" s="294">
        <v>30</v>
      </c>
      <c r="L233" s="294">
        <f>J233-K233</f>
        <v>3</v>
      </c>
      <c r="M233" s="304">
        <f>N233+O233</f>
        <v>4175</v>
      </c>
      <c r="N233" s="294">
        <v>3979</v>
      </c>
      <c r="O233" s="294">
        <v>196</v>
      </c>
      <c r="P233" s="303">
        <f>S233+T233</f>
        <v>1907</v>
      </c>
      <c r="Q233" s="294">
        <v>34</v>
      </c>
      <c r="R233" s="305">
        <v>1.7000000000000002</v>
      </c>
      <c r="S233" s="304">
        <f>ROUND(J233*Q233*R233,0)</f>
        <v>1907</v>
      </c>
      <c r="T233" s="303">
        <f>U233+V233</f>
        <v>0</v>
      </c>
      <c r="U233" s="304"/>
      <c r="V233" s="304"/>
      <c r="W233" s="303">
        <f>Z233+AA233</f>
        <v>0</v>
      </c>
      <c r="X233" s="303"/>
      <c r="Y233" s="303"/>
      <c r="Z233" s="304"/>
      <c r="AA233" s="304"/>
      <c r="AB233" s="304"/>
      <c r="AC233" s="304">
        <v>808</v>
      </c>
      <c r="AD233" s="304">
        <v>188</v>
      </c>
      <c r="AE233" s="303">
        <f>E233-AD233</f>
        <v>6702</v>
      </c>
      <c r="AF233" s="317"/>
      <c r="AG233" s="314">
        <f t="shared" si="283"/>
        <v>0</v>
      </c>
      <c r="AH233" s="696">
        <f t="shared" si="284"/>
        <v>0</v>
      </c>
      <c r="AI233" s="314">
        <f t="shared" si="285"/>
        <v>0</v>
      </c>
      <c r="AJ233" s="314">
        <f t="shared" si="286"/>
        <v>0</v>
      </c>
      <c r="AK233" s="314">
        <f t="shared" si="287"/>
        <v>0</v>
      </c>
      <c r="AL233" s="314">
        <f t="shared" si="288"/>
        <v>0</v>
      </c>
      <c r="AM233" s="314">
        <f t="shared" si="289"/>
        <v>0</v>
      </c>
      <c r="AN233" s="314">
        <f t="shared" si="290"/>
        <v>0</v>
      </c>
      <c r="AO233" s="314">
        <f t="shared" si="291"/>
        <v>0</v>
      </c>
      <c r="AP233" s="314">
        <f t="shared" si="292"/>
        <v>0</v>
      </c>
    </row>
    <row r="234" spans="1:42" outlineLevel="1">
      <c r="A234" s="593" t="s">
        <v>23</v>
      </c>
      <c r="B234" s="324" t="s">
        <v>905</v>
      </c>
      <c r="C234" s="304"/>
      <c r="D234" s="304">
        <v>1826</v>
      </c>
      <c r="E234" s="304">
        <f t="shared" ref="E234:E301" si="317">F234+AC234</f>
        <v>2126</v>
      </c>
      <c r="F234" s="304">
        <f>H234-AB234</f>
        <v>1849</v>
      </c>
      <c r="G234" s="304">
        <f t="shared" si="309"/>
        <v>23</v>
      </c>
      <c r="H234" s="303">
        <f>I234+W234</f>
        <v>1849</v>
      </c>
      <c r="I234" s="303">
        <f>M234+P234</f>
        <v>1849</v>
      </c>
      <c r="J234" s="294">
        <v>12</v>
      </c>
      <c r="K234" s="294">
        <v>10</v>
      </c>
      <c r="L234" s="294">
        <f>J234-K234</f>
        <v>2</v>
      </c>
      <c r="M234" s="304">
        <f>N234+O234</f>
        <v>1331</v>
      </c>
      <c r="N234" s="294">
        <v>1200</v>
      </c>
      <c r="O234" s="294">
        <v>131</v>
      </c>
      <c r="P234" s="303">
        <f>S234+T234</f>
        <v>518</v>
      </c>
      <c r="Q234" s="294">
        <v>36</v>
      </c>
      <c r="R234" s="305">
        <v>1.2</v>
      </c>
      <c r="S234" s="304">
        <f>ROUND(J234*Q234*R234,0)</f>
        <v>518</v>
      </c>
      <c r="T234" s="303">
        <f>U234+V234</f>
        <v>0</v>
      </c>
      <c r="U234" s="304"/>
      <c r="V234" s="304"/>
      <c r="W234" s="303">
        <f>Z234+AA234</f>
        <v>0</v>
      </c>
      <c r="X234" s="303"/>
      <c r="Y234" s="303"/>
      <c r="Z234" s="304"/>
      <c r="AA234" s="304"/>
      <c r="AB234" s="304"/>
      <c r="AC234" s="304">
        <v>277</v>
      </c>
      <c r="AD234" s="304">
        <v>52</v>
      </c>
      <c r="AE234" s="303">
        <f>E234-AD234</f>
        <v>2074</v>
      </c>
      <c r="AF234" s="317"/>
      <c r="AG234" s="314">
        <f t="shared" si="283"/>
        <v>0</v>
      </c>
      <c r="AH234" s="696">
        <f t="shared" si="284"/>
        <v>0</v>
      </c>
      <c r="AI234" s="314">
        <f t="shared" si="285"/>
        <v>0</v>
      </c>
      <c r="AJ234" s="314">
        <f t="shared" si="286"/>
        <v>0</v>
      </c>
      <c r="AK234" s="314">
        <f t="shared" si="287"/>
        <v>0</v>
      </c>
      <c r="AL234" s="314">
        <f t="shared" si="288"/>
        <v>0</v>
      </c>
      <c r="AM234" s="314">
        <f t="shared" si="289"/>
        <v>0</v>
      </c>
      <c r="AN234" s="314">
        <f t="shared" si="290"/>
        <v>0</v>
      </c>
      <c r="AO234" s="314">
        <f t="shared" si="291"/>
        <v>0</v>
      </c>
      <c r="AP234" s="314">
        <f t="shared" si="292"/>
        <v>0</v>
      </c>
    </row>
    <row r="235" spans="1:42" outlineLevel="1">
      <c r="A235" s="593" t="s">
        <v>23</v>
      </c>
      <c r="B235" s="324" t="s">
        <v>906</v>
      </c>
      <c r="C235" s="304"/>
      <c r="D235" s="304">
        <v>1785</v>
      </c>
      <c r="E235" s="304">
        <f t="shared" si="317"/>
        <v>2003</v>
      </c>
      <c r="F235" s="304">
        <f>H235-AB235</f>
        <v>1815</v>
      </c>
      <c r="G235" s="304">
        <f t="shared" si="309"/>
        <v>30</v>
      </c>
      <c r="H235" s="303">
        <f t="shared" si="316"/>
        <v>1815</v>
      </c>
      <c r="I235" s="303">
        <f>M235+P235</f>
        <v>1815</v>
      </c>
      <c r="J235" s="294">
        <v>12</v>
      </c>
      <c r="K235" s="294">
        <v>10</v>
      </c>
      <c r="L235" s="294">
        <f>J235-K235</f>
        <v>2</v>
      </c>
      <c r="M235" s="304">
        <f>N235+O235</f>
        <v>1297</v>
      </c>
      <c r="N235" s="294">
        <v>1166</v>
      </c>
      <c r="O235" s="294">
        <v>131</v>
      </c>
      <c r="P235" s="303">
        <f>S235+T235</f>
        <v>518</v>
      </c>
      <c r="Q235" s="294">
        <v>36</v>
      </c>
      <c r="R235" s="305">
        <v>1.2</v>
      </c>
      <c r="S235" s="304">
        <f>ROUND(J235*Q235*R235,0)</f>
        <v>518</v>
      </c>
      <c r="T235" s="303">
        <f>U235+V235</f>
        <v>0</v>
      </c>
      <c r="U235" s="304"/>
      <c r="V235" s="304"/>
      <c r="W235" s="303">
        <f>Z235+AA235</f>
        <v>0</v>
      </c>
      <c r="X235" s="303"/>
      <c r="Y235" s="303"/>
      <c r="Z235" s="304"/>
      <c r="AA235" s="304"/>
      <c r="AB235" s="304"/>
      <c r="AC235" s="304">
        <v>188</v>
      </c>
      <c r="AD235" s="304">
        <v>52</v>
      </c>
      <c r="AE235" s="303">
        <f>E235-AD235</f>
        <v>1951</v>
      </c>
      <c r="AF235" s="317"/>
      <c r="AG235" s="314">
        <f t="shared" si="283"/>
        <v>0</v>
      </c>
      <c r="AH235" s="696">
        <f t="shared" si="284"/>
        <v>0</v>
      </c>
      <c r="AI235" s="314">
        <f t="shared" si="285"/>
        <v>0</v>
      </c>
      <c r="AJ235" s="314">
        <f t="shared" si="286"/>
        <v>0</v>
      </c>
      <c r="AK235" s="314">
        <f t="shared" si="287"/>
        <v>0</v>
      </c>
      <c r="AL235" s="314">
        <f t="shared" si="288"/>
        <v>0</v>
      </c>
      <c r="AM235" s="314">
        <f t="shared" si="289"/>
        <v>0</v>
      </c>
      <c r="AN235" s="314">
        <f t="shared" si="290"/>
        <v>0</v>
      </c>
      <c r="AO235" s="314">
        <f t="shared" si="291"/>
        <v>0</v>
      </c>
      <c r="AP235" s="314">
        <f t="shared" si="292"/>
        <v>0</v>
      </c>
    </row>
    <row r="236" spans="1:42" ht="27.6" hidden="1" outlineLevel="3">
      <c r="A236" s="583" t="s">
        <v>47</v>
      </c>
      <c r="B236" s="324" t="s">
        <v>1521</v>
      </c>
      <c r="C236" s="304"/>
      <c r="D236" s="303">
        <v>210</v>
      </c>
      <c r="E236" s="303">
        <f t="shared" ref="E236:F236" si="318">E237</f>
        <v>0</v>
      </c>
      <c r="F236" s="303">
        <f t="shared" si="318"/>
        <v>0</v>
      </c>
      <c r="G236" s="303">
        <f t="shared" si="309"/>
        <v>-210</v>
      </c>
      <c r="H236" s="303">
        <f>H237</f>
        <v>0</v>
      </c>
      <c r="I236" s="303">
        <f t="shared" ref="I236:W236" si="319">I237</f>
        <v>0</v>
      </c>
      <c r="J236" s="303">
        <f t="shared" si="319"/>
        <v>0</v>
      </c>
      <c r="K236" s="303">
        <f t="shared" si="319"/>
        <v>0</v>
      </c>
      <c r="L236" s="303">
        <f t="shared" si="319"/>
        <v>0</v>
      </c>
      <c r="M236" s="303">
        <f t="shared" si="319"/>
        <v>0</v>
      </c>
      <c r="N236" s="303">
        <f t="shared" si="319"/>
        <v>0</v>
      </c>
      <c r="O236" s="303">
        <f t="shared" si="319"/>
        <v>0</v>
      </c>
      <c r="P236" s="303">
        <f t="shared" si="319"/>
        <v>0</v>
      </c>
      <c r="Q236" s="303">
        <f t="shared" si="319"/>
        <v>0</v>
      </c>
      <c r="R236" s="303">
        <f t="shared" si="319"/>
        <v>0</v>
      </c>
      <c r="S236" s="303">
        <f t="shared" si="319"/>
        <v>0</v>
      </c>
      <c r="T236" s="303">
        <f t="shared" si="319"/>
        <v>0</v>
      </c>
      <c r="U236" s="303">
        <f t="shared" si="319"/>
        <v>0</v>
      </c>
      <c r="V236" s="303">
        <f t="shared" si="319"/>
        <v>0</v>
      </c>
      <c r="W236" s="303">
        <f t="shared" si="319"/>
        <v>0</v>
      </c>
      <c r="X236" s="303"/>
      <c r="Y236" s="303"/>
      <c r="Z236" s="303">
        <f t="shared" ref="Z236" si="320">Z237</f>
        <v>0</v>
      </c>
      <c r="AA236" s="303">
        <f>AA237</f>
        <v>0</v>
      </c>
      <c r="AB236" s="303">
        <f>AB237</f>
        <v>0</v>
      </c>
      <c r="AC236" s="303">
        <f t="shared" ref="AC236:AE236" si="321">AC237</f>
        <v>0</v>
      </c>
      <c r="AD236" s="303">
        <f t="shared" si="321"/>
        <v>0</v>
      </c>
      <c r="AE236" s="303">
        <f t="shared" si="321"/>
        <v>0</v>
      </c>
      <c r="AF236" s="317"/>
      <c r="AG236" s="314">
        <f t="shared" si="283"/>
        <v>0</v>
      </c>
      <c r="AH236" s="696">
        <f t="shared" si="284"/>
        <v>0</v>
      </c>
      <c r="AI236" s="314">
        <f t="shared" si="285"/>
        <v>0</v>
      </c>
      <c r="AJ236" s="314">
        <f t="shared" si="286"/>
        <v>0</v>
      </c>
      <c r="AK236" s="314">
        <f t="shared" si="287"/>
        <v>0</v>
      </c>
      <c r="AL236" s="314">
        <f t="shared" si="288"/>
        <v>0</v>
      </c>
      <c r="AM236" s="314">
        <f t="shared" si="289"/>
        <v>0</v>
      </c>
      <c r="AN236" s="314">
        <f t="shared" si="290"/>
        <v>0</v>
      </c>
      <c r="AO236" s="314">
        <f t="shared" si="291"/>
        <v>0</v>
      </c>
      <c r="AP236" s="314">
        <f t="shared" si="292"/>
        <v>0</v>
      </c>
    </row>
    <row r="237" spans="1:42" hidden="1" outlineLevel="3">
      <c r="A237" s="583" t="s">
        <v>23</v>
      </c>
      <c r="B237" s="324" t="s">
        <v>627</v>
      </c>
      <c r="C237" s="304"/>
      <c r="D237" s="304">
        <v>210</v>
      </c>
      <c r="E237" s="304">
        <f t="shared" si="317"/>
        <v>0</v>
      </c>
      <c r="F237" s="304">
        <f>H237-AB237</f>
        <v>0</v>
      </c>
      <c r="G237" s="304">
        <f t="shared" si="309"/>
        <v>-210</v>
      </c>
      <c r="H237" s="303">
        <f t="shared" ref="H237" si="322">I237+W237</f>
        <v>0</v>
      </c>
      <c r="I237" s="303">
        <f t="shared" ref="I237" si="323">M237+P237</f>
        <v>0</v>
      </c>
      <c r="J237" s="294"/>
      <c r="K237" s="294">
        <v>0</v>
      </c>
      <c r="L237" s="294"/>
      <c r="M237" s="304">
        <f t="shared" ref="M237" si="324">N237+O237</f>
        <v>0</v>
      </c>
      <c r="N237" s="294"/>
      <c r="O237" s="294"/>
      <c r="P237" s="303">
        <f t="shared" ref="P237" si="325">S237+T237</f>
        <v>0</v>
      </c>
      <c r="Q237" s="311">
        <v>0</v>
      </c>
      <c r="R237" s="305"/>
      <c r="S237" s="304">
        <f>J237*Q237</f>
        <v>0</v>
      </c>
      <c r="T237" s="303">
        <f t="shared" ref="T237" si="326">U237+V237</f>
        <v>0</v>
      </c>
      <c r="U237" s="304"/>
      <c r="V237" s="304"/>
      <c r="W237" s="303">
        <f>Z237+AA237</f>
        <v>0</v>
      </c>
      <c r="X237" s="303"/>
      <c r="Y237" s="303"/>
      <c r="Z237" s="304"/>
      <c r="AA237" s="304"/>
      <c r="AB237" s="304"/>
      <c r="AC237" s="304"/>
      <c r="AD237" s="304">
        <v>0</v>
      </c>
      <c r="AE237" s="303">
        <f>E237-AD237</f>
        <v>0</v>
      </c>
      <c r="AF237" s="317"/>
      <c r="AG237" s="314">
        <f t="shared" si="283"/>
        <v>0</v>
      </c>
      <c r="AH237" s="696">
        <f t="shared" si="284"/>
        <v>0</v>
      </c>
      <c r="AI237" s="314">
        <f t="shared" si="285"/>
        <v>0</v>
      </c>
      <c r="AJ237" s="314">
        <f t="shared" si="286"/>
        <v>0</v>
      </c>
      <c r="AK237" s="314">
        <f t="shared" si="287"/>
        <v>0</v>
      </c>
      <c r="AL237" s="314">
        <f t="shared" si="288"/>
        <v>0</v>
      </c>
      <c r="AM237" s="314">
        <f t="shared" si="289"/>
        <v>0</v>
      </c>
      <c r="AN237" s="314">
        <f t="shared" si="290"/>
        <v>0</v>
      </c>
      <c r="AO237" s="314">
        <f t="shared" si="291"/>
        <v>0</v>
      </c>
      <c r="AP237" s="314">
        <f t="shared" si="292"/>
        <v>0</v>
      </c>
    </row>
    <row r="238" spans="1:42" ht="27.6">
      <c r="A238" s="583" t="s">
        <v>47</v>
      </c>
      <c r="B238" s="1273" t="s">
        <v>1737</v>
      </c>
      <c r="C238" s="304"/>
      <c r="D238" s="304">
        <v>670</v>
      </c>
      <c r="E238" s="304">
        <f>E239+E240</f>
        <v>180</v>
      </c>
      <c r="F238" s="304">
        <f>F239+F240</f>
        <v>180</v>
      </c>
      <c r="G238" s="304">
        <f>G239+G240</f>
        <v>-490</v>
      </c>
      <c r="H238" s="304">
        <f t="shared" ref="H238:AB238" si="327">H239+H240</f>
        <v>180</v>
      </c>
      <c r="I238" s="304">
        <f t="shared" si="327"/>
        <v>180</v>
      </c>
      <c r="J238" s="304">
        <f t="shared" si="327"/>
        <v>0</v>
      </c>
      <c r="K238" s="304">
        <f t="shared" si="327"/>
        <v>0</v>
      </c>
      <c r="L238" s="304">
        <f t="shared" si="327"/>
        <v>0</v>
      </c>
      <c r="M238" s="304">
        <f t="shared" si="327"/>
        <v>0</v>
      </c>
      <c r="N238" s="304">
        <f t="shared" si="327"/>
        <v>0</v>
      </c>
      <c r="O238" s="304">
        <f t="shared" si="327"/>
        <v>0</v>
      </c>
      <c r="P238" s="304">
        <f t="shared" si="327"/>
        <v>180</v>
      </c>
      <c r="Q238" s="304">
        <f t="shared" si="327"/>
        <v>0</v>
      </c>
      <c r="R238" s="304">
        <f t="shared" si="327"/>
        <v>0</v>
      </c>
      <c r="S238" s="304">
        <f t="shared" si="327"/>
        <v>0</v>
      </c>
      <c r="T238" s="304">
        <f t="shared" si="327"/>
        <v>180</v>
      </c>
      <c r="U238" s="304">
        <f t="shared" si="327"/>
        <v>180</v>
      </c>
      <c r="V238" s="304">
        <f t="shared" si="327"/>
        <v>0</v>
      </c>
      <c r="W238" s="304">
        <f t="shared" si="327"/>
        <v>0</v>
      </c>
      <c r="X238" s="304">
        <f t="shared" si="327"/>
        <v>0</v>
      </c>
      <c r="Y238" s="304">
        <f t="shared" si="327"/>
        <v>0</v>
      </c>
      <c r="Z238" s="304">
        <f t="shared" si="327"/>
        <v>0</v>
      </c>
      <c r="AA238" s="304">
        <f t="shared" si="327"/>
        <v>0</v>
      </c>
      <c r="AB238" s="304">
        <f t="shared" si="327"/>
        <v>0</v>
      </c>
      <c r="AC238" s="304"/>
      <c r="AD238" s="304">
        <v>18</v>
      </c>
      <c r="AE238" s="303">
        <f>E238-AD238</f>
        <v>162</v>
      </c>
      <c r="AF238" s="317"/>
      <c r="AG238" s="314">
        <f t="shared" si="283"/>
        <v>0</v>
      </c>
      <c r="AH238" s="696">
        <f t="shared" si="284"/>
        <v>0</v>
      </c>
      <c r="AI238" s="314">
        <f t="shared" si="285"/>
        <v>0</v>
      </c>
      <c r="AJ238" s="314">
        <f t="shared" si="286"/>
        <v>0</v>
      </c>
      <c r="AK238" s="314">
        <f t="shared" si="287"/>
        <v>0</v>
      </c>
      <c r="AL238" s="314">
        <f t="shared" si="288"/>
        <v>0</v>
      </c>
      <c r="AM238" s="314">
        <f t="shared" si="289"/>
        <v>0</v>
      </c>
      <c r="AN238" s="314">
        <f t="shared" si="290"/>
        <v>0</v>
      </c>
      <c r="AO238" s="314">
        <f t="shared" si="291"/>
        <v>0</v>
      </c>
      <c r="AP238" s="314">
        <f t="shared" si="292"/>
        <v>0</v>
      </c>
    </row>
    <row r="239" spans="1:42" ht="27.6" outlineLevel="2">
      <c r="A239" s="583" t="s">
        <v>23</v>
      </c>
      <c r="B239" s="316" t="s">
        <v>1745</v>
      </c>
      <c r="C239" s="304"/>
      <c r="D239" s="304">
        <v>180</v>
      </c>
      <c r="E239" s="304">
        <f t="shared" si="317"/>
        <v>180</v>
      </c>
      <c r="F239" s="304">
        <f>H239-AB239</f>
        <v>180</v>
      </c>
      <c r="G239" s="304">
        <f t="shared" ref="G239:G248" si="328">F239-D239</f>
        <v>0</v>
      </c>
      <c r="H239" s="303">
        <f>I239+W239</f>
        <v>180</v>
      </c>
      <c r="I239" s="303">
        <f>M239+P239</f>
        <v>180</v>
      </c>
      <c r="J239" s="294"/>
      <c r="K239" s="294"/>
      <c r="L239" s="294"/>
      <c r="M239" s="304"/>
      <c r="N239" s="294"/>
      <c r="O239" s="294"/>
      <c r="P239" s="303">
        <f>S239+T239</f>
        <v>180</v>
      </c>
      <c r="Q239" s="294"/>
      <c r="R239" s="305"/>
      <c r="S239" s="304"/>
      <c r="T239" s="303">
        <f>U239+V239</f>
        <v>180</v>
      </c>
      <c r="U239" s="304">
        <v>180</v>
      </c>
      <c r="V239" s="304"/>
      <c r="W239" s="303"/>
      <c r="X239" s="303"/>
      <c r="Y239" s="303"/>
      <c r="Z239" s="304"/>
      <c r="AA239" s="304"/>
      <c r="AB239" s="304"/>
      <c r="AC239" s="304"/>
      <c r="AD239" s="304"/>
      <c r="AE239" s="304"/>
      <c r="AF239" s="317"/>
      <c r="AG239" s="314">
        <f t="shared" si="283"/>
        <v>0</v>
      </c>
      <c r="AH239" s="696">
        <f t="shared" si="284"/>
        <v>0</v>
      </c>
      <c r="AI239" s="314">
        <f t="shared" si="285"/>
        <v>0</v>
      </c>
      <c r="AJ239" s="314">
        <f t="shared" si="286"/>
        <v>0</v>
      </c>
      <c r="AK239" s="314">
        <f t="shared" si="287"/>
        <v>0</v>
      </c>
      <c r="AL239" s="314">
        <f t="shared" si="288"/>
        <v>0</v>
      </c>
      <c r="AM239" s="314">
        <f t="shared" si="289"/>
        <v>0</v>
      </c>
      <c r="AN239" s="314">
        <f t="shared" si="290"/>
        <v>0</v>
      </c>
      <c r="AO239" s="314">
        <f t="shared" si="291"/>
        <v>0</v>
      </c>
      <c r="AP239" s="314">
        <f t="shared" si="292"/>
        <v>0</v>
      </c>
    </row>
    <row r="240" spans="1:42" hidden="1" outlineLevel="3">
      <c r="A240" s="583" t="s">
        <v>23</v>
      </c>
      <c r="B240" s="316" t="s">
        <v>839</v>
      </c>
      <c r="C240" s="304"/>
      <c r="D240" s="304">
        <v>490</v>
      </c>
      <c r="E240" s="304">
        <f t="shared" si="317"/>
        <v>0</v>
      </c>
      <c r="F240" s="304">
        <f>H240-AB240</f>
        <v>0</v>
      </c>
      <c r="G240" s="304">
        <f t="shared" si="328"/>
        <v>-490</v>
      </c>
      <c r="H240" s="303">
        <f>I240+W240</f>
        <v>0</v>
      </c>
      <c r="I240" s="303">
        <f>M240+P240</f>
        <v>0</v>
      </c>
      <c r="J240" s="294"/>
      <c r="K240" s="294"/>
      <c r="L240" s="294"/>
      <c r="M240" s="304"/>
      <c r="N240" s="294"/>
      <c r="O240" s="294"/>
      <c r="P240" s="303">
        <f>S240+T240</f>
        <v>0</v>
      </c>
      <c r="Q240" s="294"/>
      <c r="R240" s="305"/>
      <c r="S240" s="304"/>
      <c r="T240" s="303">
        <f>U240+V240</f>
        <v>0</v>
      </c>
      <c r="U240" s="304"/>
      <c r="V240" s="304"/>
      <c r="W240" s="303">
        <f>Z240+AA240</f>
        <v>0</v>
      </c>
      <c r="X240" s="303"/>
      <c r="Y240" s="303"/>
      <c r="Z240" s="304"/>
      <c r="AA240" s="304"/>
      <c r="AB240" s="304"/>
      <c r="AC240" s="304"/>
      <c r="AD240" s="304"/>
      <c r="AE240" s="304"/>
      <c r="AF240" s="317" t="s">
        <v>2042</v>
      </c>
      <c r="AG240" s="314">
        <f t="shared" si="283"/>
        <v>0</v>
      </c>
      <c r="AH240" s="696">
        <f t="shared" si="284"/>
        <v>0</v>
      </c>
      <c r="AI240" s="314">
        <f t="shared" si="285"/>
        <v>0</v>
      </c>
      <c r="AJ240" s="314">
        <f t="shared" si="286"/>
        <v>0</v>
      </c>
      <c r="AK240" s="314">
        <f t="shared" si="287"/>
        <v>0</v>
      </c>
      <c r="AL240" s="314">
        <f t="shared" si="288"/>
        <v>0</v>
      </c>
      <c r="AM240" s="314">
        <f t="shared" si="289"/>
        <v>0</v>
      </c>
      <c r="AN240" s="314">
        <f t="shared" si="290"/>
        <v>0</v>
      </c>
      <c r="AO240" s="314">
        <f t="shared" si="291"/>
        <v>0</v>
      </c>
      <c r="AP240" s="314">
        <f t="shared" si="292"/>
        <v>0</v>
      </c>
    </row>
    <row r="241" spans="1:42" s="333" customFormat="1">
      <c r="A241" s="592" t="s">
        <v>2397</v>
      </c>
      <c r="B241" s="357" t="s">
        <v>907</v>
      </c>
      <c r="C241" s="298" t="s">
        <v>739</v>
      </c>
      <c r="D241" s="299">
        <f>D242+D248+D268</f>
        <v>241572</v>
      </c>
      <c r="E241" s="299">
        <f>E242+E248+E268</f>
        <v>282314</v>
      </c>
      <c r="F241" s="299">
        <f>F242+F248+F268</f>
        <v>248201</v>
      </c>
      <c r="G241" s="299">
        <f t="shared" si="328"/>
        <v>6629</v>
      </c>
      <c r="H241" s="299">
        <f t="shared" ref="H241:W241" si="329">H242+H248+H268</f>
        <v>251058</v>
      </c>
      <c r="I241" s="299">
        <f t="shared" si="329"/>
        <v>148554</v>
      </c>
      <c r="J241" s="299">
        <f t="shared" si="329"/>
        <v>1016</v>
      </c>
      <c r="K241" s="299">
        <f t="shared" si="329"/>
        <v>953</v>
      </c>
      <c r="L241" s="299">
        <f t="shared" si="329"/>
        <v>63</v>
      </c>
      <c r="M241" s="299">
        <f t="shared" si="329"/>
        <v>123740</v>
      </c>
      <c r="N241" s="299">
        <f t="shared" si="329"/>
        <v>118492</v>
      </c>
      <c r="O241" s="299">
        <f t="shared" si="329"/>
        <v>5248</v>
      </c>
      <c r="P241" s="299">
        <f t="shared" si="329"/>
        <v>24814</v>
      </c>
      <c r="Q241" s="299">
        <f t="shared" si="329"/>
        <v>0</v>
      </c>
      <c r="R241" s="299">
        <f t="shared" si="329"/>
        <v>0</v>
      </c>
      <c r="S241" s="299">
        <f t="shared" si="329"/>
        <v>24814</v>
      </c>
      <c r="T241" s="299">
        <f t="shared" si="329"/>
        <v>0</v>
      </c>
      <c r="U241" s="299">
        <f t="shared" si="329"/>
        <v>0</v>
      </c>
      <c r="V241" s="299">
        <f t="shared" si="329"/>
        <v>0</v>
      </c>
      <c r="W241" s="299">
        <f t="shared" si="329"/>
        <v>102504</v>
      </c>
      <c r="X241" s="299"/>
      <c r="Y241" s="299"/>
      <c r="Z241" s="299">
        <f t="shared" ref="Z241:AE241" si="330">Z242+Z248+Z268</f>
        <v>96489</v>
      </c>
      <c r="AA241" s="299">
        <f t="shared" si="330"/>
        <v>6015</v>
      </c>
      <c r="AB241" s="299">
        <f>AB242+AB248+AB268</f>
        <v>2857</v>
      </c>
      <c r="AC241" s="299">
        <f t="shared" si="330"/>
        <v>34113</v>
      </c>
      <c r="AD241" s="299">
        <f t="shared" si="330"/>
        <v>6398</v>
      </c>
      <c r="AE241" s="299">
        <f t="shared" si="330"/>
        <v>275916</v>
      </c>
      <c r="AF241" s="321"/>
      <c r="AG241" s="314">
        <f t="shared" si="283"/>
        <v>0</v>
      </c>
      <c r="AH241" s="696">
        <f t="shared" si="284"/>
        <v>0</v>
      </c>
      <c r="AI241" s="314">
        <f t="shared" si="285"/>
        <v>0</v>
      </c>
      <c r="AJ241" s="314">
        <f t="shared" si="286"/>
        <v>0</v>
      </c>
      <c r="AK241" s="314">
        <f t="shared" si="287"/>
        <v>0</v>
      </c>
      <c r="AL241" s="314">
        <f t="shared" si="288"/>
        <v>0</v>
      </c>
      <c r="AM241" s="314">
        <f t="shared" si="289"/>
        <v>0</v>
      </c>
      <c r="AN241" s="314">
        <f t="shared" si="290"/>
        <v>0</v>
      </c>
      <c r="AO241" s="314">
        <f t="shared" si="291"/>
        <v>0</v>
      </c>
      <c r="AP241" s="314">
        <f t="shared" si="292"/>
        <v>0</v>
      </c>
    </row>
    <row r="242" spans="1:42" s="322" customFormat="1">
      <c r="A242" s="1283" t="s">
        <v>45</v>
      </c>
      <c r="B242" s="1284" t="s">
        <v>1604</v>
      </c>
      <c r="C242" s="302"/>
      <c r="D242" s="304">
        <v>74143</v>
      </c>
      <c r="E242" s="304">
        <f t="shared" si="317"/>
        <v>86663</v>
      </c>
      <c r="F242" s="304">
        <f t="shared" ref="F242:F248" si="331">H242-AB242</f>
        <v>76142</v>
      </c>
      <c r="G242" s="304">
        <f t="shared" si="328"/>
        <v>1999</v>
      </c>
      <c r="H242" s="303">
        <f t="shared" ref="H242:W242" si="332">H243+H247</f>
        <v>86572</v>
      </c>
      <c r="I242" s="303">
        <f t="shared" si="332"/>
        <v>0</v>
      </c>
      <c r="J242" s="303">
        <f t="shared" si="332"/>
        <v>0</v>
      </c>
      <c r="K242" s="303">
        <f t="shared" si="332"/>
        <v>0</v>
      </c>
      <c r="L242" s="303">
        <f t="shared" si="332"/>
        <v>0</v>
      </c>
      <c r="M242" s="303">
        <f t="shared" si="332"/>
        <v>0</v>
      </c>
      <c r="N242" s="303">
        <f t="shared" si="332"/>
        <v>0</v>
      </c>
      <c r="O242" s="303">
        <f t="shared" si="332"/>
        <v>0</v>
      </c>
      <c r="P242" s="303">
        <f t="shared" si="332"/>
        <v>0</v>
      </c>
      <c r="Q242" s="303">
        <f t="shared" si="332"/>
        <v>0</v>
      </c>
      <c r="R242" s="303">
        <f t="shared" si="332"/>
        <v>0</v>
      </c>
      <c r="S242" s="303">
        <f t="shared" si="332"/>
        <v>0</v>
      </c>
      <c r="T242" s="303">
        <f t="shared" si="332"/>
        <v>0</v>
      </c>
      <c r="U242" s="303">
        <f t="shared" si="332"/>
        <v>0</v>
      </c>
      <c r="V242" s="303">
        <f t="shared" si="332"/>
        <v>0</v>
      </c>
      <c r="W242" s="303">
        <f t="shared" si="332"/>
        <v>86572</v>
      </c>
      <c r="X242" s="303"/>
      <c r="Y242" s="303"/>
      <c r="Z242" s="303">
        <f>Z243+Z247</f>
        <v>86572</v>
      </c>
      <c r="AA242" s="303"/>
      <c r="AB242" s="303">
        <f>AB243+AB247</f>
        <v>10430</v>
      </c>
      <c r="AC242" s="303">
        <f>AC243+AC247</f>
        <v>10521</v>
      </c>
      <c r="AD242" s="303">
        <v>1904</v>
      </c>
      <c r="AE242" s="303">
        <f>E242-AD242</f>
        <v>84759</v>
      </c>
      <c r="AF242" s="1285"/>
      <c r="AG242" s="314">
        <f t="shared" si="283"/>
        <v>0</v>
      </c>
      <c r="AH242" s="696">
        <f t="shared" si="284"/>
        <v>0</v>
      </c>
      <c r="AI242" s="314">
        <f t="shared" si="285"/>
        <v>0</v>
      </c>
      <c r="AJ242" s="314">
        <f t="shared" si="286"/>
        <v>0</v>
      </c>
      <c r="AK242" s="314">
        <f t="shared" si="287"/>
        <v>0</v>
      </c>
      <c r="AL242" s="314">
        <f t="shared" si="288"/>
        <v>0</v>
      </c>
      <c r="AM242" s="314">
        <f t="shared" si="289"/>
        <v>0</v>
      </c>
      <c r="AN242" s="314">
        <f t="shared" si="290"/>
        <v>0</v>
      </c>
      <c r="AO242" s="314">
        <f t="shared" si="291"/>
        <v>0</v>
      </c>
      <c r="AP242" s="314">
        <f t="shared" si="292"/>
        <v>0</v>
      </c>
    </row>
    <row r="243" spans="1:42" ht="27.6" outlineLevel="1">
      <c r="A243" s="583" t="s">
        <v>23</v>
      </c>
      <c r="B243" s="324" t="s">
        <v>2084</v>
      </c>
      <c r="C243" s="302"/>
      <c r="D243" s="304">
        <v>27068</v>
      </c>
      <c r="E243" s="304">
        <f t="shared" si="317"/>
        <v>31616</v>
      </c>
      <c r="F243" s="304">
        <f t="shared" si="331"/>
        <v>30364</v>
      </c>
      <c r="G243" s="304">
        <f t="shared" si="328"/>
        <v>3296</v>
      </c>
      <c r="H243" s="303">
        <f t="shared" ref="H243:H247" si="333">I243+W243</f>
        <v>36732</v>
      </c>
      <c r="I243" s="303"/>
      <c r="J243" s="311"/>
      <c r="K243" s="311"/>
      <c r="L243" s="311"/>
      <c r="M243" s="303"/>
      <c r="N243" s="311"/>
      <c r="O243" s="311"/>
      <c r="P243" s="303"/>
      <c r="Q243" s="311"/>
      <c r="R243" s="312"/>
      <c r="S243" s="303"/>
      <c r="T243" s="303"/>
      <c r="U243" s="303"/>
      <c r="V243" s="303"/>
      <c r="W243" s="303">
        <f>Z243+AA243</f>
        <v>36732</v>
      </c>
      <c r="X243" s="303">
        <f>355+50</f>
        <v>405</v>
      </c>
      <c r="Y243" s="303">
        <v>83</v>
      </c>
      <c r="Z243" s="303">
        <f>X243*Y243+Z246</f>
        <v>36732</v>
      </c>
      <c r="AA243" s="303"/>
      <c r="AB243" s="304">
        <v>6368</v>
      </c>
      <c r="AC243" s="304">
        <v>1252</v>
      </c>
      <c r="AD243" s="304"/>
      <c r="AE243" s="303"/>
      <c r="AF243" s="317"/>
      <c r="AG243" s="314">
        <f t="shared" si="283"/>
        <v>0</v>
      </c>
      <c r="AH243" s="696">
        <f t="shared" si="284"/>
        <v>0</v>
      </c>
      <c r="AI243" s="314">
        <f t="shared" si="285"/>
        <v>0</v>
      </c>
      <c r="AJ243" s="314">
        <f t="shared" si="286"/>
        <v>0</v>
      </c>
      <c r="AK243" s="314">
        <f t="shared" si="287"/>
        <v>0</v>
      </c>
      <c r="AL243" s="314">
        <f t="shared" si="288"/>
        <v>0</v>
      </c>
      <c r="AM243" s="314">
        <f t="shared" si="289"/>
        <v>0</v>
      </c>
      <c r="AN243" s="314">
        <f t="shared" si="290"/>
        <v>0</v>
      </c>
      <c r="AO243" s="314">
        <f t="shared" si="291"/>
        <v>0</v>
      </c>
      <c r="AP243" s="314">
        <f t="shared" si="292"/>
        <v>0</v>
      </c>
    </row>
    <row r="244" spans="1:42" outlineLevel="1">
      <c r="A244" s="583"/>
      <c r="B244" s="324" t="s">
        <v>2085</v>
      </c>
      <c r="C244" s="302"/>
      <c r="D244" s="304"/>
      <c r="E244" s="304">
        <f t="shared" si="317"/>
        <v>7267</v>
      </c>
      <c r="F244" s="304">
        <f t="shared" si="331"/>
        <v>7267</v>
      </c>
      <c r="G244" s="304">
        <f t="shared" si="328"/>
        <v>7267</v>
      </c>
      <c r="H244" s="303">
        <f t="shared" si="333"/>
        <v>7267</v>
      </c>
      <c r="I244" s="303"/>
      <c r="J244" s="311"/>
      <c r="K244" s="311"/>
      <c r="L244" s="311"/>
      <c r="M244" s="303"/>
      <c r="N244" s="311"/>
      <c r="O244" s="311"/>
      <c r="P244" s="303"/>
      <c r="Q244" s="311"/>
      <c r="R244" s="312"/>
      <c r="S244" s="303"/>
      <c r="T244" s="303"/>
      <c r="U244" s="303"/>
      <c r="V244" s="303"/>
      <c r="W244" s="303">
        <f>Z244+AA244</f>
        <v>7267</v>
      </c>
      <c r="X244" s="303"/>
      <c r="Y244" s="303"/>
      <c r="Z244" s="303">
        <f>Z245+Z246</f>
        <v>7267</v>
      </c>
      <c r="AA244" s="303"/>
      <c r="AB244" s="304"/>
      <c r="AC244" s="304">
        <v>0</v>
      </c>
      <c r="AD244" s="304"/>
      <c r="AE244" s="303"/>
      <c r="AF244" s="317"/>
      <c r="AG244" s="314">
        <f t="shared" si="283"/>
        <v>0</v>
      </c>
      <c r="AH244" s="696">
        <f t="shared" si="284"/>
        <v>0</v>
      </c>
      <c r="AI244" s="314">
        <f t="shared" si="285"/>
        <v>0</v>
      </c>
      <c r="AJ244" s="314">
        <f t="shared" si="286"/>
        <v>0</v>
      </c>
      <c r="AK244" s="314">
        <f t="shared" si="287"/>
        <v>0</v>
      </c>
      <c r="AL244" s="314">
        <f t="shared" si="288"/>
        <v>0</v>
      </c>
      <c r="AM244" s="314">
        <f t="shared" si="289"/>
        <v>0</v>
      </c>
      <c r="AN244" s="314">
        <f t="shared" si="290"/>
        <v>0</v>
      </c>
      <c r="AO244" s="314">
        <f t="shared" si="291"/>
        <v>0</v>
      </c>
      <c r="AP244" s="314">
        <f t="shared" si="292"/>
        <v>0</v>
      </c>
    </row>
    <row r="245" spans="1:42" outlineLevel="1">
      <c r="A245" s="583"/>
      <c r="B245" s="324" t="s">
        <v>2086</v>
      </c>
      <c r="C245" s="302"/>
      <c r="D245" s="304"/>
      <c r="E245" s="304">
        <f t="shared" si="317"/>
        <v>5402</v>
      </c>
      <c r="F245" s="304">
        <f t="shared" si="331"/>
        <v>4150</v>
      </c>
      <c r="G245" s="304">
        <f t="shared" si="328"/>
        <v>4150</v>
      </c>
      <c r="H245" s="303">
        <f t="shared" si="333"/>
        <v>4150</v>
      </c>
      <c r="I245" s="303"/>
      <c r="J245" s="311"/>
      <c r="K245" s="311"/>
      <c r="L245" s="311"/>
      <c r="M245" s="303"/>
      <c r="N245" s="311"/>
      <c r="O245" s="311"/>
      <c r="P245" s="303"/>
      <c r="Q245" s="311"/>
      <c r="R245" s="312"/>
      <c r="S245" s="303"/>
      <c r="T245" s="303"/>
      <c r="U245" s="303"/>
      <c r="V245" s="303"/>
      <c r="W245" s="303">
        <f>Z245+AA245</f>
        <v>4150</v>
      </c>
      <c r="X245" s="303">
        <v>50</v>
      </c>
      <c r="Y245" s="303">
        <v>83</v>
      </c>
      <c r="Z245" s="303">
        <f>X245*Y245</f>
        <v>4150</v>
      </c>
      <c r="AA245" s="303"/>
      <c r="AB245" s="304"/>
      <c r="AC245" s="304">
        <v>1252</v>
      </c>
      <c r="AD245" s="304"/>
      <c r="AE245" s="303"/>
      <c r="AF245" s="317"/>
      <c r="AG245" s="314">
        <f t="shared" si="283"/>
        <v>0</v>
      </c>
      <c r="AH245" s="696">
        <f t="shared" si="284"/>
        <v>0</v>
      </c>
      <c r="AI245" s="314">
        <f t="shared" si="285"/>
        <v>0</v>
      </c>
      <c r="AJ245" s="314">
        <f t="shared" si="286"/>
        <v>0</v>
      </c>
      <c r="AK245" s="314">
        <f t="shared" si="287"/>
        <v>0</v>
      </c>
      <c r="AL245" s="314">
        <f t="shared" si="288"/>
        <v>0</v>
      </c>
      <c r="AM245" s="314">
        <f t="shared" si="289"/>
        <v>0</v>
      </c>
      <c r="AN245" s="314">
        <f t="shared" si="290"/>
        <v>0</v>
      </c>
      <c r="AO245" s="314">
        <f t="shared" si="291"/>
        <v>0</v>
      </c>
      <c r="AP245" s="314">
        <f t="shared" si="292"/>
        <v>0</v>
      </c>
    </row>
    <row r="246" spans="1:42" ht="27.6" outlineLevel="1">
      <c r="A246" s="583"/>
      <c r="B246" s="324" t="s">
        <v>2087</v>
      </c>
      <c r="C246" s="302"/>
      <c r="D246" s="304"/>
      <c r="E246" s="304">
        <f t="shared" si="317"/>
        <v>3117</v>
      </c>
      <c r="F246" s="304">
        <f t="shared" si="331"/>
        <v>3117</v>
      </c>
      <c r="G246" s="304">
        <f t="shared" si="328"/>
        <v>3117</v>
      </c>
      <c r="H246" s="303">
        <f t="shared" si="333"/>
        <v>3117</v>
      </c>
      <c r="I246" s="303"/>
      <c r="J246" s="311"/>
      <c r="K246" s="311"/>
      <c r="L246" s="311"/>
      <c r="M246" s="303"/>
      <c r="N246" s="311"/>
      <c r="O246" s="311"/>
      <c r="P246" s="303"/>
      <c r="Q246" s="311"/>
      <c r="R246" s="312"/>
      <c r="S246" s="303"/>
      <c r="T246" s="303"/>
      <c r="U246" s="303"/>
      <c r="V246" s="303"/>
      <c r="W246" s="303">
        <f>Z246+AA246</f>
        <v>3117</v>
      </c>
      <c r="X246" s="303"/>
      <c r="Y246" s="303"/>
      <c r="Z246" s="303">
        <v>3117</v>
      </c>
      <c r="AA246" s="303"/>
      <c r="AB246" s="304"/>
      <c r="AC246" s="304"/>
      <c r="AD246" s="304"/>
      <c r="AE246" s="303"/>
      <c r="AF246" s="317"/>
      <c r="AG246" s="314">
        <f t="shared" si="283"/>
        <v>0</v>
      </c>
      <c r="AH246" s="696">
        <f t="shared" si="284"/>
        <v>0</v>
      </c>
      <c r="AI246" s="314">
        <f t="shared" si="285"/>
        <v>0</v>
      </c>
      <c r="AJ246" s="314">
        <f t="shared" si="286"/>
        <v>0</v>
      </c>
      <c r="AK246" s="314">
        <f t="shared" si="287"/>
        <v>0</v>
      </c>
      <c r="AL246" s="314">
        <f t="shared" si="288"/>
        <v>0</v>
      </c>
      <c r="AM246" s="314">
        <f t="shared" si="289"/>
        <v>0</v>
      </c>
      <c r="AN246" s="314">
        <f t="shared" si="290"/>
        <v>0</v>
      </c>
      <c r="AO246" s="314">
        <f t="shared" si="291"/>
        <v>0</v>
      </c>
      <c r="AP246" s="314">
        <f t="shared" si="292"/>
        <v>0</v>
      </c>
    </row>
    <row r="247" spans="1:42" ht="27.6" outlineLevel="1">
      <c r="A247" s="583" t="s">
        <v>23</v>
      </c>
      <c r="B247" s="324" t="s">
        <v>908</v>
      </c>
      <c r="C247" s="302"/>
      <c r="D247" s="304">
        <v>47075</v>
      </c>
      <c r="E247" s="304">
        <f t="shared" si="317"/>
        <v>55047</v>
      </c>
      <c r="F247" s="304">
        <f t="shared" si="331"/>
        <v>45778</v>
      </c>
      <c r="G247" s="304">
        <f t="shared" si="328"/>
        <v>-1297</v>
      </c>
      <c r="H247" s="303">
        <f t="shared" si="333"/>
        <v>49840</v>
      </c>
      <c r="I247" s="303"/>
      <c r="J247" s="311"/>
      <c r="K247" s="311"/>
      <c r="L247" s="311"/>
      <c r="M247" s="303"/>
      <c r="N247" s="311"/>
      <c r="O247" s="311"/>
      <c r="P247" s="303"/>
      <c r="Q247" s="311"/>
      <c r="R247" s="312"/>
      <c r="S247" s="303"/>
      <c r="T247" s="303"/>
      <c r="U247" s="303"/>
      <c r="V247" s="303"/>
      <c r="W247" s="303">
        <f>Z247+AA247</f>
        <v>49840</v>
      </c>
      <c r="X247" s="303">
        <v>560</v>
      </c>
      <c r="Y247" s="303">
        <v>89</v>
      </c>
      <c r="Z247" s="303">
        <f>X247*Y247</f>
        <v>49840</v>
      </c>
      <c r="AA247" s="303"/>
      <c r="AB247" s="304">
        <v>4062</v>
      </c>
      <c r="AC247" s="304">
        <v>9269</v>
      </c>
      <c r="AD247" s="304"/>
      <c r="AE247" s="303"/>
      <c r="AF247" s="317"/>
      <c r="AG247" s="314">
        <f t="shared" si="283"/>
        <v>0</v>
      </c>
      <c r="AH247" s="696">
        <f t="shared" si="284"/>
        <v>0</v>
      </c>
      <c r="AI247" s="314">
        <f t="shared" si="285"/>
        <v>0</v>
      </c>
      <c r="AJ247" s="314">
        <f t="shared" si="286"/>
        <v>0</v>
      </c>
      <c r="AK247" s="314">
        <f t="shared" si="287"/>
        <v>0</v>
      </c>
      <c r="AL247" s="314">
        <f t="shared" si="288"/>
        <v>0</v>
      </c>
      <c r="AM247" s="314">
        <f t="shared" si="289"/>
        <v>0</v>
      </c>
      <c r="AN247" s="314">
        <f t="shared" si="290"/>
        <v>0</v>
      </c>
      <c r="AO247" s="314">
        <f t="shared" si="291"/>
        <v>0</v>
      </c>
      <c r="AP247" s="314">
        <f t="shared" si="292"/>
        <v>0</v>
      </c>
    </row>
    <row r="248" spans="1:42" s="322" customFormat="1">
      <c r="A248" s="1283" t="s">
        <v>47</v>
      </c>
      <c r="B248" s="1284" t="s">
        <v>1605</v>
      </c>
      <c r="C248" s="302"/>
      <c r="D248" s="304">
        <v>145084</v>
      </c>
      <c r="E248" s="304">
        <f t="shared" si="317"/>
        <v>172966</v>
      </c>
      <c r="F248" s="304">
        <f t="shared" si="331"/>
        <v>149374</v>
      </c>
      <c r="G248" s="304">
        <f t="shared" si="328"/>
        <v>4290</v>
      </c>
      <c r="H248" s="303">
        <f t="shared" ref="H248:AE248" si="334">H250+H267</f>
        <v>150600</v>
      </c>
      <c r="I248" s="303">
        <f t="shared" si="334"/>
        <v>148554</v>
      </c>
      <c r="J248" s="303">
        <f t="shared" si="334"/>
        <v>1016</v>
      </c>
      <c r="K248" s="303">
        <f t="shared" si="334"/>
        <v>953</v>
      </c>
      <c r="L248" s="303">
        <f t="shared" si="334"/>
        <v>63</v>
      </c>
      <c r="M248" s="303">
        <f t="shared" si="334"/>
        <v>123740</v>
      </c>
      <c r="N248" s="303">
        <f t="shared" si="334"/>
        <v>118492</v>
      </c>
      <c r="O248" s="303">
        <f t="shared" si="334"/>
        <v>5248</v>
      </c>
      <c r="P248" s="303">
        <f t="shared" si="334"/>
        <v>24814</v>
      </c>
      <c r="Q248" s="303">
        <f t="shared" si="334"/>
        <v>0</v>
      </c>
      <c r="R248" s="303">
        <f t="shared" si="334"/>
        <v>0</v>
      </c>
      <c r="S248" s="303">
        <f t="shared" si="334"/>
        <v>24814</v>
      </c>
      <c r="T248" s="303">
        <f t="shared" si="334"/>
        <v>0</v>
      </c>
      <c r="U248" s="303">
        <f t="shared" si="334"/>
        <v>0</v>
      </c>
      <c r="V248" s="303">
        <f t="shared" si="334"/>
        <v>0</v>
      </c>
      <c r="W248" s="303">
        <f>W250+W267</f>
        <v>2046</v>
      </c>
      <c r="X248" s="303">
        <f>X250+X267</f>
        <v>0</v>
      </c>
      <c r="Y248" s="303">
        <f>Y250+Y267</f>
        <v>0</v>
      </c>
      <c r="Z248" s="303">
        <f t="shared" si="334"/>
        <v>2046</v>
      </c>
      <c r="AA248" s="303">
        <f>AA250+AA267</f>
        <v>0</v>
      </c>
      <c r="AB248" s="303">
        <f>AB250+AB267</f>
        <v>1226</v>
      </c>
      <c r="AC248" s="303">
        <f>AC250+AC267</f>
        <v>23592</v>
      </c>
      <c r="AD248" s="303">
        <f>AD250+AD267</f>
        <v>2563</v>
      </c>
      <c r="AE248" s="303">
        <f t="shared" si="334"/>
        <v>170403</v>
      </c>
      <c r="AF248" s="1285"/>
      <c r="AG248" s="314">
        <f t="shared" si="283"/>
        <v>0</v>
      </c>
      <c r="AH248" s="696">
        <f t="shared" si="284"/>
        <v>0</v>
      </c>
      <c r="AI248" s="314">
        <f t="shared" si="285"/>
        <v>0</v>
      </c>
      <c r="AJ248" s="314">
        <f t="shared" si="286"/>
        <v>0</v>
      </c>
      <c r="AK248" s="314">
        <f t="shared" si="287"/>
        <v>0</v>
      </c>
      <c r="AL248" s="314">
        <f t="shared" si="288"/>
        <v>0</v>
      </c>
      <c r="AM248" s="314">
        <f t="shared" si="289"/>
        <v>0</v>
      </c>
      <c r="AN248" s="314">
        <f t="shared" si="290"/>
        <v>0</v>
      </c>
      <c r="AO248" s="314">
        <f t="shared" si="291"/>
        <v>0</v>
      </c>
      <c r="AP248" s="314">
        <f t="shared" si="292"/>
        <v>0</v>
      </c>
    </row>
    <row r="249" spans="1:42" s="322" customFormat="1" hidden="1" outlineLevel="3">
      <c r="A249" s="1286"/>
      <c r="B249" s="1287" t="s">
        <v>1425</v>
      </c>
      <c r="C249" s="867"/>
      <c r="D249" s="868">
        <v>0.60058284900567949</v>
      </c>
      <c r="E249" s="869">
        <f t="shared" si="317"/>
        <v>0.60182674525888291</v>
      </c>
      <c r="F249" s="869">
        <f>F248/F241</f>
        <v>0.60182674525888291</v>
      </c>
      <c r="G249" s="336"/>
      <c r="H249" s="337"/>
      <c r="I249" s="337"/>
      <c r="J249" s="337"/>
      <c r="K249" s="337"/>
      <c r="L249" s="337"/>
      <c r="M249" s="337"/>
      <c r="N249" s="337"/>
      <c r="O249" s="337"/>
      <c r="P249" s="337"/>
      <c r="Q249" s="337"/>
      <c r="R249" s="337"/>
      <c r="S249" s="337"/>
      <c r="T249" s="337"/>
      <c r="U249" s="337"/>
      <c r="V249" s="337"/>
      <c r="W249" s="337"/>
      <c r="X249" s="337"/>
      <c r="Y249" s="337"/>
      <c r="Z249" s="337"/>
      <c r="AA249" s="337"/>
      <c r="AB249" s="337"/>
      <c r="AC249" s="337"/>
      <c r="AD249" s="337"/>
      <c r="AE249" s="337"/>
      <c r="AF249" s="1288"/>
      <c r="AG249" s="314">
        <f t="shared" si="283"/>
        <v>0</v>
      </c>
      <c r="AH249" s="696">
        <f t="shared" si="284"/>
        <v>0.60182674525888291</v>
      </c>
      <c r="AI249" s="314">
        <f t="shared" si="285"/>
        <v>0</v>
      </c>
      <c r="AJ249" s="314">
        <f t="shared" si="286"/>
        <v>0</v>
      </c>
      <c r="AK249" s="314">
        <f t="shared" si="287"/>
        <v>0</v>
      </c>
      <c r="AL249" s="314">
        <f t="shared" si="288"/>
        <v>0</v>
      </c>
      <c r="AM249" s="314">
        <f t="shared" si="289"/>
        <v>0</v>
      </c>
      <c r="AN249" s="314">
        <f t="shared" si="290"/>
        <v>0</v>
      </c>
      <c r="AO249" s="314">
        <f t="shared" si="291"/>
        <v>0</v>
      </c>
      <c r="AP249" s="314">
        <f t="shared" si="292"/>
        <v>-0.60182674525888291</v>
      </c>
    </row>
    <row r="250" spans="1:42" s="322" customFormat="1" outlineLevel="1" collapsed="1">
      <c r="A250" s="1286" t="s">
        <v>909</v>
      </c>
      <c r="B250" s="326" t="s">
        <v>910</v>
      </c>
      <c r="C250" s="302"/>
      <c r="D250" s="304">
        <v>137582</v>
      </c>
      <c r="E250" s="304">
        <f>F250+AC250</f>
        <v>165464</v>
      </c>
      <c r="F250" s="304">
        <f>H250-AB250</f>
        <v>141872</v>
      </c>
      <c r="G250" s="304">
        <f>F250-D250</f>
        <v>4290</v>
      </c>
      <c r="H250" s="303">
        <f t="shared" ref="H250:Z250" si="335">H251+H256</f>
        <v>148554</v>
      </c>
      <c r="I250" s="303">
        <f t="shared" si="335"/>
        <v>148554</v>
      </c>
      <c r="J250" s="303">
        <f t="shared" si="335"/>
        <v>1016</v>
      </c>
      <c r="K250" s="303">
        <f t="shared" si="335"/>
        <v>953</v>
      </c>
      <c r="L250" s="303">
        <f t="shared" si="335"/>
        <v>63</v>
      </c>
      <c r="M250" s="303">
        <f t="shared" si="335"/>
        <v>123740</v>
      </c>
      <c r="N250" s="303">
        <f t="shared" si="335"/>
        <v>118492</v>
      </c>
      <c r="O250" s="303">
        <f t="shared" si="335"/>
        <v>5248</v>
      </c>
      <c r="P250" s="303">
        <f t="shared" si="335"/>
        <v>24814</v>
      </c>
      <c r="Q250" s="303">
        <f t="shared" si="335"/>
        <v>0</v>
      </c>
      <c r="R250" s="303">
        <f t="shared" si="335"/>
        <v>0</v>
      </c>
      <c r="S250" s="303">
        <f t="shared" si="335"/>
        <v>24814</v>
      </c>
      <c r="T250" s="303">
        <f t="shared" si="335"/>
        <v>0</v>
      </c>
      <c r="U250" s="303">
        <f t="shared" si="335"/>
        <v>0</v>
      </c>
      <c r="V250" s="303">
        <f t="shared" si="335"/>
        <v>0</v>
      </c>
      <c r="W250" s="303">
        <f>W251+W256</f>
        <v>0</v>
      </c>
      <c r="X250" s="303">
        <f>X251+X256</f>
        <v>0</v>
      </c>
      <c r="Y250" s="303">
        <f>Y251+Y256</f>
        <v>0</v>
      </c>
      <c r="Z250" s="303">
        <f t="shared" si="335"/>
        <v>0</v>
      </c>
      <c r="AA250" s="303">
        <f>AA251+AA256</f>
        <v>0</v>
      </c>
      <c r="AB250" s="303">
        <v>6682</v>
      </c>
      <c r="AC250" s="304">
        <v>23592</v>
      </c>
      <c r="AD250" s="303">
        <v>1813</v>
      </c>
      <c r="AE250" s="303">
        <f>E250-AD250</f>
        <v>163651</v>
      </c>
      <c r="AF250" s="341"/>
      <c r="AG250" s="314">
        <f t="shared" si="283"/>
        <v>0</v>
      </c>
      <c r="AH250" s="696">
        <f t="shared" si="284"/>
        <v>0</v>
      </c>
      <c r="AI250" s="314">
        <f t="shared" si="285"/>
        <v>0</v>
      </c>
      <c r="AJ250" s="314">
        <f t="shared" si="286"/>
        <v>0</v>
      </c>
      <c r="AK250" s="314">
        <f t="shared" si="287"/>
        <v>0</v>
      </c>
      <c r="AL250" s="314">
        <f t="shared" si="288"/>
        <v>0</v>
      </c>
      <c r="AM250" s="314">
        <f t="shared" si="289"/>
        <v>0</v>
      </c>
      <c r="AN250" s="314">
        <f t="shared" si="290"/>
        <v>0</v>
      </c>
      <c r="AO250" s="314">
        <f t="shared" si="291"/>
        <v>0</v>
      </c>
      <c r="AP250" s="314">
        <f t="shared" si="292"/>
        <v>0</v>
      </c>
    </row>
    <row r="251" spans="1:42" outlineLevel="1">
      <c r="A251" s="1283" t="s">
        <v>23</v>
      </c>
      <c r="B251" s="324" t="s">
        <v>911</v>
      </c>
      <c r="C251" s="302"/>
      <c r="D251" s="304"/>
      <c r="E251" s="304"/>
      <c r="F251" s="304"/>
      <c r="G251" s="304"/>
      <c r="H251" s="303">
        <f t="shared" ref="H251:Z251" si="336">H252+H253+H254+H255</f>
        <v>29251</v>
      </c>
      <c r="I251" s="303">
        <f t="shared" si="336"/>
        <v>29251</v>
      </c>
      <c r="J251" s="303">
        <f t="shared" si="336"/>
        <v>197</v>
      </c>
      <c r="K251" s="303">
        <f t="shared" si="336"/>
        <v>187</v>
      </c>
      <c r="L251" s="303">
        <f t="shared" si="336"/>
        <v>10</v>
      </c>
      <c r="M251" s="303">
        <f t="shared" si="336"/>
        <v>24303</v>
      </c>
      <c r="N251" s="303">
        <f t="shared" si="336"/>
        <v>23583</v>
      </c>
      <c r="O251" s="303">
        <f t="shared" si="336"/>
        <v>720</v>
      </c>
      <c r="P251" s="303">
        <f t="shared" si="336"/>
        <v>4948</v>
      </c>
      <c r="Q251" s="303"/>
      <c r="R251" s="303"/>
      <c r="S251" s="303">
        <f t="shared" si="336"/>
        <v>4948</v>
      </c>
      <c r="T251" s="303">
        <f t="shared" si="336"/>
        <v>0</v>
      </c>
      <c r="U251" s="303">
        <f t="shared" si="336"/>
        <v>0</v>
      </c>
      <c r="V251" s="303">
        <f t="shared" si="336"/>
        <v>0</v>
      </c>
      <c r="W251" s="303">
        <f>W252+W253+W254+W255</f>
        <v>0</v>
      </c>
      <c r="X251" s="303">
        <f>X252+X253+X254+X255</f>
        <v>0</v>
      </c>
      <c r="Y251" s="303">
        <f>Y252+Y253+Y254+Y255</f>
        <v>0</v>
      </c>
      <c r="Z251" s="303">
        <f t="shared" si="336"/>
        <v>0</v>
      </c>
      <c r="AA251" s="303">
        <f>AA252+AA253+AA254+AA255</f>
        <v>0</v>
      </c>
      <c r="AB251" s="303"/>
      <c r="AC251" s="303"/>
      <c r="AD251" s="303"/>
      <c r="AE251" s="303"/>
      <c r="AF251" s="317"/>
      <c r="AG251" s="314">
        <f t="shared" si="283"/>
        <v>0</v>
      </c>
      <c r="AH251" s="696">
        <f t="shared" si="284"/>
        <v>-29251</v>
      </c>
      <c r="AI251" s="314">
        <f t="shared" si="285"/>
        <v>0</v>
      </c>
      <c r="AJ251" s="314">
        <f t="shared" si="286"/>
        <v>0</v>
      </c>
      <c r="AK251" s="314">
        <f t="shared" si="287"/>
        <v>0</v>
      </c>
      <c r="AL251" s="314">
        <f t="shared" si="288"/>
        <v>0</v>
      </c>
      <c r="AM251" s="314">
        <f t="shared" si="289"/>
        <v>0</v>
      </c>
      <c r="AN251" s="314">
        <f t="shared" si="290"/>
        <v>0</v>
      </c>
      <c r="AO251" s="314">
        <f t="shared" si="291"/>
        <v>0</v>
      </c>
      <c r="AP251" s="314">
        <f t="shared" si="292"/>
        <v>29251</v>
      </c>
    </row>
    <row r="252" spans="1:42" outlineLevel="2">
      <c r="A252" s="1283" t="s">
        <v>281</v>
      </c>
      <c r="B252" s="324" t="s">
        <v>912</v>
      </c>
      <c r="C252" s="302"/>
      <c r="D252" s="304"/>
      <c r="E252" s="304"/>
      <c r="F252" s="304"/>
      <c r="G252" s="304"/>
      <c r="H252" s="303">
        <f t="shared" ref="H252:H255" si="337">I252+W252</f>
        <v>22335</v>
      </c>
      <c r="I252" s="303">
        <f>M252+P252</f>
        <v>22335</v>
      </c>
      <c r="J252" s="294">
        <v>153</v>
      </c>
      <c r="K252" s="294">
        <v>146</v>
      </c>
      <c r="L252" s="294">
        <f>J252-K252</f>
        <v>7</v>
      </c>
      <c r="M252" s="304">
        <f>N252+O252</f>
        <v>18663</v>
      </c>
      <c r="N252" s="294">
        <v>18159</v>
      </c>
      <c r="O252" s="294">
        <v>504</v>
      </c>
      <c r="P252" s="303">
        <f>S252+T252</f>
        <v>3672</v>
      </c>
      <c r="Q252" s="294">
        <v>24</v>
      </c>
      <c r="R252" s="305">
        <v>1</v>
      </c>
      <c r="S252" s="304">
        <f>ROUND(J252*Q252*R252,0)</f>
        <v>3672</v>
      </c>
      <c r="T252" s="303">
        <f>U252+V252</f>
        <v>0</v>
      </c>
      <c r="U252" s="304"/>
      <c r="V252" s="304"/>
      <c r="W252" s="303">
        <f>Z252+AA252</f>
        <v>0</v>
      </c>
      <c r="X252" s="303"/>
      <c r="Y252" s="303"/>
      <c r="Z252" s="304"/>
      <c r="AA252" s="304"/>
      <c r="AB252" s="304"/>
      <c r="AC252" s="304"/>
      <c r="AD252" s="304"/>
      <c r="AE252" s="304"/>
      <c r="AF252" s="317"/>
      <c r="AG252" s="314">
        <f t="shared" si="283"/>
        <v>0</v>
      </c>
      <c r="AH252" s="696">
        <f t="shared" si="284"/>
        <v>-22335</v>
      </c>
      <c r="AI252" s="314">
        <f t="shared" si="285"/>
        <v>0</v>
      </c>
      <c r="AJ252" s="314">
        <f t="shared" si="286"/>
        <v>0</v>
      </c>
      <c r="AK252" s="314">
        <f t="shared" si="287"/>
        <v>0</v>
      </c>
      <c r="AL252" s="314">
        <f t="shared" si="288"/>
        <v>0</v>
      </c>
      <c r="AM252" s="314">
        <f t="shared" si="289"/>
        <v>0</v>
      </c>
      <c r="AN252" s="314">
        <f t="shared" si="290"/>
        <v>0</v>
      </c>
      <c r="AO252" s="314">
        <f t="shared" si="291"/>
        <v>0</v>
      </c>
      <c r="AP252" s="314">
        <f t="shared" si="292"/>
        <v>22335</v>
      </c>
    </row>
    <row r="253" spans="1:42" outlineLevel="2">
      <c r="A253" s="1283" t="s">
        <v>281</v>
      </c>
      <c r="B253" s="324" t="s">
        <v>913</v>
      </c>
      <c r="C253" s="302"/>
      <c r="D253" s="304"/>
      <c r="E253" s="304"/>
      <c r="F253" s="304"/>
      <c r="G253" s="304"/>
      <c r="H253" s="303">
        <f t="shared" si="337"/>
        <v>3014</v>
      </c>
      <c r="I253" s="303">
        <f t="shared" ref="I253:I255" si="338">M253+P253</f>
        <v>3014</v>
      </c>
      <c r="J253" s="294">
        <v>20</v>
      </c>
      <c r="K253" s="294">
        <v>19</v>
      </c>
      <c r="L253" s="294">
        <f t="shared" ref="L253:L266" si="339">J253-K253</f>
        <v>1</v>
      </c>
      <c r="M253" s="304">
        <f t="shared" ref="M253:M266" si="340">N253+O253</f>
        <v>2434</v>
      </c>
      <c r="N253" s="294">
        <v>2362</v>
      </c>
      <c r="O253" s="294">
        <v>72</v>
      </c>
      <c r="P253" s="303">
        <f t="shared" ref="P253:P266" si="341">S253+T253</f>
        <v>580</v>
      </c>
      <c r="Q253" s="294">
        <v>29</v>
      </c>
      <c r="R253" s="305">
        <v>1</v>
      </c>
      <c r="S253" s="304">
        <f t="shared" ref="S253:S266" si="342">ROUND(J253*Q253*R253,0)</f>
        <v>580</v>
      </c>
      <c r="T253" s="303">
        <f t="shared" ref="T253:T266" si="343">U253+V253</f>
        <v>0</v>
      </c>
      <c r="U253" s="304"/>
      <c r="V253" s="304"/>
      <c r="W253" s="303">
        <f>Z253+AA253</f>
        <v>0</v>
      </c>
      <c r="X253" s="303"/>
      <c r="Y253" s="303"/>
      <c r="Z253" s="303"/>
      <c r="AA253" s="303"/>
      <c r="AB253" s="304"/>
      <c r="AC253" s="304"/>
      <c r="AD253" s="304"/>
      <c r="AE253" s="304"/>
      <c r="AF253" s="317"/>
      <c r="AG253" s="314">
        <f t="shared" si="283"/>
        <v>0</v>
      </c>
      <c r="AH253" s="696">
        <f t="shared" si="284"/>
        <v>-3014</v>
      </c>
      <c r="AI253" s="314">
        <f t="shared" si="285"/>
        <v>0</v>
      </c>
      <c r="AJ253" s="314">
        <f t="shared" si="286"/>
        <v>0</v>
      </c>
      <c r="AK253" s="314">
        <f t="shared" si="287"/>
        <v>0</v>
      </c>
      <c r="AL253" s="314">
        <f t="shared" si="288"/>
        <v>0</v>
      </c>
      <c r="AM253" s="314">
        <f t="shared" si="289"/>
        <v>0</v>
      </c>
      <c r="AN253" s="314">
        <f t="shared" si="290"/>
        <v>0</v>
      </c>
      <c r="AO253" s="314">
        <f t="shared" si="291"/>
        <v>0</v>
      </c>
      <c r="AP253" s="314">
        <f t="shared" si="292"/>
        <v>3014</v>
      </c>
    </row>
    <row r="254" spans="1:42" outlineLevel="2">
      <c r="A254" s="1283" t="s">
        <v>281</v>
      </c>
      <c r="B254" s="324" t="s">
        <v>914</v>
      </c>
      <c r="C254" s="302"/>
      <c r="D254" s="304"/>
      <c r="E254" s="304"/>
      <c r="F254" s="304"/>
      <c r="G254" s="304"/>
      <c r="H254" s="303">
        <f t="shared" si="337"/>
        <v>1795</v>
      </c>
      <c r="I254" s="303">
        <f t="shared" si="338"/>
        <v>1795</v>
      </c>
      <c r="J254" s="294">
        <v>12</v>
      </c>
      <c r="K254" s="294">
        <v>10</v>
      </c>
      <c r="L254" s="294">
        <f t="shared" si="339"/>
        <v>2</v>
      </c>
      <c r="M254" s="304">
        <f t="shared" si="340"/>
        <v>1447</v>
      </c>
      <c r="N254" s="294">
        <v>1303</v>
      </c>
      <c r="O254" s="294">
        <v>144</v>
      </c>
      <c r="P254" s="303">
        <f t="shared" si="341"/>
        <v>348</v>
      </c>
      <c r="Q254" s="294">
        <v>29</v>
      </c>
      <c r="R254" s="305">
        <v>1</v>
      </c>
      <c r="S254" s="304">
        <f t="shared" si="342"/>
        <v>348</v>
      </c>
      <c r="T254" s="303">
        <f t="shared" si="343"/>
        <v>0</v>
      </c>
      <c r="U254" s="304"/>
      <c r="V254" s="304"/>
      <c r="W254" s="303">
        <f>Z254+AA254</f>
        <v>0</v>
      </c>
      <c r="X254" s="303"/>
      <c r="Y254" s="303"/>
      <c r="Z254" s="303"/>
      <c r="AA254" s="303"/>
      <c r="AB254" s="304"/>
      <c r="AC254" s="304"/>
      <c r="AD254" s="304"/>
      <c r="AE254" s="304"/>
      <c r="AF254" s="317"/>
      <c r="AG254" s="314">
        <f t="shared" si="283"/>
        <v>0</v>
      </c>
      <c r="AH254" s="696">
        <f t="shared" si="284"/>
        <v>-1795</v>
      </c>
      <c r="AI254" s="314">
        <f t="shared" si="285"/>
        <v>0</v>
      </c>
      <c r="AJ254" s="314">
        <f t="shared" si="286"/>
        <v>0</v>
      </c>
      <c r="AK254" s="314">
        <f t="shared" si="287"/>
        <v>0</v>
      </c>
      <c r="AL254" s="314">
        <f t="shared" si="288"/>
        <v>0</v>
      </c>
      <c r="AM254" s="314">
        <f t="shared" si="289"/>
        <v>0</v>
      </c>
      <c r="AN254" s="314">
        <f t="shared" si="290"/>
        <v>0</v>
      </c>
      <c r="AO254" s="314">
        <f t="shared" si="291"/>
        <v>0</v>
      </c>
      <c r="AP254" s="314">
        <f t="shared" si="292"/>
        <v>1795</v>
      </c>
    </row>
    <row r="255" spans="1:42" outlineLevel="2">
      <c r="A255" s="1283" t="s">
        <v>281</v>
      </c>
      <c r="B255" s="324" t="s">
        <v>915</v>
      </c>
      <c r="C255" s="302"/>
      <c r="D255" s="304"/>
      <c r="E255" s="304"/>
      <c r="F255" s="304"/>
      <c r="G255" s="304"/>
      <c r="H255" s="303">
        <f t="shared" si="337"/>
        <v>2107</v>
      </c>
      <c r="I255" s="303">
        <f t="shared" si="338"/>
        <v>2107</v>
      </c>
      <c r="J255" s="294">
        <v>12</v>
      </c>
      <c r="K255" s="294">
        <v>12</v>
      </c>
      <c r="L255" s="294">
        <f t="shared" si="339"/>
        <v>0</v>
      </c>
      <c r="M255" s="304">
        <f t="shared" si="340"/>
        <v>1759</v>
      </c>
      <c r="N255" s="294">
        <v>1759</v>
      </c>
      <c r="O255" s="294">
        <v>0</v>
      </c>
      <c r="P255" s="303">
        <f t="shared" si="341"/>
        <v>348</v>
      </c>
      <c r="Q255" s="294">
        <v>29</v>
      </c>
      <c r="R255" s="305">
        <v>1</v>
      </c>
      <c r="S255" s="304">
        <f t="shared" si="342"/>
        <v>348</v>
      </c>
      <c r="T255" s="303">
        <f t="shared" si="343"/>
        <v>0</v>
      </c>
      <c r="U255" s="304"/>
      <c r="V255" s="304"/>
      <c r="W255" s="303">
        <f>Z255+AA255</f>
        <v>0</v>
      </c>
      <c r="X255" s="303"/>
      <c r="Y255" s="303"/>
      <c r="Z255" s="303"/>
      <c r="AA255" s="303"/>
      <c r="AB255" s="304"/>
      <c r="AC255" s="304"/>
      <c r="AD255" s="304"/>
      <c r="AE255" s="304"/>
      <c r="AF255" s="317"/>
      <c r="AG255" s="314">
        <f t="shared" si="283"/>
        <v>0</v>
      </c>
      <c r="AH255" s="696">
        <f t="shared" si="284"/>
        <v>-2107</v>
      </c>
      <c r="AI255" s="314">
        <f t="shared" si="285"/>
        <v>0</v>
      </c>
      <c r="AJ255" s="314">
        <f t="shared" si="286"/>
        <v>0</v>
      </c>
      <c r="AK255" s="314">
        <f t="shared" si="287"/>
        <v>0</v>
      </c>
      <c r="AL255" s="314">
        <f t="shared" si="288"/>
        <v>0</v>
      </c>
      <c r="AM255" s="314">
        <f t="shared" si="289"/>
        <v>0</v>
      </c>
      <c r="AN255" s="314">
        <f t="shared" si="290"/>
        <v>0</v>
      </c>
      <c r="AO255" s="314">
        <f t="shared" si="291"/>
        <v>0</v>
      </c>
      <c r="AP255" s="314">
        <f t="shared" si="292"/>
        <v>2107</v>
      </c>
    </row>
    <row r="256" spans="1:42" outlineLevel="1">
      <c r="A256" s="1283" t="s">
        <v>23</v>
      </c>
      <c r="B256" s="324" t="s">
        <v>916</v>
      </c>
      <c r="C256" s="302"/>
      <c r="D256" s="304"/>
      <c r="E256" s="304"/>
      <c r="F256" s="304"/>
      <c r="G256" s="304"/>
      <c r="H256" s="303">
        <f t="shared" ref="H256:Z256" si="344">H257+H258+H259+H260+H261+H262+H263+H264+H265+H266</f>
        <v>119303</v>
      </c>
      <c r="I256" s="303">
        <f t="shared" si="344"/>
        <v>119303</v>
      </c>
      <c r="J256" s="303">
        <f t="shared" si="344"/>
        <v>819</v>
      </c>
      <c r="K256" s="303">
        <f t="shared" si="344"/>
        <v>766</v>
      </c>
      <c r="L256" s="303">
        <f t="shared" si="344"/>
        <v>53</v>
      </c>
      <c r="M256" s="303">
        <f t="shared" si="344"/>
        <v>99437</v>
      </c>
      <c r="N256" s="303">
        <f t="shared" si="344"/>
        <v>94909</v>
      </c>
      <c r="O256" s="303">
        <f t="shared" si="344"/>
        <v>4528</v>
      </c>
      <c r="P256" s="303">
        <f t="shared" si="344"/>
        <v>19866</v>
      </c>
      <c r="Q256" s="303"/>
      <c r="R256" s="303"/>
      <c r="S256" s="303">
        <f t="shared" si="344"/>
        <v>19866</v>
      </c>
      <c r="T256" s="303">
        <f t="shared" si="344"/>
        <v>0</v>
      </c>
      <c r="U256" s="303">
        <f t="shared" si="344"/>
        <v>0</v>
      </c>
      <c r="V256" s="303">
        <f t="shared" si="344"/>
        <v>0</v>
      </c>
      <c r="W256" s="303">
        <f>W257+W258+W259+W260+W261+W262+W263+W264+W265+W266</f>
        <v>0</v>
      </c>
      <c r="X256" s="303">
        <f>X257+X258+X259+X260+X261+X262+X263+X264+X265+X266</f>
        <v>0</v>
      </c>
      <c r="Y256" s="303">
        <f>Y257+Y258+Y259+Y260+Y261+Y262+Y263+Y264+Y265+Y266</f>
        <v>0</v>
      </c>
      <c r="Z256" s="303">
        <f t="shared" si="344"/>
        <v>0</v>
      </c>
      <c r="AA256" s="303">
        <f>AA257+AA258+AA259+AA260+AA261+AA262+AA263+AA264+AA265+AA266</f>
        <v>0</v>
      </c>
      <c r="AB256" s="303"/>
      <c r="AC256" s="303"/>
      <c r="AD256" s="303"/>
      <c r="AE256" s="303"/>
      <c r="AF256" s="317"/>
      <c r="AG256" s="314">
        <f t="shared" si="283"/>
        <v>0</v>
      </c>
      <c r="AH256" s="696">
        <f t="shared" si="284"/>
        <v>-119303</v>
      </c>
      <c r="AI256" s="314">
        <f t="shared" si="285"/>
        <v>0</v>
      </c>
      <c r="AJ256" s="314">
        <f t="shared" si="286"/>
        <v>0</v>
      </c>
      <c r="AK256" s="314">
        <f t="shared" si="287"/>
        <v>0</v>
      </c>
      <c r="AL256" s="314">
        <f t="shared" si="288"/>
        <v>0</v>
      </c>
      <c r="AM256" s="314">
        <f t="shared" si="289"/>
        <v>0</v>
      </c>
      <c r="AN256" s="314">
        <f t="shared" si="290"/>
        <v>0</v>
      </c>
      <c r="AO256" s="314">
        <f t="shared" si="291"/>
        <v>0</v>
      </c>
      <c r="AP256" s="314">
        <f t="shared" si="292"/>
        <v>119303</v>
      </c>
    </row>
    <row r="257" spans="1:42" outlineLevel="2">
      <c r="A257" s="1283" t="s">
        <v>281</v>
      </c>
      <c r="B257" s="324" t="s">
        <v>917</v>
      </c>
      <c r="C257" s="302"/>
      <c r="D257" s="304"/>
      <c r="E257" s="304"/>
      <c r="F257" s="304"/>
      <c r="G257" s="304"/>
      <c r="H257" s="303">
        <f t="shared" ref="H257:H280" si="345">I257+W257</f>
        <v>14249</v>
      </c>
      <c r="I257" s="303">
        <f t="shared" ref="I257:I266" si="346">M257+P257</f>
        <v>14249</v>
      </c>
      <c r="J257" s="311">
        <v>79</v>
      </c>
      <c r="K257" s="311">
        <v>79</v>
      </c>
      <c r="L257" s="294">
        <f t="shared" si="339"/>
        <v>0</v>
      </c>
      <c r="M257" s="304">
        <f t="shared" si="340"/>
        <v>12353</v>
      </c>
      <c r="N257" s="311">
        <v>12353</v>
      </c>
      <c r="O257" s="311">
        <v>0</v>
      </c>
      <c r="P257" s="303">
        <f t="shared" si="341"/>
        <v>1896</v>
      </c>
      <c r="Q257" s="294">
        <v>24</v>
      </c>
      <c r="R257" s="305">
        <v>1</v>
      </c>
      <c r="S257" s="304">
        <f t="shared" si="342"/>
        <v>1896</v>
      </c>
      <c r="T257" s="303">
        <f t="shared" si="343"/>
        <v>0</v>
      </c>
      <c r="U257" s="304"/>
      <c r="V257" s="304"/>
      <c r="W257" s="303">
        <f t="shared" ref="W257:W280" si="347">Z257+AA257</f>
        <v>0</v>
      </c>
      <c r="X257" s="303"/>
      <c r="Y257" s="303"/>
      <c r="Z257" s="303"/>
      <c r="AA257" s="303"/>
      <c r="AB257" s="304"/>
      <c r="AC257" s="304"/>
      <c r="AD257" s="304"/>
      <c r="AE257" s="304"/>
      <c r="AF257" s="317"/>
      <c r="AG257" s="314">
        <f t="shared" si="283"/>
        <v>0</v>
      </c>
      <c r="AH257" s="696">
        <f t="shared" si="284"/>
        <v>-14249</v>
      </c>
      <c r="AI257" s="314">
        <f t="shared" si="285"/>
        <v>0</v>
      </c>
      <c r="AJ257" s="314">
        <f t="shared" si="286"/>
        <v>0</v>
      </c>
      <c r="AK257" s="314">
        <f t="shared" si="287"/>
        <v>0</v>
      </c>
      <c r="AL257" s="314">
        <f t="shared" si="288"/>
        <v>0</v>
      </c>
      <c r="AM257" s="314">
        <f t="shared" si="289"/>
        <v>0</v>
      </c>
      <c r="AN257" s="314">
        <f t="shared" si="290"/>
        <v>0</v>
      </c>
      <c r="AO257" s="314">
        <f t="shared" si="291"/>
        <v>0</v>
      </c>
      <c r="AP257" s="314">
        <f t="shared" si="292"/>
        <v>14249</v>
      </c>
    </row>
    <row r="258" spans="1:42" outlineLevel="2">
      <c r="A258" s="1283" t="s">
        <v>281</v>
      </c>
      <c r="B258" s="324" t="s">
        <v>918</v>
      </c>
      <c r="C258" s="302"/>
      <c r="D258" s="304"/>
      <c r="E258" s="304"/>
      <c r="F258" s="304"/>
      <c r="G258" s="304"/>
      <c r="H258" s="303">
        <f t="shared" si="345"/>
        <v>11549</v>
      </c>
      <c r="I258" s="303">
        <f t="shared" si="346"/>
        <v>11549</v>
      </c>
      <c r="J258" s="311">
        <v>86</v>
      </c>
      <c r="K258" s="311">
        <v>85</v>
      </c>
      <c r="L258" s="294">
        <f t="shared" si="339"/>
        <v>1</v>
      </c>
      <c r="M258" s="304">
        <f t="shared" si="340"/>
        <v>9485</v>
      </c>
      <c r="N258" s="311">
        <v>9411</v>
      </c>
      <c r="O258" s="311">
        <v>74</v>
      </c>
      <c r="P258" s="303">
        <f t="shared" si="341"/>
        <v>2064</v>
      </c>
      <c r="Q258" s="294">
        <v>24</v>
      </c>
      <c r="R258" s="305">
        <v>1</v>
      </c>
      <c r="S258" s="304">
        <f t="shared" si="342"/>
        <v>2064</v>
      </c>
      <c r="T258" s="303">
        <f t="shared" si="343"/>
        <v>0</v>
      </c>
      <c r="U258" s="304"/>
      <c r="V258" s="304"/>
      <c r="W258" s="303">
        <f t="shared" si="347"/>
        <v>0</v>
      </c>
      <c r="X258" s="303"/>
      <c r="Y258" s="303"/>
      <c r="Z258" s="303"/>
      <c r="AA258" s="303"/>
      <c r="AB258" s="304"/>
      <c r="AC258" s="304"/>
      <c r="AD258" s="304"/>
      <c r="AE258" s="304"/>
      <c r="AF258" s="317"/>
      <c r="AG258" s="314">
        <f t="shared" si="283"/>
        <v>0</v>
      </c>
      <c r="AH258" s="696">
        <f t="shared" si="284"/>
        <v>-11549</v>
      </c>
      <c r="AI258" s="314">
        <f t="shared" si="285"/>
        <v>0</v>
      </c>
      <c r="AJ258" s="314">
        <f t="shared" si="286"/>
        <v>0</v>
      </c>
      <c r="AK258" s="314">
        <f t="shared" si="287"/>
        <v>0</v>
      </c>
      <c r="AL258" s="314">
        <f t="shared" si="288"/>
        <v>0</v>
      </c>
      <c r="AM258" s="314">
        <f t="shared" si="289"/>
        <v>0</v>
      </c>
      <c r="AN258" s="314">
        <f t="shared" si="290"/>
        <v>0</v>
      </c>
      <c r="AO258" s="314">
        <f t="shared" si="291"/>
        <v>0</v>
      </c>
      <c r="AP258" s="314">
        <f t="shared" si="292"/>
        <v>11549</v>
      </c>
    </row>
    <row r="259" spans="1:42" outlineLevel="2">
      <c r="A259" s="1283" t="s">
        <v>281</v>
      </c>
      <c r="B259" s="324" t="s">
        <v>919</v>
      </c>
      <c r="C259" s="302"/>
      <c r="D259" s="304"/>
      <c r="E259" s="304"/>
      <c r="F259" s="304"/>
      <c r="G259" s="304"/>
      <c r="H259" s="303">
        <f t="shared" si="345"/>
        <v>9908</v>
      </c>
      <c r="I259" s="303">
        <f t="shared" si="346"/>
        <v>9908</v>
      </c>
      <c r="J259" s="311">
        <v>67</v>
      </c>
      <c r="K259" s="311">
        <v>67</v>
      </c>
      <c r="L259" s="294">
        <f t="shared" si="339"/>
        <v>0</v>
      </c>
      <c r="M259" s="304">
        <f t="shared" si="340"/>
        <v>8300</v>
      </c>
      <c r="N259" s="311">
        <v>8300</v>
      </c>
      <c r="O259" s="311">
        <v>0</v>
      </c>
      <c r="P259" s="303">
        <f t="shared" si="341"/>
        <v>1608</v>
      </c>
      <c r="Q259" s="294">
        <v>24</v>
      </c>
      <c r="R259" s="305">
        <v>1</v>
      </c>
      <c r="S259" s="304">
        <f t="shared" si="342"/>
        <v>1608</v>
      </c>
      <c r="T259" s="303">
        <f t="shared" si="343"/>
        <v>0</v>
      </c>
      <c r="U259" s="304"/>
      <c r="V259" s="304"/>
      <c r="W259" s="303">
        <f t="shared" si="347"/>
        <v>0</v>
      </c>
      <c r="X259" s="303"/>
      <c r="Y259" s="303"/>
      <c r="Z259" s="303"/>
      <c r="AA259" s="303"/>
      <c r="AB259" s="304"/>
      <c r="AC259" s="304"/>
      <c r="AD259" s="304"/>
      <c r="AE259" s="304"/>
      <c r="AF259" s="317"/>
      <c r="AG259" s="314">
        <f t="shared" si="283"/>
        <v>0</v>
      </c>
      <c r="AH259" s="696">
        <f t="shared" si="284"/>
        <v>-9908</v>
      </c>
      <c r="AI259" s="314">
        <f t="shared" si="285"/>
        <v>0</v>
      </c>
      <c r="AJ259" s="314">
        <f t="shared" si="286"/>
        <v>0</v>
      </c>
      <c r="AK259" s="314">
        <f t="shared" si="287"/>
        <v>0</v>
      </c>
      <c r="AL259" s="314">
        <f t="shared" si="288"/>
        <v>0</v>
      </c>
      <c r="AM259" s="314">
        <f t="shared" si="289"/>
        <v>0</v>
      </c>
      <c r="AN259" s="314">
        <f t="shared" si="290"/>
        <v>0</v>
      </c>
      <c r="AO259" s="314">
        <f t="shared" si="291"/>
        <v>0</v>
      </c>
      <c r="AP259" s="314">
        <f t="shared" si="292"/>
        <v>9908</v>
      </c>
    </row>
    <row r="260" spans="1:42" outlineLevel="2">
      <c r="A260" s="1283" t="s">
        <v>281</v>
      </c>
      <c r="B260" s="324" t="s">
        <v>920</v>
      </c>
      <c r="C260" s="302"/>
      <c r="D260" s="304"/>
      <c r="E260" s="304"/>
      <c r="F260" s="304"/>
      <c r="G260" s="304"/>
      <c r="H260" s="303">
        <f t="shared" si="345"/>
        <v>10756</v>
      </c>
      <c r="I260" s="303">
        <f t="shared" si="346"/>
        <v>10756</v>
      </c>
      <c r="J260" s="311">
        <v>78</v>
      </c>
      <c r="K260" s="311">
        <v>60</v>
      </c>
      <c r="L260" s="294">
        <f t="shared" si="339"/>
        <v>18</v>
      </c>
      <c r="M260" s="304">
        <f t="shared" si="340"/>
        <v>8884</v>
      </c>
      <c r="N260" s="311">
        <v>7427</v>
      </c>
      <c r="O260" s="311">
        <v>1457</v>
      </c>
      <c r="P260" s="303">
        <f t="shared" si="341"/>
        <v>1872</v>
      </c>
      <c r="Q260" s="294">
        <v>24</v>
      </c>
      <c r="R260" s="305">
        <v>1</v>
      </c>
      <c r="S260" s="304">
        <f t="shared" si="342"/>
        <v>1872</v>
      </c>
      <c r="T260" s="303">
        <f t="shared" si="343"/>
        <v>0</v>
      </c>
      <c r="U260" s="304"/>
      <c r="V260" s="304"/>
      <c r="W260" s="303">
        <f t="shared" si="347"/>
        <v>0</v>
      </c>
      <c r="X260" s="303"/>
      <c r="Y260" s="303"/>
      <c r="Z260" s="303"/>
      <c r="AA260" s="303"/>
      <c r="AB260" s="304"/>
      <c r="AC260" s="304"/>
      <c r="AD260" s="304"/>
      <c r="AE260" s="304"/>
      <c r="AF260" s="317"/>
      <c r="AG260" s="314">
        <f t="shared" si="283"/>
        <v>0</v>
      </c>
      <c r="AH260" s="696">
        <f t="shared" si="284"/>
        <v>-10756</v>
      </c>
      <c r="AI260" s="314">
        <f t="shared" si="285"/>
        <v>0</v>
      </c>
      <c r="AJ260" s="314">
        <f t="shared" si="286"/>
        <v>0</v>
      </c>
      <c r="AK260" s="314">
        <f t="shared" si="287"/>
        <v>0</v>
      </c>
      <c r="AL260" s="314">
        <f t="shared" si="288"/>
        <v>0</v>
      </c>
      <c r="AM260" s="314">
        <f t="shared" si="289"/>
        <v>0</v>
      </c>
      <c r="AN260" s="314">
        <f t="shared" si="290"/>
        <v>0</v>
      </c>
      <c r="AO260" s="314">
        <f t="shared" si="291"/>
        <v>0</v>
      </c>
      <c r="AP260" s="314">
        <f t="shared" si="292"/>
        <v>10756</v>
      </c>
    </row>
    <row r="261" spans="1:42" outlineLevel="2">
      <c r="A261" s="1283" t="s">
        <v>281</v>
      </c>
      <c r="B261" s="324" t="s">
        <v>921</v>
      </c>
      <c r="C261" s="302"/>
      <c r="D261" s="304"/>
      <c r="E261" s="304"/>
      <c r="F261" s="304"/>
      <c r="G261" s="304"/>
      <c r="H261" s="303">
        <f t="shared" si="345"/>
        <v>7722</v>
      </c>
      <c r="I261" s="303">
        <f t="shared" si="346"/>
        <v>7722</v>
      </c>
      <c r="J261" s="311">
        <v>50</v>
      </c>
      <c r="K261" s="311">
        <v>50</v>
      </c>
      <c r="L261" s="294">
        <f t="shared" si="339"/>
        <v>0</v>
      </c>
      <c r="M261" s="304">
        <f t="shared" si="340"/>
        <v>6422</v>
      </c>
      <c r="N261" s="311">
        <v>6422</v>
      </c>
      <c r="O261" s="311">
        <v>0</v>
      </c>
      <c r="P261" s="303">
        <f t="shared" si="341"/>
        <v>1300</v>
      </c>
      <c r="Q261" s="294">
        <v>26</v>
      </c>
      <c r="R261" s="305">
        <v>1</v>
      </c>
      <c r="S261" s="304">
        <f t="shared" si="342"/>
        <v>1300</v>
      </c>
      <c r="T261" s="303">
        <f t="shared" si="343"/>
        <v>0</v>
      </c>
      <c r="U261" s="304"/>
      <c r="V261" s="304"/>
      <c r="W261" s="303">
        <f t="shared" si="347"/>
        <v>0</v>
      </c>
      <c r="X261" s="303"/>
      <c r="Y261" s="303"/>
      <c r="Z261" s="303"/>
      <c r="AA261" s="303"/>
      <c r="AB261" s="304"/>
      <c r="AC261" s="304"/>
      <c r="AD261" s="304"/>
      <c r="AE261" s="304"/>
      <c r="AF261" s="317"/>
      <c r="AG261" s="314">
        <f t="shared" si="283"/>
        <v>0</v>
      </c>
      <c r="AH261" s="696">
        <f t="shared" si="284"/>
        <v>-7722</v>
      </c>
      <c r="AI261" s="314">
        <f t="shared" si="285"/>
        <v>0</v>
      </c>
      <c r="AJ261" s="314">
        <f t="shared" si="286"/>
        <v>0</v>
      </c>
      <c r="AK261" s="314">
        <f t="shared" si="287"/>
        <v>0</v>
      </c>
      <c r="AL261" s="314">
        <f t="shared" si="288"/>
        <v>0</v>
      </c>
      <c r="AM261" s="314">
        <f t="shared" si="289"/>
        <v>0</v>
      </c>
      <c r="AN261" s="314">
        <f t="shared" si="290"/>
        <v>0</v>
      </c>
      <c r="AO261" s="314">
        <f t="shared" si="291"/>
        <v>0</v>
      </c>
      <c r="AP261" s="314">
        <f t="shared" si="292"/>
        <v>7722</v>
      </c>
    </row>
    <row r="262" spans="1:42" outlineLevel="2">
      <c r="A262" s="1283" t="s">
        <v>281</v>
      </c>
      <c r="B262" s="324" t="s">
        <v>922</v>
      </c>
      <c r="C262" s="302"/>
      <c r="D262" s="304"/>
      <c r="E262" s="304"/>
      <c r="F262" s="304"/>
      <c r="G262" s="304"/>
      <c r="H262" s="303">
        <f t="shared" si="345"/>
        <v>12542</v>
      </c>
      <c r="I262" s="303">
        <f t="shared" si="346"/>
        <v>12542</v>
      </c>
      <c r="J262" s="311">
        <v>80</v>
      </c>
      <c r="K262" s="311">
        <v>74</v>
      </c>
      <c r="L262" s="294">
        <f t="shared" si="339"/>
        <v>6</v>
      </c>
      <c r="M262" s="304">
        <f t="shared" si="340"/>
        <v>10622</v>
      </c>
      <c r="N262" s="311">
        <v>9961</v>
      </c>
      <c r="O262" s="311">
        <v>661</v>
      </c>
      <c r="P262" s="303">
        <f t="shared" si="341"/>
        <v>1920</v>
      </c>
      <c r="Q262" s="294">
        <v>24</v>
      </c>
      <c r="R262" s="305">
        <v>1</v>
      </c>
      <c r="S262" s="304">
        <f t="shared" si="342"/>
        <v>1920</v>
      </c>
      <c r="T262" s="303">
        <f t="shared" si="343"/>
        <v>0</v>
      </c>
      <c r="U262" s="304"/>
      <c r="V262" s="304"/>
      <c r="W262" s="303">
        <f t="shared" si="347"/>
        <v>0</v>
      </c>
      <c r="X262" s="303"/>
      <c r="Y262" s="303"/>
      <c r="Z262" s="303"/>
      <c r="AA262" s="303"/>
      <c r="AB262" s="304"/>
      <c r="AC262" s="304"/>
      <c r="AD262" s="304"/>
      <c r="AE262" s="304"/>
      <c r="AF262" s="317"/>
      <c r="AG262" s="314">
        <f t="shared" si="283"/>
        <v>0</v>
      </c>
      <c r="AH262" s="696">
        <f t="shared" si="284"/>
        <v>-12542</v>
      </c>
      <c r="AI262" s="314">
        <f t="shared" si="285"/>
        <v>0</v>
      </c>
      <c r="AJ262" s="314">
        <f t="shared" si="286"/>
        <v>0</v>
      </c>
      <c r="AK262" s="314">
        <f t="shared" si="287"/>
        <v>0</v>
      </c>
      <c r="AL262" s="314">
        <f t="shared" si="288"/>
        <v>0</v>
      </c>
      <c r="AM262" s="314">
        <f t="shared" si="289"/>
        <v>0</v>
      </c>
      <c r="AN262" s="314">
        <f t="shared" si="290"/>
        <v>0</v>
      </c>
      <c r="AO262" s="314">
        <f t="shared" si="291"/>
        <v>0</v>
      </c>
      <c r="AP262" s="314">
        <f t="shared" si="292"/>
        <v>12542</v>
      </c>
    </row>
    <row r="263" spans="1:42" outlineLevel="2">
      <c r="A263" s="1283" t="s">
        <v>281</v>
      </c>
      <c r="B263" s="324" t="s">
        <v>923</v>
      </c>
      <c r="C263" s="302"/>
      <c r="D263" s="304"/>
      <c r="E263" s="304"/>
      <c r="F263" s="304"/>
      <c r="G263" s="304"/>
      <c r="H263" s="303">
        <f t="shared" si="345"/>
        <v>12616</v>
      </c>
      <c r="I263" s="303">
        <f t="shared" si="346"/>
        <v>12616</v>
      </c>
      <c r="J263" s="311">
        <v>83</v>
      </c>
      <c r="K263" s="311">
        <v>82</v>
      </c>
      <c r="L263" s="294">
        <f t="shared" si="339"/>
        <v>1</v>
      </c>
      <c r="M263" s="304">
        <f t="shared" si="340"/>
        <v>10624</v>
      </c>
      <c r="N263" s="311">
        <v>10547</v>
      </c>
      <c r="O263" s="311">
        <v>77</v>
      </c>
      <c r="P263" s="303">
        <f t="shared" si="341"/>
        <v>1992</v>
      </c>
      <c r="Q263" s="294">
        <v>24</v>
      </c>
      <c r="R263" s="305">
        <v>1</v>
      </c>
      <c r="S263" s="304">
        <f t="shared" si="342"/>
        <v>1992</v>
      </c>
      <c r="T263" s="303">
        <f t="shared" si="343"/>
        <v>0</v>
      </c>
      <c r="U263" s="304"/>
      <c r="V263" s="304"/>
      <c r="W263" s="303">
        <f t="shared" si="347"/>
        <v>0</v>
      </c>
      <c r="X263" s="303"/>
      <c r="Y263" s="303"/>
      <c r="Z263" s="303"/>
      <c r="AA263" s="303"/>
      <c r="AB263" s="304"/>
      <c r="AC263" s="304"/>
      <c r="AD263" s="304"/>
      <c r="AE263" s="304"/>
      <c r="AF263" s="317"/>
      <c r="AG263" s="314">
        <f t="shared" si="283"/>
        <v>0</v>
      </c>
      <c r="AH263" s="696">
        <f t="shared" si="284"/>
        <v>-12616</v>
      </c>
      <c r="AI263" s="314">
        <f t="shared" si="285"/>
        <v>0</v>
      </c>
      <c r="AJ263" s="314">
        <f t="shared" si="286"/>
        <v>0</v>
      </c>
      <c r="AK263" s="314">
        <f t="shared" si="287"/>
        <v>0</v>
      </c>
      <c r="AL263" s="314">
        <f t="shared" si="288"/>
        <v>0</v>
      </c>
      <c r="AM263" s="314">
        <f t="shared" si="289"/>
        <v>0</v>
      </c>
      <c r="AN263" s="314">
        <f t="shared" si="290"/>
        <v>0</v>
      </c>
      <c r="AO263" s="314">
        <f t="shared" si="291"/>
        <v>0</v>
      </c>
      <c r="AP263" s="314">
        <f t="shared" si="292"/>
        <v>12616</v>
      </c>
    </row>
    <row r="264" spans="1:42" outlineLevel="2">
      <c r="A264" s="1283" t="s">
        <v>281</v>
      </c>
      <c r="B264" s="324" t="s">
        <v>924</v>
      </c>
      <c r="C264" s="302"/>
      <c r="D264" s="304"/>
      <c r="E264" s="304"/>
      <c r="F264" s="304"/>
      <c r="G264" s="304"/>
      <c r="H264" s="303">
        <f t="shared" si="345"/>
        <v>13583</v>
      </c>
      <c r="I264" s="303">
        <f t="shared" si="346"/>
        <v>13583</v>
      </c>
      <c r="J264" s="311">
        <v>97</v>
      </c>
      <c r="K264" s="311">
        <v>88</v>
      </c>
      <c r="L264" s="294">
        <f t="shared" si="339"/>
        <v>9</v>
      </c>
      <c r="M264" s="304">
        <f t="shared" si="340"/>
        <v>11255</v>
      </c>
      <c r="N264" s="311">
        <v>10559</v>
      </c>
      <c r="O264" s="311">
        <v>696</v>
      </c>
      <c r="P264" s="303">
        <f t="shared" si="341"/>
        <v>2328</v>
      </c>
      <c r="Q264" s="294">
        <v>24</v>
      </c>
      <c r="R264" s="305">
        <v>1</v>
      </c>
      <c r="S264" s="304">
        <f t="shared" si="342"/>
        <v>2328</v>
      </c>
      <c r="T264" s="303">
        <f t="shared" si="343"/>
        <v>0</v>
      </c>
      <c r="U264" s="304"/>
      <c r="V264" s="304"/>
      <c r="W264" s="303">
        <f t="shared" si="347"/>
        <v>0</v>
      </c>
      <c r="X264" s="303"/>
      <c r="Y264" s="303"/>
      <c r="Z264" s="303"/>
      <c r="AA264" s="303"/>
      <c r="AB264" s="304"/>
      <c r="AC264" s="304"/>
      <c r="AD264" s="304"/>
      <c r="AE264" s="304"/>
      <c r="AF264" s="317"/>
      <c r="AG264" s="314">
        <f t="shared" si="283"/>
        <v>0</v>
      </c>
      <c r="AH264" s="696">
        <f t="shared" si="284"/>
        <v>-13583</v>
      </c>
      <c r="AI264" s="314">
        <f t="shared" si="285"/>
        <v>0</v>
      </c>
      <c r="AJ264" s="314">
        <f t="shared" si="286"/>
        <v>0</v>
      </c>
      <c r="AK264" s="314">
        <f t="shared" si="287"/>
        <v>0</v>
      </c>
      <c r="AL264" s="314">
        <f t="shared" si="288"/>
        <v>0</v>
      </c>
      <c r="AM264" s="314">
        <f t="shared" si="289"/>
        <v>0</v>
      </c>
      <c r="AN264" s="314">
        <f t="shared" si="290"/>
        <v>0</v>
      </c>
      <c r="AO264" s="314">
        <f t="shared" si="291"/>
        <v>0</v>
      </c>
      <c r="AP264" s="314">
        <f t="shared" si="292"/>
        <v>13583</v>
      </c>
    </row>
    <row r="265" spans="1:42" outlineLevel="2">
      <c r="A265" s="1283" t="s">
        <v>281</v>
      </c>
      <c r="B265" s="324" t="s">
        <v>925</v>
      </c>
      <c r="C265" s="302"/>
      <c r="D265" s="304"/>
      <c r="E265" s="304"/>
      <c r="F265" s="304"/>
      <c r="G265" s="304"/>
      <c r="H265" s="303">
        <f t="shared" si="345"/>
        <v>3496</v>
      </c>
      <c r="I265" s="303">
        <f t="shared" si="346"/>
        <v>3496</v>
      </c>
      <c r="J265" s="311">
        <v>22</v>
      </c>
      <c r="K265" s="311">
        <v>15</v>
      </c>
      <c r="L265" s="294">
        <f t="shared" si="339"/>
        <v>7</v>
      </c>
      <c r="M265" s="304">
        <f t="shared" si="340"/>
        <v>2858</v>
      </c>
      <c r="N265" s="311">
        <v>2087</v>
      </c>
      <c r="O265" s="311">
        <v>771</v>
      </c>
      <c r="P265" s="303">
        <f t="shared" si="341"/>
        <v>638</v>
      </c>
      <c r="Q265" s="294">
        <v>29</v>
      </c>
      <c r="R265" s="305">
        <v>1</v>
      </c>
      <c r="S265" s="304">
        <f t="shared" si="342"/>
        <v>638</v>
      </c>
      <c r="T265" s="303">
        <f t="shared" si="343"/>
        <v>0</v>
      </c>
      <c r="U265" s="304"/>
      <c r="V265" s="304"/>
      <c r="W265" s="303">
        <f t="shared" si="347"/>
        <v>0</v>
      </c>
      <c r="X265" s="303"/>
      <c r="Y265" s="303"/>
      <c r="Z265" s="303"/>
      <c r="AA265" s="303"/>
      <c r="AB265" s="304"/>
      <c r="AC265" s="304"/>
      <c r="AD265" s="304"/>
      <c r="AE265" s="304"/>
      <c r="AF265" s="317"/>
      <c r="AG265" s="314">
        <f t="shared" si="283"/>
        <v>0</v>
      </c>
      <c r="AH265" s="696">
        <f t="shared" si="284"/>
        <v>-3496</v>
      </c>
      <c r="AI265" s="314">
        <f t="shared" si="285"/>
        <v>0</v>
      </c>
      <c r="AJ265" s="314">
        <f t="shared" si="286"/>
        <v>0</v>
      </c>
      <c r="AK265" s="314">
        <f t="shared" si="287"/>
        <v>0</v>
      </c>
      <c r="AL265" s="314">
        <f t="shared" si="288"/>
        <v>0</v>
      </c>
      <c r="AM265" s="314">
        <f t="shared" si="289"/>
        <v>0</v>
      </c>
      <c r="AN265" s="314">
        <f t="shared" si="290"/>
        <v>0</v>
      </c>
      <c r="AO265" s="314">
        <f t="shared" si="291"/>
        <v>0</v>
      </c>
      <c r="AP265" s="314">
        <f t="shared" si="292"/>
        <v>3496</v>
      </c>
    </row>
    <row r="266" spans="1:42" outlineLevel="2">
      <c r="A266" s="1283" t="s">
        <v>281</v>
      </c>
      <c r="B266" s="324" t="s">
        <v>926</v>
      </c>
      <c r="C266" s="302"/>
      <c r="D266" s="304"/>
      <c r="E266" s="304"/>
      <c r="F266" s="304"/>
      <c r="G266" s="304"/>
      <c r="H266" s="303">
        <f t="shared" si="345"/>
        <v>22882</v>
      </c>
      <c r="I266" s="303">
        <f t="shared" si="346"/>
        <v>22882</v>
      </c>
      <c r="J266" s="311">
        <v>177</v>
      </c>
      <c r="K266" s="311">
        <v>166</v>
      </c>
      <c r="L266" s="294">
        <f t="shared" si="339"/>
        <v>11</v>
      </c>
      <c r="M266" s="304">
        <f t="shared" si="340"/>
        <v>18634</v>
      </c>
      <c r="N266" s="311">
        <v>17842</v>
      </c>
      <c r="O266" s="311">
        <v>792</v>
      </c>
      <c r="P266" s="303">
        <f t="shared" si="341"/>
        <v>4248</v>
      </c>
      <c r="Q266" s="294">
        <v>24</v>
      </c>
      <c r="R266" s="305">
        <v>1</v>
      </c>
      <c r="S266" s="304">
        <f t="shared" si="342"/>
        <v>4248</v>
      </c>
      <c r="T266" s="303">
        <f t="shared" si="343"/>
        <v>0</v>
      </c>
      <c r="U266" s="304"/>
      <c r="V266" s="304"/>
      <c r="W266" s="303">
        <f t="shared" si="347"/>
        <v>0</v>
      </c>
      <c r="X266" s="303"/>
      <c r="Y266" s="303"/>
      <c r="Z266" s="303"/>
      <c r="AA266" s="303"/>
      <c r="AB266" s="304"/>
      <c r="AC266" s="304"/>
      <c r="AD266" s="304"/>
      <c r="AE266" s="304"/>
      <c r="AF266" s="317"/>
      <c r="AG266" s="314">
        <f t="shared" si="283"/>
        <v>0</v>
      </c>
      <c r="AH266" s="696">
        <f t="shared" si="284"/>
        <v>-22882</v>
      </c>
      <c r="AI266" s="314">
        <f t="shared" si="285"/>
        <v>0</v>
      </c>
      <c r="AJ266" s="314">
        <f t="shared" si="286"/>
        <v>0</v>
      </c>
      <c r="AK266" s="314">
        <f t="shared" si="287"/>
        <v>0</v>
      </c>
      <c r="AL266" s="314">
        <f t="shared" si="288"/>
        <v>0</v>
      </c>
      <c r="AM266" s="314">
        <f t="shared" si="289"/>
        <v>0</v>
      </c>
      <c r="AN266" s="314">
        <f t="shared" si="290"/>
        <v>0</v>
      </c>
      <c r="AO266" s="314">
        <f t="shared" si="291"/>
        <v>0</v>
      </c>
      <c r="AP266" s="314">
        <f t="shared" si="292"/>
        <v>22882</v>
      </c>
    </row>
    <row r="267" spans="1:42" s="322" customFormat="1" ht="27.6" outlineLevel="1">
      <c r="A267" s="1286" t="s">
        <v>927</v>
      </c>
      <c r="B267" s="326" t="s">
        <v>928</v>
      </c>
      <c r="C267" s="302"/>
      <c r="D267" s="304">
        <v>7502</v>
      </c>
      <c r="E267" s="304">
        <f t="shared" si="317"/>
        <v>7502</v>
      </c>
      <c r="F267" s="304">
        <f t="shared" ref="F267:F280" si="348">H267-AB267</f>
        <v>7502</v>
      </c>
      <c r="G267" s="304">
        <f t="shared" ref="G267:G284" si="349">F267-D267</f>
        <v>0</v>
      </c>
      <c r="H267" s="303">
        <f t="shared" si="345"/>
        <v>2046</v>
      </c>
      <c r="I267" s="303"/>
      <c r="J267" s="311"/>
      <c r="K267" s="311"/>
      <c r="L267" s="311"/>
      <c r="M267" s="303"/>
      <c r="N267" s="311"/>
      <c r="O267" s="311"/>
      <c r="P267" s="303"/>
      <c r="Q267" s="311"/>
      <c r="R267" s="312"/>
      <c r="S267" s="303"/>
      <c r="T267" s="303"/>
      <c r="U267" s="303"/>
      <c r="V267" s="303"/>
      <c r="W267" s="303">
        <f t="shared" si="347"/>
        <v>2046</v>
      </c>
      <c r="X267" s="303"/>
      <c r="Y267" s="303"/>
      <c r="Z267" s="303">
        <v>2046</v>
      </c>
      <c r="AA267" s="303"/>
      <c r="AB267" s="304">
        <v>-5456</v>
      </c>
      <c r="AC267" s="304"/>
      <c r="AD267" s="304">
        <v>750</v>
      </c>
      <c r="AE267" s="303">
        <f>E267-AD267</f>
        <v>6752</v>
      </c>
      <c r="AF267" s="317" t="s">
        <v>929</v>
      </c>
      <c r="AG267" s="314">
        <f t="shared" si="283"/>
        <v>0</v>
      </c>
      <c r="AH267" s="696">
        <f t="shared" si="284"/>
        <v>0</v>
      </c>
      <c r="AI267" s="314">
        <f t="shared" si="285"/>
        <v>0</v>
      </c>
      <c r="AJ267" s="314">
        <f t="shared" si="286"/>
        <v>0</v>
      </c>
      <c r="AK267" s="314">
        <f t="shared" si="287"/>
        <v>0</v>
      </c>
      <c r="AL267" s="314">
        <f t="shared" si="288"/>
        <v>0</v>
      </c>
      <c r="AM267" s="314">
        <f t="shared" si="289"/>
        <v>0</v>
      </c>
      <c r="AN267" s="314">
        <f t="shared" si="290"/>
        <v>0</v>
      </c>
      <c r="AO267" s="314">
        <f t="shared" si="291"/>
        <v>0</v>
      </c>
      <c r="AP267" s="314">
        <f t="shared" si="292"/>
        <v>0</v>
      </c>
    </row>
    <row r="268" spans="1:42" s="322" customFormat="1">
      <c r="A268" s="593" t="s">
        <v>49</v>
      </c>
      <c r="B268" s="324" t="s">
        <v>930</v>
      </c>
      <c r="C268" s="302"/>
      <c r="D268" s="304">
        <v>22345</v>
      </c>
      <c r="E268" s="304">
        <f>F268+AC268</f>
        <v>22685</v>
      </c>
      <c r="F268" s="304">
        <f>H268-AB268</f>
        <v>22685</v>
      </c>
      <c r="G268" s="304">
        <f>F268-D268</f>
        <v>340</v>
      </c>
      <c r="H268" s="303">
        <f>I268+W268</f>
        <v>13886</v>
      </c>
      <c r="I268" s="303">
        <f t="shared" ref="I268:I280" si="350">M268+P268</f>
        <v>0</v>
      </c>
      <c r="J268" s="311"/>
      <c r="K268" s="311"/>
      <c r="L268" s="311"/>
      <c r="M268" s="303"/>
      <c r="N268" s="311"/>
      <c r="O268" s="311"/>
      <c r="P268" s="303">
        <f t="shared" ref="P268:P278" si="351">S268+T268</f>
        <v>0</v>
      </c>
      <c r="Q268" s="311"/>
      <c r="R268" s="312"/>
      <c r="S268" s="303"/>
      <c r="T268" s="303">
        <f t="shared" ref="T268:T278" si="352">U268+V268</f>
        <v>0</v>
      </c>
      <c r="U268" s="303"/>
      <c r="V268" s="303"/>
      <c r="W268" s="303">
        <f>Z268+AA268</f>
        <v>13886</v>
      </c>
      <c r="X268" s="303"/>
      <c r="Y268" s="303"/>
      <c r="Z268" s="303">
        <f>Z275+Z276+Z271+Z274+Z272</f>
        <v>7871</v>
      </c>
      <c r="AA268" s="303">
        <f>SUM(AA269:AA278)</f>
        <v>6015</v>
      </c>
      <c r="AB268" s="304">
        <f>SUM(AB269:AB275)</f>
        <v>-8799</v>
      </c>
      <c r="AC268" s="304"/>
      <c r="AD268" s="304">
        <v>1931</v>
      </c>
      <c r="AE268" s="303">
        <f>E268-AD268</f>
        <v>20754</v>
      </c>
      <c r="AF268" s="317" t="s">
        <v>2549</v>
      </c>
      <c r="AG268" s="314">
        <f t="shared" si="283"/>
        <v>0</v>
      </c>
      <c r="AH268" s="696">
        <f t="shared" si="284"/>
        <v>0</v>
      </c>
      <c r="AI268" s="314">
        <f t="shared" si="285"/>
        <v>0</v>
      </c>
      <c r="AJ268" s="314">
        <f t="shared" si="286"/>
        <v>0</v>
      </c>
      <c r="AK268" s="314">
        <f t="shared" si="287"/>
        <v>0</v>
      </c>
      <c r="AL268" s="314">
        <f t="shared" si="288"/>
        <v>0</v>
      </c>
      <c r="AM268" s="314">
        <f t="shared" si="289"/>
        <v>0</v>
      </c>
      <c r="AN268" s="314">
        <f t="shared" si="290"/>
        <v>0</v>
      </c>
      <c r="AO268" s="314">
        <f t="shared" si="291"/>
        <v>0</v>
      </c>
      <c r="AP268" s="314">
        <f t="shared" si="292"/>
        <v>0</v>
      </c>
    </row>
    <row r="269" spans="1:42" s="322" customFormat="1" ht="41.4" outlineLevel="1">
      <c r="A269" s="593" t="s">
        <v>23</v>
      </c>
      <c r="B269" s="324" t="s">
        <v>1606</v>
      </c>
      <c r="C269" s="302"/>
      <c r="D269" s="304">
        <v>1468</v>
      </c>
      <c r="E269" s="304">
        <f t="shared" si="317"/>
        <v>1468</v>
      </c>
      <c r="F269" s="304">
        <f t="shared" si="348"/>
        <v>1468</v>
      </c>
      <c r="G269" s="304">
        <f t="shared" si="349"/>
        <v>0</v>
      </c>
      <c r="H269" s="303">
        <f t="shared" ref="H269:H278" si="353">I269+W269</f>
        <v>0</v>
      </c>
      <c r="I269" s="303">
        <f t="shared" si="350"/>
        <v>0</v>
      </c>
      <c r="J269" s="311"/>
      <c r="K269" s="311"/>
      <c r="L269" s="311"/>
      <c r="M269" s="303"/>
      <c r="N269" s="311"/>
      <c r="O269" s="311"/>
      <c r="P269" s="303">
        <f t="shared" si="351"/>
        <v>0</v>
      </c>
      <c r="Q269" s="311"/>
      <c r="R269" s="312"/>
      <c r="S269" s="303"/>
      <c r="T269" s="303">
        <f t="shared" si="352"/>
        <v>0</v>
      </c>
      <c r="U269" s="303"/>
      <c r="V269" s="303"/>
      <c r="W269" s="303">
        <f t="shared" ref="W269:W278" si="354">Z269+AA269</f>
        <v>0</v>
      </c>
      <c r="X269" s="303"/>
      <c r="Y269" s="303"/>
      <c r="Z269" s="303"/>
      <c r="AA269" s="303"/>
      <c r="AB269" s="304">
        <v>-1468</v>
      </c>
      <c r="AC269" s="304"/>
      <c r="AD269" s="304"/>
      <c r="AE269" s="303"/>
      <c r="AF269" s="317" t="s">
        <v>1847</v>
      </c>
      <c r="AG269" s="314">
        <f t="shared" si="283"/>
        <v>0</v>
      </c>
      <c r="AH269" s="696">
        <f t="shared" si="284"/>
        <v>0</v>
      </c>
      <c r="AI269" s="314">
        <f t="shared" si="285"/>
        <v>0</v>
      </c>
      <c r="AJ269" s="314">
        <f t="shared" si="286"/>
        <v>0</v>
      </c>
      <c r="AK269" s="314">
        <f t="shared" si="287"/>
        <v>0</v>
      </c>
      <c r="AL269" s="314">
        <f t="shared" si="288"/>
        <v>0</v>
      </c>
      <c r="AM269" s="314">
        <f t="shared" si="289"/>
        <v>0</v>
      </c>
      <c r="AN269" s="314">
        <f t="shared" si="290"/>
        <v>0</v>
      </c>
      <c r="AO269" s="314">
        <f t="shared" si="291"/>
        <v>0</v>
      </c>
      <c r="AP269" s="314">
        <f t="shared" si="292"/>
        <v>0</v>
      </c>
    </row>
    <row r="270" spans="1:42" s="322" customFormat="1" ht="69" outlineLevel="1">
      <c r="A270" s="593" t="s">
        <v>23</v>
      </c>
      <c r="B270" s="324" t="s">
        <v>1607</v>
      </c>
      <c r="C270" s="302"/>
      <c r="D270" s="304">
        <v>1294</v>
      </c>
      <c r="E270" s="304">
        <f t="shared" si="317"/>
        <v>1294</v>
      </c>
      <c r="F270" s="304">
        <f t="shared" si="348"/>
        <v>1294</v>
      </c>
      <c r="G270" s="304">
        <f t="shared" si="349"/>
        <v>0</v>
      </c>
      <c r="H270" s="303">
        <f t="shared" si="353"/>
        <v>0</v>
      </c>
      <c r="I270" s="303">
        <f t="shared" si="350"/>
        <v>0</v>
      </c>
      <c r="J270" s="311"/>
      <c r="K270" s="311"/>
      <c r="L270" s="311"/>
      <c r="M270" s="303"/>
      <c r="N270" s="311"/>
      <c r="O270" s="311"/>
      <c r="P270" s="303">
        <f t="shared" si="351"/>
        <v>0</v>
      </c>
      <c r="Q270" s="311"/>
      <c r="R270" s="312"/>
      <c r="S270" s="303"/>
      <c r="T270" s="303">
        <f t="shared" si="352"/>
        <v>0</v>
      </c>
      <c r="U270" s="303"/>
      <c r="V270" s="303"/>
      <c r="W270" s="303">
        <f t="shared" si="354"/>
        <v>0</v>
      </c>
      <c r="X270" s="303"/>
      <c r="Y270" s="303"/>
      <c r="Z270" s="303"/>
      <c r="AA270" s="303"/>
      <c r="AB270" s="304">
        <v>-1294</v>
      </c>
      <c r="AC270" s="304"/>
      <c r="AD270" s="304"/>
      <c r="AE270" s="303"/>
      <c r="AF270" s="317" t="s">
        <v>1848</v>
      </c>
      <c r="AG270" s="314">
        <f t="shared" si="283"/>
        <v>0</v>
      </c>
      <c r="AH270" s="696">
        <f t="shared" si="284"/>
        <v>0</v>
      </c>
      <c r="AI270" s="314">
        <f t="shared" si="285"/>
        <v>0</v>
      </c>
      <c r="AJ270" s="314">
        <f t="shared" si="286"/>
        <v>0</v>
      </c>
      <c r="AK270" s="314">
        <f t="shared" si="287"/>
        <v>0</v>
      </c>
      <c r="AL270" s="314">
        <f t="shared" si="288"/>
        <v>0</v>
      </c>
      <c r="AM270" s="314">
        <f t="shared" si="289"/>
        <v>0</v>
      </c>
      <c r="AN270" s="314">
        <f t="shared" si="290"/>
        <v>0</v>
      </c>
      <c r="AO270" s="314">
        <f t="shared" si="291"/>
        <v>0</v>
      </c>
      <c r="AP270" s="314">
        <f t="shared" si="292"/>
        <v>0</v>
      </c>
    </row>
    <row r="271" spans="1:42" s="322" customFormat="1" outlineLevel="1">
      <c r="A271" s="593" t="s">
        <v>23</v>
      </c>
      <c r="B271" s="324" t="s">
        <v>2088</v>
      </c>
      <c r="C271" s="302"/>
      <c r="D271" s="304">
        <v>600</v>
      </c>
      <c r="E271" s="304">
        <f t="shared" si="317"/>
        <v>600</v>
      </c>
      <c r="F271" s="304">
        <f t="shared" si="348"/>
        <v>600</v>
      </c>
      <c r="G271" s="304">
        <f t="shared" si="349"/>
        <v>0</v>
      </c>
      <c r="H271" s="303">
        <f t="shared" si="353"/>
        <v>100</v>
      </c>
      <c r="I271" s="303">
        <f t="shared" si="350"/>
        <v>0</v>
      </c>
      <c r="J271" s="311"/>
      <c r="K271" s="311"/>
      <c r="L271" s="311"/>
      <c r="M271" s="303"/>
      <c r="N271" s="311"/>
      <c r="O271" s="311"/>
      <c r="P271" s="303">
        <f t="shared" si="351"/>
        <v>0</v>
      </c>
      <c r="Q271" s="311"/>
      <c r="R271" s="312"/>
      <c r="S271" s="303"/>
      <c r="T271" s="303">
        <f t="shared" si="352"/>
        <v>0</v>
      </c>
      <c r="U271" s="303"/>
      <c r="V271" s="303"/>
      <c r="W271" s="303">
        <f t="shared" si="354"/>
        <v>100</v>
      </c>
      <c r="X271" s="303"/>
      <c r="Y271" s="303"/>
      <c r="Z271" s="303">
        <f>732-632</f>
        <v>100</v>
      </c>
      <c r="AA271" s="303"/>
      <c r="AB271" s="304">
        <v>-500</v>
      </c>
      <c r="AC271" s="304"/>
      <c r="AD271" s="304"/>
      <c r="AE271" s="303"/>
      <c r="AF271" s="317"/>
      <c r="AG271" s="314">
        <f t="shared" si="283"/>
        <v>0</v>
      </c>
      <c r="AH271" s="696">
        <f t="shared" si="284"/>
        <v>0</v>
      </c>
      <c r="AI271" s="314">
        <f t="shared" si="285"/>
        <v>0</v>
      </c>
      <c r="AJ271" s="314">
        <f t="shared" si="286"/>
        <v>0</v>
      </c>
      <c r="AK271" s="314">
        <f t="shared" si="287"/>
        <v>0</v>
      </c>
      <c r="AL271" s="314">
        <f t="shared" si="288"/>
        <v>0</v>
      </c>
      <c r="AM271" s="314">
        <f t="shared" si="289"/>
        <v>0</v>
      </c>
      <c r="AN271" s="314">
        <f t="shared" si="290"/>
        <v>0</v>
      </c>
      <c r="AO271" s="314">
        <f t="shared" si="291"/>
        <v>0</v>
      </c>
      <c r="AP271" s="314">
        <f t="shared" si="292"/>
        <v>0</v>
      </c>
    </row>
    <row r="272" spans="1:42" s="322" customFormat="1" ht="27.6" outlineLevel="1">
      <c r="A272" s="593" t="s">
        <v>23</v>
      </c>
      <c r="B272" s="1284" t="s">
        <v>2465</v>
      </c>
      <c r="C272" s="302"/>
      <c r="D272" s="304">
        <v>2952</v>
      </c>
      <c r="E272" s="304">
        <f t="shared" si="317"/>
        <v>2754</v>
      </c>
      <c r="F272" s="304">
        <f t="shared" si="348"/>
        <v>2754</v>
      </c>
      <c r="G272" s="304">
        <f t="shared" si="349"/>
        <v>-198</v>
      </c>
      <c r="H272" s="303">
        <f t="shared" si="353"/>
        <v>434</v>
      </c>
      <c r="I272" s="303">
        <f t="shared" si="350"/>
        <v>0</v>
      </c>
      <c r="J272" s="311"/>
      <c r="K272" s="311"/>
      <c r="L272" s="311"/>
      <c r="M272" s="303"/>
      <c r="N272" s="311"/>
      <c r="O272" s="311"/>
      <c r="P272" s="303">
        <f t="shared" si="351"/>
        <v>0</v>
      </c>
      <c r="Q272" s="311"/>
      <c r="R272" s="312"/>
      <c r="S272" s="303"/>
      <c r="T272" s="303">
        <f t="shared" si="352"/>
        <v>0</v>
      </c>
      <c r="U272" s="303"/>
      <c r="V272" s="303"/>
      <c r="W272" s="303">
        <f t="shared" si="354"/>
        <v>434</v>
      </c>
      <c r="X272" s="303"/>
      <c r="Y272" s="303"/>
      <c r="Z272" s="303">
        <f>632-198</f>
        <v>434</v>
      </c>
      <c r="AA272" s="303"/>
      <c r="AB272" s="304">
        <f>-700-220-1400</f>
        <v>-2320</v>
      </c>
      <c r="AC272" s="304"/>
      <c r="AD272" s="304"/>
      <c r="AE272" s="303"/>
      <c r="AF272" s="1285" t="s">
        <v>2089</v>
      </c>
      <c r="AG272" s="314">
        <f t="shared" ref="AG272:AG337" si="355">E272-F272-AC272</f>
        <v>0</v>
      </c>
      <c r="AH272" s="696">
        <f t="shared" ref="AH272:AH337" si="356">F272-H272+AB272</f>
        <v>0</v>
      </c>
      <c r="AI272" s="314">
        <f t="shared" ref="AI272:AI337" si="357">H272-I272-W272</f>
        <v>0</v>
      </c>
      <c r="AJ272" s="314">
        <f t="shared" ref="AJ272:AJ337" si="358">I272-M272-P272</f>
        <v>0</v>
      </c>
      <c r="AK272" s="314">
        <f t="shared" ref="AK272:AK337" si="359">J272-K272-L272</f>
        <v>0</v>
      </c>
      <c r="AL272" s="314">
        <f t="shared" ref="AL272:AL337" si="360">M272-N272-O272</f>
        <v>0</v>
      </c>
      <c r="AM272" s="314">
        <f t="shared" ref="AM272:AM337" si="361">P272-S272-T272</f>
        <v>0</v>
      </c>
      <c r="AN272" s="314">
        <f t="shared" ref="AN272:AN337" si="362">T272-U272-V272</f>
        <v>0</v>
      </c>
      <c r="AO272" s="314">
        <f t="shared" ref="AO272:AO337" si="363">W272-Z272-AA272</f>
        <v>0</v>
      </c>
      <c r="AP272" s="314">
        <f t="shared" ref="AP272:AP337" si="364">AC272+AA272+Z272+V272+U272+S272+O272+N272-AB272-E272</f>
        <v>0</v>
      </c>
    </row>
    <row r="273" spans="1:42" s="322" customFormat="1" ht="55.2" outlineLevel="1">
      <c r="A273" s="593" t="s">
        <v>23</v>
      </c>
      <c r="B273" s="1281" t="s">
        <v>2090</v>
      </c>
      <c r="C273" s="302"/>
      <c r="D273" s="304"/>
      <c r="E273" s="304">
        <f t="shared" si="317"/>
        <v>1600</v>
      </c>
      <c r="F273" s="304">
        <f t="shared" si="348"/>
        <v>1600</v>
      </c>
      <c r="G273" s="304">
        <f t="shared" si="349"/>
        <v>1600</v>
      </c>
      <c r="H273" s="303">
        <f t="shared" si="353"/>
        <v>0</v>
      </c>
      <c r="I273" s="303">
        <f t="shared" si="350"/>
        <v>0</v>
      </c>
      <c r="J273" s="311"/>
      <c r="K273" s="311"/>
      <c r="L273" s="311"/>
      <c r="M273" s="303"/>
      <c r="N273" s="311"/>
      <c r="O273" s="311"/>
      <c r="P273" s="303">
        <f t="shared" si="351"/>
        <v>0</v>
      </c>
      <c r="Q273" s="311"/>
      <c r="R273" s="312"/>
      <c r="S273" s="303"/>
      <c r="T273" s="303">
        <f t="shared" si="352"/>
        <v>0</v>
      </c>
      <c r="U273" s="303"/>
      <c r="V273" s="303"/>
      <c r="W273" s="303">
        <f t="shared" si="354"/>
        <v>0</v>
      </c>
      <c r="X273" s="303"/>
      <c r="Y273" s="303"/>
      <c r="Z273" s="303"/>
      <c r="AA273" s="303"/>
      <c r="AB273" s="304">
        <v>-1600</v>
      </c>
      <c r="AC273" s="304"/>
      <c r="AD273" s="304"/>
      <c r="AE273" s="303"/>
      <c r="AF273" s="1319" t="s">
        <v>2091</v>
      </c>
      <c r="AG273" s="314">
        <f t="shared" si="355"/>
        <v>0</v>
      </c>
      <c r="AH273" s="696">
        <f t="shared" si="356"/>
        <v>0</v>
      </c>
      <c r="AI273" s="314">
        <f t="shared" si="357"/>
        <v>0</v>
      </c>
      <c r="AJ273" s="314">
        <f t="shared" si="358"/>
        <v>0</v>
      </c>
      <c r="AK273" s="314">
        <f t="shared" si="359"/>
        <v>0</v>
      </c>
      <c r="AL273" s="314">
        <f t="shared" si="360"/>
        <v>0</v>
      </c>
      <c r="AM273" s="314">
        <f t="shared" si="361"/>
        <v>0</v>
      </c>
      <c r="AN273" s="314">
        <f t="shared" si="362"/>
        <v>0</v>
      </c>
      <c r="AO273" s="314">
        <f t="shared" si="363"/>
        <v>0</v>
      </c>
      <c r="AP273" s="314">
        <f t="shared" si="364"/>
        <v>0</v>
      </c>
    </row>
    <row r="274" spans="1:42" s="322" customFormat="1" ht="41.4" outlineLevel="1">
      <c r="A274" s="593" t="s">
        <v>23</v>
      </c>
      <c r="B274" s="1281" t="s">
        <v>1849</v>
      </c>
      <c r="C274" s="302"/>
      <c r="D274" s="304">
        <v>8677</v>
      </c>
      <c r="E274" s="304">
        <f t="shared" si="317"/>
        <v>10471</v>
      </c>
      <c r="F274" s="304">
        <f t="shared" si="348"/>
        <v>10471</v>
      </c>
      <c r="G274" s="304">
        <f t="shared" si="349"/>
        <v>1794</v>
      </c>
      <c r="H274" s="303">
        <f t="shared" si="353"/>
        <v>9000</v>
      </c>
      <c r="I274" s="303">
        <f t="shared" si="350"/>
        <v>0</v>
      </c>
      <c r="J274" s="311"/>
      <c r="K274" s="311"/>
      <c r="L274" s="311"/>
      <c r="M274" s="303"/>
      <c r="N274" s="311"/>
      <c r="O274" s="311"/>
      <c r="P274" s="303">
        <f t="shared" si="351"/>
        <v>0</v>
      </c>
      <c r="Q274" s="311"/>
      <c r="R274" s="312"/>
      <c r="S274" s="303"/>
      <c r="T274" s="303">
        <f t="shared" si="352"/>
        <v>0</v>
      </c>
      <c r="U274" s="303"/>
      <c r="V274" s="303"/>
      <c r="W274" s="303">
        <f t="shared" si="354"/>
        <v>9000</v>
      </c>
      <c r="X274" s="303"/>
      <c r="Y274" s="303"/>
      <c r="Z274" s="303">
        <v>3000</v>
      </c>
      <c r="AA274" s="303">
        <v>6000</v>
      </c>
      <c r="AB274" s="304">
        <v>-1471</v>
      </c>
      <c r="AC274" s="304"/>
      <c r="AD274" s="304"/>
      <c r="AE274" s="303"/>
      <c r="AF274" s="1653" t="s">
        <v>2278</v>
      </c>
      <c r="AG274" s="314">
        <f t="shared" si="355"/>
        <v>0</v>
      </c>
      <c r="AH274" s="696">
        <f t="shared" si="356"/>
        <v>0</v>
      </c>
      <c r="AI274" s="314">
        <f t="shared" si="357"/>
        <v>0</v>
      </c>
      <c r="AJ274" s="314">
        <f t="shared" si="358"/>
        <v>0</v>
      </c>
      <c r="AK274" s="314">
        <f t="shared" si="359"/>
        <v>0</v>
      </c>
      <c r="AL274" s="314">
        <f t="shared" si="360"/>
        <v>0</v>
      </c>
      <c r="AM274" s="314">
        <f t="shared" si="361"/>
        <v>0</v>
      </c>
      <c r="AN274" s="314">
        <f t="shared" si="362"/>
        <v>0</v>
      </c>
      <c r="AO274" s="314">
        <f t="shared" si="363"/>
        <v>0</v>
      </c>
      <c r="AP274" s="314">
        <f t="shared" si="364"/>
        <v>0</v>
      </c>
    </row>
    <row r="275" spans="1:42" s="322" customFormat="1" ht="82.8" outlineLevel="1">
      <c r="A275" s="593" t="s">
        <v>23</v>
      </c>
      <c r="B275" s="324" t="s">
        <v>1806</v>
      </c>
      <c r="C275" s="302"/>
      <c r="D275" s="304">
        <v>7322</v>
      </c>
      <c r="E275" s="304">
        <f t="shared" si="317"/>
        <v>4466</v>
      </c>
      <c r="F275" s="304">
        <f t="shared" si="348"/>
        <v>4466</v>
      </c>
      <c r="G275" s="304">
        <f t="shared" si="349"/>
        <v>-2856</v>
      </c>
      <c r="H275" s="303">
        <f t="shared" si="353"/>
        <v>4320</v>
      </c>
      <c r="I275" s="303">
        <f t="shared" si="350"/>
        <v>0</v>
      </c>
      <c r="J275" s="311"/>
      <c r="K275" s="311"/>
      <c r="L275" s="311"/>
      <c r="M275" s="303"/>
      <c r="N275" s="311"/>
      <c r="O275" s="311"/>
      <c r="P275" s="303">
        <f t="shared" si="351"/>
        <v>0</v>
      </c>
      <c r="Q275" s="311"/>
      <c r="R275" s="312"/>
      <c r="S275" s="303"/>
      <c r="T275" s="303">
        <f t="shared" si="352"/>
        <v>0</v>
      </c>
      <c r="U275" s="303"/>
      <c r="V275" s="303"/>
      <c r="W275" s="303">
        <f t="shared" si="354"/>
        <v>4320</v>
      </c>
      <c r="X275" s="303"/>
      <c r="Y275" s="303"/>
      <c r="Z275" s="303">
        <f>4500-180</f>
        <v>4320</v>
      </c>
      <c r="AA275" s="303"/>
      <c r="AB275" s="304">
        <v>-146</v>
      </c>
      <c r="AC275" s="304"/>
      <c r="AD275" s="304"/>
      <c r="AE275" s="303"/>
      <c r="AF275" s="1655"/>
      <c r="AG275" s="314">
        <f t="shared" si="355"/>
        <v>0</v>
      </c>
      <c r="AH275" s="696">
        <f t="shared" si="356"/>
        <v>0</v>
      </c>
      <c r="AI275" s="314">
        <f t="shared" si="357"/>
        <v>0</v>
      </c>
      <c r="AJ275" s="314">
        <f t="shared" si="358"/>
        <v>0</v>
      </c>
      <c r="AK275" s="314">
        <f t="shared" si="359"/>
        <v>0</v>
      </c>
      <c r="AL275" s="314">
        <f t="shared" si="360"/>
        <v>0</v>
      </c>
      <c r="AM275" s="314">
        <f t="shared" si="361"/>
        <v>0</v>
      </c>
      <c r="AN275" s="314">
        <f t="shared" si="362"/>
        <v>0</v>
      </c>
      <c r="AO275" s="314">
        <f t="shared" si="363"/>
        <v>0</v>
      </c>
      <c r="AP275" s="314">
        <f t="shared" si="364"/>
        <v>0</v>
      </c>
    </row>
    <row r="276" spans="1:42" s="322" customFormat="1" outlineLevel="1">
      <c r="A276" s="593" t="s">
        <v>23</v>
      </c>
      <c r="B276" s="324" t="s">
        <v>1608</v>
      </c>
      <c r="C276" s="302"/>
      <c r="D276" s="304">
        <v>17</v>
      </c>
      <c r="E276" s="304">
        <f t="shared" si="317"/>
        <v>17</v>
      </c>
      <c r="F276" s="304">
        <f t="shared" si="348"/>
        <v>17</v>
      </c>
      <c r="G276" s="304">
        <f t="shared" si="349"/>
        <v>0</v>
      </c>
      <c r="H276" s="303">
        <f t="shared" si="353"/>
        <v>17</v>
      </c>
      <c r="I276" s="303">
        <f t="shared" si="350"/>
        <v>0</v>
      </c>
      <c r="J276" s="311"/>
      <c r="K276" s="311"/>
      <c r="L276" s="311"/>
      <c r="M276" s="303"/>
      <c r="N276" s="311"/>
      <c r="O276" s="311"/>
      <c r="P276" s="303">
        <f t="shared" si="351"/>
        <v>0</v>
      </c>
      <c r="Q276" s="311"/>
      <c r="R276" s="312"/>
      <c r="S276" s="303"/>
      <c r="T276" s="303">
        <f t="shared" si="352"/>
        <v>0</v>
      </c>
      <c r="U276" s="303"/>
      <c r="V276" s="303"/>
      <c r="W276" s="303">
        <f t="shared" si="354"/>
        <v>17</v>
      </c>
      <c r="X276" s="303"/>
      <c r="Y276" s="303"/>
      <c r="Z276" s="303">
        <v>17</v>
      </c>
      <c r="AA276" s="303"/>
      <c r="AB276" s="304"/>
      <c r="AC276" s="304"/>
      <c r="AD276" s="304"/>
      <c r="AE276" s="303"/>
      <c r="AF276" s="317"/>
      <c r="AG276" s="314">
        <f t="shared" si="355"/>
        <v>0</v>
      </c>
      <c r="AH276" s="696">
        <f t="shared" si="356"/>
        <v>0</v>
      </c>
      <c r="AI276" s="314">
        <f t="shared" si="357"/>
        <v>0</v>
      </c>
      <c r="AJ276" s="314">
        <f t="shared" si="358"/>
        <v>0</v>
      </c>
      <c r="AK276" s="314">
        <f t="shared" si="359"/>
        <v>0</v>
      </c>
      <c r="AL276" s="314">
        <f t="shared" si="360"/>
        <v>0</v>
      </c>
      <c r="AM276" s="314">
        <f t="shared" si="361"/>
        <v>0</v>
      </c>
      <c r="AN276" s="314">
        <f t="shared" si="362"/>
        <v>0</v>
      </c>
      <c r="AO276" s="314">
        <f t="shared" si="363"/>
        <v>0</v>
      </c>
      <c r="AP276" s="314">
        <f t="shared" si="364"/>
        <v>0</v>
      </c>
    </row>
    <row r="277" spans="1:42" s="322" customFormat="1" ht="27.6" hidden="1" outlineLevel="3">
      <c r="A277" s="593" t="s">
        <v>23</v>
      </c>
      <c r="B277" s="324" t="s">
        <v>1692</v>
      </c>
      <c r="C277" s="302"/>
      <c r="D277" s="304">
        <v>15</v>
      </c>
      <c r="E277" s="304">
        <f t="shared" si="317"/>
        <v>0</v>
      </c>
      <c r="F277" s="304">
        <f t="shared" si="348"/>
        <v>0</v>
      </c>
      <c r="G277" s="304">
        <f t="shared" si="349"/>
        <v>-15</v>
      </c>
      <c r="H277" s="303">
        <f t="shared" si="353"/>
        <v>0</v>
      </c>
      <c r="I277" s="303">
        <f t="shared" si="350"/>
        <v>0</v>
      </c>
      <c r="J277" s="311"/>
      <c r="K277" s="311"/>
      <c r="L277" s="311"/>
      <c r="M277" s="303"/>
      <c r="N277" s="311"/>
      <c r="O277" s="311"/>
      <c r="P277" s="303">
        <f t="shared" si="351"/>
        <v>0</v>
      </c>
      <c r="Q277" s="311"/>
      <c r="R277" s="312"/>
      <c r="S277" s="303"/>
      <c r="T277" s="303">
        <f t="shared" si="352"/>
        <v>0</v>
      </c>
      <c r="U277" s="303"/>
      <c r="V277" s="303"/>
      <c r="W277" s="303">
        <f t="shared" si="354"/>
        <v>0</v>
      </c>
      <c r="X277" s="303"/>
      <c r="Y277" s="303"/>
      <c r="Z277" s="303"/>
      <c r="AA277" s="303"/>
      <c r="AB277" s="304"/>
      <c r="AC277" s="304"/>
      <c r="AD277" s="304"/>
      <c r="AE277" s="303"/>
      <c r="AF277" s="317" t="s">
        <v>2042</v>
      </c>
      <c r="AG277" s="314">
        <f t="shared" si="355"/>
        <v>0</v>
      </c>
      <c r="AH277" s="696">
        <f t="shared" si="356"/>
        <v>0</v>
      </c>
      <c r="AI277" s="314">
        <f t="shared" si="357"/>
        <v>0</v>
      </c>
      <c r="AJ277" s="314">
        <f t="shared" si="358"/>
        <v>0</v>
      </c>
      <c r="AK277" s="314">
        <f t="shared" si="359"/>
        <v>0</v>
      </c>
      <c r="AL277" s="314">
        <f t="shared" si="360"/>
        <v>0</v>
      </c>
      <c r="AM277" s="314">
        <f t="shared" si="361"/>
        <v>0</v>
      </c>
      <c r="AN277" s="314">
        <f t="shared" si="362"/>
        <v>0</v>
      </c>
      <c r="AO277" s="314">
        <f t="shared" si="363"/>
        <v>0</v>
      </c>
      <c r="AP277" s="314">
        <f t="shared" si="364"/>
        <v>0</v>
      </c>
    </row>
    <row r="278" spans="1:42" s="322" customFormat="1" ht="55.2" outlineLevel="1" collapsed="1">
      <c r="A278" s="593" t="s">
        <v>23</v>
      </c>
      <c r="B278" s="324" t="s">
        <v>2188</v>
      </c>
      <c r="C278" s="302"/>
      <c r="D278" s="304"/>
      <c r="E278" s="304">
        <f t="shared" si="317"/>
        <v>15</v>
      </c>
      <c r="F278" s="304">
        <f t="shared" si="348"/>
        <v>15</v>
      </c>
      <c r="G278" s="304">
        <f t="shared" si="349"/>
        <v>15</v>
      </c>
      <c r="H278" s="303">
        <f t="shared" si="353"/>
        <v>15</v>
      </c>
      <c r="I278" s="303">
        <f t="shared" si="350"/>
        <v>0</v>
      </c>
      <c r="J278" s="311"/>
      <c r="K278" s="311"/>
      <c r="L278" s="311"/>
      <c r="M278" s="303"/>
      <c r="N278" s="311"/>
      <c r="O278" s="311"/>
      <c r="P278" s="303">
        <f t="shared" si="351"/>
        <v>0</v>
      </c>
      <c r="Q278" s="311"/>
      <c r="R278" s="312"/>
      <c r="S278" s="303"/>
      <c r="T278" s="303">
        <f t="shared" si="352"/>
        <v>0</v>
      </c>
      <c r="U278" s="303"/>
      <c r="V278" s="303"/>
      <c r="W278" s="303">
        <f t="shared" si="354"/>
        <v>15</v>
      </c>
      <c r="X278" s="303"/>
      <c r="Y278" s="303"/>
      <c r="Z278" s="303"/>
      <c r="AA278" s="303">
        <v>15</v>
      </c>
      <c r="AB278" s="304"/>
      <c r="AC278" s="304"/>
      <c r="AD278" s="304"/>
      <c r="AE278" s="303"/>
      <c r="AF278" s="317" t="s">
        <v>2440</v>
      </c>
      <c r="AG278" s="314">
        <f t="shared" si="355"/>
        <v>0</v>
      </c>
      <c r="AH278" s="696">
        <f t="shared" si="356"/>
        <v>0</v>
      </c>
      <c r="AI278" s="314">
        <f t="shared" si="357"/>
        <v>0</v>
      </c>
      <c r="AJ278" s="314">
        <f t="shared" si="358"/>
        <v>0</v>
      </c>
      <c r="AK278" s="314">
        <f t="shared" si="359"/>
        <v>0</v>
      </c>
      <c r="AL278" s="314">
        <f t="shared" si="360"/>
        <v>0</v>
      </c>
      <c r="AM278" s="314">
        <f t="shared" si="361"/>
        <v>0</v>
      </c>
      <c r="AN278" s="314">
        <f t="shared" si="362"/>
        <v>0</v>
      </c>
      <c r="AO278" s="314">
        <f t="shared" si="363"/>
        <v>0</v>
      </c>
      <c r="AP278" s="314">
        <f t="shared" si="364"/>
        <v>0</v>
      </c>
    </row>
    <row r="279" spans="1:42" s="314" customFormat="1" hidden="1" outlineLevel="3">
      <c r="A279" s="592" t="s">
        <v>2398</v>
      </c>
      <c r="B279" s="327" t="s">
        <v>931</v>
      </c>
      <c r="C279" s="315" t="s">
        <v>752</v>
      </c>
      <c r="D279" s="297">
        <v>12000</v>
      </c>
      <c r="E279" s="297">
        <f t="shared" si="317"/>
        <v>0</v>
      </c>
      <c r="F279" s="297">
        <f t="shared" si="348"/>
        <v>0</v>
      </c>
      <c r="G279" s="297">
        <f t="shared" si="349"/>
        <v>-12000</v>
      </c>
      <c r="H279" s="299">
        <f t="shared" si="345"/>
        <v>0</v>
      </c>
      <c r="I279" s="299">
        <f t="shared" si="350"/>
        <v>0</v>
      </c>
      <c r="J279" s="299"/>
      <c r="K279" s="318"/>
      <c r="L279" s="299"/>
      <c r="M279" s="299"/>
      <c r="N279" s="318"/>
      <c r="O279" s="318"/>
      <c r="P279" s="299">
        <f>S279+T279</f>
        <v>0</v>
      </c>
      <c r="Q279" s="318"/>
      <c r="R279" s="319"/>
      <c r="S279" s="299"/>
      <c r="T279" s="299">
        <f>U279+V279</f>
        <v>0</v>
      </c>
      <c r="U279" s="299"/>
      <c r="V279" s="299"/>
      <c r="W279" s="299">
        <f t="shared" si="347"/>
        <v>0</v>
      </c>
      <c r="X279" s="299"/>
      <c r="Y279" s="299"/>
      <c r="Z279" s="299"/>
      <c r="AA279" s="299"/>
      <c r="AB279" s="297"/>
      <c r="AC279" s="297"/>
      <c r="AD279" s="297"/>
      <c r="AE279" s="299">
        <f>E279-AD279</f>
        <v>0</v>
      </c>
      <c r="AF279" s="315" t="s">
        <v>2042</v>
      </c>
      <c r="AG279" s="314">
        <f t="shared" si="355"/>
        <v>0</v>
      </c>
      <c r="AH279" s="696">
        <f t="shared" si="356"/>
        <v>0</v>
      </c>
      <c r="AI279" s="314">
        <f t="shared" si="357"/>
        <v>0</v>
      </c>
      <c r="AJ279" s="314">
        <f t="shared" si="358"/>
        <v>0</v>
      </c>
      <c r="AK279" s="314">
        <f t="shared" si="359"/>
        <v>0</v>
      </c>
      <c r="AL279" s="314">
        <f t="shared" si="360"/>
        <v>0</v>
      </c>
      <c r="AM279" s="314">
        <f t="shared" si="361"/>
        <v>0</v>
      </c>
      <c r="AN279" s="314">
        <f t="shared" si="362"/>
        <v>0</v>
      </c>
      <c r="AO279" s="314">
        <f t="shared" si="363"/>
        <v>0</v>
      </c>
      <c r="AP279" s="314">
        <f t="shared" si="364"/>
        <v>0</v>
      </c>
    </row>
    <row r="280" spans="1:42" s="333" customFormat="1" ht="41.4">
      <c r="A280" s="592" t="s">
        <v>652</v>
      </c>
      <c r="B280" s="357" t="s">
        <v>2391</v>
      </c>
      <c r="C280" s="298" t="s">
        <v>739</v>
      </c>
      <c r="D280" s="299"/>
      <c r="E280" s="299">
        <f t="shared" si="317"/>
        <v>2857</v>
      </c>
      <c r="F280" s="299">
        <f t="shared" si="348"/>
        <v>2857</v>
      </c>
      <c r="G280" s="299"/>
      <c r="H280" s="299">
        <f t="shared" si="345"/>
        <v>0</v>
      </c>
      <c r="I280" s="299">
        <f t="shared" si="350"/>
        <v>0</v>
      </c>
      <c r="J280" s="299"/>
      <c r="K280" s="299"/>
      <c r="L280" s="299"/>
      <c r="M280" s="299"/>
      <c r="N280" s="299"/>
      <c r="O280" s="299"/>
      <c r="P280" s="299">
        <f t="shared" ref="P280" si="365">S280+T280</f>
        <v>0</v>
      </c>
      <c r="Q280" s="299"/>
      <c r="R280" s="299"/>
      <c r="S280" s="299"/>
      <c r="T280" s="299">
        <f t="shared" ref="T280" si="366">U280+V280</f>
        <v>0</v>
      </c>
      <c r="U280" s="299"/>
      <c r="V280" s="299"/>
      <c r="W280" s="299">
        <f t="shared" si="347"/>
        <v>0</v>
      </c>
      <c r="X280" s="299"/>
      <c r="Y280" s="299"/>
      <c r="Z280" s="299"/>
      <c r="AA280" s="299"/>
      <c r="AB280" s="297">
        <f>-ROUND(5713*50%,0)</f>
        <v>-2857</v>
      </c>
      <c r="AC280" s="299"/>
      <c r="AD280" s="299"/>
      <c r="AE280" s="299"/>
      <c r="AF280" s="321"/>
      <c r="AG280" s="314">
        <f t="shared" si="355"/>
        <v>0</v>
      </c>
      <c r="AH280" s="696">
        <f t="shared" si="356"/>
        <v>0</v>
      </c>
      <c r="AI280" s="314">
        <f t="shared" si="357"/>
        <v>0</v>
      </c>
      <c r="AJ280" s="314">
        <f t="shared" si="358"/>
        <v>0</v>
      </c>
      <c r="AK280" s="314">
        <f t="shared" si="359"/>
        <v>0</v>
      </c>
      <c r="AL280" s="314">
        <f t="shared" si="360"/>
        <v>0</v>
      </c>
      <c r="AM280" s="314">
        <f t="shared" si="361"/>
        <v>0</v>
      </c>
      <c r="AN280" s="314">
        <f t="shared" si="362"/>
        <v>0</v>
      </c>
      <c r="AO280" s="314">
        <f t="shared" si="363"/>
        <v>0</v>
      </c>
      <c r="AP280" s="314">
        <f t="shared" si="364"/>
        <v>0</v>
      </c>
    </row>
    <row r="281" spans="1:42" s="314" customFormat="1">
      <c r="A281" s="592" t="s">
        <v>77</v>
      </c>
      <c r="B281" s="320" t="s">
        <v>1363</v>
      </c>
      <c r="C281" s="297"/>
      <c r="D281" s="297">
        <f>D282+D286+D339</f>
        <v>50336</v>
      </c>
      <c r="E281" s="297">
        <f>E282+E286+E339</f>
        <v>56882</v>
      </c>
      <c r="F281" s="297">
        <f>F282+F286+F339</f>
        <v>53895</v>
      </c>
      <c r="G281" s="297">
        <f t="shared" si="349"/>
        <v>3559</v>
      </c>
      <c r="H281" s="297">
        <f t="shared" ref="H281:P281" si="367">H282+H286+H339</f>
        <v>53895</v>
      </c>
      <c r="I281" s="297">
        <f t="shared" si="367"/>
        <v>19754</v>
      </c>
      <c r="J281" s="297">
        <f t="shared" si="367"/>
        <v>153</v>
      </c>
      <c r="K281" s="297">
        <f t="shared" si="367"/>
        <v>144</v>
      </c>
      <c r="L281" s="297">
        <f t="shared" si="367"/>
        <v>9</v>
      </c>
      <c r="M281" s="297">
        <f t="shared" si="367"/>
        <v>14571</v>
      </c>
      <c r="N281" s="297">
        <f t="shared" si="367"/>
        <v>14064</v>
      </c>
      <c r="O281" s="297">
        <f t="shared" si="367"/>
        <v>507</v>
      </c>
      <c r="P281" s="297">
        <f t="shared" si="367"/>
        <v>5183</v>
      </c>
      <c r="Q281" s="297"/>
      <c r="R281" s="297">
        <f t="shared" ref="R281:W281" si="368">R282+R286+R339</f>
        <v>0</v>
      </c>
      <c r="S281" s="297">
        <f t="shared" si="368"/>
        <v>5183</v>
      </c>
      <c r="T281" s="297">
        <f t="shared" si="368"/>
        <v>0</v>
      </c>
      <c r="U281" s="297">
        <f t="shared" si="368"/>
        <v>0</v>
      </c>
      <c r="V281" s="297">
        <f t="shared" si="368"/>
        <v>0</v>
      </c>
      <c r="W281" s="297">
        <f t="shared" si="368"/>
        <v>34141</v>
      </c>
      <c r="X281" s="297"/>
      <c r="Y281" s="297"/>
      <c r="Z281" s="297">
        <f t="shared" ref="Z281:AE281" si="369">Z282+Z286+Z339</f>
        <v>21825</v>
      </c>
      <c r="AA281" s="297">
        <f t="shared" si="369"/>
        <v>12316</v>
      </c>
      <c r="AB281" s="297">
        <f t="shared" si="369"/>
        <v>0</v>
      </c>
      <c r="AC281" s="297">
        <f t="shared" si="369"/>
        <v>2987</v>
      </c>
      <c r="AD281" s="297">
        <f t="shared" si="369"/>
        <v>3599</v>
      </c>
      <c r="AE281" s="297">
        <f t="shared" si="369"/>
        <v>53283</v>
      </c>
      <c r="AF281" s="321"/>
      <c r="AG281" s="314">
        <f t="shared" si="355"/>
        <v>0</v>
      </c>
      <c r="AH281" s="696">
        <f t="shared" si="356"/>
        <v>0</v>
      </c>
      <c r="AI281" s="314">
        <f t="shared" si="357"/>
        <v>0</v>
      </c>
      <c r="AJ281" s="314">
        <f t="shared" si="358"/>
        <v>0</v>
      </c>
      <c r="AK281" s="314">
        <f t="shared" si="359"/>
        <v>0</v>
      </c>
      <c r="AL281" s="314">
        <f t="shared" si="360"/>
        <v>0</v>
      </c>
      <c r="AM281" s="314">
        <f t="shared" si="361"/>
        <v>0</v>
      </c>
      <c r="AN281" s="314">
        <f t="shared" si="362"/>
        <v>0</v>
      </c>
      <c r="AO281" s="314">
        <f t="shared" si="363"/>
        <v>0</v>
      </c>
      <c r="AP281" s="314">
        <f t="shared" si="364"/>
        <v>0</v>
      </c>
    </row>
    <row r="282" spans="1:42" s="314" customFormat="1">
      <c r="A282" s="592" t="s">
        <v>932</v>
      </c>
      <c r="B282" s="357" t="s">
        <v>861</v>
      </c>
      <c r="C282" s="298" t="s">
        <v>756</v>
      </c>
      <c r="D282" s="297">
        <f t="shared" ref="D282" si="370">D283+D285+D284</f>
        <v>7014</v>
      </c>
      <c r="E282" s="297">
        <f>E283+E285+E284</f>
        <v>8336</v>
      </c>
      <c r="F282" s="297">
        <f>F283+F285+F284</f>
        <v>7280</v>
      </c>
      <c r="G282" s="297">
        <f t="shared" si="349"/>
        <v>266</v>
      </c>
      <c r="H282" s="297">
        <f>H283+H285+H284</f>
        <v>7280</v>
      </c>
      <c r="I282" s="297">
        <f t="shared" ref="I282:Z282" si="371">I283+I285+I284</f>
        <v>7280</v>
      </c>
      <c r="J282" s="297">
        <f t="shared" si="371"/>
        <v>41</v>
      </c>
      <c r="K282" s="297">
        <f t="shared" si="371"/>
        <v>40</v>
      </c>
      <c r="L282" s="297">
        <f t="shared" si="371"/>
        <v>1</v>
      </c>
      <c r="M282" s="297">
        <f t="shared" si="371"/>
        <v>5119</v>
      </c>
      <c r="N282" s="297">
        <f t="shared" si="371"/>
        <v>5054</v>
      </c>
      <c r="O282" s="297">
        <f t="shared" si="371"/>
        <v>65</v>
      </c>
      <c r="P282" s="297">
        <f t="shared" si="371"/>
        <v>2161</v>
      </c>
      <c r="Q282" s="297"/>
      <c r="R282" s="297"/>
      <c r="S282" s="297">
        <f t="shared" si="371"/>
        <v>2161</v>
      </c>
      <c r="T282" s="297">
        <f t="shared" si="371"/>
        <v>0</v>
      </c>
      <c r="U282" s="297">
        <f t="shared" si="371"/>
        <v>0</v>
      </c>
      <c r="V282" s="297">
        <f t="shared" si="371"/>
        <v>0</v>
      </c>
      <c r="W282" s="297">
        <f>W283+W285+W284</f>
        <v>0</v>
      </c>
      <c r="X282" s="297"/>
      <c r="Y282" s="297"/>
      <c r="Z282" s="297">
        <f t="shared" si="371"/>
        <v>0</v>
      </c>
      <c r="AA282" s="297">
        <f>AA283+AA285+AA284</f>
        <v>0</v>
      </c>
      <c r="AB282" s="297">
        <f>AB283+AB285+AB284</f>
        <v>0</v>
      </c>
      <c r="AC282" s="297">
        <f t="shared" ref="AC282:AE282" si="372">AC283+AC285+AC284</f>
        <v>1056</v>
      </c>
      <c r="AD282" s="297">
        <f t="shared" si="372"/>
        <v>216</v>
      </c>
      <c r="AE282" s="297">
        <f t="shared" si="372"/>
        <v>8120</v>
      </c>
      <c r="AF282" s="321"/>
      <c r="AG282" s="314">
        <f t="shared" si="355"/>
        <v>0</v>
      </c>
      <c r="AH282" s="696">
        <f t="shared" si="356"/>
        <v>0</v>
      </c>
      <c r="AI282" s="314">
        <f t="shared" si="357"/>
        <v>0</v>
      </c>
      <c r="AJ282" s="314">
        <f t="shared" si="358"/>
        <v>0</v>
      </c>
      <c r="AK282" s="314">
        <f t="shared" si="359"/>
        <v>0</v>
      </c>
      <c r="AL282" s="314">
        <f t="shared" si="360"/>
        <v>0</v>
      </c>
      <c r="AM282" s="314">
        <f t="shared" si="361"/>
        <v>0</v>
      </c>
      <c r="AN282" s="314">
        <f t="shared" si="362"/>
        <v>0</v>
      </c>
      <c r="AO282" s="314">
        <f t="shared" si="363"/>
        <v>0</v>
      </c>
      <c r="AP282" s="314">
        <f t="shared" si="364"/>
        <v>0</v>
      </c>
    </row>
    <row r="283" spans="1:42">
      <c r="A283" s="583" t="s">
        <v>45</v>
      </c>
      <c r="B283" s="324" t="s">
        <v>862</v>
      </c>
      <c r="C283" s="304"/>
      <c r="D283" s="304">
        <v>6804</v>
      </c>
      <c r="E283" s="304">
        <f t="shared" si="317"/>
        <v>8336</v>
      </c>
      <c r="F283" s="304">
        <f>H283-AB283</f>
        <v>7280</v>
      </c>
      <c r="G283" s="304">
        <f t="shared" si="349"/>
        <v>476</v>
      </c>
      <c r="H283" s="303">
        <f t="shared" ref="H283:H284" si="373">I283+W283</f>
        <v>7280</v>
      </c>
      <c r="I283" s="303">
        <f>M283+P283</f>
        <v>7280</v>
      </c>
      <c r="J283" s="311">
        <v>41</v>
      </c>
      <c r="K283" s="311">
        <v>40</v>
      </c>
      <c r="L283" s="311">
        <f>J283-K283</f>
        <v>1</v>
      </c>
      <c r="M283" s="303">
        <f>N283+O283</f>
        <v>5119</v>
      </c>
      <c r="N283" s="311">
        <v>5054</v>
      </c>
      <c r="O283" s="311">
        <v>65</v>
      </c>
      <c r="P283" s="303">
        <f>S283+T283</f>
        <v>2161</v>
      </c>
      <c r="Q283" s="294">
        <v>31</v>
      </c>
      <c r="R283" s="312">
        <v>1.7000000000000002</v>
      </c>
      <c r="S283" s="303">
        <f>ROUND(J283*Q283*R283,0)</f>
        <v>2161</v>
      </c>
      <c r="T283" s="303">
        <f>U283+V283</f>
        <v>0</v>
      </c>
      <c r="U283" s="303"/>
      <c r="V283" s="303"/>
      <c r="W283" s="303">
        <f>Z283+AA283</f>
        <v>0</v>
      </c>
      <c r="X283" s="303"/>
      <c r="Y283" s="303"/>
      <c r="Z283" s="303"/>
      <c r="AA283" s="303"/>
      <c r="AB283" s="304"/>
      <c r="AC283" s="304">
        <v>1056</v>
      </c>
      <c r="AD283" s="304">
        <v>216</v>
      </c>
      <c r="AE283" s="303">
        <f>E283-AD283</f>
        <v>8120</v>
      </c>
      <c r="AF283" s="317"/>
      <c r="AG283" s="314">
        <f t="shared" si="355"/>
        <v>0</v>
      </c>
      <c r="AH283" s="696">
        <f t="shared" si="356"/>
        <v>0</v>
      </c>
      <c r="AI283" s="314">
        <f t="shared" si="357"/>
        <v>0</v>
      </c>
      <c r="AJ283" s="314">
        <f t="shared" si="358"/>
        <v>0</v>
      </c>
      <c r="AK283" s="314">
        <f t="shared" si="359"/>
        <v>0</v>
      </c>
      <c r="AL283" s="314">
        <f t="shared" si="360"/>
        <v>0</v>
      </c>
      <c r="AM283" s="314">
        <f t="shared" si="361"/>
        <v>0</v>
      </c>
      <c r="AN283" s="314">
        <f t="shared" si="362"/>
        <v>0</v>
      </c>
      <c r="AO283" s="314">
        <f t="shared" si="363"/>
        <v>0</v>
      </c>
      <c r="AP283" s="314">
        <f t="shared" si="364"/>
        <v>0</v>
      </c>
    </row>
    <row r="284" spans="1:42" ht="27.6" hidden="1" outlineLevel="3">
      <c r="A284" s="583" t="s">
        <v>47</v>
      </c>
      <c r="B284" s="324" t="s">
        <v>1521</v>
      </c>
      <c r="C284" s="304"/>
      <c r="D284" s="304">
        <v>210</v>
      </c>
      <c r="E284" s="304">
        <f t="shared" si="317"/>
        <v>0</v>
      </c>
      <c r="F284" s="304">
        <f>H284-AB284</f>
        <v>0</v>
      </c>
      <c r="G284" s="304">
        <f t="shared" si="349"/>
        <v>-210</v>
      </c>
      <c r="H284" s="303">
        <f t="shared" si="373"/>
        <v>0</v>
      </c>
      <c r="I284" s="303">
        <f t="shared" ref="I284" si="374">M284+P284</f>
        <v>0</v>
      </c>
      <c r="J284" s="294"/>
      <c r="K284" s="294">
        <v>0</v>
      </c>
      <c r="L284" s="294"/>
      <c r="M284" s="304">
        <f t="shared" ref="M284" si="375">N284+O284</f>
        <v>0</v>
      </c>
      <c r="N284" s="294"/>
      <c r="O284" s="294"/>
      <c r="P284" s="303">
        <f t="shared" ref="P284" si="376">S284+T284</f>
        <v>0</v>
      </c>
      <c r="Q284" s="311">
        <v>0</v>
      </c>
      <c r="R284" s="305"/>
      <c r="S284" s="304">
        <f>J284*Q284</f>
        <v>0</v>
      </c>
      <c r="T284" s="303">
        <f t="shared" ref="T284" si="377">U284+V284</f>
        <v>0</v>
      </c>
      <c r="U284" s="304"/>
      <c r="V284" s="304"/>
      <c r="W284" s="303">
        <f>Z284+AA284</f>
        <v>0</v>
      </c>
      <c r="X284" s="303"/>
      <c r="Y284" s="303"/>
      <c r="Z284" s="304"/>
      <c r="AA284" s="304"/>
      <c r="AB284" s="304"/>
      <c r="AC284" s="304"/>
      <c r="AD284" s="304"/>
      <c r="AE284" s="303">
        <f>E284-AD284</f>
        <v>0</v>
      </c>
      <c r="AF284" s="317"/>
      <c r="AG284" s="314">
        <f t="shared" si="355"/>
        <v>0</v>
      </c>
      <c r="AH284" s="696">
        <f t="shared" si="356"/>
        <v>0</v>
      </c>
      <c r="AI284" s="314">
        <f t="shared" si="357"/>
        <v>0</v>
      </c>
      <c r="AJ284" s="314">
        <f t="shared" si="358"/>
        <v>0</v>
      </c>
      <c r="AK284" s="314">
        <f t="shared" si="359"/>
        <v>0</v>
      </c>
      <c r="AL284" s="314">
        <f t="shared" si="360"/>
        <v>0</v>
      </c>
      <c r="AM284" s="314">
        <f t="shared" si="361"/>
        <v>0</v>
      </c>
      <c r="AN284" s="314">
        <f t="shared" si="362"/>
        <v>0</v>
      </c>
      <c r="AO284" s="314">
        <f t="shared" si="363"/>
        <v>0</v>
      </c>
      <c r="AP284" s="314">
        <f t="shared" si="364"/>
        <v>0</v>
      </c>
    </row>
    <row r="285" spans="1:42" ht="27.6" hidden="1" outlineLevel="3">
      <c r="A285" s="583" t="s">
        <v>47</v>
      </c>
      <c r="B285" s="1273" t="s">
        <v>1737</v>
      </c>
      <c r="C285" s="304"/>
      <c r="D285" s="304"/>
      <c r="E285" s="304">
        <f t="shared" si="317"/>
        <v>0</v>
      </c>
      <c r="F285" s="304"/>
      <c r="G285" s="304"/>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304"/>
      <c r="AE285" s="303"/>
      <c r="AF285" s="317"/>
      <c r="AG285" s="314">
        <f t="shared" si="355"/>
        <v>0</v>
      </c>
      <c r="AH285" s="696">
        <f t="shared" si="356"/>
        <v>0</v>
      </c>
      <c r="AI285" s="314">
        <f t="shared" si="357"/>
        <v>0</v>
      </c>
      <c r="AJ285" s="314">
        <f t="shared" si="358"/>
        <v>0</v>
      </c>
      <c r="AK285" s="314">
        <f t="shared" si="359"/>
        <v>0</v>
      </c>
      <c r="AL285" s="314">
        <f t="shared" si="360"/>
        <v>0</v>
      </c>
      <c r="AM285" s="314">
        <f t="shared" si="361"/>
        <v>0</v>
      </c>
      <c r="AN285" s="314">
        <f t="shared" si="362"/>
        <v>0</v>
      </c>
      <c r="AO285" s="314">
        <f t="shared" si="363"/>
        <v>0</v>
      </c>
      <c r="AP285" s="314">
        <f t="shared" si="364"/>
        <v>0</v>
      </c>
    </row>
    <row r="286" spans="1:42" s="314" customFormat="1" collapsed="1">
      <c r="A286" s="592" t="s">
        <v>933</v>
      </c>
      <c r="B286" s="320" t="s">
        <v>934</v>
      </c>
      <c r="C286" s="298" t="s">
        <v>743</v>
      </c>
      <c r="D286" s="299">
        <f t="shared" ref="D286" si="378">D287+D291</f>
        <v>29032</v>
      </c>
      <c r="E286" s="299">
        <f>E287+E291</f>
        <v>34981</v>
      </c>
      <c r="F286" s="299">
        <f>F287+F291</f>
        <v>33456</v>
      </c>
      <c r="G286" s="299">
        <f t="shared" ref="G286:G291" si="379">F286-D286</f>
        <v>4424</v>
      </c>
      <c r="H286" s="299">
        <f>H287+H291</f>
        <v>33456</v>
      </c>
      <c r="I286" s="299">
        <f t="shared" ref="I286:P286" si="380">I287+I291</f>
        <v>9943</v>
      </c>
      <c r="J286" s="299">
        <f t="shared" si="380"/>
        <v>92</v>
      </c>
      <c r="K286" s="299">
        <f t="shared" si="380"/>
        <v>84</v>
      </c>
      <c r="L286" s="299">
        <f t="shared" si="380"/>
        <v>8</v>
      </c>
      <c r="M286" s="299">
        <f t="shared" si="380"/>
        <v>7501</v>
      </c>
      <c r="N286" s="299">
        <f t="shared" si="380"/>
        <v>7059</v>
      </c>
      <c r="O286" s="299">
        <f t="shared" si="380"/>
        <v>442</v>
      </c>
      <c r="P286" s="299">
        <f t="shared" si="380"/>
        <v>2442</v>
      </c>
      <c r="Q286" s="299"/>
      <c r="R286" s="299"/>
      <c r="S286" s="299">
        <f t="shared" ref="S286:Z286" si="381">S287+S291</f>
        <v>2442</v>
      </c>
      <c r="T286" s="299">
        <f t="shared" si="381"/>
        <v>0</v>
      </c>
      <c r="U286" s="299">
        <f t="shared" si="381"/>
        <v>0</v>
      </c>
      <c r="V286" s="299">
        <f t="shared" si="381"/>
        <v>0</v>
      </c>
      <c r="W286" s="299">
        <f>W287+W291</f>
        <v>23513</v>
      </c>
      <c r="X286" s="299"/>
      <c r="Y286" s="299"/>
      <c r="Z286" s="299">
        <f t="shared" si="381"/>
        <v>15465</v>
      </c>
      <c r="AA286" s="299">
        <f>AA287+AA291</f>
        <v>8048</v>
      </c>
      <c r="AB286" s="299">
        <f>AB287+AB291</f>
        <v>0</v>
      </c>
      <c r="AC286" s="299">
        <f t="shared" ref="AC286:AE286" si="382">AC287+AC291</f>
        <v>1525</v>
      </c>
      <c r="AD286" s="299">
        <f t="shared" si="382"/>
        <v>2565</v>
      </c>
      <c r="AE286" s="299">
        <f t="shared" si="382"/>
        <v>32416</v>
      </c>
      <c r="AF286" s="321"/>
      <c r="AG286" s="314">
        <f t="shared" si="355"/>
        <v>0</v>
      </c>
      <c r="AH286" s="696">
        <f t="shared" si="356"/>
        <v>0</v>
      </c>
      <c r="AI286" s="314">
        <f t="shared" si="357"/>
        <v>0</v>
      </c>
      <c r="AJ286" s="314">
        <f t="shared" si="358"/>
        <v>0</v>
      </c>
      <c r="AK286" s="314">
        <f t="shared" si="359"/>
        <v>0</v>
      </c>
      <c r="AL286" s="314">
        <f t="shared" si="360"/>
        <v>0</v>
      </c>
      <c r="AM286" s="314">
        <f t="shared" si="361"/>
        <v>0</v>
      </c>
      <c r="AN286" s="314">
        <f t="shared" si="362"/>
        <v>0</v>
      </c>
      <c r="AO286" s="314">
        <f t="shared" si="363"/>
        <v>0</v>
      </c>
      <c r="AP286" s="314">
        <f t="shared" si="364"/>
        <v>0</v>
      </c>
    </row>
    <row r="287" spans="1:42">
      <c r="A287" s="583" t="s">
        <v>45</v>
      </c>
      <c r="B287" s="316" t="s">
        <v>935</v>
      </c>
      <c r="C287" s="304"/>
      <c r="D287" s="303">
        <f t="shared" ref="D287" si="383">D288+D289+D290</f>
        <v>9807</v>
      </c>
      <c r="E287" s="303">
        <f>E288+E289+E290</f>
        <v>11468</v>
      </c>
      <c r="F287" s="303">
        <f>F288+F289+F290</f>
        <v>9943</v>
      </c>
      <c r="G287" s="303">
        <f t="shared" si="379"/>
        <v>136</v>
      </c>
      <c r="H287" s="303">
        <f t="shared" ref="H287:Z287" si="384">H288+H289+H290</f>
        <v>9943</v>
      </c>
      <c r="I287" s="303">
        <f t="shared" si="384"/>
        <v>9943</v>
      </c>
      <c r="J287" s="303">
        <f t="shared" si="384"/>
        <v>92</v>
      </c>
      <c r="K287" s="303">
        <f t="shared" si="384"/>
        <v>84</v>
      </c>
      <c r="L287" s="303">
        <f t="shared" si="384"/>
        <v>8</v>
      </c>
      <c r="M287" s="303">
        <f t="shared" si="384"/>
        <v>7501</v>
      </c>
      <c r="N287" s="303">
        <f t="shared" si="384"/>
        <v>7059</v>
      </c>
      <c r="O287" s="303">
        <f t="shared" si="384"/>
        <v>442</v>
      </c>
      <c r="P287" s="303">
        <f t="shared" si="384"/>
        <v>2442</v>
      </c>
      <c r="Q287" s="303"/>
      <c r="R287" s="303"/>
      <c r="S287" s="303">
        <f t="shared" si="384"/>
        <v>2442</v>
      </c>
      <c r="T287" s="303">
        <f t="shared" si="384"/>
        <v>0</v>
      </c>
      <c r="U287" s="303">
        <f t="shared" si="384"/>
        <v>0</v>
      </c>
      <c r="V287" s="303">
        <f t="shared" si="384"/>
        <v>0</v>
      </c>
      <c r="W287" s="303">
        <f>W288+W289+W290</f>
        <v>0</v>
      </c>
      <c r="X287" s="303"/>
      <c r="Y287" s="303"/>
      <c r="Z287" s="303">
        <f t="shared" si="384"/>
        <v>0</v>
      </c>
      <c r="AA287" s="303">
        <f>AA288+AA289+AA290</f>
        <v>0</v>
      </c>
      <c r="AB287" s="303">
        <f>AB288+AB289+AB290</f>
        <v>0</v>
      </c>
      <c r="AC287" s="303">
        <f t="shared" ref="AC287:AE287" si="385">AC288+AC289+AC290</f>
        <v>1525</v>
      </c>
      <c r="AD287" s="303">
        <f t="shared" si="385"/>
        <v>244</v>
      </c>
      <c r="AE287" s="303">
        <f t="shared" si="385"/>
        <v>11224</v>
      </c>
      <c r="AF287" s="317"/>
      <c r="AG287" s="314">
        <f t="shared" si="355"/>
        <v>0</v>
      </c>
      <c r="AH287" s="696">
        <f t="shared" si="356"/>
        <v>0</v>
      </c>
      <c r="AI287" s="314">
        <f t="shared" si="357"/>
        <v>0</v>
      </c>
      <c r="AJ287" s="314">
        <f t="shared" si="358"/>
        <v>0</v>
      </c>
      <c r="AK287" s="314">
        <f t="shared" si="359"/>
        <v>0</v>
      </c>
      <c r="AL287" s="314">
        <f t="shared" si="360"/>
        <v>0</v>
      </c>
      <c r="AM287" s="314">
        <f t="shared" si="361"/>
        <v>0</v>
      </c>
      <c r="AN287" s="314">
        <f t="shared" si="362"/>
        <v>0</v>
      </c>
      <c r="AO287" s="314">
        <f t="shared" si="363"/>
        <v>0</v>
      </c>
      <c r="AP287" s="314">
        <f t="shared" si="364"/>
        <v>0</v>
      </c>
    </row>
    <row r="288" spans="1:42" outlineLevel="1">
      <c r="A288" s="583" t="s">
        <v>23</v>
      </c>
      <c r="B288" s="316" t="s">
        <v>936</v>
      </c>
      <c r="C288" s="317"/>
      <c r="D288" s="304">
        <v>5111</v>
      </c>
      <c r="E288" s="304">
        <f t="shared" si="317"/>
        <v>6019</v>
      </c>
      <c r="F288" s="304">
        <f>H288-AB288</f>
        <v>5208</v>
      </c>
      <c r="G288" s="304">
        <f t="shared" si="379"/>
        <v>97</v>
      </c>
      <c r="H288" s="303">
        <f t="shared" ref="H288:H290" si="386">I288+W288</f>
        <v>5208</v>
      </c>
      <c r="I288" s="303">
        <f t="shared" ref="I288:I290" si="387">M288+P288</f>
        <v>5208</v>
      </c>
      <c r="J288" s="294">
        <v>49</v>
      </c>
      <c r="K288" s="294">
        <v>44</v>
      </c>
      <c r="L288" s="294">
        <f t="shared" ref="L288:L290" si="388">J288-K288</f>
        <v>5</v>
      </c>
      <c r="M288" s="304">
        <f t="shared" ref="M288:M290" si="389">N288+O288</f>
        <v>3934</v>
      </c>
      <c r="N288" s="294">
        <v>3658</v>
      </c>
      <c r="O288" s="294">
        <v>276</v>
      </c>
      <c r="P288" s="303">
        <f t="shared" ref="P288:P290" si="390">S288+T288</f>
        <v>1274</v>
      </c>
      <c r="Q288" s="294">
        <v>26</v>
      </c>
      <c r="R288" s="305">
        <v>1</v>
      </c>
      <c r="S288" s="303">
        <f t="shared" ref="S288:S290" si="391">ROUND(J288*Q288*R288,0)</f>
        <v>1274</v>
      </c>
      <c r="T288" s="303">
        <f t="shared" ref="T288:T290" si="392">U288+V288</f>
        <v>0</v>
      </c>
      <c r="U288" s="304"/>
      <c r="V288" s="304"/>
      <c r="W288" s="303">
        <f>Z288+AA288</f>
        <v>0</v>
      </c>
      <c r="X288" s="303"/>
      <c r="Y288" s="303"/>
      <c r="Z288" s="304"/>
      <c r="AA288" s="304"/>
      <c r="AB288" s="304"/>
      <c r="AC288" s="304">
        <v>811</v>
      </c>
      <c r="AD288" s="304">
        <v>127</v>
      </c>
      <c r="AE288" s="303">
        <f>E288-AD288</f>
        <v>5892</v>
      </c>
      <c r="AF288" s="317"/>
      <c r="AG288" s="314">
        <f t="shared" si="355"/>
        <v>0</v>
      </c>
      <c r="AH288" s="696">
        <f t="shared" si="356"/>
        <v>0</v>
      </c>
      <c r="AI288" s="314">
        <f t="shared" si="357"/>
        <v>0</v>
      </c>
      <c r="AJ288" s="314">
        <f t="shared" si="358"/>
        <v>0</v>
      </c>
      <c r="AK288" s="314">
        <f t="shared" si="359"/>
        <v>0</v>
      </c>
      <c r="AL288" s="314">
        <f t="shared" si="360"/>
        <v>0</v>
      </c>
      <c r="AM288" s="314">
        <f t="shared" si="361"/>
        <v>0</v>
      </c>
      <c r="AN288" s="314">
        <f t="shared" si="362"/>
        <v>0</v>
      </c>
      <c r="AO288" s="314">
        <f t="shared" si="363"/>
        <v>0</v>
      </c>
      <c r="AP288" s="314">
        <f t="shared" si="364"/>
        <v>0</v>
      </c>
    </row>
    <row r="289" spans="1:42" outlineLevel="1">
      <c r="A289" s="583" t="s">
        <v>23</v>
      </c>
      <c r="B289" s="316" t="s">
        <v>937</v>
      </c>
      <c r="C289" s="317"/>
      <c r="D289" s="304">
        <v>1112</v>
      </c>
      <c r="E289" s="304">
        <f t="shared" si="317"/>
        <v>1187</v>
      </c>
      <c r="F289" s="304">
        <f>H289-AB289</f>
        <v>1036</v>
      </c>
      <c r="G289" s="304">
        <f t="shared" si="379"/>
        <v>-76</v>
      </c>
      <c r="H289" s="303">
        <f t="shared" si="386"/>
        <v>1036</v>
      </c>
      <c r="I289" s="303">
        <f t="shared" si="387"/>
        <v>1036</v>
      </c>
      <c r="J289" s="294">
        <v>10</v>
      </c>
      <c r="K289" s="294">
        <v>7</v>
      </c>
      <c r="L289" s="294">
        <f t="shared" si="388"/>
        <v>3</v>
      </c>
      <c r="M289" s="304">
        <f t="shared" si="389"/>
        <v>726</v>
      </c>
      <c r="N289" s="294">
        <v>560</v>
      </c>
      <c r="O289" s="294">
        <v>166</v>
      </c>
      <c r="P289" s="303">
        <f t="shared" si="390"/>
        <v>310</v>
      </c>
      <c r="Q289" s="294">
        <v>31</v>
      </c>
      <c r="R289" s="305">
        <v>1</v>
      </c>
      <c r="S289" s="303">
        <f t="shared" si="391"/>
        <v>310</v>
      </c>
      <c r="T289" s="303">
        <f t="shared" si="392"/>
        <v>0</v>
      </c>
      <c r="U289" s="304"/>
      <c r="V289" s="304"/>
      <c r="W289" s="303">
        <f>Z289+AA289</f>
        <v>0</v>
      </c>
      <c r="X289" s="303"/>
      <c r="Y289" s="303"/>
      <c r="Z289" s="304"/>
      <c r="AA289" s="304"/>
      <c r="AB289" s="304"/>
      <c r="AC289" s="304">
        <v>151</v>
      </c>
      <c r="AD289" s="304">
        <v>31</v>
      </c>
      <c r="AE289" s="303">
        <f>E289-AD289</f>
        <v>1156</v>
      </c>
      <c r="AF289" s="317"/>
      <c r="AG289" s="314">
        <f t="shared" si="355"/>
        <v>0</v>
      </c>
      <c r="AH289" s="696">
        <f t="shared" si="356"/>
        <v>0</v>
      </c>
      <c r="AI289" s="314">
        <f t="shared" si="357"/>
        <v>0</v>
      </c>
      <c r="AJ289" s="314">
        <f t="shared" si="358"/>
        <v>0</v>
      </c>
      <c r="AK289" s="314">
        <f t="shared" si="359"/>
        <v>0</v>
      </c>
      <c r="AL289" s="314">
        <f t="shared" si="360"/>
        <v>0</v>
      </c>
      <c r="AM289" s="314">
        <f t="shared" si="361"/>
        <v>0</v>
      </c>
      <c r="AN289" s="314">
        <f t="shared" si="362"/>
        <v>0</v>
      </c>
      <c r="AO289" s="314">
        <f t="shared" si="363"/>
        <v>0</v>
      </c>
      <c r="AP289" s="314">
        <f t="shared" si="364"/>
        <v>0</v>
      </c>
    </row>
    <row r="290" spans="1:42" outlineLevel="1">
      <c r="A290" s="583" t="s">
        <v>23</v>
      </c>
      <c r="B290" s="316" t="s">
        <v>938</v>
      </c>
      <c r="C290" s="317"/>
      <c r="D290" s="304">
        <v>3584</v>
      </c>
      <c r="E290" s="304">
        <f t="shared" si="317"/>
        <v>4262</v>
      </c>
      <c r="F290" s="304">
        <f>H290-AB290</f>
        <v>3699</v>
      </c>
      <c r="G290" s="304">
        <f t="shared" si="379"/>
        <v>115</v>
      </c>
      <c r="H290" s="303">
        <f t="shared" si="386"/>
        <v>3699</v>
      </c>
      <c r="I290" s="303">
        <f t="shared" si="387"/>
        <v>3699</v>
      </c>
      <c r="J290" s="294">
        <v>33</v>
      </c>
      <c r="K290" s="294">
        <v>33</v>
      </c>
      <c r="L290" s="294">
        <f t="shared" si="388"/>
        <v>0</v>
      </c>
      <c r="M290" s="304">
        <f t="shared" si="389"/>
        <v>2841</v>
      </c>
      <c r="N290" s="294">
        <v>2841</v>
      </c>
      <c r="O290" s="294">
        <v>0</v>
      </c>
      <c r="P290" s="303">
        <f t="shared" si="390"/>
        <v>858</v>
      </c>
      <c r="Q290" s="294">
        <v>26</v>
      </c>
      <c r="R290" s="305">
        <v>1</v>
      </c>
      <c r="S290" s="303">
        <f t="shared" si="391"/>
        <v>858</v>
      </c>
      <c r="T290" s="303">
        <f t="shared" si="392"/>
        <v>0</v>
      </c>
      <c r="U290" s="304"/>
      <c r="V290" s="304"/>
      <c r="W290" s="303">
        <f>Z290+AA290</f>
        <v>0</v>
      </c>
      <c r="X290" s="303"/>
      <c r="Y290" s="303"/>
      <c r="Z290" s="304"/>
      <c r="AA290" s="304"/>
      <c r="AB290" s="304"/>
      <c r="AC290" s="304">
        <v>563</v>
      </c>
      <c r="AD290" s="304">
        <v>86</v>
      </c>
      <c r="AE290" s="303">
        <f>E290-AD290</f>
        <v>4176</v>
      </c>
      <c r="AF290" s="317"/>
      <c r="AG290" s="314">
        <f t="shared" si="355"/>
        <v>0</v>
      </c>
      <c r="AH290" s="696">
        <f t="shared" si="356"/>
        <v>0</v>
      </c>
      <c r="AI290" s="314">
        <f t="shared" si="357"/>
        <v>0</v>
      </c>
      <c r="AJ290" s="314">
        <f t="shared" si="358"/>
        <v>0</v>
      </c>
      <c r="AK290" s="314">
        <f t="shared" si="359"/>
        <v>0</v>
      </c>
      <c r="AL290" s="314">
        <f t="shared" si="360"/>
        <v>0</v>
      </c>
      <c r="AM290" s="314">
        <f t="shared" si="361"/>
        <v>0</v>
      </c>
      <c r="AN290" s="314">
        <f t="shared" si="362"/>
        <v>0</v>
      </c>
      <c r="AO290" s="314">
        <f t="shared" si="363"/>
        <v>0</v>
      </c>
      <c r="AP290" s="314">
        <f t="shared" si="364"/>
        <v>0</v>
      </c>
    </row>
    <row r="291" spans="1:42">
      <c r="A291" s="583" t="s">
        <v>47</v>
      </c>
      <c r="B291" s="310" t="s">
        <v>939</v>
      </c>
      <c r="C291" s="304"/>
      <c r="D291" s="304">
        <v>19225</v>
      </c>
      <c r="E291" s="304">
        <f t="shared" si="317"/>
        <v>23513</v>
      </c>
      <c r="F291" s="304">
        <f>H291-AB291</f>
        <v>23513</v>
      </c>
      <c r="G291" s="304">
        <f t="shared" si="379"/>
        <v>4288</v>
      </c>
      <c r="H291" s="303">
        <f>I291+W291</f>
        <v>23513</v>
      </c>
      <c r="I291" s="303"/>
      <c r="J291" s="304"/>
      <c r="K291" s="304"/>
      <c r="L291" s="304"/>
      <c r="M291" s="304"/>
      <c r="N291" s="304"/>
      <c r="O291" s="304"/>
      <c r="P291" s="304"/>
      <c r="Q291" s="304"/>
      <c r="R291" s="304"/>
      <c r="S291" s="304"/>
      <c r="T291" s="304"/>
      <c r="U291" s="304"/>
      <c r="V291" s="304"/>
      <c r="W291" s="304">
        <f>Z291+AA291</f>
        <v>23513</v>
      </c>
      <c r="X291" s="304"/>
      <c r="Y291" s="304"/>
      <c r="Z291" s="304">
        <v>15465</v>
      </c>
      <c r="AA291" s="304">
        <f>AA304+AA331+AA334+AA335+AA336+AA332+AA333</f>
        <v>8048</v>
      </c>
      <c r="AB291" s="304"/>
      <c r="AC291" s="304"/>
      <c r="AD291" s="304">
        <v>2321</v>
      </c>
      <c r="AE291" s="303">
        <f>E291-AD291</f>
        <v>21192</v>
      </c>
      <c r="AF291" s="332"/>
      <c r="AG291" s="314">
        <f t="shared" si="355"/>
        <v>0</v>
      </c>
      <c r="AH291" s="696">
        <f t="shared" si="356"/>
        <v>0</v>
      </c>
      <c r="AI291" s="314">
        <f t="shared" si="357"/>
        <v>0</v>
      </c>
      <c r="AJ291" s="314">
        <f t="shared" si="358"/>
        <v>0</v>
      </c>
      <c r="AK291" s="314">
        <f t="shared" si="359"/>
        <v>0</v>
      </c>
      <c r="AL291" s="314">
        <f t="shared" si="360"/>
        <v>0</v>
      </c>
      <c r="AM291" s="314">
        <f t="shared" si="361"/>
        <v>0</v>
      </c>
      <c r="AN291" s="314">
        <f t="shared" si="362"/>
        <v>0</v>
      </c>
      <c r="AO291" s="314">
        <f t="shared" si="363"/>
        <v>0</v>
      </c>
      <c r="AP291" s="314">
        <f t="shared" si="364"/>
        <v>0</v>
      </c>
    </row>
    <row r="292" spans="1:42" ht="82.8" outlineLevel="1">
      <c r="A292" s="583" t="s">
        <v>23</v>
      </c>
      <c r="B292" s="1289" t="s">
        <v>1609</v>
      </c>
      <c r="C292" s="317"/>
      <c r="D292" s="1290">
        <v>1419</v>
      </c>
      <c r="E292" s="1291">
        <f t="shared" si="317"/>
        <v>1419</v>
      </c>
      <c r="F292" s="1291">
        <f>F293+F294</f>
        <v>1419</v>
      </c>
      <c r="G292" s="1290">
        <f>G293+G294</f>
        <v>0</v>
      </c>
      <c r="H292" s="1290">
        <f t="shared" ref="H292:AA292" si="393">H293+H294</f>
        <v>1419</v>
      </c>
      <c r="I292" s="1290">
        <f t="shared" si="393"/>
        <v>0</v>
      </c>
      <c r="J292" s="1290">
        <f t="shared" si="393"/>
        <v>0</v>
      </c>
      <c r="K292" s="1290">
        <f t="shared" si="393"/>
        <v>0</v>
      </c>
      <c r="L292" s="1290">
        <f t="shared" si="393"/>
        <v>0</v>
      </c>
      <c r="M292" s="1290">
        <f t="shared" si="393"/>
        <v>0</v>
      </c>
      <c r="N292" s="1290">
        <f t="shared" si="393"/>
        <v>0</v>
      </c>
      <c r="O292" s="1290">
        <f t="shared" si="393"/>
        <v>0</v>
      </c>
      <c r="P292" s="1290">
        <f t="shared" si="393"/>
        <v>0</v>
      </c>
      <c r="Q292" s="1290">
        <f t="shared" si="393"/>
        <v>0</v>
      </c>
      <c r="R292" s="1290">
        <f t="shared" si="393"/>
        <v>0</v>
      </c>
      <c r="S292" s="1290">
        <f t="shared" si="393"/>
        <v>0</v>
      </c>
      <c r="T292" s="1290">
        <f t="shared" si="393"/>
        <v>0</v>
      </c>
      <c r="U292" s="1290">
        <f t="shared" si="393"/>
        <v>0</v>
      </c>
      <c r="V292" s="1291">
        <f t="shared" si="393"/>
        <v>0</v>
      </c>
      <c r="W292" s="1290">
        <f t="shared" si="393"/>
        <v>1419</v>
      </c>
      <c r="X292" s="1290">
        <f t="shared" si="393"/>
        <v>0</v>
      </c>
      <c r="Y292" s="1290">
        <f t="shared" si="393"/>
        <v>0</v>
      </c>
      <c r="Z292" s="1291">
        <f t="shared" si="393"/>
        <v>1419</v>
      </c>
      <c r="AA292" s="1291">
        <f t="shared" si="393"/>
        <v>0</v>
      </c>
      <c r="AB292" s="1290"/>
      <c r="AC292" s="304"/>
      <c r="AD292" s="304"/>
      <c r="AE292" s="304"/>
      <c r="AF292" s="1292" t="s">
        <v>2550</v>
      </c>
      <c r="AG292" s="314">
        <f t="shared" si="355"/>
        <v>0</v>
      </c>
      <c r="AH292" s="696">
        <f t="shared" si="356"/>
        <v>0</v>
      </c>
      <c r="AI292" s="314">
        <f t="shared" si="357"/>
        <v>0</v>
      </c>
      <c r="AJ292" s="314">
        <f t="shared" si="358"/>
        <v>0</v>
      </c>
      <c r="AK292" s="314">
        <f t="shared" si="359"/>
        <v>0</v>
      </c>
      <c r="AL292" s="314">
        <f t="shared" si="360"/>
        <v>0</v>
      </c>
      <c r="AM292" s="314">
        <f t="shared" si="361"/>
        <v>0</v>
      </c>
      <c r="AN292" s="314">
        <f t="shared" si="362"/>
        <v>0</v>
      </c>
      <c r="AO292" s="314">
        <f t="shared" si="363"/>
        <v>0</v>
      </c>
      <c r="AP292" s="314">
        <f t="shared" si="364"/>
        <v>0</v>
      </c>
    </row>
    <row r="293" spans="1:42" outlineLevel="2">
      <c r="A293" s="583" t="s">
        <v>281</v>
      </c>
      <c r="B293" s="1289" t="s">
        <v>941</v>
      </c>
      <c r="C293" s="317"/>
      <c r="D293" s="304">
        <v>619</v>
      </c>
      <c r="E293" s="304">
        <f t="shared" si="317"/>
        <v>619</v>
      </c>
      <c r="F293" s="304">
        <f>H293-AB293</f>
        <v>619</v>
      </c>
      <c r="G293" s="304">
        <f>F293-D293</f>
        <v>0</v>
      </c>
      <c r="H293" s="303">
        <f>I293+W293</f>
        <v>619</v>
      </c>
      <c r="I293" s="303"/>
      <c r="J293" s="294"/>
      <c r="K293" s="294"/>
      <c r="L293" s="294"/>
      <c r="M293" s="304"/>
      <c r="N293" s="294"/>
      <c r="O293" s="294"/>
      <c r="P293" s="303"/>
      <c r="Q293" s="303"/>
      <c r="R293" s="305"/>
      <c r="S293" s="304"/>
      <c r="T293" s="303"/>
      <c r="U293" s="304"/>
      <c r="V293" s="304"/>
      <c r="W293" s="303">
        <f>Z293+AA293</f>
        <v>619</v>
      </c>
      <c r="X293" s="303"/>
      <c r="Y293" s="303"/>
      <c r="Z293" s="1291">
        <f>307+312</f>
        <v>619</v>
      </c>
      <c r="AA293" s="304"/>
      <c r="AB293" s="304"/>
      <c r="AC293" s="304"/>
      <c r="AD293" s="304"/>
      <c r="AE293" s="304"/>
      <c r="AF293" s="1292"/>
      <c r="AG293" s="314">
        <f t="shared" si="355"/>
        <v>0</v>
      </c>
      <c r="AH293" s="696">
        <f t="shared" si="356"/>
        <v>0</v>
      </c>
      <c r="AI293" s="314">
        <f t="shared" si="357"/>
        <v>0</v>
      </c>
      <c r="AJ293" s="314">
        <f t="shared" si="358"/>
        <v>0</v>
      </c>
      <c r="AK293" s="314">
        <f t="shared" si="359"/>
        <v>0</v>
      </c>
      <c r="AL293" s="314">
        <f t="shared" si="360"/>
        <v>0</v>
      </c>
      <c r="AM293" s="314">
        <f t="shared" si="361"/>
        <v>0</v>
      </c>
      <c r="AN293" s="314">
        <f t="shared" si="362"/>
        <v>0</v>
      </c>
      <c r="AO293" s="314">
        <f t="shared" si="363"/>
        <v>0</v>
      </c>
      <c r="AP293" s="314">
        <f t="shared" si="364"/>
        <v>0</v>
      </c>
    </row>
    <row r="294" spans="1:42" ht="41.4" outlineLevel="2">
      <c r="A294" s="583" t="s">
        <v>281</v>
      </c>
      <c r="B294" s="1289" t="s">
        <v>942</v>
      </c>
      <c r="C294" s="317"/>
      <c r="D294" s="304">
        <v>800</v>
      </c>
      <c r="E294" s="304">
        <f t="shared" si="317"/>
        <v>800</v>
      </c>
      <c r="F294" s="304">
        <f>H294-AB294</f>
        <v>800</v>
      </c>
      <c r="G294" s="304">
        <f>F294-D294</f>
        <v>0</v>
      </c>
      <c r="H294" s="303">
        <f>I294+W294</f>
        <v>800</v>
      </c>
      <c r="I294" s="303"/>
      <c r="J294" s="294"/>
      <c r="K294" s="294"/>
      <c r="L294" s="294"/>
      <c r="M294" s="304"/>
      <c r="N294" s="294"/>
      <c r="O294" s="294"/>
      <c r="P294" s="303"/>
      <c r="Q294" s="303"/>
      <c r="R294" s="305"/>
      <c r="S294" s="304"/>
      <c r="T294" s="303"/>
      <c r="U294" s="304"/>
      <c r="V294" s="304"/>
      <c r="W294" s="303">
        <f>Z294+AA294</f>
        <v>800</v>
      </c>
      <c r="X294" s="303"/>
      <c r="Y294" s="303"/>
      <c r="Z294" s="1291">
        <f>670+130</f>
        <v>800</v>
      </c>
      <c r="AA294" s="304"/>
      <c r="AB294" s="304"/>
      <c r="AC294" s="304"/>
      <c r="AD294" s="304"/>
      <c r="AE294" s="304"/>
      <c r="AF294" s="1292"/>
      <c r="AG294" s="314">
        <f t="shared" si="355"/>
        <v>0</v>
      </c>
      <c r="AH294" s="696">
        <f t="shared" si="356"/>
        <v>0</v>
      </c>
      <c r="AI294" s="314">
        <f t="shared" si="357"/>
        <v>0</v>
      </c>
      <c r="AJ294" s="314">
        <f t="shared" si="358"/>
        <v>0</v>
      </c>
      <c r="AK294" s="314">
        <f t="shared" si="359"/>
        <v>0</v>
      </c>
      <c r="AL294" s="314">
        <f t="shared" si="360"/>
        <v>0</v>
      </c>
      <c r="AM294" s="314">
        <f t="shared" si="361"/>
        <v>0</v>
      </c>
      <c r="AN294" s="314">
        <f t="shared" si="362"/>
        <v>0</v>
      </c>
      <c r="AO294" s="314">
        <f t="shared" si="363"/>
        <v>0</v>
      </c>
      <c r="AP294" s="314">
        <f t="shared" si="364"/>
        <v>0</v>
      </c>
    </row>
    <row r="295" spans="1:42" ht="41.4" outlineLevel="1">
      <c r="A295" s="583" t="s">
        <v>23</v>
      </c>
      <c r="B295" s="1289" t="s">
        <v>2092</v>
      </c>
      <c r="C295" s="317"/>
      <c r="D295" s="1290">
        <v>2819</v>
      </c>
      <c r="E295" s="1291">
        <f t="shared" si="317"/>
        <v>2819</v>
      </c>
      <c r="F295" s="1291">
        <f>F296+F297+F298</f>
        <v>2819</v>
      </c>
      <c r="G295" s="1290">
        <f>G296+G297+G298</f>
        <v>0</v>
      </c>
      <c r="H295" s="1290">
        <f t="shared" ref="H295:AA295" si="394">H296+H297+H298</f>
        <v>2819</v>
      </c>
      <c r="I295" s="1290">
        <f t="shared" si="394"/>
        <v>0</v>
      </c>
      <c r="J295" s="1290">
        <f t="shared" si="394"/>
        <v>0</v>
      </c>
      <c r="K295" s="1290">
        <f t="shared" si="394"/>
        <v>0</v>
      </c>
      <c r="L295" s="1290">
        <f t="shared" si="394"/>
        <v>0</v>
      </c>
      <c r="M295" s="1290">
        <f t="shared" si="394"/>
        <v>0</v>
      </c>
      <c r="N295" s="1290">
        <f t="shared" si="394"/>
        <v>0</v>
      </c>
      <c r="O295" s="1290">
        <f t="shared" si="394"/>
        <v>0</v>
      </c>
      <c r="P295" s="1290">
        <f t="shared" si="394"/>
        <v>0</v>
      </c>
      <c r="Q295" s="1290">
        <f t="shared" si="394"/>
        <v>0</v>
      </c>
      <c r="R295" s="1290">
        <f t="shared" si="394"/>
        <v>0</v>
      </c>
      <c r="S295" s="1290">
        <f t="shared" si="394"/>
        <v>0</v>
      </c>
      <c r="T295" s="1290">
        <f t="shared" si="394"/>
        <v>0</v>
      </c>
      <c r="U295" s="1290">
        <f t="shared" si="394"/>
        <v>0</v>
      </c>
      <c r="V295" s="1291">
        <f t="shared" si="394"/>
        <v>0</v>
      </c>
      <c r="W295" s="1290">
        <f t="shared" si="394"/>
        <v>2819</v>
      </c>
      <c r="X295" s="1290"/>
      <c r="Y295" s="1290"/>
      <c r="Z295" s="1291">
        <f t="shared" si="394"/>
        <v>2819</v>
      </c>
      <c r="AA295" s="1291">
        <f t="shared" si="394"/>
        <v>0</v>
      </c>
      <c r="AB295" s="1290"/>
      <c r="AC295" s="304"/>
      <c r="AD295" s="304"/>
      <c r="AE295" s="304"/>
      <c r="AF295" s="1292"/>
      <c r="AG295" s="314">
        <f t="shared" si="355"/>
        <v>0</v>
      </c>
      <c r="AH295" s="696">
        <f t="shared" si="356"/>
        <v>0</v>
      </c>
      <c r="AI295" s="314">
        <f t="shared" si="357"/>
        <v>0</v>
      </c>
      <c r="AJ295" s="314">
        <f t="shared" si="358"/>
        <v>0</v>
      </c>
      <c r="AK295" s="314">
        <f t="shared" si="359"/>
        <v>0</v>
      </c>
      <c r="AL295" s="314">
        <f t="shared" si="360"/>
        <v>0</v>
      </c>
      <c r="AM295" s="314">
        <f t="shared" si="361"/>
        <v>0</v>
      </c>
      <c r="AN295" s="314">
        <f t="shared" si="362"/>
        <v>0</v>
      </c>
      <c r="AO295" s="314">
        <f t="shared" si="363"/>
        <v>0</v>
      </c>
      <c r="AP295" s="314">
        <f t="shared" si="364"/>
        <v>0</v>
      </c>
    </row>
    <row r="296" spans="1:42" ht="27.6" outlineLevel="2">
      <c r="A296" s="583" t="s">
        <v>281</v>
      </c>
      <c r="B296" s="1289" t="s">
        <v>2093</v>
      </c>
      <c r="C296" s="317"/>
      <c r="D296" s="304">
        <v>1266</v>
      </c>
      <c r="E296" s="304">
        <f t="shared" si="317"/>
        <v>1266</v>
      </c>
      <c r="F296" s="304">
        <f t="shared" ref="F296:F338" si="395">H296-AB296</f>
        <v>1266</v>
      </c>
      <c r="G296" s="304">
        <f t="shared" ref="G296:G351" si="396">F296-D296</f>
        <v>0</v>
      </c>
      <c r="H296" s="303">
        <f t="shared" ref="H296:H298" si="397">I296+W296</f>
        <v>1266</v>
      </c>
      <c r="I296" s="303"/>
      <c r="J296" s="294"/>
      <c r="K296" s="294"/>
      <c r="L296" s="294"/>
      <c r="M296" s="304"/>
      <c r="N296" s="294"/>
      <c r="O296" s="294"/>
      <c r="P296" s="303"/>
      <c r="Q296" s="303"/>
      <c r="R296" s="305"/>
      <c r="S296" s="304"/>
      <c r="T296" s="303"/>
      <c r="U296" s="304"/>
      <c r="V296" s="304"/>
      <c r="W296" s="303">
        <f t="shared" ref="W296:W298" si="398">Z296+AA296</f>
        <v>1266</v>
      </c>
      <c r="X296" s="303">
        <v>80</v>
      </c>
      <c r="Y296" s="325">
        <v>15.8</v>
      </c>
      <c r="Z296" s="1291">
        <f>950+316</f>
        <v>1266</v>
      </c>
      <c r="AA296" s="304"/>
      <c r="AB296" s="304"/>
      <c r="AC296" s="304"/>
      <c r="AD296" s="304"/>
      <c r="AE296" s="304"/>
      <c r="AF296" s="1292"/>
      <c r="AG296" s="314">
        <f t="shared" si="355"/>
        <v>0</v>
      </c>
      <c r="AH296" s="696">
        <f t="shared" si="356"/>
        <v>0</v>
      </c>
      <c r="AI296" s="314">
        <f t="shared" si="357"/>
        <v>0</v>
      </c>
      <c r="AJ296" s="314">
        <f t="shared" si="358"/>
        <v>0</v>
      </c>
      <c r="AK296" s="314">
        <f t="shared" si="359"/>
        <v>0</v>
      </c>
      <c r="AL296" s="314">
        <f t="shared" si="360"/>
        <v>0</v>
      </c>
      <c r="AM296" s="314">
        <f t="shared" si="361"/>
        <v>0</v>
      </c>
      <c r="AN296" s="314">
        <f t="shared" si="362"/>
        <v>0</v>
      </c>
      <c r="AO296" s="314">
        <f t="shared" si="363"/>
        <v>0</v>
      </c>
      <c r="AP296" s="314">
        <f t="shared" si="364"/>
        <v>0</v>
      </c>
    </row>
    <row r="297" spans="1:42" outlineLevel="2">
      <c r="A297" s="583" t="s">
        <v>281</v>
      </c>
      <c r="B297" s="1289" t="s">
        <v>943</v>
      </c>
      <c r="C297" s="317"/>
      <c r="D297" s="304">
        <v>924</v>
      </c>
      <c r="E297" s="304">
        <f t="shared" si="317"/>
        <v>924</v>
      </c>
      <c r="F297" s="304">
        <f t="shared" si="395"/>
        <v>924</v>
      </c>
      <c r="G297" s="304">
        <f t="shared" si="396"/>
        <v>0</v>
      </c>
      <c r="H297" s="303">
        <f t="shared" si="397"/>
        <v>924</v>
      </c>
      <c r="I297" s="303"/>
      <c r="J297" s="294"/>
      <c r="K297" s="294"/>
      <c r="L297" s="294"/>
      <c r="M297" s="304"/>
      <c r="N297" s="294"/>
      <c r="O297" s="294"/>
      <c r="P297" s="303"/>
      <c r="Q297" s="303"/>
      <c r="R297" s="305"/>
      <c r="S297" s="304"/>
      <c r="T297" s="303"/>
      <c r="U297" s="304"/>
      <c r="V297" s="304"/>
      <c r="W297" s="303">
        <f t="shared" si="398"/>
        <v>924</v>
      </c>
      <c r="X297" s="303">
        <v>70</v>
      </c>
      <c r="Y297" s="325">
        <v>13.2</v>
      </c>
      <c r="Z297" s="1291">
        <f>660+264</f>
        <v>924</v>
      </c>
      <c r="AA297" s="304"/>
      <c r="AB297" s="304"/>
      <c r="AC297" s="304"/>
      <c r="AD297" s="304"/>
      <c r="AE297" s="304"/>
      <c r="AF297" s="1292"/>
      <c r="AG297" s="314">
        <f t="shared" si="355"/>
        <v>0</v>
      </c>
      <c r="AH297" s="696">
        <f t="shared" si="356"/>
        <v>0</v>
      </c>
      <c r="AI297" s="314">
        <f t="shared" si="357"/>
        <v>0</v>
      </c>
      <c r="AJ297" s="314">
        <f t="shared" si="358"/>
        <v>0</v>
      </c>
      <c r="AK297" s="314">
        <f t="shared" si="359"/>
        <v>0</v>
      </c>
      <c r="AL297" s="314">
        <f t="shared" si="360"/>
        <v>0</v>
      </c>
      <c r="AM297" s="314">
        <f t="shared" si="361"/>
        <v>0</v>
      </c>
      <c r="AN297" s="314">
        <f t="shared" si="362"/>
        <v>0</v>
      </c>
      <c r="AO297" s="314">
        <f t="shared" si="363"/>
        <v>0</v>
      </c>
      <c r="AP297" s="314">
        <f t="shared" si="364"/>
        <v>0</v>
      </c>
    </row>
    <row r="298" spans="1:42" ht="27.6" outlineLevel="2">
      <c r="A298" s="583" t="s">
        <v>281</v>
      </c>
      <c r="B298" s="1289" t="s">
        <v>944</v>
      </c>
      <c r="C298" s="317"/>
      <c r="D298" s="304">
        <v>629</v>
      </c>
      <c r="E298" s="304">
        <f t="shared" si="317"/>
        <v>629</v>
      </c>
      <c r="F298" s="304">
        <f t="shared" si="395"/>
        <v>629</v>
      </c>
      <c r="G298" s="304">
        <f t="shared" si="396"/>
        <v>0</v>
      </c>
      <c r="H298" s="303">
        <f t="shared" si="397"/>
        <v>629</v>
      </c>
      <c r="I298" s="303"/>
      <c r="J298" s="294"/>
      <c r="K298" s="294"/>
      <c r="L298" s="294"/>
      <c r="M298" s="304"/>
      <c r="N298" s="294"/>
      <c r="O298" s="294"/>
      <c r="P298" s="303"/>
      <c r="Q298" s="303"/>
      <c r="R298" s="305"/>
      <c r="S298" s="304"/>
      <c r="T298" s="303"/>
      <c r="U298" s="304"/>
      <c r="V298" s="304"/>
      <c r="W298" s="303">
        <f t="shared" si="398"/>
        <v>629</v>
      </c>
      <c r="X298" s="303">
        <v>110</v>
      </c>
      <c r="Y298" s="328">
        <v>5.72</v>
      </c>
      <c r="Z298" s="1291">
        <f>572+57</f>
        <v>629</v>
      </c>
      <c r="AA298" s="304"/>
      <c r="AB298" s="304"/>
      <c r="AC298" s="304"/>
      <c r="AD298" s="304"/>
      <c r="AE298" s="304"/>
      <c r="AF298" s="1292"/>
      <c r="AG298" s="314">
        <f t="shared" si="355"/>
        <v>0</v>
      </c>
      <c r="AH298" s="696">
        <f t="shared" si="356"/>
        <v>0</v>
      </c>
      <c r="AI298" s="314">
        <f t="shared" si="357"/>
        <v>0</v>
      </c>
      <c r="AJ298" s="314">
        <f t="shared" si="358"/>
        <v>0</v>
      </c>
      <c r="AK298" s="314">
        <f t="shared" si="359"/>
        <v>0</v>
      </c>
      <c r="AL298" s="314">
        <f t="shared" si="360"/>
        <v>0</v>
      </c>
      <c r="AM298" s="314">
        <f t="shared" si="361"/>
        <v>0</v>
      </c>
      <c r="AN298" s="314">
        <f t="shared" si="362"/>
        <v>0</v>
      </c>
      <c r="AO298" s="314">
        <f t="shared" si="363"/>
        <v>0</v>
      </c>
      <c r="AP298" s="314">
        <f t="shared" si="364"/>
        <v>0</v>
      </c>
    </row>
    <row r="299" spans="1:42" ht="110.4" outlineLevel="1">
      <c r="A299" s="583" t="s">
        <v>23</v>
      </c>
      <c r="B299" s="316" t="s">
        <v>940</v>
      </c>
      <c r="C299" s="317"/>
      <c r="D299" s="304">
        <v>459.27800000000002</v>
      </c>
      <c r="E299" s="304">
        <f t="shared" si="317"/>
        <v>459.27800000000002</v>
      </c>
      <c r="F299" s="304">
        <f t="shared" si="395"/>
        <v>459.27800000000002</v>
      </c>
      <c r="G299" s="304">
        <f t="shared" si="396"/>
        <v>0</v>
      </c>
      <c r="H299" s="303">
        <f>I299+W299</f>
        <v>459.27800000000002</v>
      </c>
      <c r="I299" s="303"/>
      <c r="J299" s="294"/>
      <c r="K299" s="294"/>
      <c r="L299" s="294"/>
      <c r="M299" s="304"/>
      <c r="N299" s="294"/>
      <c r="O299" s="294"/>
      <c r="P299" s="303"/>
      <c r="Q299" s="303"/>
      <c r="R299" s="305"/>
      <c r="S299" s="304"/>
      <c r="T299" s="303"/>
      <c r="U299" s="304"/>
      <c r="V299" s="304"/>
      <c r="W299" s="303">
        <f>Z299+AA299</f>
        <v>459.27800000000002</v>
      </c>
      <c r="X299" s="303"/>
      <c r="Y299" s="303"/>
      <c r="Z299" s="304">
        <v>459.27800000000002</v>
      </c>
      <c r="AA299" s="304"/>
      <c r="AB299" s="304"/>
      <c r="AC299" s="304"/>
      <c r="AD299" s="304"/>
      <c r="AE299" s="304"/>
      <c r="AF299" s="596" t="s">
        <v>2531</v>
      </c>
      <c r="AG299" s="314">
        <f t="shared" si="355"/>
        <v>0</v>
      </c>
      <c r="AH299" s="696">
        <f t="shared" si="356"/>
        <v>0</v>
      </c>
      <c r="AI299" s="314">
        <f t="shared" si="357"/>
        <v>0</v>
      </c>
      <c r="AJ299" s="314">
        <f t="shared" si="358"/>
        <v>0</v>
      </c>
      <c r="AK299" s="314">
        <f t="shared" si="359"/>
        <v>0</v>
      </c>
      <c r="AL299" s="314">
        <f t="shared" si="360"/>
        <v>0</v>
      </c>
      <c r="AM299" s="314">
        <f t="shared" si="361"/>
        <v>0</v>
      </c>
      <c r="AN299" s="314">
        <f t="shared" si="362"/>
        <v>0</v>
      </c>
      <c r="AO299" s="314">
        <f t="shared" si="363"/>
        <v>0</v>
      </c>
      <c r="AP299" s="314">
        <f t="shared" si="364"/>
        <v>0</v>
      </c>
    </row>
    <row r="300" spans="1:42" ht="69" outlineLevel="1">
      <c r="A300" s="583" t="s">
        <v>23</v>
      </c>
      <c r="B300" s="1289" t="s">
        <v>945</v>
      </c>
      <c r="C300" s="317"/>
      <c r="D300" s="304">
        <v>74</v>
      </c>
      <c r="E300" s="304">
        <f t="shared" si="317"/>
        <v>74</v>
      </c>
      <c r="F300" s="304">
        <f t="shared" si="395"/>
        <v>74</v>
      </c>
      <c r="G300" s="304">
        <f t="shared" si="396"/>
        <v>0</v>
      </c>
      <c r="H300" s="303">
        <f>I300+W300</f>
        <v>74</v>
      </c>
      <c r="I300" s="303"/>
      <c r="J300" s="294"/>
      <c r="K300" s="294"/>
      <c r="L300" s="294"/>
      <c r="M300" s="304"/>
      <c r="N300" s="294"/>
      <c r="O300" s="294"/>
      <c r="P300" s="303"/>
      <c r="Q300" s="303"/>
      <c r="R300" s="305"/>
      <c r="S300" s="304"/>
      <c r="T300" s="303"/>
      <c r="U300" s="304"/>
      <c r="V300" s="304"/>
      <c r="W300" s="303">
        <f>Z300+AA300</f>
        <v>74</v>
      </c>
      <c r="X300" s="303"/>
      <c r="Y300" s="303"/>
      <c r="Z300" s="1291">
        <v>74</v>
      </c>
      <c r="AA300" s="304"/>
      <c r="AB300" s="304"/>
      <c r="AC300" s="304"/>
      <c r="AD300" s="304"/>
      <c r="AE300" s="304"/>
      <c r="AF300" s="1292" t="s">
        <v>2532</v>
      </c>
      <c r="AG300" s="314">
        <f t="shared" si="355"/>
        <v>0</v>
      </c>
      <c r="AH300" s="696">
        <f t="shared" si="356"/>
        <v>0</v>
      </c>
      <c r="AI300" s="314">
        <f t="shared" si="357"/>
        <v>0</v>
      </c>
      <c r="AJ300" s="314">
        <f t="shared" si="358"/>
        <v>0</v>
      </c>
      <c r="AK300" s="314">
        <f t="shared" si="359"/>
        <v>0</v>
      </c>
      <c r="AL300" s="314">
        <f t="shared" si="360"/>
        <v>0</v>
      </c>
      <c r="AM300" s="314">
        <f t="shared" si="361"/>
        <v>0</v>
      </c>
      <c r="AN300" s="314">
        <f t="shared" si="362"/>
        <v>0</v>
      </c>
      <c r="AO300" s="314">
        <f t="shared" si="363"/>
        <v>0</v>
      </c>
      <c r="AP300" s="314">
        <f t="shared" si="364"/>
        <v>0</v>
      </c>
    </row>
    <row r="301" spans="1:42" ht="82.8" outlineLevel="1">
      <c r="A301" s="583" t="s">
        <v>23</v>
      </c>
      <c r="B301" s="1289" t="s">
        <v>1611</v>
      </c>
      <c r="C301" s="317"/>
      <c r="D301" s="304">
        <v>275</v>
      </c>
      <c r="E301" s="304">
        <f t="shared" si="317"/>
        <v>275</v>
      </c>
      <c r="F301" s="304">
        <f t="shared" si="395"/>
        <v>275</v>
      </c>
      <c r="G301" s="304">
        <f t="shared" si="396"/>
        <v>0</v>
      </c>
      <c r="H301" s="303">
        <f t="shared" ref="H301:H336" si="399">I301+W301</f>
        <v>275</v>
      </c>
      <c r="I301" s="303"/>
      <c r="J301" s="294"/>
      <c r="K301" s="294"/>
      <c r="L301" s="294"/>
      <c r="M301" s="304"/>
      <c r="N301" s="294"/>
      <c r="O301" s="294"/>
      <c r="P301" s="303"/>
      <c r="Q301" s="303"/>
      <c r="R301" s="305"/>
      <c r="S301" s="304"/>
      <c r="T301" s="303"/>
      <c r="U301" s="304"/>
      <c r="V301" s="304"/>
      <c r="W301" s="303">
        <f t="shared" ref="W301:W303" si="400">Z301+AA301</f>
        <v>275</v>
      </c>
      <c r="X301" s="304"/>
      <c r="Y301" s="304"/>
      <c r="Z301" s="304">
        <v>275</v>
      </c>
      <c r="AA301" s="304"/>
      <c r="AB301" s="304"/>
      <c r="AC301" s="304"/>
      <c r="AD301" s="304"/>
      <c r="AE301" s="304"/>
      <c r="AF301" s="1292"/>
      <c r="AG301" s="314">
        <f t="shared" si="355"/>
        <v>0</v>
      </c>
      <c r="AH301" s="696">
        <f t="shared" si="356"/>
        <v>0</v>
      </c>
      <c r="AI301" s="314">
        <f t="shared" si="357"/>
        <v>0</v>
      </c>
      <c r="AJ301" s="314">
        <f t="shared" si="358"/>
        <v>0</v>
      </c>
      <c r="AK301" s="314">
        <f t="shared" si="359"/>
        <v>0</v>
      </c>
      <c r="AL301" s="314">
        <f t="shared" si="360"/>
        <v>0</v>
      </c>
      <c r="AM301" s="314">
        <f t="shared" si="361"/>
        <v>0</v>
      </c>
      <c r="AN301" s="314">
        <f t="shared" si="362"/>
        <v>0</v>
      </c>
      <c r="AO301" s="314">
        <f t="shared" si="363"/>
        <v>0</v>
      </c>
      <c r="AP301" s="314">
        <f t="shared" si="364"/>
        <v>0</v>
      </c>
    </row>
    <row r="302" spans="1:42" ht="41.4" outlineLevel="1">
      <c r="A302" s="583" t="s">
        <v>23</v>
      </c>
      <c r="B302" s="1289" t="s">
        <v>1746</v>
      </c>
      <c r="C302" s="317"/>
      <c r="D302" s="304">
        <v>300</v>
      </c>
      <c r="E302" s="304">
        <f t="shared" ref="E302:E409" si="401">F302+AC302</f>
        <v>300</v>
      </c>
      <c r="F302" s="304">
        <f t="shared" si="395"/>
        <v>300</v>
      </c>
      <c r="G302" s="304">
        <f t="shared" si="396"/>
        <v>0</v>
      </c>
      <c r="H302" s="303">
        <f t="shared" si="399"/>
        <v>300</v>
      </c>
      <c r="I302" s="303"/>
      <c r="J302" s="294"/>
      <c r="K302" s="294"/>
      <c r="L302" s="294"/>
      <c r="M302" s="304"/>
      <c r="N302" s="294"/>
      <c r="O302" s="294"/>
      <c r="P302" s="303"/>
      <c r="Q302" s="303"/>
      <c r="R302" s="305"/>
      <c r="S302" s="304"/>
      <c r="T302" s="303"/>
      <c r="U302" s="304"/>
      <c r="V302" s="304"/>
      <c r="W302" s="303">
        <f t="shared" si="400"/>
        <v>300</v>
      </c>
      <c r="X302" s="304"/>
      <c r="Y302" s="304"/>
      <c r="Z302" s="304">
        <v>300</v>
      </c>
      <c r="AA302" s="304"/>
      <c r="AB302" s="304"/>
      <c r="AC302" s="304"/>
      <c r="AD302" s="304"/>
      <c r="AE302" s="304"/>
      <c r="AF302" s="1292"/>
      <c r="AG302" s="314">
        <f t="shared" si="355"/>
        <v>0</v>
      </c>
      <c r="AH302" s="696">
        <f t="shared" si="356"/>
        <v>0</v>
      </c>
      <c r="AI302" s="314">
        <f t="shared" si="357"/>
        <v>0</v>
      </c>
      <c r="AJ302" s="314">
        <f t="shared" si="358"/>
        <v>0</v>
      </c>
      <c r="AK302" s="314">
        <f t="shared" si="359"/>
        <v>0</v>
      </c>
      <c r="AL302" s="314">
        <f t="shared" si="360"/>
        <v>0</v>
      </c>
      <c r="AM302" s="314">
        <f t="shared" si="361"/>
        <v>0</v>
      </c>
      <c r="AN302" s="314">
        <f t="shared" si="362"/>
        <v>0</v>
      </c>
      <c r="AO302" s="314">
        <f t="shared" si="363"/>
        <v>0</v>
      </c>
      <c r="AP302" s="314">
        <f t="shared" si="364"/>
        <v>0</v>
      </c>
    </row>
    <row r="303" spans="1:42" ht="41.4" outlineLevel="1">
      <c r="A303" s="583" t="s">
        <v>23</v>
      </c>
      <c r="B303" s="1289" t="s">
        <v>2443</v>
      </c>
      <c r="C303" s="317"/>
      <c r="D303" s="304">
        <v>192</v>
      </c>
      <c r="E303" s="304">
        <f t="shared" si="401"/>
        <v>135</v>
      </c>
      <c r="F303" s="304">
        <f t="shared" si="395"/>
        <v>135</v>
      </c>
      <c r="G303" s="304">
        <f t="shared" si="396"/>
        <v>-57</v>
      </c>
      <c r="H303" s="303">
        <f t="shared" si="399"/>
        <v>135</v>
      </c>
      <c r="I303" s="303"/>
      <c r="J303" s="294"/>
      <c r="K303" s="294"/>
      <c r="L303" s="294"/>
      <c r="M303" s="304"/>
      <c r="N303" s="294"/>
      <c r="O303" s="294"/>
      <c r="P303" s="303"/>
      <c r="Q303" s="303"/>
      <c r="R303" s="305"/>
      <c r="S303" s="304"/>
      <c r="T303" s="303"/>
      <c r="U303" s="304"/>
      <c r="V303" s="304"/>
      <c r="W303" s="303">
        <f t="shared" si="400"/>
        <v>135</v>
      </c>
      <c r="X303" s="304"/>
      <c r="Y303" s="304"/>
      <c r="Z303" s="304">
        <f>192-92+35</f>
        <v>135</v>
      </c>
      <c r="AA303" s="304"/>
      <c r="AB303" s="304"/>
      <c r="AC303" s="304"/>
      <c r="AD303" s="304"/>
      <c r="AE303" s="304"/>
      <c r="AF303" s="1292"/>
      <c r="AG303" s="314">
        <f t="shared" si="355"/>
        <v>0</v>
      </c>
      <c r="AH303" s="696">
        <f t="shared" si="356"/>
        <v>0</v>
      </c>
      <c r="AI303" s="314">
        <f t="shared" si="357"/>
        <v>0</v>
      </c>
      <c r="AJ303" s="314">
        <f t="shared" si="358"/>
        <v>0</v>
      </c>
      <c r="AK303" s="314">
        <f t="shared" si="359"/>
        <v>0</v>
      </c>
      <c r="AL303" s="314">
        <f t="shared" si="360"/>
        <v>0</v>
      </c>
      <c r="AM303" s="314">
        <f t="shared" si="361"/>
        <v>0</v>
      </c>
      <c r="AN303" s="314">
        <f t="shared" si="362"/>
        <v>0</v>
      </c>
      <c r="AO303" s="314">
        <f t="shared" si="363"/>
        <v>0</v>
      </c>
      <c r="AP303" s="314">
        <f t="shared" si="364"/>
        <v>0</v>
      </c>
    </row>
    <row r="304" spans="1:42" ht="124.2" outlineLevel="1">
      <c r="A304" s="583" t="s">
        <v>23</v>
      </c>
      <c r="B304" s="1289" t="s">
        <v>2094</v>
      </c>
      <c r="C304" s="317"/>
      <c r="D304" s="304">
        <v>9926.7219999999998</v>
      </c>
      <c r="E304" s="304">
        <f>F304+AC304</f>
        <v>10944.722</v>
      </c>
      <c r="F304" s="304">
        <f t="shared" si="395"/>
        <v>10944.722</v>
      </c>
      <c r="G304" s="304">
        <f t="shared" si="396"/>
        <v>1018</v>
      </c>
      <c r="H304" s="303">
        <f t="shared" si="399"/>
        <v>10944.722</v>
      </c>
      <c r="I304" s="304"/>
      <c r="J304" s="304"/>
      <c r="K304" s="304"/>
      <c r="L304" s="304"/>
      <c r="M304" s="304"/>
      <c r="N304" s="304"/>
      <c r="O304" s="304"/>
      <c r="P304" s="304"/>
      <c r="Q304" s="304"/>
      <c r="R304" s="304"/>
      <c r="S304" s="304"/>
      <c r="T304" s="304"/>
      <c r="U304" s="304"/>
      <c r="V304" s="304"/>
      <c r="W304" s="303">
        <f>Z304+AA304</f>
        <v>10944.722</v>
      </c>
      <c r="X304" s="304"/>
      <c r="Y304" s="304"/>
      <c r="Z304" s="304">
        <f>Z291-Z292-Z295-Z299-Z300-Z337-Z338-Z301-Z302-Z303</f>
        <v>9983.7219999999998</v>
      </c>
      <c r="AA304" s="304">
        <v>961</v>
      </c>
      <c r="AB304" s="304"/>
      <c r="AC304" s="304"/>
      <c r="AD304" s="304"/>
      <c r="AE304" s="304"/>
      <c r="AF304" s="1292"/>
      <c r="AG304" s="314">
        <f t="shared" si="355"/>
        <v>0</v>
      </c>
      <c r="AH304" s="696">
        <f t="shared" si="356"/>
        <v>0</v>
      </c>
      <c r="AI304" s="314">
        <f t="shared" si="357"/>
        <v>0</v>
      </c>
      <c r="AJ304" s="314">
        <f t="shared" si="358"/>
        <v>0</v>
      </c>
      <c r="AK304" s="314">
        <f t="shared" si="359"/>
        <v>0</v>
      </c>
      <c r="AL304" s="314">
        <f t="shared" si="360"/>
        <v>0</v>
      </c>
      <c r="AM304" s="314">
        <f t="shared" si="361"/>
        <v>0</v>
      </c>
      <c r="AN304" s="314">
        <f t="shared" si="362"/>
        <v>0</v>
      </c>
      <c r="AO304" s="314">
        <f t="shared" si="363"/>
        <v>0</v>
      </c>
      <c r="AP304" s="314">
        <f t="shared" si="364"/>
        <v>0</v>
      </c>
    </row>
    <row r="305" spans="1:42" hidden="1" outlineLevel="3">
      <c r="A305" s="583" t="s">
        <v>281</v>
      </c>
      <c r="B305" s="1289" t="s">
        <v>2095</v>
      </c>
      <c r="C305" s="317"/>
      <c r="D305" s="304"/>
      <c r="E305" s="304">
        <f t="shared" ref="E305:E330" si="402">F305+AC305</f>
        <v>200</v>
      </c>
      <c r="F305" s="304">
        <f t="shared" si="395"/>
        <v>200</v>
      </c>
      <c r="G305" s="304">
        <f t="shared" si="396"/>
        <v>200</v>
      </c>
      <c r="H305" s="303">
        <f t="shared" si="399"/>
        <v>200</v>
      </c>
      <c r="I305" s="304"/>
      <c r="J305" s="304"/>
      <c r="K305" s="304"/>
      <c r="L305" s="304"/>
      <c r="M305" s="304"/>
      <c r="N305" s="304"/>
      <c r="O305" s="304"/>
      <c r="P305" s="304"/>
      <c r="Q305" s="304"/>
      <c r="R305" s="304"/>
      <c r="S305" s="304"/>
      <c r="T305" s="304"/>
      <c r="U305" s="304"/>
      <c r="V305" s="304"/>
      <c r="W305" s="303">
        <f t="shared" ref="W305:W336" si="403">Z305+AA305</f>
        <v>200</v>
      </c>
      <c r="X305" s="304"/>
      <c r="Y305" s="304"/>
      <c r="Z305" s="304">
        <v>200</v>
      </c>
      <c r="AA305" s="304"/>
      <c r="AB305" s="304"/>
      <c r="AC305" s="304"/>
      <c r="AD305" s="304"/>
      <c r="AE305" s="304"/>
      <c r="AF305" s="1292"/>
      <c r="AG305" s="314">
        <f t="shared" si="355"/>
        <v>0</v>
      </c>
      <c r="AH305" s="696">
        <f t="shared" si="356"/>
        <v>0</v>
      </c>
      <c r="AI305" s="314">
        <f t="shared" si="357"/>
        <v>0</v>
      </c>
      <c r="AJ305" s="314">
        <f t="shared" si="358"/>
        <v>0</v>
      </c>
      <c r="AK305" s="314">
        <f t="shared" si="359"/>
        <v>0</v>
      </c>
      <c r="AL305" s="314">
        <f t="shared" si="360"/>
        <v>0</v>
      </c>
      <c r="AM305" s="314">
        <f t="shared" si="361"/>
        <v>0</v>
      </c>
      <c r="AN305" s="314">
        <f t="shared" si="362"/>
        <v>0</v>
      </c>
      <c r="AO305" s="314">
        <f t="shared" si="363"/>
        <v>0</v>
      </c>
      <c r="AP305" s="314">
        <f t="shared" si="364"/>
        <v>0</v>
      </c>
    </row>
    <row r="306" spans="1:42" ht="27.6" hidden="1" outlineLevel="3">
      <c r="A306" s="583" t="s">
        <v>281</v>
      </c>
      <c r="B306" s="1289" t="s">
        <v>2096</v>
      </c>
      <c r="C306" s="317"/>
      <c r="D306" s="304"/>
      <c r="E306" s="304">
        <f t="shared" si="402"/>
        <v>100</v>
      </c>
      <c r="F306" s="304">
        <f t="shared" si="395"/>
        <v>100</v>
      </c>
      <c r="G306" s="304">
        <f t="shared" si="396"/>
        <v>100</v>
      </c>
      <c r="H306" s="303">
        <f t="shared" si="399"/>
        <v>100</v>
      </c>
      <c r="I306" s="304"/>
      <c r="J306" s="304"/>
      <c r="K306" s="304"/>
      <c r="L306" s="304"/>
      <c r="M306" s="304"/>
      <c r="N306" s="304"/>
      <c r="O306" s="304"/>
      <c r="P306" s="304"/>
      <c r="Q306" s="304"/>
      <c r="R306" s="304"/>
      <c r="S306" s="304"/>
      <c r="T306" s="304"/>
      <c r="U306" s="304"/>
      <c r="V306" s="304"/>
      <c r="W306" s="303">
        <f t="shared" si="403"/>
        <v>100</v>
      </c>
      <c r="X306" s="304"/>
      <c r="Y306" s="304"/>
      <c r="Z306" s="304">
        <v>100</v>
      </c>
      <c r="AA306" s="304"/>
      <c r="AB306" s="304"/>
      <c r="AC306" s="304"/>
      <c r="AD306" s="304"/>
      <c r="AE306" s="304"/>
      <c r="AF306" s="1292"/>
      <c r="AG306" s="314">
        <f t="shared" si="355"/>
        <v>0</v>
      </c>
      <c r="AH306" s="696">
        <f t="shared" si="356"/>
        <v>0</v>
      </c>
      <c r="AI306" s="314">
        <f t="shared" si="357"/>
        <v>0</v>
      </c>
      <c r="AJ306" s="314">
        <f t="shared" si="358"/>
        <v>0</v>
      </c>
      <c r="AK306" s="314">
        <f t="shared" si="359"/>
        <v>0</v>
      </c>
      <c r="AL306" s="314">
        <f t="shared" si="360"/>
        <v>0</v>
      </c>
      <c r="AM306" s="314">
        <f t="shared" si="361"/>
        <v>0</v>
      </c>
      <c r="AN306" s="314">
        <f t="shared" si="362"/>
        <v>0</v>
      </c>
      <c r="AO306" s="314">
        <f t="shared" si="363"/>
        <v>0</v>
      </c>
      <c r="AP306" s="314">
        <f t="shared" si="364"/>
        <v>0</v>
      </c>
    </row>
    <row r="307" spans="1:42" ht="41.4" hidden="1" outlineLevel="3">
      <c r="A307" s="583" t="s">
        <v>281</v>
      </c>
      <c r="B307" s="1289" t="s">
        <v>2097</v>
      </c>
      <c r="C307" s="317"/>
      <c r="D307" s="304"/>
      <c r="E307" s="304">
        <f t="shared" si="402"/>
        <v>100</v>
      </c>
      <c r="F307" s="304">
        <f t="shared" si="395"/>
        <v>100</v>
      </c>
      <c r="G307" s="304">
        <f t="shared" si="396"/>
        <v>100</v>
      </c>
      <c r="H307" s="303">
        <f t="shared" si="399"/>
        <v>100</v>
      </c>
      <c r="I307" s="304"/>
      <c r="J307" s="304"/>
      <c r="K307" s="304"/>
      <c r="L307" s="304"/>
      <c r="M307" s="304"/>
      <c r="N307" s="304"/>
      <c r="O307" s="304"/>
      <c r="P307" s="304"/>
      <c r="Q307" s="304"/>
      <c r="R307" s="304"/>
      <c r="S307" s="304"/>
      <c r="T307" s="304"/>
      <c r="U307" s="304"/>
      <c r="V307" s="304"/>
      <c r="W307" s="303">
        <f t="shared" si="403"/>
        <v>100</v>
      </c>
      <c r="X307" s="304"/>
      <c r="Y307" s="304"/>
      <c r="Z307" s="304">
        <v>100</v>
      </c>
      <c r="AA307" s="304"/>
      <c r="AB307" s="304"/>
      <c r="AC307" s="304"/>
      <c r="AD307" s="304"/>
      <c r="AE307" s="304"/>
      <c r="AF307" s="1292"/>
      <c r="AG307" s="314">
        <f t="shared" si="355"/>
        <v>0</v>
      </c>
      <c r="AH307" s="696">
        <f t="shared" si="356"/>
        <v>0</v>
      </c>
      <c r="AI307" s="314">
        <f t="shared" si="357"/>
        <v>0</v>
      </c>
      <c r="AJ307" s="314">
        <f t="shared" si="358"/>
        <v>0</v>
      </c>
      <c r="AK307" s="314">
        <f t="shared" si="359"/>
        <v>0</v>
      </c>
      <c r="AL307" s="314">
        <f t="shared" si="360"/>
        <v>0</v>
      </c>
      <c r="AM307" s="314">
        <f t="shared" si="361"/>
        <v>0</v>
      </c>
      <c r="AN307" s="314">
        <f t="shared" si="362"/>
        <v>0</v>
      </c>
      <c r="AO307" s="314">
        <f t="shared" si="363"/>
        <v>0</v>
      </c>
      <c r="AP307" s="314">
        <f t="shared" si="364"/>
        <v>0</v>
      </c>
    </row>
    <row r="308" spans="1:42" ht="27.6" hidden="1" outlineLevel="3">
      <c r="A308" s="583" t="s">
        <v>281</v>
      </c>
      <c r="B308" s="1289" t="s">
        <v>2098</v>
      </c>
      <c r="C308" s="317"/>
      <c r="D308" s="304"/>
      <c r="E308" s="304">
        <f t="shared" si="402"/>
        <v>100</v>
      </c>
      <c r="F308" s="304">
        <f t="shared" si="395"/>
        <v>100</v>
      </c>
      <c r="G308" s="304">
        <f t="shared" si="396"/>
        <v>100</v>
      </c>
      <c r="H308" s="303">
        <f t="shared" si="399"/>
        <v>100</v>
      </c>
      <c r="I308" s="304"/>
      <c r="J308" s="304"/>
      <c r="K308" s="304"/>
      <c r="L308" s="304"/>
      <c r="M308" s="304"/>
      <c r="N308" s="304"/>
      <c r="O308" s="304"/>
      <c r="P308" s="304"/>
      <c r="Q308" s="304"/>
      <c r="R308" s="304"/>
      <c r="S308" s="304"/>
      <c r="T308" s="304"/>
      <c r="U308" s="304"/>
      <c r="V308" s="304"/>
      <c r="W308" s="303">
        <f t="shared" si="403"/>
        <v>100</v>
      </c>
      <c r="X308" s="304"/>
      <c r="Y308" s="304"/>
      <c r="Z308" s="304">
        <v>100</v>
      </c>
      <c r="AA308" s="304"/>
      <c r="AB308" s="304"/>
      <c r="AC308" s="304"/>
      <c r="AD308" s="304"/>
      <c r="AE308" s="304"/>
      <c r="AF308" s="1292"/>
      <c r="AG308" s="314">
        <f t="shared" si="355"/>
        <v>0</v>
      </c>
      <c r="AH308" s="696">
        <f t="shared" si="356"/>
        <v>0</v>
      </c>
      <c r="AI308" s="314">
        <f t="shared" si="357"/>
        <v>0</v>
      </c>
      <c r="AJ308" s="314">
        <f t="shared" si="358"/>
        <v>0</v>
      </c>
      <c r="AK308" s="314">
        <f t="shared" si="359"/>
        <v>0</v>
      </c>
      <c r="AL308" s="314">
        <f t="shared" si="360"/>
        <v>0</v>
      </c>
      <c r="AM308" s="314">
        <f t="shared" si="361"/>
        <v>0</v>
      </c>
      <c r="AN308" s="314">
        <f t="shared" si="362"/>
        <v>0</v>
      </c>
      <c r="AO308" s="314">
        <f t="shared" si="363"/>
        <v>0</v>
      </c>
      <c r="AP308" s="314">
        <f t="shared" si="364"/>
        <v>0</v>
      </c>
    </row>
    <row r="309" spans="1:42" hidden="1" outlineLevel="3">
      <c r="A309" s="583" t="s">
        <v>281</v>
      </c>
      <c r="B309" s="1289" t="s">
        <v>2099</v>
      </c>
      <c r="C309" s="317"/>
      <c r="D309" s="304"/>
      <c r="E309" s="304">
        <f t="shared" si="402"/>
        <v>690</v>
      </c>
      <c r="F309" s="304">
        <f t="shared" si="395"/>
        <v>690</v>
      </c>
      <c r="G309" s="304">
        <f t="shared" si="396"/>
        <v>690</v>
      </c>
      <c r="H309" s="303">
        <f t="shared" si="399"/>
        <v>690</v>
      </c>
      <c r="I309" s="304"/>
      <c r="J309" s="304"/>
      <c r="K309" s="304"/>
      <c r="L309" s="304"/>
      <c r="M309" s="304"/>
      <c r="N309" s="304"/>
      <c r="O309" s="304"/>
      <c r="P309" s="304"/>
      <c r="Q309" s="304"/>
      <c r="R309" s="304"/>
      <c r="S309" s="304"/>
      <c r="T309" s="304"/>
      <c r="U309" s="304"/>
      <c r="V309" s="304"/>
      <c r="W309" s="303">
        <f t="shared" si="403"/>
        <v>690</v>
      </c>
      <c r="X309" s="304"/>
      <c r="Y309" s="304"/>
      <c r="Z309" s="304">
        <v>690</v>
      </c>
      <c r="AA309" s="304"/>
      <c r="AB309" s="304"/>
      <c r="AC309" s="304"/>
      <c r="AD309" s="304"/>
      <c r="AE309" s="304"/>
      <c r="AF309" s="1292"/>
      <c r="AG309" s="314">
        <f t="shared" si="355"/>
        <v>0</v>
      </c>
      <c r="AH309" s="696">
        <f t="shared" si="356"/>
        <v>0</v>
      </c>
      <c r="AI309" s="314">
        <f t="shared" si="357"/>
        <v>0</v>
      </c>
      <c r="AJ309" s="314">
        <f t="shared" si="358"/>
        <v>0</v>
      </c>
      <c r="AK309" s="314">
        <f t="shared" si="359"/>
        <v>0</v>
      </c>
      <c r="AL309" s="314">
        <f t="shared" si="360"/>
        <v>0</v>
      </c>
      <c r="AM309" s="314">
        <f t="shared" si="361"/>
        <v>0</v>
      </c>
      <c r="AN309" s="314">
        <f t="shared" si="362"/>
        <v>0</v>
      </c>
      <c r="AO309" s="314">
        <f t="shared" si="363"/>
        <v>0</v>
      </c>
      <c r="AP309" s="314">
        <f t="shared" si="364"/>
        <v>0</v>
      </c>
    </row>
    <row r="310" spans="1:42" ht="27.6" hidden="1" outlineLevel="3">
      <c r="A310" s="583" t="s">
        <v>281</v>
      </c>
      <c r="B310" s="1289" t="s">
        <v>2100</v>
      </c>
      <c r="C310" s="317"/>
      <c r="D310" s="304"/>
      <c r="E310" s="304">
        <f t="shared" si="402"/>
        <v>200</v>
      </c>
      <c r="F310" s="304">
        <f t="shared" si="395"/>
        <v>200</v>
      </c>
      <c r="G310" s="304">
        <f t="shared" si="396"/>
        <v>200</v>
      </c>
      <c r="H310" s="303">
        <f t="shared" si="399"/>
        <v>200</v>
      </c>
      <c r="I310" s="304"/>
      <c r="J310" s="304"/>
      <c r="K310" s="304"/>
      <c r="L310" s="304"/>
      <c r="M310" s="304"/>
      <c r="N310" s="304"/>
      <c r="O310" s="304"/>
      <c r="P310" s="304"/>
      <c r="Q310" s="304"/>
      <c r="R310" s="304"/>
      <c r="S310" s="304"/>
      <c r="T310" s="304"/>
      <c r="U310" s="304"/>
      <c r="V310" s="304"/>
      <c r="W310" s="303">
        <f t="shared" si="403"/>
        <v>200</v>
      </c>
      <c r="X310" s="304"/>
      <c r="Y310" s="304"/>
      <c r="Z310" s="304">
        <v>200</v>
      </c>
      <c r="AA310" s="304"/>
      <c r="AB310" s="304"/>
      <c r="AC310" s="304"/>
      <c r="AD310" s="304"/>
      <c r="AE310" s="304"/>
      <c r="AF310" s="1292"/>
      <c r="AG310" s="314">
        <f t="shared" si="355"/>
        <v>0</v>
      </c>
      <c r="AH310" s="696">
        <f t="shared" si="356"/>
        <v>0</v>
      </c>
      <c r="AI310" s="314">
        <f t="shared" si="357"/>
        <v>0</v>
      </c>
      <c r="AJ310" s="314">
        <f t="shared" si="358"/>
        <v>0</v>
      </c>
      <c r="AK310" s="314">
        <f t="shared" si="359"/>
        <v>0</v>
      </c>
      <c r="AL310" s="314">
        <f t="shared" si="360"/>
        <v>0</v>
      </c>
      <c r="AM310" s="314">
        <f t="shared" si="361"/>
        <v>0</v>
      </c>
      <c r="AN310" s="314">
        <f t="shared" si="362"/>
        <v>0</v>
      </c>
      <c r="AO310" s="314">
        <f t="shared" si="363"/>
        <v>0</v>
      </c>
      <c r="AP310" s="314">
        <f t="shared" si="364"/>
        <v>0</v>
      </c>
    </row>
    <row r="311" spans="1:42" ht="82.8" hidden="1" outlineLevel="3">
      <c r="A311" s="583" t="s">
        <v>281</v>
      </c>
      <c r="B311" s="1289" t="s">
        <v>2101</v>
      </c>
      <c r="C311" s="317"/>
      <c r="D311" s="304"/>
      <c r="E311" s="304">
        <f t="shared" si="402"/>
        <v>130</v>
      </c>
      <c r="F311" s="304">
        <f t="shared" si="395"/>
        <v>130</v>
      </c>
      <c r="G311" s="304">
        <f t="shared" si="396"/>
        <v>130</v>
      </c>
      <c r="H311" s="303">
        <f t="shared" si="399"/>
        <v>130</v>
      </c>
      <c r="I311" s="304"/>
      <c r="J311" s="304"/>
      <c r="K311" s="304"/>
      <c r="L311" s="304"/>
      <c r="M311" s="304"/>
      <c r="N311" s="304"/>
      <c r="O311" s="304"/>
      <c r="P311" s="304"/>
      <c r="Q311" s="304"/>
      <c r="R311" s="304"/>
      <c r="S311" s="304"/>
      <c r="T311" s="304"/>
      <c r="U311" s="304"/>
      <c r="V311" s="304"/>
      <c r="W311" s="303">
        <f t="shared" si="403"/>
        <v>130</v>
      </c>
      <c r="X311" s="304"/>
      <c r="Y311" s="304"/>
      <c r="Z311" s="304">
        <v>130</v>
      </c>
      <c r="AA311" s="304"/>
      <c r="AB311" s="304"/>
      <c r="AC311" s="304"/>
      <c r="AD311" s="304"/>
      <c r="AE311" s="304"/>
      <c r="AF311" s="1292"/>
      <c r="AG311" s="314">
        <f t="shared" si="355"/>
        <v>0</v>
      </c>
      <c r="AH311" s="696">
        <f t="shared" si="356"/>
        <v>0</v>
      </c>
      <c r="AI311" s="314">
        <f t="shared" si="357"/>
        <v>0</v>
      </c>
      <c r="AJ311" s="314">
        <f t="shared" si="358"/>
        <v>0</v>
      </c>
      <c r="AK311" s="314">
        <f t="shared" si="359"/>
        <v>0</v>
      </c>
      <c r="AL311" s="314">
        <f t="shared" si="360"/>
        <v>0</v>
      </c>
      <c r="AM311" s="314">
        <f t="shared" si="361"/>
        <v>0</v>
      </c>
      <c r="AN311" s="314">
        <f t="shared" si="362"/>
        <v>0</v>
      </c>
      <c r="AO311" s="314">
        <f t="shared" si="363"/>
        <v>0</v>
      </c>
      <c r="AP311" s="314">
        <f t="shared" si="364"/>
        <v>0</v>
      </c>
    </row>
    <row r="312" spans="1:42" ht="27.6" hidden="1" outlineLevel="3">
      <c r="A312" s="583" t="s">
        <v>281</v>
      </c>
      <c r="B312" s="1289" t="s">
        <v>2102</v>
      </c>
      <c r="C312" s="317"/>
      <c r="D312" s="304"/>
      <c r="E312" s="304">
        <f t="shared" si="402"/>
        <v>200</v>
      </c>
      <c r="F312" s="304">
        <f t="shared" si="395"/>
        <v>200</v>
      </c>
      <c r="G312" s="304">
        <f t="shared" si="396"/>
        <v>200</v>
      </c>
      <c r="H312" s="303">
        <f t="shared" si="399"/>
        <v>200</v>
      </c>
      <c r="I312" s="304"/>
      <c r="J312" s="304"/>
      <c r="K312" s="304"/>
      <c r="L312" s="304"/>
      <c r="M312" s="304"/>
      <c r="N312" s="304"/>
      <c r="O312" s="304"/>
      <c r="P312" s="304"/>
      <c r="Q312" s="304"/>
      <c r="R312" s="304"/>
      <c r="S312" s="304"/>
      <c r="T312" s="304"/>
      <c r="U312" s="304"/>
      <c r="V312" s="304"/>
      <c r="W312" s="303">
        <f t="shared" si="403"/>
        <v>200</v>
      </c>
      <c r="X312" s="304"/>
      <c r="Y312" s="304"/>
      <c r="Z312" s="304">
        <v>200</v>
      </c>
      <c r="AA312" s="304"/>
      <c r="AB312" s="304"/>
      <c r="AC312" s="304"/>
      <c r="AD312" s="304"/>
      <c r="AE312" s="304"/>
      <c r="AF312" s="1292"/>
      <c r="AG312" s="314">
        <f t="shared" si="355"/>
        <v>0</v>
      </c>
      <c r="AH312" s="696">
        <f t="shared" si="356"/>
        <v>0</v>
      </c>
      <c r="AI312" s="314">
        <f t="shared" si="357"/>
        <v>0</v>
      </c>
      <c r="AJ312" s="314">
        <f t="shared" si="358"/>
        <v>0</v>
      </c>
      <c r="AK312" s="314">
        <f t="shared" si="359"/>
        <v>0</v>
      </c>
      <c r="AL312" s="314">
        <f t="shared" si="360"/>
        <v>0</v>
      </c>
      <c r="AM312" s="314">
        <f t="shared" si="361"/>
        <v>0</v>
      </c>
      <c r="AN312" s="314">
        <f t="shared" si="362"/>
        <v>0</v>
      </c>
      <c r="AO312" s="314">
        <f t="shared" si="363"/>
        <v>0</v>
      </c>
      <c r="AP312" s="314">
        <f t="shared" si="364"/>
        <v>0</v>
      </c>
    </row>
    <row r="313" spans="1:42" ht="27.6" hidden="1" outlineLevel="3">
      <c r="A313" s="583" t="s">
        <v>281</v>
      </c>
      <c r="B313" s="1289" t="s">
        <v>2103</v>
      </c>
      <c r="C313" s="317"/>
      <c r="D313" s="304"/>
      <c r="E313" s="304">
        <f t="shared" si="402"/>
        <v>438</v>
      </c>
      <c r="F313" s="304">
        <f t="shared" si="395"/>
        <v>438</v>
      </c>
      <c r="G313" s="304">
        <f t="shared" si="396"/>
        <v>438</v>
      </c>
      <c r="H313" s="303">
        <f t="shared" si="399"/>
        <v>438</v>
      </c>
      <c r="I313" s="304"/>
      <c r="J313" s="304"/>
      <c r="K313" s="304"/>
      <c r="L313" s="304"/>
      <c r="M313" s="304"/>
      <c r="N313" s="304"/>
      <c r="O313" s="304"/>
      <c r="P313" s="304"/>
      <c r="Q313" s="304"/>
      <c r="R313" s="304"/>
      <c r="S313" s="304"/>
      <c r="T313" s="304"/>
      <c r="U313" s="304"/>
      <c r="V313" s="304"/>
      <c r="W313" s="303">
        <f t="shared" si="403"/>
        <v>438</v>
      </c>
      <c r="X313" s="304"/>
      <c r="Y313" s="304"/>
      <c r="Z313" s="304">
        <v>438</v>
      </c>
      <c r="AA313" s="304"/>
      <c r="AB313" s="304"/>
      <c r="AC313" s="304"/>
      <c r="AD313" s="304"/>
      <c r="AE313" s="304"/>
      <c r="AF313" s="1292"/>
      <c r="AG313" s="314">
        <f t="shared" si="355"/>
        <v>0</v>
      </c>
      <c r="AH313" s="696">
        <f t="shared" si="356"/>
        <v>0</v>
      </c>
      <c r="AI313" s="314">
        <f t="shared" si="357"/>
        <v>0</v>
      </c>
      <c r="AJ313" s="314">
        <f t="shared" si="358"/>
        <v>0</v>
      </c>
      <c r="AK313" s="314">
        <f t="shared" si="359"/>
        <v>0</v>
      </c>
      <c r="AL313" s="314">
        <f t="shared" si="360"/>
        <v>0</v>
      </c>
      <c r="AM313" s="314">
        <f t="shared" si="361"/>
        <v>0</v>
      </c>
      <c r="AN313" s="314">
        <f t="shared" si="362"/>
        <v>0</v>
      </c>
      <c r="AO313" s="314">
        <f t="shared" si="363"/>
        <v>0</v>
      </c>
      <c r="AP313" s="314">
        <f t="shared" si="364"/>
        <v>0</v>
      </c>
    </row>
    <row r="314" spans="1:42" ht="55.2" hidden="1" outlineLevel="3">
      <c r="A314" s="583" t="s">
        <v>281</v>
      </c>
      <c r="B314" s="1289" t="s">
        <v>2104</v>
      </c>
      <c r="C314" s="317"/>
      <c r="D314" s="304"/>
      <c r="E314" s="304">
        <f t="shared" si="402"/>
        <v>487</v>
      </c>
      <c r="F314" s="304">
        <f t="shared" si="395"/>
        <v>487</v>
      </c>
      <c r="G314" s="304">
        <f t="shared" si="396"/>
        <v>487</v>
      </c>
      <c r="H314" s="303">
        <f t="shared" si="399"/>
        <v>487</v>
      </c>
      <c r="I314" s="304"/>
      <c r="J314" s="304"/>
      <c r="K314" s="304"/>
      <c r="L314" s="304"/>
      <c r="M314" s="304"/>
      <c r="N314" s="304"/>
      <c r="O314" s="304"/>
      <c r="P314" s="304"/>
      <c r="Q314" s="304"/>
      <c r="R314" s="304"/>
      <c r="S314" s="304"/>
      <c r="T314" s="304"/>
      <c r="U314" s="304"/>
      <c r="V314" s="304"/>
      <c r="W314" s="303">
        <f t="shared" si="403"/>
        <v>487</v>
      </c>
      <c r="X314" s="304"/>
      <c r="Y314" s="304"/>
      <c r="Z314" s="304">
        <v>487</v>
      </c>
      <c r="AA314" s="304"/>
      <c r="AB314" s="304"/>
      <c r="AC314" s="304"/>
      <c r="AD314" s="304"/>
      <c r="AE314" s="304"/>
      <c r="AF314" s="1292"/>
      <c r="AG314" s="314">
        <f t="shared" si="355"/>
        <v>0</v>
      </c>
      <c r="AH314" s="696">
        <f t="shared" si="356"/>
        <v>0</v>
      </c>
      <c r="AI314" s="314">
        <f t="shared" si="357"/>
        <v>0</v>
      </c>
      <c r="AJ314" s="314">
        <f t="shared" si="358"/>
        <v>0</v>
      </c>
      <c r="AK314" s="314">
        <f t="shared" si="359"/>
        <v>0</v>
      </c>
      <c r="AL314" s="314">
        <f t="shared" si="360"/>
        <v>0</v>
      </c>
      <c r="AM314" s="314">
        <f t="shared" si="361"/>
        <v>0</v>
      </c>
      <c r="AN314" s="314">
        <f t="shared" si="362"/>
        <v>0</v>
      </c>
      <c r="AO314" s="314">
        <f t="shared" si="363"/>
        <v>0</v>
      </c>
      <c r="AP314" s="314">
        <f t="shared" si="364"/>
        <v>0</v>
      </c>
    </row>
    <row r="315" spans="1:42" ht="27.6" hidden="1" outlineLevel="3">
      <c r="A315" s="583" t="s">
        <v>281</v>
      </c>
      <c r="B315" s="1289" t="s">
        <v>2105</v>
      </c>
      <c r="C315" s="317"/>
      <c r="D315" s="304"/>
      <c r="E315" s="304">
        <f t="shared" si="402"/>
        <v>200</v>
      </c>
      <c r="F315" s="304">
        <f t="shared" si="395"/>
        <v>200</v>
      </c>
      <c r="G315" s="304">
        <f t="shared" si="396"/>
        <v>200</v>
      </c>
      <c r="H315" s="303">
        <f t="shared" si="399"/>
        <v>200</v>
      </c>
      <c r="I315" s="304"/>
      <c r="J315" s="304"/>
      <c r="K315" s="304"/>
      <c r="L315" s="304"/>
      <c r="M315" s="304"/>
      <c r="N315" s="304"/>
      <c r="O315" s="304"/>
      <c r="P315" s="304"/>
      <c r="Q315" s="304"/>
      <c r="R315" s="304"/>
      <c r="S315" s="304"/>
      <c r="T315" s="304"/>
      <c r="U315" s="304"/>
      <c r="V315" s="304"/>
      <c r="W315" s="303">
        <f t="shared" si="403"/>
        <v>200</v>
      </c>
      <c r="X315" s="304"/>
      <c r="Y315" s="304"/>
      <c r="Z315" s="304">
        <v>200</v>
      </c>
      <c r="AA315" s="304"/>
      <c r="AB315" s="304"/>
      <c r="AC315" s="304"/>
      <c r="AD315" s="304"/>
      <c r="AE315" s="304"/>
      <c r="AF315" s="1292"/>
      <c r="AG315" s="314">
        <f t="shared" si="355"/>
        <v>0</v>
      </c>
      <c r="AH315" s="696">
        <f t="shared" si="356"/>
        <v>0</v>
      </c>
      <c r="AI315" s="314">
        <f t="shared" si="357"/>
        <v>0</v>
      </c>
      <c r="AJ315" s="314">
        <f t="shared" si="358"/>
        <v>0</v>
      </c>
      <c r="AK315" s="314">
        <f t="shared" si="359"/>
        <v>0</v>
      </c>
      <c r="AL315" s="314">
        <f t="shared" si="360"/>
        <v>0</v>
      </c>
      <c r="AM315" s="314">
        <f t="shared" si="361"/>
        <v>0</v>
      </c>
      <c r="AN315" s="314">
        <f t="shared" si="362"/>
        <v>0</v>
      </c>
      <c r="AO315" s="314">
        <f t="shared" si="363"/>
        <v>0</v>
      </c>
      <c r="AP315" s="314">
        <f t="shared" si="364"/>
        <v>0</v>
      </c>
    </row>
    <row r="316" spans="1:42" ht="27.6" hidden="1" outlineLevel="3">
      <c r="A316" s="583" t="s">
        <v>281</v>
      </c>
      <c r="B316" s="1289" t="s">
        <v>2106</v>
      </c>
      <c r="C316" s="317"/>
      <c r="D316" s="304"/>
      <c r="E316" s="304">
        <f t="shared" si="402"/>
        <v>530</v>
      </c>
      <c r="F316" s="304">
        <f t="shared" si="395"/>
        <v>530</v>
      </c>
      <c r="G316" s="304">
        <f t="shared" si="396"/>
        <v>530</v>
      </c>
      <c r="H316" s="303">
        <f t="shared" si="399"/>
        <v>530</v>
      </c>
      <c r="I316" s="304"/>
      <c r="J316" s="304"/>
      <c r="K316" s="304"/>
      <c r="L316" s="304"/>
      <c r="M316" s="304"/>
      <c r="N316" s="304"/>
      <c r="O316" s="304"/>
      <c r="P316" s="304"/>
      <c r="Q316" s="304"/>
      <c r="R316" s="304"/>
      <c r="S316" s="304"/>
      <c r="T316" s="304"/>
      <c r="U316" s="304"/>
      <c r="V316" s="304"/>
      <c r="W316" s="303">
        <f t="shared" si="403"/>
        <v>530</v>
      </c>
      <c r="X316" s="304"/>
      <c r="Y316" s="304"/>
      <c r="Z316" s="304">
        <v>530</v>
      </c>
      <c r="AA316" s="304"/>
      <c r="AB316" s="304"/>
      <c r="AC316" s="304"/>
      <c r="AD316" s="304"/>
      <c r="AE316" s="304"/>
      <c r="AF316" s="1292"/>
      <c r="AG316" s="314">
        <f t="shared" si="355"/>
        <v>0</v>
      </c>
      <c r="AH316" s="696">
        <f t="shared" si="356"/>
        <v>0</v>
      </c>
      <c r="AI316" s="314">
        <f t="shared" si="357"/>
        <v>0</v>
      </c>
      <c r="AJ316" s="314">
        <f t="shared" si="358"/>
        <v>0</v>
      </c>
      <c r="AK316" s="314">
        <f t="shared" si="359"/>
        <v>0</v>
      </c>
      <c r="AL316" s="314">
        <f t="shared" si="360"/>
        <v>0</v>
      </c>
      <c r="AM316" s="314">
        <f t="shared" si="361"/>
        <v>0</v>
      </c>
      <c r="AN316" s="314">
        <f t="shared" si="362"/>
        <v>0</v>
      </c>
      <c r="AO316" s="314">
        <f t="shared" si="363"/>
        <v>0</v>
      </c>
      <c r="AP316" s="314">
        <f t="shared" si="364"/>
        <v>0</v>
      </c>
    </row>
    <row r="317" spans="1:42" ht="69" hidden="1" outlineLevel="3">
      <c r="A317" s="583" t="s">
        <v>281</v>
      </c>
      <c r="B317" s="1289" t="s">
        <v>2107</v>
      </c>
      <c r="C317" s="317"/>
      <c r="D317" s="304"/>
      <c r="E317" s="304">
        <f t="shared" si="402"/>
        <v>1100</v>
      </c>
      <c r="F317" s="304">
        <f t="shared" si="395"/>
        <v>1100</v>
      </c>
      <c r="G317" s="304">
        <f t="shared" si="396"/>
        <v>1100</v>
      </c>
      <c r="H317" s="303">
        <f t="shared" si="399"/>
        <v>1100</v>
      </c>
      <c r="I317" s="304"/>
      <c r="J317" s="304"/>
      <c r="K317" s="304"/>
      <c r="L317" s="304"/>
      <c r="M317" s="304"/>
      <c r="N317" s="304"/>
      <c r="O317" s="304"/>
      <c r="P317" s="304"/>
      <c r="Q317" s="304"/>
      <c r="R317" s="304"/>
      <c r="S317" s="304"/>
      <c r="T317" s="304"/>
      <c r="U317" s="304"/>
      <c r="V317" s="304"/>
      <c r="W317" s="303">
        <f t="shared" si="403"/>
        <v>1100</v>
      </c>
      <c r="X317" s="304"/>
      <c r="Y317" s="304"/>
      <c r="Z317" s="304">
        <v>1100</v>
      </c>
      <c r="AA317" s="304"/>
      <c r="AB317" s="304"/>
      <c r="AC317" s="304"/>
      <c r="AD317" s="304"/>
      <c r="AE317" s="304"/>
      <c r="AF317" s="1292"/>
      <c r="AG317" s="314">
        <f t="shared" si="355"/>
        <v>0</v>
      </c>
      <c r="AH317" s="696">
        <f t="shared" si="356"/>
        <v>0</v>
      </c>
      <c r="AI317" s="314">
        <f t="shared" si="357"/>
        <v>0</v>
      </c>
      <c r="AJ317" s="314">
        <f t="shared" si="358"/>
        <v>0</v>
      </c>
      <c r="AK317" s="314">
        <f t="shared" si="359"/>
        <v>0</v>
      </c>
      <c r="AL317" s="314">
        <f t="shared" si="360"/>
        <v>0</v>
      </c>
      <c r="AM317" s="314">
        <f t="shared" si="361"/>
        <v>0</v>
      </c>
      <c r="AN317" s="314">
        <f t="shared" si="362"/>
        <v>0</v>
      </c>
      <c r="AO317" s="314">
        <f t="shared" si="363"/>
        <v>0</v>
      </c>
      <c r="AP317" s="314">
        <f t="shared" si="364"/>
        <v>0</v>
      </c>
    </row>
    <row r="318" spans="1:42" ht="27.6" hidden="1" outlineLevel="3">
      <c r="A318" s="583" t="s">
        <v>281</v>
      </c>
      <c r="B318" s="1289" t="s">
        <v>2108</v>
      </c>
      <c r="C318" s="317"/>
      <c r="D318" s="304"/>
      <c r="E318" s="304">
        <f t="shared" si="402"/>
        <v>160</v>
      </c>
      <c r="F318" s="304">
        <f t="shared" si="395"/>
        <v>160</v>
      </c>
      <c r="G318" s="304">
        <f t="shared" si="396"/>
        <v>160</v>
      </c>
      <c r="H318" s="303">
        <f t="shared" si="399"/>
        <v>160</v>
      </c>
      <c r="I318" s="304"/>
      <c r="J318" s="304"/>
      <c r="K318" s="304"/>
      <c r="L318" s="304"/>
      <c r="M318" s="304"/>
      <c r="N318" s="304"/>
      <c r="O318" s="304"/>
      <c r="P318" s="304"/>
      <c r="Q318" s="304"/>
      <c r="R318" s="304"/>
      <c r="S318" s="304"/>
      <c r="T318" s="304"/>
      <c r="U318" s="304"/>
      <c r="V318" s="304"/>
      <c r="W318" s="303">
        <f t="shared" si="403"/>
        <v>160</v>
      </c>
      <c r="X318" s="304"/>
      <c r="Y318" s="304"/>
      <c r="Z318" s="304">
        <v>160</v>
      </c>
      <c r="AA318" s="304"/>
      <c r="AB318" s="304"/>
      <c r="AC318" s="304"/>
      <c r="AD318" s="304"/>
      <c r="AE318" s="304"/>
      <c r="AF318" s="1292"/>
      <c r="AG318" s="314">
        <f t="shared" si="355"/>
        <v>0</v>
      </c>
      <c r="AH318" s="696">
        <f t="shared" si="356"/>
        <v>0</v>
      </c>
      <c r="AI318" s="314">
        <f t="shared" si="357"/>
        <v>0</v>
      </c>
      <c r="AJ318" s="314">
        <f t="shared" si="358"/>
        <v>0</v>
      </c>
      <c r="AK318" s="314">
        <f t="shared" si="359"/>
        <v>0</v>
      </c>
      <c r="AL318" s="314">
        <f t="shared" si="360"/>
        <v>0</v>
      </c>
      <c r="AM318" s="314">
        <f t="shared" si="361"/>
        <v>0</v>
      </c>
      <c r="AN318" s="314">
        <f t="shared" si="362"/>
        <v>0</v>
      </c>
      <c r="AO318" s="314">
        <f t="shared" si="363"/>
        <v>0</v>
      </c>
      <c r="AP318" s="314">
        <f t="shared" si="364"/>
        <v>0</v>
      </c>
    </row>
    <row r="319" spans="1:42" ht="27.6" hidden="1" outlineLevel="3">
      <c r="A319" s="583" t="s">
        <v>281</v>
      </c>
      <c r="B319" s="1289" t="s">
        <v>2109</v>
      </c>
      <c r="C319" s="317"/>
      <c r="D319" s="304"/>
      <c r="E319" s="304">
        <f t="shared" si="402"/>
        <v>500</v>
      </c>
      <c r="F319" s="304">
        <f t="shared" si="395"/>
        <v>500</v>
      </c>
      <c r="G319" s="304">
        <f t="shared" si="396"/>
        <v>500</v>
      </c>
      <c r="H319" s="303">
        <f t="shared" si="399"/>
        <v>500</v>
      </c>
      <c r="I319" s="304"/>
      <c r="J319" s="304"/>
      <c r="K319" s="304"/>
      <c r="L319" s="304"/>
      <c r="M319" s="304"/>
      <c r="N319" s="304"/>
      <c r="O319" s="304"/>
      <c r="P319" s="304"/>
      <c r="Q319" s="304"/>
      <c r="R319" s="304"/>
      <c r="S319" s="304"/>
      <c r="T319" s="304"/>
      <c r="U319" s="304"/>
      <c r="V319" s="304"/>
      <c r="W319" s="303">
        <f t="shared" si="403"/>
        <v>500</v>
      </c>
      <c r="X319" s="304"/>
      <c r="Y319" s="304"/>
      <c r="Z319" s="304">
        <v>500</v>
      </c>
      <c r="AA319" s="304"/>
      <c r="AB319" s="304"/>
      <c r="AC319" s="304"/>
      <c r="AD319" s="304"/>
      <c r="AE319" s="304"/>
      <c r="AF319" s="1292"/>
      <c r="AG319" s="314">
        <f t="shared" si="355"/>
        <v>0</v>
      </c>
      <c r="AH319" s="696">
        <f t="shared" si="356"/>
        <v>0</v>
      </c>
      <c r="AI319" s="314">
        <f t="shared" si="357"/>
        <v>0</v>
      </c>
      <c r="AJ319" s="314">
        <f t="shared" si="358"/>
        <v>0</v>
      </c>
      <c r="AK319" s="314">
        <f t="shared" si="359"/>
        <v>0</v>
      </c>
      <c r="AL319" s="314">
        <f t="shared" si="360"/>
        <v>0</v>
      </c>
      <c r="AM319" s="314">
        <f t="shared" si="361"/>
        <v>0</v>
      </c>
      <c r="AN319" s="314">
        <f t="shared" si="362"/>
        <v>0</v>
      </c>
      <c r="AO319" s="314">
        <f t="shared" si="363"/>
        <v>0</v>
      </c>
      <c r="AP319" s="314">
        <f t="shared" si="364"/>
        <v>0</v>
      </c>
    </row>
    <row r="320" spans="1:42" ht="41.4" hidden="1" outlineLevel="3">
      <c r="A320" s="583" t="s">
        <v>281</v>
      </c>
      <c r="B320" s="1289" t="s">
        <v>2110</v>
      </c>
      <c r="C320" s="317"/>
      <c r="D320" s="304"/>
      <c r="E320" s="304">
        <f t="shared" si="402"/>
        <v>300</v>
      </c>
      <c r="F320" s="304">
        <f t="shared" si="395"/>
        <v>300</v>
      </c>
      <c r="G320" s="304">
        <f t="shared" si="396"/>
        <v>300</v>
      </c>
      <c r="H320" s="303">
        <f t="shared" si="399"/>
        <v>300</v>
      </c>
      <c r="I320" s="304"/>
      <c r="J320" s="304"/>
      <c r="K320" s="304"/>
      <c r="L320" s="304"/>
      <c r="M320" s="304"/>
      <c r="N320" s="304"/>
      <c r="O320" s="304"/>
      <c r="P320" s="304"/>
      <c r="Q320" s="304"/>
      <c r="R320" s="304"/>
      <c r="S320" s="304"/>
      <c r="T320" s="304"/>
      <c r="U320" s="304"/>
      <c r="V320" s="304"/>
      <c r="W320" s="303">
        <f t="shared" si="403"/>
        <v>300</v>
      </c>
      <c r="X320" s="304"/>
      <c r="Y320" s="304"/>
      <c r="Z320" s="304">
        <v>300</v>
      </c>
      <c r="AA320" s="304"/>
      <c r="AB320" s="304"/>
      <c r="AC320" s="304"/>
      <c r="AD320" s="304"/>
      <c r="AE320" s="304"/>
      <c r="AF320" s="1292"/>
      <c r="AG320" s="314">
        <f t="shared" si="355"/>
        <v>0</v>
      </c>
      <c r="AH320" s="696">
        <f t="shared" si="356"/>
        <v>0</v>
      </c>
      <c r="AI320" s="314">
        <f t="shared" si="357"/>
        <v>0</v>
      </c>
      <c r="AJ320" s="314">
        <f t="shared" si="358"/>
        <v>0</v>
      </c>
      <c r="AK320" s="314">
        <f t="shared" si="359"/>
        <v>0</v>
      </c>
      <c r="AL320" s="314">
        <f t="shared" si="360"/>
        <v>0</v>
      </c>
      <c r="AM320" s="314">
        <f t="shared" si="361"/>
        <v>0</v>
      </c>
      <c r="AN320" s="314">
        <f t="shared" si="362"/>
        <v>0</v>
      </c>
      <c r="AO320" s="314">
        <f t="shared" si="363"/>
        <v>0</v>
      </c>
      <c r="AP320" s="314">
        <f t="shared" si="364"/>
        <v>0</v>
      </c>
    </row>
    <row r="321" spans="1:42" ht="41.4" hidden="1" outlineLevel="3">
      <c r="A321" s="583" t="s">
        <v>281</v>
      </c>
      <c r="B321" s="1289" t="s">
        <v>2111</v>
      </c>
      <c r="C321" s="317"/>
      <c r="D321" s="304"/>
      <c r="E321" s="304">
        <f t="shared" si="402"/>
        <v>300</v>
      </c>
      <c r="F321" s="304">
        <f t="shared" si="395"/>
        <v>300</v>
      </c>
      <c r="G321" s="304">
        <f t="shared" si="396"/>
        <v>300</v>
      </c>
      <c r="H321" s="303">
        <f t="shared" si="399"/>
        <v>300</v>
      </c>
      <c r="I321" s="304"/>
      <c r="J321" s="304"/>
      <c r="K321" s="304"/>
      <c r="L321" s="304"/>
      <c r="M321" s="304"/>
      <c r="N321" s="304"/>
      <c r="O321" s="304"/>
      <c r="P321" s="304"/>
      <c r="Q321" s="304"/>
      <c r="R321" s="304"/>
      <c r="S321" s="304"/>
      <c r="T321" s="304"/>
      <c r="U321" s="304"/>
      <c r="V321" s="304"/>
      <c r="W321" s="303">
        <f t="shared" si="403"/>
        <v>300</v>
      </c>
      <c r="X321" s="304"/>
      <c r="Y321" s="304"/>
      <c r="Z321" s="304">
        <v>300</v>
      </c>
      <c r="AA321" s="304"/>
      <c r="AB321" s="304"/>
      <c r="AC321" s="304"/>
      <c r="AD321" s="304"/>
      <c r="AE321" s="304"/>
      <c r="AF321" s="1292"/>
      <c r="AG321" s="314">
        <f t="shared" si="355"/>
        <v>0</v>
      </c>
      <c r="AH321" s="696">
        <f t="shared" si="356"/>
        <v>0</v>
      </c>
      <c r="AI321" s="314">
        <f t="shared" si="357"/>
        <v>0</v>
      </c>
      <c r="AJ321" s="314">
        <f t="shared" si="358"/>
        <v>0</v>
      </c>
      <c r="AK321" s="314">
        <f t="shared" si="359"/>
        <v>0</v>
      </c>
      <c r="AL321" s="314">
        <f t="shared" si="360"/>
        <v>0</v>
      </c>
      <c r="AM321" s="314">
        <f t="shared" si="361"/>
        <v>0</v>
      </c>
      <c r="AN321" s="314">
        <f t="shared" si="362"/>
        <v>0</v>
      </c>
      <c r="AO321" s="314">
        <f t="shared" si="363"/>
        <v>0</v>
      </c>
      <c r="AP321" s="314">
        <f t="shared" si="364"/>
        <v>0</v>
      </c>
    </row>
    <row r="322" spans="1:42" ht="27.6" hidden="1" outlineLevel="3">
      <c r="A322" s="583" t="s">
        <v>281</v>
      </c>
      <c r="B322" s="1289" t="s">
        <v>2112</v>
      </c>
      <c r="C322" s="317"/>
      <c r="D322" s="304"/>
      <c r="E322" s="304">
        <f t="shared" si="402"/>
        <v>800</v>
      </c>
      <c r="F322" s="304">
        <f t="shared" si="395"/>
        <v>800</v>
      </c>
      <c r="G322" s="304">
        <f t="shared" si="396"/>
        <v>800</v>
      </c>
      <c r="H322" s="303">
        <f t="shared" si="399"/>
        <v>800</v>
      </c>
      <c r="I322" s="304"/>
      <c r="J322" s="304"/>
      <c r="K322" s="304"/>
      <c r="L322" s="304"/>
      <c r="M322" s="304"/>
      <c r="N322" s="304"/>
      <c r="O322" s="304"/>
      <c r="P322" s="304"/>
      <c r="Q322" s="304"/>
      <c r="R322" s="304"/>
      <c r="S322" s="304"/>
      <c r="T322" s="304"/>
      <c r="U322" s="304"/>
      <c r="V322" s="304"/>
      <c r="W322" s="303">
        <f t="shared" si="403"/>
        <v>800</v>
      </c>
      <c r="X322" s="304"/>
      <c r="Y322" s="304"/>
      <c r="Z322" s="304">
        <v>800</v>
      </c>
      <c r="AA322" s="304"/>
      <c r="AB322" s="304"/>
      <c r="AC322" s="304"/>
      <c r="AD322" s="304"/>
      <c r="AE322" s="304"/>
      <c r="AF322" s="1292"/>
      <c r="AG322" s="314">
        <f t="shared" si="355"/>
        <v>0</v>
      </c>
      <c r="AH322" s="696">
        <f t="shared" si="356"/>
        <v>0</v>
      </c>
      <c r="AI322" s="314">
        <f t="shared" si="357"/>
        <v>0</v>
      </c>
      <c r="AJ322" s="314">
        <f t="shared" si="358"/>
        <v>0</v>
      </c>
      <c r="AK322" s="314">
        <f t="shared" si="359"/>
        <v>0</v>
      </c>
      <c r="AL322" s="314">
        <f t="shared" si="360"/>
        <v>0</v>
      </c>
      <c r="AM322" s="314">
        <f t="shared" si="361"/>
        <v>0</v>
      </c>
      <c r="AN322" s="314">
        <f t="shared" si="362"/>
        <v>0</v>
      </c>
      <c r="AO322" s="314">
        <f t="shared" si="363"/>
        <v>0</v>
      </c>
      <c r="AP322" s="314">
        <f t="shared" si="364"/>
        <v>0</v>
      </c>
    </row>
    <row r="323" spans="1:42" hidden="1" outlineLevel="3">
      <c r="A323" s="583" t="s">
        <v>281</v>
      </c>
      <c r="B323" s="1289" t="s">
        <v>2113</v>
      </c>
      <c r="C323" s="317"/>
      <c r="D323" s="304"/>
      <c r="E323" s="304">
        <f t="shared" si="402"/>
        <v>700</v>
      </c>
      <c r="F323" s="304">
        <f t="shared" si="395"/>
        <v>700</v>
      </c>
      <c r="G323" s="304">
        <f t="shared" si="396"/>
        <v>700</v>
      </c>
      <c r="H323" s="303">
        <f t="shared" si="399"/>
        <v>700</v>
      </c>
      <c r="I323" s="304"/>
      <c r="J323" s="304"/>
      <c r="K323" s="304"/>
      <c r="L323" s="304"/>
      <c r="M323" s="304"/>
      <c r="N323" s="304"/>
      <c r="O323" s="304"/>
      <c r="P323" s="304"/>
      <c r="Q323" s="304"/>
      <c r="R323" s="304"/>
      <c r="S323" s="304"/>
      <c r="T323" s="304"/>
      <c r="U323" s="304"/>
      <c r="V323" s="304"/>
      <c r="W323" s="303">
        <f t="shared" si="403"/>
        <v>700</v>
      </c>
      <c r="X323" s="304"/>
      <c r="Y323" s="304"/>
      <c r="Z323" s="304">
        <v>700</v>
      </c>
      <c r="AA323" s="304"/>
      <c r="AB323" s="304"/>
      <c r="AC323" s="304"/>
      <c r="AD323" s="304"/>
      <c r="AE323" s="304"/>
      <c r="AF323" s="1292"/>
      <c r="AG323" s="314">
        <f t="shared" si="355"/>
        <v>0</v>
      </c>
      <c r="AH323" s="696">
        <f t="shared" si="356"/>
        <v>0</v>
      </c>
      <c r="AI323" s="314">
        <f t="shared" si="357"/>
        <v>0</v>
      </c>
      <c r="AJ323" s="314">
        <f t="shared" si="358"/>
        <v>0</v>
      </c>
      <c r="AK323" s="314">
        <f t="shared" si="359"/>
        <v>0</v>
      </c>
      <c r="AL323" s="314">
        <f t="shared" si="360"/>
        <v>0</v>
      </c>
      <c r="AM323" s="314">
        <f t="shared" si="361"/>
        <v>0</v>
      </c>
      <c r="AN323" s="314">
        <f t="shared" si="362"/>
        <v>0</v>
      </c>
      <c r="AO323" s="314">
        <f t="shared" si="363"/>
        <v>0</v>
      </c>
      <c r="AP323" s="314">
        <f t="shared" si="364"/>
        <v>0</v>
      </c>
    </row>
    <row r="324" spans="1:42" ht="27.6" hidden="1" outlineLevel="3">
      <c r="A324" s="583" t="s">
        <v>281</v>
      </c>
      <c r="B324" s="1289" t="s">
        <v>2114</v>
      </c>
      <c r="C324" s="317"/>
      <c r="D324" s="304"/>
      <c r="E324" s="304">
        <f t="shared" si="402"/>
        <v>63</v>
      </c>
      <c r="F324" s="304">
        <f t="shared" si="395"/>
        <v>63</v>
      </c>
      <c r="G324" s="304">
        <f t="shared" si="396"/>
        <v>63</v>
      </c>
      <c r="H324" s="303">
        <f t="shared" si="399"/>
        <v>63</v>
      </c>
      <c r="I324" s="304"/>
      <c r="J324" s="304"/>
      <c r="K324" s="304"/>
      <c r="L324" s="304"/>
      <c r="M324" s="304"/>
      <c r="N324" s="304"/>
      <c r="O324" s="304"/>
      <c r="P324" s="304"/>
      <c r="Q324" s="304"/>
      <c r="R324" s="304"/>
      <c r="S324" s="304"/>
      <c r="T324" s="304"/>
      <c r="U324" s="304"/>
      <c r="V324" s="304"/>
      <c r="W324" s="303">
        <f t="shared" si="403"/>
        <v>63</v>
      </c>
      <c r="X324" s="304"/>
      <c r="Y324" s="304"/>
      <c r="Z324" s="304">
        <v>63</v>
      </c>
      <c r="AA324" s="304"/>
      <c r="AB324" s="304"/>
      <c r="AC324" s="304"/>
      <c r="AD324" s="304"/>
      <c r="AE324" s="304"/>
      <c r="AF324" s="1292"/>
      <c r="AG324" s="314">
        <f t="shared" si="355"/>
        <v>0</v>
      </c>
      <c r="AH324" s="696">
        <f t="shared" si="356"/>
        <v>0</v>
      </c>
      <c r="AI324" s="314">
        <f t="shared" si="357"/>
        <v>0</v>
      </c>
      <c r="AJ324" s="314">
        <f t="shared" si="358"/>
        <v>0</v>
      </c>
      <c r="AK324" s="314">
        <f t="shared" si="359"/>
        <v>0</v>
      </c>
      <c r="AL324" s="314">
        <f t="shared" si="360"/>
        <v>0</v>
      </c>
      <c r="AM324" s="314">
        <f t="shared" si="361"/>
        <v>0</v>
      </c>
      <c r="AN324" s="314">
        <f t="shared" si="362"/>
        <v>0</v>
      </c>
      <c r="AO324" s="314">
        <f t="shared" si="363"/>
        <v>0</v>
      </c>
      <c r="AP324" s="314">
        <f t="shared" si="364"/>
        <v>0</v>
      </c>
    </row>
    <row r="325" spans="1:42" ht="41.4" hidden="1" outlineLevel="3">
      <c r="A325" s="583" t="s">
        <v>281</v>
      </c>
      <c r="B325" s="1289" t="s">
        <v>2444</v>
      </c>
      <c r="C325" s="317"/>
      <c r="D325" s="304"/>
      <c r="E325" s="304">
        <f t="shared" si="402"/>
        <v>150</v>
      </c>
      <c r="F325" s="304">
        <f t="shared" si="395"/>
        <v>150</v>
      </c>
      <c r="G325" s="304">
        <f t="shared" si="396"/>
        <v>150</v>
      </c>
      <c r="H325" s="303">
        <f t="shared" si="399"/>
        <v>150</v>
      </c>
      <c r="I325" s="304"/>
      <c r="J325" s="304"/>
      <c r="K325" s="304"/>
      <c r="L325" s="304"/>
      <c r="M325" s="304"/>
      <c r="N325" s="304"/>
      <c r="O325" s="304"/>
      <c r="P325" s="304"/>
      <c r="Q325" s="304"/>
      <c r="R325" s="304"/>
      <c r="S325" s="304"/>
      <c r="T325" s="304"/>
      <c r="U325" s="304"/>
      <c r="V325" s="304"/>
      <c r="W325" s="303">
        <f t="shared" si="403"/>
        <v>150</v>
      </c>
      <c r="X325" s="304"/>
      <c r="Y325" s="304"/>
      <c r="Z325" s="304">
        <v>150</v>
      </c>
      <c r="AA325" s="304"/>
      <c r="AB325" s="304"/>
      <c r="AC325" s="304"/>
      <c r="AD325" s="304"/>
      <c r="AE325" s="304"/>
      <c r="AF325" s="1292"/>
      <c r="AG325" s="314">
        <f t="shared" si="355"/>
        <v>0</v>
      </c>
      <c r="AH325" s="696">
        <f t="shared" si="356"/>
        <v>0</v>
      </c>
      <c r="AI325" s="314">
        <f t="shared" si="357"/>
        <v>0</v>
      </c>
      <c r="AJ325" s="314">
        <f t="shared" si="358"/>
        <v>0</v>
      </c>
      <c r="AK325" s="314">
        <f t="shared" si="359"/>
        <v>0</v>
      </c>
      <c r="AL325" s="314">
        <f t="shared" si="360"/>
        <v>0</v>
      </c>
      <c r="AM325" s="314">
        <f t="shared" si="361"/>
        <v>0</v>
      </c>
      <c r="AN325" s="314">
        <f t="shared" si="362"/>
        <v>0</v>
      </c>
      <c r="AO325" s="314">
        <f t="shared" si="363"/>
        <v>0</v>
      </c>
      <c r="AP325" s="314">
        <f t="shared" si="364"/>
        <v>0</v>
      </c>
    </row>
    <row r="326" spans="1:42" ht="55.2" hidden="1" outlineLevel="3">
      <c r="A326" s="583" t="s">
        <v>281</v>
      </c>
      <c r="B326" s="1289" t="s">
        <v>2115</v>
      </c>
      <c r="C326" s="317"/>
      <c r="D326" s="304"/>
      <c r="E326" s="304">
        <f t="shared" si="402"/>
        <v>400</v>
      </c>
      <c r="F326" s="304">
        <f t="shared" si="395"/>
        <v>400</v>
      </c>
      <c r="G326" s="304">
        <f t="shared" si="396"/>
        <v>400</v>
      </c>
      <c r="H326" s="303">
        <f t="shared" si="399"/>
        <v>400</v>
      </c>
      <c r="I326" s="304"/>
      <c r="J326" s="304"/>
      <c r="K326" s="304"/>
      <c r="L326" s="304"/>
      <c r="M326" s="304"/>
      <c r="N326" s="304"/>
      <c r="O326" s="304"/>
      <c r="P326" s="304"/>
      <c r="Q326" s="304"/>
      <c r="R326" s="304"/>
      <c r="S326" s="304"/>
      <c r="T326" s="304"/>
      <c r="U326" s="304"/>
      <c r="V326" s="304"/>
      <c r="W326" s="303">
        <f t="shared" si="403"/>
        <v>400</v>
      </c>
      <c r="X326" s="304"/>
      <c r="Y326" s="304"/>
      <c r="Z326" s="304">
        <v>400</v>
      </c>
      <c r="AA326" s="304"/>
      <c r="AB326" s="304"/>
      <c r="AC326" s="304"/>
      <c r="AD326" s="304"/>
      <c r="AE326" s="304"/>
      <c r="AF326" s="1292"/>
      <c r="AG326" s="314">
        <f t="shared" si="355"/>
        <v>0</v>
      </c>
      <c r="AH326" s="696">
        <f t="shared" si="356"/>
        <v>0</v>
      </c>
      <c r="AI326" s="314">
        <f t="shared" si="357"/>
        <v>0</v>
      </c>
      <c r="AJ326" s="314">
        <f t="shared" si="358"/>
        <v>0</v>
      </c>
      <c r="AK326" s="314">
        <f t="shared" si="359"/>
        <v>0</v>
      </c>
      <c r="AL326" s="314">
        <f t="shared" si="360"/>
        <v>0</v>
      </c>
      <c r="AM326" s="314">
        <f t="shared" si="361"/>
        <v>0</v>
      </c>
      <c r="AN326" s="314">
        <f t="shared" si="362"/>
        <v>0</v>
      </c>
      <c r="AO326" s="314">
        <f t="shared" si="363"/>
        <v>0</v>
      </c>
      <c r="AP326" s="314">
        <f t="shared" si="364"/>
        <v>0</v>
      </c>
    </row>
    <row r="327" spans="1:42" ht="69" hidden="1" outlineLevel="3">
      <c r="A327" s="583" t="s">
        <v>281</v>
      </c>
      <c r="B327" s="1289" t="s">
        <v>2116</v>
      </c>
      <c r="C327" s="317"/>
      <c r="D327" s="304"/>
      <c r="E327" s="304">
        <f t="shared" si="402"/>
        <v>300</v>
      </c>
      <c r="F327" s="304">
        <f t="shared" si="395"/>
        <v>300</v>
      </c>
      <c r="G327" s="304">
        <f t="shared" si="396"/>
        <v>300</v>
      </c>
      <c r="H327" s="303">
        <f t="shared" si="399"/>
        <v>300</v>
      </c>
      <c r="I327" s="304"/>
      <c r="J327" s="304"/>
      <c r="K327" s="304"/>
      <c r="L327" s="304"/>
      <c r="M327" s="304"/>
      <c r="N327" s="304"/>
      <c r="O327" s="304"/>
      <c r="P327" s="304"/>
      <c r="Q327" s="304"/>
      <c r="R327" s="304"/>
      <c r="S327" s="304"/>
      <c r="T327" s="304"/>
      <c r="U327" s="304"/>
      <c r="V327" s="304"/>
      <c r="W327" s="303">
        <f t="shared" si="403"/>
        <v>300</v>
      </c>
      <c r="X327" s="304"/>
      <c r="Y327" s="304"/>
      <c r="Z327" s="304">
        <v>300</v>
      </c>
      <c r="AA327" s="304"/>
      <c r="AB327" s="304"/>
      <c r="AC327" s="304"/>
      <c r="AD327" s="304"/>
      <c r="AE327" s="304"/>
      <c r="AF327" s="1292"/>
      <c r="AG327" s="314">
        <f t="shared" si="355"/>
        <v>0</v>
      </c>
      <c r="AH327" s="696">
        <f t="shared" si="356"/>
        <v>0</v>
      </c>
      <c r="AI327" s="314">
        <f t="shared" si="357"/>
        <v>0</v>
      </c>
      <c r="AJ327" s="314">
        <f t="shared" si="358"/>
        <v>0</v>
      </c>
      <c r="AK327" s="314">
        <f t="shared" si="359"/>
        <v>0</v>
      </c>
      <c r="AL327" s="314">
        <f t="shared" si="360"/>
        <v>0</v>
      </c>
      <c r="AM327" s="314">
        <f t="shared" si="361"/>
        <v>0</v>
      </c>
      <c r="AN327" s="314">
        <f t="shared" si="362"/>
        <v>0</v>
      </c>
      <c r="AO327" s="314">
        <f t="shared" si="363"/>
        <v>0</v>
      </c>
      <c r="AP327" s="314">
        <f t="shared" si="364"/>
        <v>0</v>
      </c>
    </row>
    <row r="328" spans="1:42" ht="27.6" hidden="1" outlineLevel="3">
      <c r="A328" s="583" t="s">
        <v>281</v>
      </c>
      <c r="B328" s="1289" t="s">
        <v>2117</v>
      </c>
      <c r="C328" s="317"/>
      <c r="D328" s="304"/>
      <c r="E328" s="304">
        <f t="shared" si="402"/>
        <v>200</v>
      </c>
      <c r="F328" s="304">
        <f t="shared" si="395"/>
        <v>200</v>
      </c>
      <c r="G328" s="304">
        <f t="shared" si="396"/>
        <v>200</v>
      </c>
      <c r="H328" s="303">
        <f t="shared" si="399"/>
        <v>200</v>
      </c>
      <c r="I328" s="304"/>
      <c r="J328" s="304"/>
      <c r="K328" s="304"/>
      <c r="L328" s="304"/>
      <c r="M328" s="304"/>
      <c r="N328" s="304"/>
      <c r="O328" s="304"/>
      <c r="P328" s="304"/>
      <c r="Q328" s="304"/>
      <c r="R328" s="304"/>
      <c r="S328" s="304"/>
      <c r="T328" s="304"/>
      <c r="U328" s="304"/>
      <c r="V328" s="304"/>
      <c r="W328" s="303">
        <f t="shared" si="403"/>
        <v>200</v>
      </c>
      <c r="X328" s="304"/>
      <c r="Y328" s="304"/>
      <c r="Z328" s="304">
        <v>200</v>
      </c>
      <c r="AA328" s="304"/>
      <c r="AB328" s="304"/>
      <c r="AC328" s="304"/>
      <c r="AD328" s="304"/>
      <c r="AE328" s="304"/>
      <c r="AF328" s="1292"/>
      <c r="AG328" s="314">
        <f t="shared" si="355"/>
        <v>0</v>
      </c>
      <c r="AH328" s="696">
        <f t="shared" si="356"/>
        <v>0</v>
      </c>
      <c r="AI328" s="314">
        <f t="shared" si="357"/>
        <v>0</v>
      </c>
      <c r="AJ328" s="314">
        <f t="shared" si="358"/>
        <v>0</v>
      </c>
      <c r="AK328" s="314">
        <f t="shared" si="359"/>
        <v>0</v>
      </c>
      <c r="AL328" s="314">
        <f t="shared" si="360"/>
        <v>0</v>
      </c>
      <c r="AM328" s="314">
        <f t="shared" si="361"/>
        <v>0</v>
      </c>
      <c r="AN328" s="314">
        <f t="shared" si="362"/>
        <v>0</v>
      </c>
      <c r="AO328" s="314">
        <f t="shared" si="363"/>
        <v>0</v>
      </c>
      <c r="AP328" s="314">
        <f t="shared" si="364"/>
        <v>0</v>
      </c>
    </row>
    <row r="329" spans="1:42" ht="82.8" hidden="1" outlineLevel="3">
      <c r="A329" s="583" t="s">
        <v>281</v>
      </c>
      <c r="B329" s="1289" t="s">
        <v>2118</v>
      </c>
      <c r="C329" s="317"/>
      <c r="D329" s="304"/>
      <c r="E329" s="304">
        <f t="shared" si="402"/>
        <v>265</v>
      </c>
      <c r="F329" s="304">
        <f t="shared" si="395"/>
        <v>265</v>
      </c>
      <c r="G329" s="304">
        <f t="shared" si="396"/>
        <v>265</v>
      </c>
      <c r="H329" s="303">
        <f t="shared" si="399"/>
        <v>265</v>
      </c>
      <c r="I329" s="304"/>
      <c r="J329" s="304"/>
      <c r="K329" s="304"/>
      <c r="L329" s="304"/>
      <c r="M329" s="304"/>
      <c r="N329" s="304"/>
      <c r="O329" s="304"/>
      <c r="P329" s="304"/>
      <c r="Q329" s="304"/>
      <c r="R329" s="304"/>
      <c r="S329" s="304"/>
      <c r="T329" s="304"/>
      <c r="U329" s="304"/>
      <c r="V329" s="304"/>
      <c r="W329" s="303">
        <f t="shared" si="403"/>
        <v>265</v>
      </c>
      <c r="X329" s="304"/>
      <c r="Y329" s="304"/>
      <c r="Z329" s="304">
        <v>265</v>
      </c>
      <c r="AA329" s="304"/>
      <c r="AB329" s="304"/>
      <c r="AC329" s="304"/>
      <c r="AD329" s="304"/>
      <c r="AE329" s="304"/>
      <c r="AF329" s="1292" t="s">
        <v>2119</v>
      </c>
      <c r="AG329" s="314">
        <f t="shared" si="355"/>
        <v>0</v>
      </c>
      <c r="AH329" s="696">
        <f t="shared" si="356"/>
        <v>0</v>
      </c>
      <c r="AI329" s="314">
        <f t="shared" si="357"/>
        <v>0</v>
      </c>
      <c r="AJ329" s="314">
        <f t="shared" si="358"/>
        <v>0</v>
      </c>
      <c r="AK329" s="314">
        <f t="shared" si="359"/>
        <v>0</v>
      </c>
      <c r="AL329" s="314">
        <f t="shared" si="360"/>
        <v>0</v>
      </c>
      <c r="AM329" s="314">
        <f t="shared" si="361"/>
        <v>0</v>
      </c>
      <c r="AN329" s="314">
        <f t="shared" si="362"/>
        <v>0</v>
      </c>
      <c r="AO329" s="314">
        <f t="shared" si="363"/>
        <v>0</v>
      </c>
      <c r="AP329" s="314">
        <f t="shared" si="364"/>
        <v>0</v>
      </c>
    </row>
    <row r="330" spans="1:42" ht="41.4" hidden="1" outlineLevel="3">
      <c r="A330" s="583" t="s">
        <v>281</v>
      </c>
      <c r="B330" s="1289" t="s">
        <v>2120</v>
      </c>
      <c r="C330" s="317"/>
      <c r="D330" s="304"/>
      <c r="E330" s="304">
        <f t="shared" si="402"/>
        <v>2331.7219999999998</v>
      </c>
      <c r="F330" s="304">
        <f t="shared" si="395"/>
        <v>2331.7219999999998</v>
      </c>
      <c r="G330" s="304">
        <f t="shared" si="396"/>
        <v>2331.7219999999998</v>
      </c>
      <c r="H330" s="303">
        <f t="shared" si="399"/>
        <v>2331.7219999999998</v>
      </c>
      <c r="I330" s="304"/>
      <c r="J330" s="304"/>
      <c r="K330" s="304"/>
      <c r="L330" s="304"/>
      <c r="M330" s="304"/>
      <c r="N330" s="304"/>
      <c r="O330" s="304"/>
      <c r="P330" s="304"/>
      <c r="Q330" s="304"/>
      <c r="R330" s="304"/>
      <c r="S330" s="304"/>
      <c r="T330" s="304"/>
      <c r="U330" s="304"/>
      <c r="V330" s="304"/>
      <c r="W330" s="303">
        <f t="shared" si="403"/>
        <v>2331.7219999999998</v>
      </c>
      <c r="X330" s="304"/>
      <c r="Y330" s="304"/>
      <c r="Z330" s="1291">
        <f>Z304-SUM(Z305:Z329)</f>
        <v>1370.7219999999998</v>
      </c>
      <c r="AA330" s="304">
        <v>961</v>
      </c>
      <c r="AB330" s="304"/>
      <c r="AC330" s="304"/>
      <c r="AD330" s="304"/>
      <c r="AE330" s="304"/>
      <c r="AF330" s="1292"/>
      <c r="AG330" s="314">
        <f t="shared" si="355"/>
        <v>0</v>
      </c>
      <c r="AH330" s="696">
        <f t="shared" si="356"/>
        <v>0</v>
      </c>
      <c r="AI330" s="314">
        <f t="shared" si="357"/>
        <v>0</v>
      </c>
      <c r="AJ330" s="314">
        <f t="shared" si="358"/>
        <v>0</v>
      </c>
      <c r="AK330" s="314">
        <f t="shared" si="359"/>
        <v>0</v>
      </c>
      <c r="AL330" s="314">
        <f t="shared" si="360"/>
        <v>0</v>
      </c>
      <c r="AM330" s="314">
        <f t="shared" si="361"/>
        <v>0</v>
      </c>
      <c r="AN330" s="314">
        <f t="shared" si="362"/>
        <v>0</v>
      </c>
      <c r="AO330" s="314">
        <f t="shared" si="363"/>
        <v>0</v>
      </c>
      <c r="AP330" s="314">
        <f t="shared" si="364"/>
        <v>0</v>
      </c>
    </row>
    <row r="331" spans="1:42" ht="110.4" outlineLevel="1" collapsed="1">
      <c r="A331" s="583" t="s">
        <v>23</v>
      </c>
      <c r="B331" s="1289" t="s">
        <v>2303</v>
      </c>
      <c r="C331" s="317"/>
      <c r="D331" s="304">
        <v>1150</v>
      </c>
      <c r="E331" s="304">
        <f t="shared" si="401"/>
        <v>1000</v>
      </c>
      <c r="F331" s="304">
        <f t="shared" si="395"/>
        <v>1000</v>
      </c>
      <c r="G331" s="304">
        <f t="shared" si="396"/>
        <v>-150</v>
      </c>
      <c r="H331" s="303">
        <f t="shared" si="399"/>
        <v>1000</v>
      </c>
      <c r="I331" s="303"/>
      <c r="J331" s="294"/>
      <c r="K331" s="294"/>
      <c r="L331" s="294"/>
      <c r="M331" s="304"/>
      <c r="N331" s="294"/>
      <c r="O331" s="294"/>
      <c r="P331" s="303"/>
      <c r="Q331" s="303"/>
      <c r="R331" s="305"/>
      <c r="S331" s="304"/>
      <c r="T331" s="303"/>
      <c r="U331" s="304"/>
      <c r="V331" s="304"/>
      <c r="W331" s="303">
        <f t="shared" si="403"/>
        <v>1000</v>
      </c>
      <c r="X331" s="304"/>
      <c r="Y331" s="304"/>
      <c r="Z331" s="304"/>
      <c r="AA331" s="304">
        <v>1000</v>
      </c>
      <c r="AB331" s="304"/>
      <c r="AC331" s="304"/>
      <c r="AD331" s="304"/>
      <c r="AE331" s="304"/>
      <c r="AF331" s="1292"/>
      <c r="AG331" s="314">
        <f t="shared" si="355"/>
        <v>0</v>
      </c>
      <c r="AH331" s="696">
        <f t="shared" si="356"/>
        <v>0</v>
      </c>
      <c r="AI331" s="314">
        <f t="shared" si="357"/>
        <v>0</v>
      </c>
      <c r="AJ331" s="314">
        <f t="shared" si="358"/>
        <v>0</v>
      </c>
      <c r="AK331" s="314">
        <f t="shared" si="359"/>
        <v>0</v>
      </c>
      <c r="AL331" s="314">
        <f t="shared" si="360"/>
        <v>0</v>
      </c>
      <c r="AM331" s="314">
        <f t="shared" si="361"/>
        <v>0</v>
      </c>
      <c r="AN331" s="314">
        <f t="shared" si="362"/>
        <v>0</v>
      </c>
      <c r="AO331" s="314">
        <f t="shared" si="363"/>
        <v>0</v>
      </c>
      <c r="AP331" s="314">
        <f t="shared" si="364"/>
        <v>0</v>
      </c>
    </row>
    <row r="332" spans="1:42" ht="138" outlineLevel="1">
      <c r="A332" s="583" t="s">
        <v>23</v>
      </c>
      <c r="B332" s="1289" t="s">
        <v>2400</v>
      </c>
      <c r="C332" s="317"/>
      <c r="D332" s="304"/>
      <c r="E332" s="304">
        <f t="shared" si="401"/>
        <v>495</v>
      </c>
      <c r="F332" s="304">
        <f t="shared" si="395"/>
        <v>495</v>
      </c>
      <c r="G332" s="304">
        <f t="shared" si="396"/>
        <v>495</v>
      </c>
      <c r="H332" s="303">
        <f t="shared" si="399"/>
        <v>495</v>
      </c>
      <c r="I332" s="303"/>
      <c r="J332" s="294"/>
      <c r="K332" s="294"/>
      <c r="L332" s="294"/>
      <c r="M332" s="304"/>
      <c r="N332" s="294"/>
      <c r="O332" s="294"/>
      <c r="P332" s="303"/>
      <c r="Q332" s="303"/>
      <c r="R332" s="305"/>
      <c r="S332" s="304"/>
      <c r="T332" s="303"/>
      <c r="U332" s="304"/>
      <c r="V332" s="304"/>
      <c r="W332" s="303">
        <f t="shared" si="403"/>
        <v>495</v>
      </c>
      <c r="X332" s="304"/>
      <c r="Y332" s="304"/>
      <c r="Z332" s="304"/>
      <c r="AA332" s="304">
        <v>495</v>
      </c>
      <c r="AB332" s="304"/>
      <c r="AC332" s="304"/>
      <c r="AD332" s="304"/>
      <c r="AE332" s="304"/>
      <c r="AF332" s="1292" t="s">
        <v>2551</v>
      </c>
      <c r="AG332" s="314">
        <f t="shared" si="355"/>
        <v>0</v>
      </c>
      <c r="AH332" s="696">
        <f t="shared" si="356"/>
        <v>0</v>
      </c>
      <c r="AI332" s="314">
        <f t="shared" si="357"/>
        <v>0</v>
      </c>
      <c r="AJ332" s="314">
        <f t="shared" si="358"/>
        <v>0</v>
      </c>
      <c r="AK332" s="314">
        <f t="shared" si="359"/>
        <v>0</v>
      </c>
      <c r="AL332" s="314">
        <f t="shared" si="360"/>
        <v>0</v>
      </c>
      <c r="AM332" s="314">
        <f t="shared" si="361"/>
        <v>0</v>
      </c>
      <c r="AN332" s="314">
        <f t="shared" si="362"/>
        <v>0</v>
      </c>
      <c r="AO332" s="314">
        <f t="shared" si="363"/>
        <v>0</v>
      </c>
      <c r="AP332" s="314">
        <f t="shared" si="364"/>
        <v>0</v>
      </c>
    </row>
    <row r="333" spans="1:42" ht="41.4" outlineLevel="1">
      <c r="A333" s="583" t="s">
        <v>23</v>
      </c>
      <c r="B333" s="1289" t="s">
        <v>2188</v>
      </c>
      <c r="C333" s="317"/>
      <c r="D333" s="304"/>
      <c r="E333" s="304">
        <f t="shared" si="401"/>
        <v>441</v>
      </c>
      <c r="F333" s="304">
        <f t="shared" si="395"/>
        <v>441</v>
      </c>
      <c r="G333" s="304">
        <f t="shared" si="396"/>
        <v>441</v>
      </c>
      <c r="H333" s="303">
        <f t="shared" si="399"/>
        <v>441</v>
      </c>
      <c r="I333" s="303"/>
      <c r="J333" s="294"/>
      <c r="K333" s="294"/>
      <c r="L333" s="294"/>
      <c r="M333" s="304"/>
      <c r="N333" s="294"/>
      <c r="O333" s="294"/>
      <c r="P333" s="303"/>
      <c r="Q333" s="303"/>
      <c r="R333" s="305"/>
      <c r="S333" s="304"/>
      <c r="T333" s="303"/>
      <c r="U333" s="304"/>
      <c r="V333" s="304"/>
      <c r="W333" s="303">
        <f t="shared" si="403"/>
        <v>441</v>
      </c>
      <c r="X333" s="304"/>
      <c r="Y333" s="304"/>
      <c r="Z333" s="304"/>
      <c r="AA333" s="304">
        <v>441</v>
      </c>
      <c r="AB333" s="304"/>
      <c r="AC333" s="304"/>
      <c r="AD333" s="304"/>
      <c r="AE333" s="304"/>
      <c r="AF333" s="1292" t="s">
        <v>2439</v>
      </c>
      <c r="AG333" s="314"/>
      <c r="AH333" s="696"/>
      <c r="AI333" s="314"/>
      <c r="AJ333" s="314"/>
      <c r="AK333" s="314"/>
      <c r="AL333" s="314"/>
      <c r="AM333" s="314"/>
      <c r="AN333" s="314"/>
      <c r="AO333" s="314"/>
      <c r="AP333" s="314"/>
    </row>
    <row r="334" spans="1:42" ht="124.2" outlineLevel="1" collapsed="1">
      <c r="A334" s="583" t="s">
        <v>23</v>
      </c>
      <c r="B334" s="1289" t="s">
        <v>2121</v>
      </c>
      <c r="C334" s="317"/>
      <c r="D334" s="304"/>
      <c r="E334" s="304">
        <f t="shared" si="401"/>
        <v>1064</v>
      </c>
      <c r="F334" s="304">
        <f t="shared" si="395"/>
        <v>1064</v>
      </c>
      <c r="G334" s="304">
        <f t="shared" si="396"/>
        <v>1064</v>
      </c>
      <c r="H334" s="303">
        <f t="shared" si="399"/>
        <v>1064</v>
      </c>
      <c r="I334" s="303"/>
      <c r="J334" s="294"/>
      <c r="K334" s="294"/>
      <c r="L334" s="294"/>
      <c r="M334" s="304"/>
      <c r="N334" s="294"/>
      <c r="O334" s="294"/>
      <c r="P334" s="303"/>
      <c r="Q334" s="303"/>
      <c r="R334" s="305"/>
      <c r="S334" s="304"/>
      <c r="T334" s="303"/>
      <c r="U334" s="304"/>
      <c r="V334" s="304"/>
      <c r="W334" s="303">
        <f t="shared" si="403"/>
        <v>1064</v>
      </c>
      <c r="X334" s="304"/>
      <c r="Y334" s="304"/>
      <c r="Z334" s="304"/>
      <c r="AA334" s="304">
        <v>1064</v>
      </c>
      <c r="AB334" s="304"/>
      <c r="AC334" s="304"/>
      <c r="AD334" s="304"/>
      <c r="AE334" s="304"/>
      <c r="AF334" s="1292" t="s">
        <v>2552</v>
      </c>
      <c r="AG334" s="314">
        <f t="shared" si="355"/>
        <v>0</v>
      </c>
      <c r="AH334" s="696">
        <f t="shared" si="356"/>
        <v>0</v>
      </c>
      <c r="AI334" s="314">
        <f t="shared" si="357"/>
        <v>0</v>
      </c>
      <c r="AJ334" s="314">
        <f t="shared" si="358"/>
        <v>0</v>
      </c>
      <c r="AK334" s="314">
        <f t="shared" si="359"/>
        <v>0</v>
      </c>
      <c r="AL334" s="314">
        <f t="shared" si="360"/>
        <v>0</v>
      </c>
      <c r="AM334" s="314">
        <f t="shared" si="361"/>
        <v>0</v>
      </c>
      <c r="AN334" s="314">
        <f t="shared" si="362"/>
        <v>0</v>
      </c>
      <c r="AO334" s="314">
        <f t="shared" si="363"/>
        <v>0</v>
      </c>
      <c r="AP334" s="314">
        <f t="shared" si="364"/>
        <v>0</v>
      </c>
    </row>
    <row r="335" spans="1:42" ht="41.4" outlineLevel="1" collapsed="1">
      <c r="A335" s="583" t="s">
        <v>23</v>
      </c>
      <c r="B335" s="1289" t="s">
        <v>2122</v>
      </c>
      <c r="C335" s="317"/>
      <c r="D335" s="304"/>
      <c r="E335" s="304">
        <f t="shared" si="401"/>
        <v>2440</v>
      </c>
      <c r="F335" s="304">
        <f t="shared" si="395"/>
        <v>2440</v>
      </c>
      <c r="G335" s="304">
        <f t="shared" si="396"/>
        <v>2440</v>
      </c>
      <c r="H335" s="303">
        <f t="shared" si="399"/>
        <v>2440</v>
      </c>
      <c r="I335" s="303"/>
      <c r="J335" s="294"/>
      <c r="K335" s="294"/>
      <c r="L335" s="294"/>
      <c r="M335" s="304"/>
      <c r="N335" s="294"/>
      <c r="O335" s="294"/>
      <c r="P335" s="303"/>
      <c r="Q335" s="303"/>
      <c r="R335" s="305"/>
      <c r="S335" s="304"/>
      <c r="T335" s="303"/>
      <c r="U335" s="304"/>
      <c r="V335" s="304"/>
      <c r="W335" s="303">
        <f t="shared" si="403"/>
        <v>2440</v>
      </c>
      <c r="X335" s="304"/>
      <c r="Y335" s="304"/>
      <c r="Z335" s="304"/>
      <c r="AA335" s="304">
        <v>2440</v>
      </c>
      <c r="AB335" s="304"/>
      <c r="AC335" s="304"/>
      <c r="AD335" s="304"/>
      <c r="AE335" s="304"/>
      <c r="AF335" s="1292" t="s">
        <v>2314</v>
      </c>
      <c r="AG335" s="314">
        <f t="shared" si="355"/>
        <v>0</v>
      </c>
      <c r="AH335" s="696">
        <f t="shared" si="356"/>
        <v>0</v>
      </c>
      <c r="AI335" s="314">
        <f t="shared" si="357"/>
        <v>0</v>
      </c>
      <c r="AJ335" s="314">
        <f t="shared" si="358"/>
        <v>0</v>
      </c>
      <c r="AK335" s="314">
        <f t="shared" si="359"/>
        <v>0</v>
      </c>
      <c r="AL335" s="314">
        <f t="shared" si="360"/>
        <v>0</v>
      </c>
      <c r="AM335" s="314">
        <f t="shared" si="361"/>
        <v>0</v>
      </c>
      <c r="AN335" s="314">
        <f t="shared" si="362"/>
        <v>0</v>
      </c>
      <c r="AO335" s="314">
        <f t="shared" si="363"/>
        <v>0</v>
      </c>
      <c r="AP335" s="314">
        <f t="shared" si="364"/>
        <v>0</v>
      </c>
    </row>
    <row r="336" spans="1:42" ht="55.2" outlineLevel="2" collapsed="1">
      <c r="A336" s="583" t="s">
        <v>23</v>
      </c>
      <c r="B336" s="1289" t="s">
        <v>2123</v>
      </c>
      <c r="C336" s="317"/>
      <c r="D336" s="304"/>
      <c r="E336" s="304">
        <f t="shared" si="401"/>
        <v>1647</v>
      </c>
      <c r="F336" s="304">
        <f t="shared" si="395"/>
        <v>1647</v>
      </c>
      <c r="G336" s="304">
        <f t="shared" si="396"/>
        <v>1647</v>
      </c>
      <c r="H336" s="303">
        <f t="shared" si="399"/>
        <v>1647</v>
      </c>
      <c r="I336" s="303"/>
      <c r="J336" s="294"/>
      <c r="K336" s="294"/>
      <c r="L336" s="294"/>
      <c r="M336" s="304"/>
      <c r="N336" s="294"/>
      <c r="O336" s="294"/>
      <c r="P336" s="303"/>
      <c r="Q336" s="303"/>
      <c r="R336" s="305"/>
      <c r="S336" s="304"/>
      <c r="T336" s="303"/>
      <c r="U336" s="304"/>
      <c r="V336" s="304"/>
      <c r="W336" s="303">
        <f t="shared" si="403"/>
        <v>1647</v>
      </c>
      <c r="X336" s="304"/>
      <c r="Y336" s="304"/>
      <c r="Z336" s="304"/>
      <c r="AA336" s="304">
        <v>1647</v>
      </c>
      <c r="AB336" s="304"/>
      <c r="AC336" s="304"/>
      <c r="AD336" s="304"/>
      <c r="AE336" s="304"/>
      <c r="AF336" s="1292" t="s">
        <v>2535</v>
      </c>
      <c r="AG336" s="314">
        <f t="shared" si="355"/>
        <v>0</v>
      </c>
      <c r="AH336" s="696">
        <f t="shared" si="356"/>
        <v>0</v>
      </c>
      <c r="AI336" s="314">
        <f t="shared" si="357"/>
        <v>0</v>
      </c>
      <c r="AJ336" s="314">
        <f t="shared" si="358"/>
        <v>0</v>
      </c>
      <c r="AK336" s="314">
        <f t="shared" si="359"/>
        <v>0</v>
      </c>
      <c r="AL336" s="314">
        <f t="shared" si="360"/>
        <v>0</v>
      </c>
      <c r="AM336" s="314">
        <f t="shared" si="361"/>
        <v>0</v>
      </c>
      <c r="AN336" s="314">
        <f t="shared" si="362"/>
        <v>0</v>
      </c>
      <c r="AO336" s="314">
        <f t="shared" si="363"/>
        <v>0</v>
      </c>
      <c r="AP336" s="314">
        <f t="shared" si="364"/>
        <v>0</v>
      </c>
    </row>
    <row r="337" spans="1:42" ht="27.6" hidden="1" outlineLevel="3">
      <c r="A337" s="583" t="s">
        <v>23</v>
      </c>
      <c r="B337" s="1289" t="s">
        <v>2124</v>
      </c>
      <c r="C337" s="317"/>
      <c r="D337" s="304">
        <v>617</v>
      </c>
      <c r="E337" s="304">
        <f>F337+AC337</f>
        <v>0</v>
      </c>
      <c r="F337" s="304">
        <f t="shared" si="395"/>
        <v>0</v>
      </c>
      <c r="G337" s="304">
        <f t="shared" si="396"/>
        <v>-617</v>
      </c>
      <c r="H337" s="303">
        <f>I337+W337</f>
        <v>0</v>
      </c>
      <c r="I337" s="303"/>
      <c r="J337" s="294"/>
      <c r="K337" s="294"/>
      <c r="L337" s="294"/>
      <c r="M337" s="304"/>
      <c r="N337" s="294"/>
      <c r="O337" s="294"/>
      <c r="P337" s="303"/>
      <c r="Q337" s="303"/>
      <c r="R337" s="305"/>
      <c r="S337" s="304"/>
      <c r="T337" s="303"/>
      <c r="U337" s="304"/>
      <c r="V337" s="304"/>
      <c r="W337" s="303">
        <f>Z337+AA337</f>
        <v>0</v>
      </c>
      <c r="X337" s="304"/>
      <c r="Y337" s="304"/>
      <c r="Z337" s="304"/>
      <c r="AA337" s="304"/>
      <c r="AB337" s="304"/>
      <c r="AC337" s="304"/>
      <c r="AD337" s="304"/>
      <c r="AE337" s="304"/>
      <c r="AF337" s="1292"/>
      <c r="AG337" s="314">
        <f t="shared" si="355"/>
        <v>0</v>
      </c>
      <c r="AH337" s="696">
        <f t="shared" si="356"/>
        <v>0</v>
      </c>
      <c r="AI337" s="314">
        <f t="shared" si="357"/>
        <v>0</v>
      </c>
      <c r="AJ337" s="314">
        <f t="shared" si="358"/>
        <v>0</v>
      </c>
      <c r="AK337" s="314">
        <f t="shared" si="359"/>
        <v>0</v>
      </c>
      <c r="AL337" s="314">
        <f t="shared" si="360"/>
        <v>0</v>
      </c>
      <c r="AM337" s="314">
        <f t="shared" si="361"/>
        <v>0</v>
      </c>
      <c r="AN337" s="314">
        <f t="shared" si="362"/>
        <v>0</v>
      </c>
      <c r="AO337" s="314">
        <f t="shared" si="363"/>
        <v>0</v>
      </c>
      <c r="AP337" s="314">
        <f t="shared" si="364"/>
        <v>0</v>
      </c>
    </row>
    <row r="338" spans="1:42" ht="27.6" hidden="1" outlineLevel="3">
      <c r="A338" s="583" t="s">
        <v>23</v>
      </c>
      <c r="B338" s="1289" t="s">
        <v>1610</v>
      </c>
      <c r="C338" s="317"/>
      <c r="D338" s="304">
        <v>1993</v>
      </c>
      <c r="E338" s="304">
        <f>F338+AC338</f>
        <v>0</v>
      </c>
      <c r="F338" s="304">
        <f t="shared" si="395"/>
        <v>0</v>
      </c>
      <c r="G338" s="304">
        <f t="shared" si="396"/>
        <v>-1993</v>
      </c>
      <c r="H338" s="303">
        <f>I338+W338</f>
        <v>0</v>
      </c>
      <c r="I338" s="303"/>
      <c r="J338" s="294"/>
      <c r="K338" s="294"/>
      <c r="L338" s="294"/>
      <c r="M338" s="304"/>
      <c r="N338" s="294"/>
      <c r="O338" s="294"/>
      <c r="P338" s="303"/>
      <c r="Q338" s="303"/>
      <c r="R338" s="305"/>
      <c r="S338" s="304"/>
      <c r="T338" s="303"/>
      <c r="U338" s="304"/>
      <c r="V338" s="304"/>
      <c r="W338" s="303">
        <f>Z338+AA338</f>
        <v>0</v>
      </c>
      <c r="X338" s="304"/>
      <c r="Y338" s="304"/>
      <c r="Z338" s="304"/>
      <c r="AA338" s="304"/>
      <c r="AB338" s="304"/>
      <c r="AC338" s="304"/>
      <c r="AD338" s="304"/>
      <c r="AE338" s="304"/>
      <c r="AF338" s="1292"/>
      <c r="AG338" s="314">
        <f t="shared" ref="AG338:AG401" si="404">E338-F338-AC338</f>
        <v>0</v>
      </c>
      <c r="AH338" s="696">
        <f t="shared" ref="AH338:AH401" si="405">F338-H338+AB338</f>
        <v>0</v>
      </c>
      <c r="AI338" s="314">
        <f t="shared" ref="AI338:AI401" si="406">H338-I338-W338</f>
        <v>0</v>
      </c>
      <c r="AJ338" s="314">
        <f t="shared" ref="AJ338:AJ401" si="407">I338-M338-P338</f>
        <v>0</v>
      </c>
      <c r="AK338" s="314">
        <f t="shared" ref="AK338:AK401" si="408">J338-K338-L338</f>
        <v>0</v>
      </c>
      <c r="AL338" s="314">
        <f t="shared" ref="AL338:AL401" si="409">M338-N338-O338</f>
        <v>0</v>
      </c>
      <c r="AM338" s="314">
        <f t="shared" ref="AM338:AM401" si="410">P338-S338-T338</f>
        <v>0</v>
      </c>
      <c r="AN338" s="314">
        <f t="shared" ref="AN338:AN401" si="411">T338-U338-V338</f>
        <v>0</v>
      </c>
      <c r="AO338" s="314">
        <f t="shared" ref="AO338:AO401" si="412">W338-Z338-AA338</f>
        <v>0</v>
      </c>
      <c r="AP338" s="314">
        <f t="shared" ref="AP338:AP401" si="413">AC338+AA338+Z338+V338+U338+S338+O338+N338-AB338-E338</f>
        <v>0</v>
      </c>
    </row>
    <row r="339" spans="1:42" s="314" customFormat="1">
      <c r="A339" s="592" t="s">
        <v>946</v>
      </c>
      <c r="B339" s="320" t="s">
        <v>947</v>
      </c>
      <c r="C339" s="315" t="s">
        <v>747</v>
      </c>
      <c r="D339" s="299">
        <f t="shared" ref="D339" si="414">D340+D342</f>
        <v>14290</v>
      </c>
      <c r="E339" s="299">
        <f>E340+E342</f>
        <v>13565</v>
      </c>
      <c r="F339" s="299">
        <f>F340+F342</f>
        <v>13159</v>
      </c>
      <c r="G339" s="299">
        <f t="shared" si="396"/>
        <v>-1131</v>
      </c>
      <c r="H339" s="299">
        <f>H340+H342</f>
        <v>13159</v>
      </c>
      <c r="I339" s="299">
        <f t="shared" ref="I339:P339" si="415">I340+I342</f>
        <v>2531</v>
      </c>
      <c r="J339" s="318">
        <f t="shared" si="415"/>
        <v>20</v>
      </c>
      <c r="K339" s="318">
        <f t="shared" si="415"/>
        <v>20</v>
      </c>
      <c r="L339" s="318">
        <f t="shared" si="415"/>
        <v>0</v>
      </c>
      <c r="M339" s="299">
        <f t="shared" si="415"/>
        <v>1951</v>
      </c>
      <c r="N339" s="318">
        <f t="shared" si="415"/>
        <v>1951</v>
      </c>
      <c r="O339" s="318">
        <f t="shared" si="415"/>
        <v>0</v>
      </c>
      <c r="P339" s="299">
        <f t="shared" si="415"/>
        <v>580</v>
      </c>
      <c r="Q339" s="318"/>
      <c r="R339" s="318"/>
      <c r="S339" s="299">
        <f t="shared" ref="S339:Z339" si="416">S340+S342</f>
        <v>580</v>
      </c>
      <c r="T339" s="299">
        <f t="shared" si="416"/>
        <v>0</v>
      </c>
      <c r="U339" s="299">
        <f t="shared" si="416"/>
        <v>0</v>
      </c>
      <c r="V339" s="299">
        <f t="shared" si="416"/>
        <v>0</v>
      </c>
      <c r="W339" s="299">
        <f>W340+W342</f>
        <v>10628</v>
      </c>
      <c r="X339" s="299"/>
      <c r="Y339" s="299"/>
      <c r="Z339" s="299">
        <f t="shared" si="416"/>
        <v>6360</v>
      </c>
      <c r="AA339" s="299">
        <f>AA340+AA342</f>
        <v>4268</v>
      </c>
      <c r="AB339" s="299">
        <f>AB340+AB342</f>
        <v>0</v>
      </c>
      <c r="AC339" s="299">
        <f t="shared" ref="AC339:AE339" si="417">AC340+AC342</f>
        <v>406</v>
      </c>
      <c r="AD339" s="299">
        <f t="shared" si="417"/>
        <v>818</v>
      </c>
      <c r="AE339" s="299">
        <f t="shared" si="417"/>
        <v>12747</v>
      </c>
      <c r="AF339" s="321"/>
      <c r="AG339" s="314">
        <f t="shared" si="404"/>
        <v>0</v>
      </c>
      <c r="AH339" s="696">
        <f t="shared" si="405"/>
        <v>0</v>
      </c>
      <c r="AI339" s="314">
        <f t="shared" si="406"/>
        <v>0</v>
      </c>
      <c r="AJ339" s="314">
        <f t="shared" si="407"/>
        <v>0</v>
      </c>
      <c r="AK339" s="314">
        <f t="shared" si="408"/>
        <v>0</v>
      </c>
      <c r="AL339" s="314">
        <f t="shared" si="409"/>
        <v>0</v>
      </c>
      <c r="AM339" s="314">
        <f t="shared" si="410"/>
        <v>0</v>
      </c>
      <c r="AN339" s="314">
        <f t="shared" si="411"/>
        <v>0</v>
      </c>
      <c r="AO339" s="314">
        <f t="shared" si="412"/>
        <v>0</v>
      </c>
      <c r="AP339" s="314">
        <f t="shared" si="413"/>
        <v>0</v>
      </c>
    </row>
    <row r="340" spans="1:42">
      <c r="A340" s="583" t="s">
        <v>45</v>
      </c>
      <c r="B340" s="316" t="s">
        <v>935</v>
      </c>
      <c r="C340" s="304"/>
      <c r="D340" s="303">
        <f t="shared" ref="D340" si="418">D341</f>
        <v>2464</v>
      </c>
      <c r="E340" s="303">
        <f>E341</f>
        <v>2937</v>
      </c>
      <c r="F340" s="303">
        <f>F341</f>
        <v>2531</v>
      </c>
      <c r="G340" s="303">
        <f t="shared" si="396"/>
        <v>67</v>
      </c>
      <c r="H340" s="303">
        <f>H341</f>
        <v>2531</v>
      </c>
      <c r="I340" s="303">
        <f t="shared" ref="I340:S340" si="419">I341</f>
        <v>2531</v>
      </c>
      <c r="J340" s="311">
        <f t="shared" si="419"/>
        <v>20</v>
      </c>
      <c r="K340" s="311">
        <f t="shared" si="419"/>
        <v>20</v>
      </c>
      <c r="L340" s="311">
        <f t="shared" si="419"/>
        <v>0</v>
      </c>
      <c r="M340" s="303">
        <f t="shared" si="419"/>
        <v>1951</v>
      </c>
      <c r="N340" s="311">
        <f t="shared" si="419"/>
        <v>1951</v>
      </c>
      <c r="O340" s="311">
        <f t="shared" si="419"/>
        <v>0</v>
      </c>
      <c r="P340" s="303">
        <f>P341</f>
        <v>580</v>
      </c>
      <c r="Q340" s="311"/>
      <c r="R340" s="311"/>
      <c r="S340" s="303">
        <f t="shared" si="419"/>
        <v>580</v>
      </c>
      <c r="T340" s="303">
        <f>T341</f>
        <v>0</v>
      </c>
      <c r="U340" s="303"/>
      <c r="V340" s="303"/>
      <c r="W340" s="303">
        <f>W341</f>
        <v>0</v>
      </c>
      <c r="X340" s="303"/>
      <c r="Y340" s="303"/>
      <c r="Z340" s="303">
        <f t="shared" ref="Z340:AE340" si="420">Z341</f>
        <v>0</v>
      </c>
      <c r="AA340" s="303">
        <f>AA341</f>
        <v>0</v>
      </c>
      <c r="AB340" s="303">
        <f>AB341</f>
        <v>0</v>
      </c>
      <c r="AC340" s="303">
        <f t="shared" si="420"/>
        <v>406</v>
      </c>
      <c r="AD340" s="303">
        <f t="shared" si="420"/>
        <v>58</v>
      </c>
      <c r="AE340" s="303">
        <f t="shared" si="420"/>
        <v>2879</v>
      </c>
      <c r="AF340" s="317"/>
      <c r="AG340" s="314">
        <f t="shared" si="404"/>
        <v>0</v>
      </c>
      <c r="AH340" s="696">
        <f t="shared" si="405"/>
        <v>0</v>
      </c>
      <c r="AI340" s="314">
        <f t="shared" si="406"/>
        <v>0</v>
      </c>
      <c r="AJ340" s="314">
        <f t="shared" si="407"/>
        <v>0</v>
      </c>
      <c r="AK340" s="314">
        <f t="shared" si="408"/>
        <v>0</v>
      </c>
      <c r="AL340" s="314">
        <f t="shared" si="409"/>
        <v>0</v>
      </c>
      <c r="AM340" s="314">
        <f t="shared" si="410"/>
        <v>0</v>
      </c>
      <c r="AN340" s="314">
        <f t="shared" si="411"/>
        <v>0</v>
      </c>
      <c r="AO340" s="314">
        <f t="shared" si="412"/>
        <v>0</v>
      </c>
      <c r="AP340" s="314">
        <f t="shared" si="413"/>
        <v>0</v>
      </c>
    </row>
    <row r="341" spans="1:42" outlineLevel="1">
      <c r="A341" s="583" t="s">
        <v>23</v>
      </c>
      <c r="B341" s="316" t="s">
        <v>948</v>
      </c>
      <c r="C341" s="317"/>
      <c r="D341" s="304">
        <v>2464</v>
      </c>
      <c r="E341" s="304">
        <f t="shared" si="401"/>
        <v>2937</v>
      </c>
      <c r="F341" s="304">
        <f>H341-AB341</f>
        <v>2531</v>
      </c>
      <c r="G341" s="304">
        <f t="shared" si="396"/>
        <v>67</v>
      </c>
      <c r="H341" s="303">
        <f t="shared" ref="H341:H348" si="421">I341+W341</f>
        <v>2531</v>
      </c>
      <c r="I341" s="303">
        <f>M341+P341</f>
        <v>2531</v>
      </c>
      <c r="J341" s="294">
        <v>20</v>
      </c>
      <c r="K341" s="294">
        <v>20</v>
      </c>
      <c r="L341" s="294">
        <f>J341-K341</f>
        <v>0</v>
      </c>
      <c r="M341" s="304">
        <f>N341+O341</f>
        <v>1951</v>
      </c>
      <c r="N341" s="294">
        <v>1951</v>
      </c>
      <c r="O341" s="294">
        <v>0</v>
      </c>
      <c r="P341" s="303">
        <f>S341+T341</f>
        <v>580</v>
      </c>
      <c r="Q341" s="294">
        <v>29</v>
      </c>
      <c r="R341" s="305">
        <v>1</v>
      </c>
      <c r="S341" s="304">
        <f>Q341*J341</f>
        <v>580</v>
      </c>
      <c r="T341" s="303">
        <f>U341+V341</f>
        <v>0</v>
      </c>
      <c r="U341" s="304"/>
      <c r="V341" s="304"/>
      <c r="W341" s="303">
        <f>Z341+AA341</f>
        <v>0</v>
      </c>
      <c r="X341" s="303"/>
      <c r="Y341" s="303"/>
      <c r="Z341" s="304"/>
      <c r="AA341" s="304"/>
      <c r="AB341" s="304"/>
      <c r="AC341" s="304">
        <v>406</v>
      </c>
      <c r="AD341" s="304">
        <v>58</v>
      </c>
      <c r="AE341" s="303">
        <f>E341-AD341</f>
        <v>2879</v>
      </c>
      <c r="AF341" s="317"/>
      <c r="AG341" s="314">
        <f t="shared" si="404"/>
        <v>0</v>
      </c>
      <c r="AH341" s="696">
        <f t="shared" si="405"/>
        <v>0</v>
      </c>
      <c r="AI341" s="314">
        <f t="shared" si="406"/>
        <v>0</v>
      </c>
      <c r="AJ341" s="314">
        <f t="shared" si="407"/>
        <v>0</v>
      </c>
      <c r="AK341" s="314">
        <f t="shared" si="408"/>
        <v>0</v>
      </c>
      <c r="AL341" s="314">
        <f t="shared" si="409"/>
        <v>0</v>
      </c>
      <c r="AM341" s="314">
        <f t="shared" si="410"/>
        <v>0</v>
      </c>
      <c r="AN341" s="314">
        <f t="shared" si="411"/>
        <v>0</v>
      </c>
      <c r="AO341" s="314">
        <f t="shared" si="412"/>
        <v>0</v>
      </c>
      <c r="AP341" s="314">
        <f t="shared" si="413"/>
        <v>0</v>
      </c>
    </row>
    <row r="342" spans="1:42">
      <c r="A342" s="583" t="s">
        <v>47</v>
      </c>
      <c r="B342" s="310" t="s">
        <v>844</v>
      </c>
      <c r="C342" s="304"/>
      <c r="D342" s="304">
        <v>11826</v>
      </c>
      <c r="E342" s="304">
        <f>SUM(E343:E351)</f>
        <v>10628</v>
      </c>
      <c r="F342" s="304">
        <f>SUM(F343:F351)</f>
        <v>10628</v>
      </c>
      <c r="G342" s="304">
        <f t="shared" si="396"/>
        <v>-1198</v>
      </c>
      <c r="H342" s="304">
        <f t="shared" ref="H342:AB342" si="422">SUM(H343:H351)</f>
        <v>10628</v>
      </c>
      <c r="I342" s="304">
        <f t="shared" si="422"/>
        <v>0</v>
      </c>
      <c r="J342" s="304">
        <f t="shared" si="422"/>
        <v>0</v>
      </c>
      <c r="K342" s="304">
        <f t="shared" si="422"/>
        <v>0</v>
      </c>
      <c r="L342" s="304">
        <f t="shared" si="422"/>
        <v>0</v>
      </c>
      <c r="M342" s="304">
        <f t="shared" si="422"/>
        <v>0</v>
      </c>
      <c r="N342" s="304">
        <f t="shared" si="422"/>
        <v>0</v>
      </c>
      <c r="O342" s="304">
        <f t="shared" si="422"/>
        <v>0</v>
      </c>
      <c r="P342" s="304">
        <f t="shared" si="422"/>
        <v>0</v>
      </c>
      <c r="Q342" s="304">
        <f t="shared" si="422"/>
        <v>0</v>
      </c>
      <c r="R342" s="304">
        <f t="shared" si="422"/>
        <v>0</v>
      </c>
      <c r="S342" s="304">
        <f t="shared" si="422"/>
        <v>0</v>
      </c>
      <c r="T342" s="304">
        <f t="shared" si="422"/>
        <v>0</v>
      </c>
      <c r="U342" s="304">
        <f t="shared" si="422"/>
        <v>0</v>
      </c>
      <c r="V342" s="304">
        <f t="shared" si="422"/>
        <v>0</v>
      </c>
      <c r="W342" s="304">
        <f t="shared" si="422"/>
        <v>10628</v>
      </c>
      <c r="X342" s="304">
        <f t="shared" si="422"/>
        <v>0</v>
      </c>
      <c r="Y342" s="304">
        <f t="shared" si="422"/>
        <v>0</v>
      </c>
      <c r="Z342" s="304">
        <f t="shared" si="422"/>
        <v>6360</v>
      </c>
      <c r="AA342" s="304">
        <f t="shared" si="422"/>
        <v>4268</v>
      </c>
      <c r="AB342" s="304">
        <f t="shared" si="422"/>
        <v>0</v>
      </c>
      <c r="AC342" s="304"/>
      <c r="AD342" s="304">
        <v>760</v>
      </c>
      <c r="AE342" s="303">
        <f>E342-AD342</f>
        <v>9868</v>
      </c>
      <c r="AF342" s="332"/>
      <c r="AG342" s="314">
        <f t="shared" si="404"/>
        <v>0</v>
      </c>
      <c r="AH342" s="696">
        <f t="shared" si="405"/>
        <v>0</v>
      </c>
      <c r="AI342" s="314">
        <f t="shared" si="406"/>
        <v>0</v>
      </c>
      <c r="AJ342" s="314">
        <f t="shared" si="407"/>
        <v>0</v>
      </c>
      <c r="AK342" s="314">
        <f t="shared" si="408"/>
        <v>0</v>
      </c>
      <c r="AL342" s="314">
        <f t="shared" si="409"/>
        <v>0</v>
      </c>
      <c r="AM342" s="314">
        <f t="shared" si="410"/>
        <v>0</v>
      </c>
      <c r="AN342" s="314">
        <f t="shared" si="411"/>
        <v>0</v>
      </c>
      <c r="AO342" s="314">
        <f t="shared" si="412"/>
        <v>0</v>
      </c>
      <c r="AP342" s="314">
        <f t="shared" si="413"/>
        <v>0</v>
      </c>
    </row>
    <row r="343" spans="1:42" ht="124.2" outlineLevel="1">
      <c r="A343" s="583" t="s">
        <v>23</v>
      </c>
      <c r="B343" s="316" t="s">
        <v>2125</v>
      </c>
      <c r="C343" s="317"/>
      <c r="D343" s="304">
        <v>3033</v>
      </c>
      <c r="E343" s="304">
        <f t="shared" si="401"/>
        <v>6033</v>
      </c>
      <c r="F343" s="304">
        <f t="shared" ref="F343:F351" si="423">H343-AB343</f>
        <v>6033</v>
      </c>
      <c r="G343" s="304">
        <f t="shared" si="396"/>
        <v>3000</v>
      </c>
      <c r="H343" s="303">
        <f t="shared" si="421"/>
        <v>6033</v>
      </c>
      <c r="I343" s="303">
        <f t="shared" ref="I343:I344" si="424">M343+P343</f>
        <v>0</v>
      </c>
      <c r="J343" s="294"/>
      <c r="K343" s="294"/>
      <c r="L343" s="294"/>
      <c r="M343" s="304">
        <f t="shared" ref="M343:M344" si="425">N343+O343</f>
        <v>0</v>
      </c>
      <c r="N343" s="294"/>
      <c r="O343" s="294">
        <v>0</v>
      </c>
      <c r="P343" s="303">
        <f t="shared" ref="P343:P344" si="426">S343+T343</f>
        <v>0</v>
      </c>
      <c r="Q343" s="303"/>
      <c r="R343" s="305"/>
      <c r="S343" s="304"/>
      <c r="T343" s="303">
        <f t="shared" ref="T343:T344" si="427">U343+V343</f>
        <v>0</v>
      </c>
      <c r="U343" s="304"/>
      <c r="V343" s="304"/>
      <c r="W343" s="303">
        <f t="shared" ref="W343:W348" si="428">Z343+AA343</f>
        <v>6033</v>
      </c>
      <c r="X343" s="303"/>
      <c r="Y343" s="303"/>
      <c r="Z343" s="304">
        <v>3033</v>
      </c>
      <c r="AA343" s="304">
        <v>3000</v>
      </c>
      <c r="AB343" s="304"/>
      <c r="AC343" s="304"/>
      <c r="AD343" s="304"/>
      <c r="AE343" s="304"/>
      <c r="AF343" s="1263" t="s">
        <v>2553</v>
      </c>
      <c r="AG343" s="314">
        <f t="shared" si="404"/>
        <v>0</v>
      </c>
      <c r="AH343" s="696">
        <f t="shared" si="405"/>
        <v>0</v>
      </c>
      <c r="AI343" s="314">
        <f t="shared" si="406"/>
        <v>0</v>
      </c>
      <c r="AJ343" s="314">
        <f t="shared" si="407"/>
        <v>0</v>
      </c>
      <c r="AK343" s="314">
        <f t="shared" si="408"/>
        <v>0</v>
      </c>
      <c r="AL343" s="314">
        <f t="shared" si="409"/>
        <v>0</v>
      </c>
      <c r="AM343" s="314">
        <f t="shared" si="410"/>
        <v>0</v>
      </c>
      <c r="AN343" s="314">
        <f t="shared" si="411"/>
        <v>0</v>
      </c>
      <c r="AO343" s="314">
        <f t="shared" si="412"/>
        <v>0</v>
      </c>
      <c r="AP343" s="314">
        <f t="shared" si="413"/>
        <v>0</v>
      </c>
    </row>
    <row r="344" spans="1:42" ht="55.2" outlineLevel="1">
      <c r="A344" s="583" t="s">
        <v>23</v>
      </c>
      <c r="B344" s="316" t="s">
        <v>949</v>
      </c>
      <c r="C344" s="317"/>
      <c r="D344" s="304">
        <v>1397</v>
      </c>
      <c r="E344" s="304">
        <f t="shared" si="401"/>
        <v>1988</v>
      </c>
      <c r="F344" s="304">
        <f t="shared" si="423"/>
        <v>1988</v>
      </c>
      <c r="G344" s="304">
        <f t="shared" si="396"/>
        <v>591</v>
      </c>
      <c r="H344" s="303">
        <f t="shared" si="421"/>
        <v>1988</v>
      </c>
      <c r="I344" s="303">
        <f t="shared" si="424"/>
        <v>0</v>
      </c>
      <c r="J344" s="294"/>
      <c r="K344" s="294"/>
      <c r="L344" s="294"/>
      <c r="M344" s="304">
        <f t="shared" si="425"/>
        <v>0</v>
      </c>
      <c r="N344" s="294"/>
      <c r="O344" s="294">
        <v>0</v>
      </c>
      <c r="P344" s="303">
        <f t="shared" si="426"/>
        <v>0</v>
      </c>
      <c r="Q344" s="303"/>
      <c r="R344" s="305"/>
      <c r="S344" s="304"/>
      <c r="T344" s="303">
        <f t="shared" si="427"/>
        <v>0</v>
      </c>
      <c r="U344" s="304"/>
      <c r="V344" s="304"/>
      <c r="W344" s="303">
        <f t="shared" si="428"/>
        <v>1988</v>
      </c>
      <c r="X344" s="303"/>
      <c r="Y344" s="303"/>
      <c r="Z344" s="304">
        <v>1397</v>
      </c>
      <c r="AA344" s="304">
        <v>591</v>
      </c>
      <c r="AB344" s="304"/>
      <c r="AC344" s="304"/>
      <c r="AD344" s="304"/>
      <c r="AE344" s="304"/>
      <c r="AF344" s="1316" t="s">
        <v>2126</v>
      </c>
      <c r="AG344" s="314">
        <f t="shared" si="404"/>
        <v>0</v>
      </c>
      <c r="AH344" s="696">
        <f t="shared" si="405"/>
        <v>0</v>
      </c>
      <c r="AI344" s="314">
        <f t="shared" si="406"/>
        <v>0</v>
      </c>
      <c r="AJ344" s="314">
        <f t="shared" si="407"/>
        <v>0</v>
      </c>
      <c r="AK344" s="314">
        <f t="shared" si="408"/>
        <v>0</v>
      </c>
      <c r="AL344" s="314">
        <f t="shared" si="409"/>
        <v>0</v>
      </c>
      <c r="AM344" s="314">
        <f t="shared" si="410"/>
        <v>0</v>
      </c>
      <c r="AN344" s="314">
        <f t="shared" si="411"/>
        <v>0</v>
      </c>
      <c r="AO344" s="314">
        <f t="shared" si="412"/>
        <v>0</v>
      </c>
      <c r="AP344" s="314">
        <f t="shared" si="413"/>
        <v>0</v>
      </c>
    </row>
    <row r="345" spans="1:42" ht="29.25" customHeight="1" outlineLevel="1">
      <c r="A345" s="583" t="s">
        <v>23</v>
      </c>
      <c r="B345" s="316" t="s">
        <v>950</v>
      </c>
      <c r="C345" s="317"/>
      <c r="D345" s="304">
        <v>1392</v>
      </c>
      <c r="E345" s="304">
        <f t="shared" si="401"/>
        <v>1392</v>
      </c>
      <c r="F345" s="304">
        <f t="shared" si="423"/>
        <v>1392</v>
      </c>
      <c r="G345" s="304">
        <f t="shared" si="396"/>
        <v>0</v>
      </c>
      <c r="H345" s="303">
        <f>I345+W345</f>
        <v>1392</v>
      </c>
      <c r="I345" s="303">
        <f>M345+P345</f>
        <v>0</v>
      </c>
      <c r="J345" s="294"/>
      <c r="K345" s="294"/>
      <c r="L345" s="294"/>
      <c r="M345" s="304">
        <f>N345+O345</f>
        <v>0</v>
      </c>
      <c r="N345" s="294"/>
      <c r="O345" s="294"/>
      <c r="P345" s="303">
        <f>S345+T345</f>
        <v>0</v>
      </c>
      <c r="Q345" s="303"/>
      <c r="R345" s="305"/>
      <c r="S345" s="304"/>
      <c r="T345" s="303">
        <f>U345+V345</f>
        <v>0</v>
      </c>
      <c r="U345" s="304"/>
      <c r="V345" s="304"/>
      <c r="W345" s="303">
        <f>Z345+AA345</f>
        <v>1392</v>
      </c>
      <c r="X345" s="303"/>
      <c r="Y345" s="303"/>
      <c r="Z345" s="304">
        <v>1392</v>
      </c>
      <c r="AA345" s="304"/>
      <c r="AB345" s="304"/>
      <c r="AC345" s="304"/>
      <c r="AD345" s="304"/>
      <c r="AE345" s="304"/>
      <c r="AF345" s="1656" t="s">
        <v>2554</v>
      </c>
      <c r="AG345" s="314">
        <f t="shared" si="404"/>
        <v>0</v>
      </c>
      <c r="AH345" s="696">
        <f t="shared" si="405"/>
        <v>0</v>
      </c>
      <c r="AI345" s="314">
        <f t="shared" si="406"/>
        <v>0</v>
      </c>
      <c r="AJ345" s="314">
        <f t="shared" si="407"/>
        <v>0</v>
      </c>
      <c r="AK345" s="314">
        <f t="shared" si="408"/>
        <v>0</v>
      </c>
      <c r="AL345" s="314">
        <f t="shared" si="409"/>
        <v>0</v>
      </c>
      <c r="AM345" s="314">
        <f t="shared" si="410"/>
        <v>0</v>
      </c>
      <c r="AN345" s="314">
        <f t="shared" si="411"/>
        <v>0</v>
      </c>
      <c r="AO345" s="314">
        <f t="shared" si="412"/>
        <v>0</v>
      </c>
      <c r="AP345" s="314">
        <f t="shared" si="413"/>
        <v>0</v>
      </c>
    </row>
    <row r="346" spans="1:42" ht="29.25" customHeight="1" outlineLevel="1">
      <c r="A346" s="583" t="s">
        <v>23</v>
      </c>
      <c r="B346" s="316" t="s">
        <v>951</v>
      </c>
      <c r="C346" s="317"/>
      <c r="D346" s="304">
        <v>538</v>
      </c>
      <c r="E346" s="304">
        <f t="shared" si="401"/>
        <v>538</v>
      </c>
      <c r="F346" s="304">
        <f t="shared" si="423"/>
        <v>538</v>
      </c>
      <c r="G346" s="304">
        <f t="shared" si="396"/>
        <v>0</v>
      </c>
      <c r="H346" s="303">
        <f t="shared" si="421"/>
        <v>538</v>
      </c>
      <c r="I346" s="303">
        <f t="shared" ref="I346:I348" si="429">M346+P346</f>
        <v>0</v>
      </c>
      <c r="J346" s="294"/>
      <c r="K346" s="294"/>
      <c r="L346" s="294"/>
      <c r="M346" s="304">
        <f t="shared" ref="M346:M348" si="430">N346+O346</f>
        <v>0</v>
      </c>
      <c r="N346" s="294"/>
      <c r="O346" s="294"/>
      <c r="P346" s="303">
        <f t="shared" ref="P346:P348" si="431">S346+T346</f>
        <v>0</v>
      </c>
      <c r="Q346" s="303"/>
      <c r="R346" s="305"/>
      <c r="S346" s="304"/>
      <c r="T346" s="303">
        <f t="shared" ref="T346:T348" si="432">U346+V346</f>
        <v>0</v>
      </c>
      <c r="U346" s="304"/>
      <c r="V346" s="304"/>
      <c r="W346" s="303">
        <f t="shared" si="428"/>
        <v>538</v>
      </c>
      <c r="X346" s="303"/>
      <c r="Y346" s="303"/>
      <c r="Z346" s="304">
        <v>538</v>
      </c>
      <c r="AA346" s="304"/>
      <c r="AB346" s="304"/>
      <c r="AC346" s="304"/>
      <c r="AD346" s="304"/>
      <c r="AE346" s="304"/>
      <c r="AF346" s="1657"/>
      <c r="AG346" s="314">
        <f t="shared" si="404"/>
        <v>0</v>
      </c>
      <c r="AH346" s="696">
        <f t="shared" si="405"/>
        <v>0</v>
      </c>
      <c r="AI346" s="314">
        <f t="shared" si="406"/>
        <v>0</v>
      </c>
      <c r="AJ346" s="314">
        <f t="shared" si="407"/>
        <v>0</v>
      </c>
      <c r="AK346" s="314">
        <f t="shared" si="408"/>
        <v>0</v>
      </c>
      <c r="AL346" s="314">
        <f t="shared" si="409"/>
        <v>0</v>
      </c>
      <c r="AM346" s="314">
        <f t="shared" si="410"/>
        <v>0</v>
      </c>
      <c r="AN346" s="314">
        <f t="shared" si="411"/>
        <v>0</v>
      </c>
      <c r="AO346" s="314">
        <f t="shared" si="412"/>
        <v>0</v>
      </c>
      <c r="AP346" s="314">
        <f t="shared" si="413"/>
        <v>0</v>
      </c>
    </row>
    <row r="347" spans="1:42" ht="55.2" outlineLevel="1">
      <c r="A347" s="583" t="s">
        <v>23</v>
      </c>
      <c r="B347" s="316" t="s">
        <v>2123</v>
      </c>
      <c r="C347" s="317"/>
      <c r="D347" s="304"/>
      <c r="E347" s="304">
        <f t="shared" si="401"/>
        <v>180</v>
      </c>
      <c r="F347" s="304">
        <f t="shared" si="423"/>
        <v>180</v>
      </c>
      <c r="G347" s="304">
        <f t="shared" si="396"/>
        <v>180</v>
      </c>
      <c r="H347" s="303">
        <f t="shared" si="421"/>
        <v>180</v>
      </c>
      <c r="I347" s="303">
        <f t="shared" si="429"/>
        <v>0</v>
      </c>
      <c r="J347" s="294"/>
      <c r="K347" s="294"/>
      <c r="L347" s="294"/>
      <c r="M347" s="304">
        <f t="shared" si="430"/>
        <v>0</v>
      </c>
      <c r="N347" s="294"/>
      <c r="O347" s="294"/>
      <c r="P347" s="303">
        <f t="shared" si="431"/>
        <v>0</v>
      </c>
      <c r="Q347" s="303"/>
      <c r="R347" s="305"/>
      <c r="S347" s="304"/>
      <c r="T347" s="303">
        <f t="shared" si="432"/>
        <v>0</v>
      </c>
      <c r="U347" s="304"/>
      <c r="V347" s="304"/>
      <c r="W347" s="303">
        <f t="shared" si="428"/>
        <v>180</v>
      </c>
      <c r="X347" s="303"/>
      <c r="Y347" s="303"/>
      <c r="Z347" s="304"/>
      <c r="AA347" s="304">
        <v>180</v>
      </c>
      <c r="AB347" s="304"/>
      <c r="AC347" s="304"/>
      <c r="AD347" s="304"/>
      <c r="AE347" s="304"/>
      <c r="AF347" s="1292" t="s">
        <v>2271</v>
      </c>
      <c r="AG347" s="314">
        <f t="shared" si="404"/>
        <v>0</v>
      </c>
      <c r="AH347" s="696">
        <f t="shared" si="405"/>
        <v>0</v>
      </c>
      <c r="AI347" s="314">
        <f t="shared" si="406"/>
        <v>0</v>
      </c>
      <c r="AJ347" s="314">
        <f t="shared" si="407"/>
        <v>0</v>
      </c>
      <c r="AK347" s="314">
        <f t="shared" si="408"/>
        <v>0</v>
      </c>
      <c r="AL347" s="314">
        <f t="shared" si="409"/>
        <v>0</v>
      </c>
      <c r="AM347" s="314">
        <f t="shared" si="410"/>
        <v>0</v>
      </c>
      <c r="AN347" s="314">
        <f t="shared" si="411"/>
        <v>0</v>
      </c>
      <c r="AO347" s="314">
        <f t="shared" si="412"/>
        <v>0</v>
      </c>
      <c r="AP347" s="314">
        <f t="shared" si="413"/>
        <v>0</v>
      </c>
    </row>
    <row r="348" spans="1:42" ht="96.6" outlineLevel="1">
      <c r="A348" s="583" t="s">
        <v>23</v>
      </c>
      <c r="B348" s="316" t="s">
        <v>2127</v>
      </c>
      <c r="C348" s="317"/>
      <c r="D348" s="304"/>
      <c r="E348" s="304">
        <f t="shared" si="401"/>
        <v>497</v>
      </c>
      <c r="F348" s="304">
        <f t="shared" si="423"/>
        <v>497</v>
      </c>
      <c r="G348" s="304">
        <f t="shared" si="396"/>
        <v>497</v>
      </c>
      <c r="H348" s="303">
        <f t="shared" si="421"/>
        <v>497</v>
      </c>
      <c r="I348" s="303">
        <f t="shared" si="429"/>
        <v>0</v>
      </c>
      <c r="J348" s="294"/>
      <c r="K348" s="294"/>
      <c r="L348" s="294"/>
      <c r="M348" s="304">
        <f t="shared" si="430"/>
        <v>0</v>
      </c>
      <c r="N348" s="294"/>
      <c r="O348" s="294"/>
      <c r="P348" s="303">
        <f t="shared" si="431"/>
        <v>0</v>
      </c>
      <c r="Q348" s="303"/>
      <c r="R348" s="305"/>
      <c r="S348" s="304"/>
      <c r="T348" s="303">
        <f t="shared" si="432"/>
        <v>0</v>
      </c>
      <c r="U348" s="304"/>
      <c r="V348" s="304"/>
      <c r="W348" s="303">
        <f t="shared" si="428"/>
        <v>497</v>
      </c>
      <c r="X348" s="303"/>
      <c r="Y348" s="303"/>
      <c r="Z348" s="304"/>
      <c r="AA348" s="304">
        <v>497</v>
      </c>
      <c r="AB348" s="304"/>
      <c r="AC348" s="304"/>
      <c r="AD348" s="304"/>
      <c r="AE348" s="304"/>
      <c r="AF348" s="1263" t="s">
        <v>2315</v>
      </c>
      <c r="AG348" s="314">
        <f t="shared" si="404"/>
        <v>0</v>
      </c>
      <c r="AH348" s="696">
        <f t="shared" si="405"/>
        <v>0</v>
      </c>
      <c r="AI348" s="314">
        <f t="shared" si="406"/>
        <v>0</v>
      </c>
      <c r="AJ348" s="314">
        <f t="shared" si="407"/>
        <v>0</v>
      </c>
      <c r="AK348" s="314">
        <f t="shared" si="408"/>
        <v>0</v>
      </c>
      <c r="AL348" s="314">
        <f t="shared" si="409"/>
        <v>0</v>
      </c>
      <c r="AM348" s="314">
        <f t="shared" si="410"/>
        <v>0</v>
      </c>
      <c r="AN348" s="314">
        <f t="shared" si="411"/>
        <v>0</v>
      </c>
      <c r="AO348" s="314">
        <f t="shared" si="412"/>
        <v>0</v>
      </c>
      <c r="AP348" s="314">
        <f t="shared" si="413"/>
        <v>0</v>
      </c>
    </row>
    <row r="349" spans="1:42" ht="41.4" hidden="1" outlineLevel="3">
      <c r="A349" s="583" t="s">
        <v>23</v>
      </c>
      <c r="B349" s="316" t="s">
        <v>1788</v>
      </c>
      <c r="C349" s="317"/>
      <c r="D349" s="304">
        <v>3389</v>
      </c>
      <c r="E349" s="304">
        <f>F349+AC349</f>
        <v>0</v>
      </c>
      <c r="F349" s="304">
        <f t="shared" si="423"/>
        <v>0</v>
      </c>
      <c r="G349" s="304">
        <f t="shared" si="396"/>
        <v>-3389</v>
      </c>
      <c r="H349" s="303">
        <f>I349+W349</f>
        <v>0</v>
      </c>
      <c r="I349" s="303">
        <f>M349+P349</f>
        <v>0</v>
      </c>
      <c r="J349" s="294"/>
      <c r="K349" s="294"/>
      <c r="L349" s="294"/>
      <c r="M349" s="304">
        <f>N349+O349</f>
        <v>0</v>
      </c>
      <c r="N349" s="294"/>
      <c r="O349" s="294">
        <v>0</v>
      </c>
      <c r="P349" s="303">
        <f>S349+T349</f>
        <v>0</v>
      </c>
      <c r="Q349" s="294"/>
      <c r="R349" s="305"/>
      <c r="S349" s="304"/>
      <c r="T349" s="303">
        <f>U349+V349</f>
        <v>0</v>
      </c>
      <c r="U349" s="304"/>
      <c r="V349" s="304"/>
      <c r="W349" s="303">
        <f>Z349+AA349</f>
        <v>0</v>
      </c>
      <c r="X349" s="303"/>
      <c r="Y349" s="303"/>
      <c r="Z349" s="304"/>
      <c r="AA349" s="304"/>
      <c r="AB349" s="304"/>
      <c r="AC349" s="304"/>
      <c r="AD349" s="304"/>
      <c r="AE349" s="304"/>
      <c r="AF349" s="317" t="s">
        <v>1885</v>
      </c>
      <c r="AG349" s="314">
        <f t="shared" si="404"/>
        <v>0</v>
      </c>
      <c r="AH349" s="696">
        <f t="shared" si="405"/>
        <v>0</v>
      </c>
      <c r="AI349" s="314">
        <f t="shared" si="406"/>
        <v>0</v>
      </c>
      <c r="AJ349" s="314">
        <f t="shared" si="407"/>
        <v>0</v>
      </c>
      <c r="AK349" s="314">
        <f t="shared" si="408"/>
        <v>0</v>
      </c>
      <c r="AL349" s="314">
        <f t="shared" si="409"/>
        <v>0</v>
      </c>
      <c r="AM349" s="314">
        <f t="shared" si="410"/>
        <v>0</v>
      </c>
      <c r="AN349" s="314">
        <f t="shared" si="411"/>
        <v>0</v>
      </c>
      <c r="AO349" s="314">
        <f t="shared" si="412"/>
        <v>0</v>
      </c>
      <c r="AP349" s="314">
        <f t="shared" si="413"/>
        <v>0</v>
      </c>
    </row>
    <row r="350" spans="1:42" ht="41.4" hidden="1" outlineLevel="3">
      <c r="A350" s="583" t="s">
        <v>23</v>
      </c>
      <c r="B350" s="316" t="s">
        <v>2128</v>
      </c>
      <c r="C350" s="317"/>
      <c r="D350" s="304">
        <v>2000</v>
      </c>
      <c r="E350" s="304">
        <f t="shared" si="401"/>
        <v>0</v>
      </c>
      <c r="F350" s="304">
        <f t="shared" si="423"/>
        <v>0</v>
      </c>
      <c r="G350" s="304">
        <f t="shared" si="396"/>
        <v>-2000</v>
      </c>
      <c r="H350" s="303">
        <f>I350+W350</f>
        <v>0</v>
      </c>
      <c r="I350" s="303">
        <f>M350+P350</f>
        <v>0</v>
      </c>
      <c r="J350" s="294"/>
      <c r="K350" s="294"/>
      <c r="L350" s="294"/>
      <c r="M350" s="304">
        <f>N350+O350</f>
        <v>0</v>
      </c>
      <c r="N350" s="294"/>
      <c r="O350" s="294"/>
      <c r="P350" s="303">
        <f>S350+T350</f>
        <v>0</v>
      </c>
      <c r="Q350" s="303"/>
      <c r="R350" s="305"/>
      <c r="S350" s="304"/>
      <c r="T350" s="303">
        <f>U350+V350</f>
        <v>0</v>
      </c>
      <c r="U350" s="304"/>
      <c r="V350" s="304"/>
      <c r="W350" s="303">
        <f>Z350+AA350</f>
        <v>0</v>
      </c>
      <c r="X350" s="303"/>
      <c r="Y350" s="303"/>
      <c r="Z350" s="304"/>
      <c r="AA350" s="304"/>
      <c r="AB350" s="304"/>
      <c r="AC350" s="304"/>
      <c r="AD350" s="304"/>
      <c r="AE350" s="304"/>
      <c r="AF350" s="1263"/>
      <c r="AG350" s="314">
        <f t="shared" si="404"/>
        <v>0</v>
      </c>
      <c r="AH350" s="696">
        <f t="shared" si="405"/>
        <v>0</v>
      </c>
      <c r="AI350" s="314">
        <f t="shared" si="406"/>
        <v>0</v>
      </c>
      <c r="AJ350" s="314">
        <f t="shared" si="407"/>
        <v>0</v>
      </c>
      <c r="AK350" s="314">
        <f t="shared" si="408"/>
        <v>0</v>
      </c>
      <c r="AL350" s="314">
        <f t="shared" si="409"/>
        <v>0</v>
      </c>
      <c r="AM350" s="314">
        <f t="shared" si="410"/>
        <v>0</v>
      </c>
      <c r="AN350" s="314">
        <f t="shared" si="411"/>
        <v>0</v>
      </c>
      <c r="AO350" s="314">
        <f t="shared" si="412"/>
        <v>0</v>
      </c>
      <c r="AP350" s="314">
        <f t="shared" si="413"/>
        <v>0</v>
      </c>
    </row>
    <row r="351" spans="1:42" ht="27.6" hidden="1" outlineLevel="3">
      <c r="A351" s="583" t="s">
        <v>23</v>
      </c>
      <c r="B351" s="316" t="s">
        <v>1610</v>
      </c>
      <c r="C351" s="317"/>
      <c r="D351" s="304">
        <v>77</v>
      </c>
      <c r="E351" s="304">
        <f t="shared" si="401"/>
        <v>0</v>
      </c>
      <c r="F351" s="304">
        <f t="shared" si="423"/>
        <v>0</v>
      </c>
      <c r="G351" s="304">
        <f t="shared" si="396"/>
        <v>-77</v>
      </c>
      <c r="H351" s="303">
        <f>I351+W351</f>
        <v>0</v>
      </c>
      <c r="I351" s="303">
        <f>M351+P351</f>
        <v>0</v>
      </c>
      <c r="J351" s="294"/>
      <c r="K351" s="294"/>
      <c r="L351" s="294"/>
      <c r="M351" s="304">
        <f>N351+O351</f>
        <v>0</v>
      </c>
      <c r="N351" s="294"/>
      <c r="O351" s="294"/>
      <c r="P351" s="303">
        <f>S351+T351</f>
        <v>0</v>
      </c>
      <c r="Q351" s="303"/>
      <c r="R351" s="305"/>
      <c r="S351" s="304"/>
      <c r="T351" s="303">
        <f>U351+V351</f>
        <v>0</v>
      </c>
      <c r="U351" s="304"/>
      <c r="V351" s="304"/>
      <c r="W351" s="303">
        <f>Z351+AA351</f>
        <v>0</v>
      </c>
      <c r="X351" s="303"/>
      <c r="Y351" s="303"/>
      <c r="Z351" s="304"/>
      <c r="AA351" s="304"/>
      <c r="AB351" s="304"/>
      <c r="AC351" s="304"/>
      <c r="AD351" s="304"/>
      <c r="AE351" s="304"/>
      <c r="AF351" s="1263"/>
      <c r="AG351" s="314">
        <f t="shared" si="404"/>
        <v>0</v>
      </c>
      <c r="AH351" s="696">
        <f t="shared" si="405"/>
        <v>0</v>
      </c>
      <c r="AI351" s="314">
        <f t="shared" si="406"/>
        <v>0</v>
      </c>
      <c r="AJ351" s="314">
        <f t="shared" si="407"/>
        <v>0</v>
      </c>
      <c r="AK351" s="314">
        <f t="shared" si="408"/>
        <v>0</v>
      </c>
      <c r="AL351" s="314">
        <f t="shared" si="409"/>
        <v>0</v>
      </c>
      <c r="AM351" s="314">
        <f t="shared" si="410"/>
        <v>0</v>
      </c>
      <c r="AN351" s="314">
        <f t="shared" si="411"/>
        <v>0</v>
      </c>
      <c r="AO351" s="314">
        <f t="shared" si="412"/>
        <v>0</v>
      </c>
      <c r="AP351" s="314">
        <f t="shared" si="413"/>
        <v>0</v>
      </c>
    </row>
    <row r="352" spans="1:42" s="314" customFormat="1">
      <c r="A352" s="592" t="s">
        <v>78</v>
      </c>
      <c r="B352" s="320" t="s">
        <v>952</v>
      </c>
      <c r="C352" s="297"/>
      <c r="D352" s="299">
        <f t="shared" ref="D352:AE352" si="433">D353+D363+D403+D414</f>
        <v>315736</v>
      </c>
      <c r="E352" s="299">
        <f t="shared" si="433"/>
        <v>314620</v>
      </c>
      <c r="F352" s="299">
        <f t="shared" si="433"/>
        <v>312775</v>
      </c>
      <c r="G352" s="299">
        <f t="shared" si="433"/>
        <v>-2961</v>
      </c>
      <c r="H352" s="299">
        <f t="shared" si="433"/>
        <v>312803</v>
      </c>
      <c r="I352" s="299">
        <f t="shared" si="433"/>
        <v>13998</v>
      </c>
      <c r="J352" s="299">
        <f t="shared" si="433"/>
        <v>85</v>
      </c>
      <c r="K352" s="299">
        <f t="shared" si="433"/>
        <v>82</v>
      </c>
      <c r="L352" s="299">
        <f t="shared" si="433"/>
        <v>3</v>
      </c>
      <c r="M352" s="299">
        <f t="shared" si="433"/>
        <v>8869</v>
      </c>
      <c r="N352" s="299">
        <f t="shared" si="433"/>
        <v>8704</v>
      </c>
      <c r="O352" s="299">
        <f t="shared" si="433"/>
        <v>165</v>
      </c>
      <c r="P352" s="299">
        <f t="shared" si="433"/>
        <v>5129</v>
      </c>
      <c r="Q352" s="299">
        <f t="shared" si="433"/>
        <v>0</v>
      </c>
      <c r="R352" s="299">
        <f t="shared" si="433"/>
        <v>0</v>
      </c>
      <c r="S352" s="299">
        <f t="shared" si="433"/>
        <v>3151</v>
      </c>
      <c r="T352" s="299">
        <f t="shared" si="433"/>
        <v>1978</v>
      </c>
      <c r="U352" s="299">
        <f t="shared" si="433"/>
        <v>1507</v>
      </c>
      <c r="V352" s="299">
        <f t="shared" si="433"/>
        <v>471</v>
      </c>
      <c r="W352" s="299">
        <f t="shared" si="433"/>
        <v>298805</v>
      </c>
      <c r="X352" s="299">
        <f t="shared" si="433"/>
        <v>180</v>
      </c>
      <c r="Y352" s="299">
        <f t="shared" si="433"/>
        <v>0</v>
      </c>
      <c r="Z352" s="299">
        <f t="shared" si="433"/>
        <v>297853</v>
      </c>
      <c r="AA352" s="299">
        <f t="shared" si="433"/>
        <v>952</v>
      </c>
      <c r="AB352" s="299">
        <f t="shared" si="433"/>
        <v>28</v>
      </c>
      <c r="AC352" s="299">
        <f t="shared" si="433"/>
        <v>1845</v>
      </c>
      <c r="AD352" s="299">
        <f t="shared" si="433"/>
        <v>1031</v>
      </c>
      <c r="AE352" s="299">
        <f t="shared" si="433"/>
        <v>313589</v>
      </c>
      <c r="AF352" s="321"/>
      <c r="AG352" s="314">
        <f t="shared" si="404"/>
        <v>0</v>
      </c>
      <c r="AH352" s="696">
        <f t="shared" si="405"/>
        <v>0</v>
      </c>
      <c r="AI352" s="314">
        <f t="shared" si="406"/>
        <v>0</v>
      </c>
      <c r="AJ352" s="314">
        <f t="shared" si="407"/>
        <v>0</v>
      </c>
      <c r="AK352" s="314">
        <f t="shared" si="408"/>
        <v>0</v>
      </c>
      <c r="AL352" s="314">
        <f t="shared" si="409"/>
        <v>0</v>
      </c>
      <c r="AM352" s="314">
        <f t="shared" si="410"/>
        <v>0</v>
      </c>
      <c r="AN352" s="314">
        <f t="shared" si="411"/>
        <v>0</v>
      </c>
      <c r="AO352" s="314">
        <f t="shared" si="412"/>
        <v>0</v>
      </c>
      <c r="AP352" s="314">
        <f t="shared" si="413"/>
        <v>0</v>
      </c>
    </row>
    <row r="353" spans="1:42" s="314" customFormat="1">
      <c r="A353" s="592" t="s">
        <v>781</v>
      </c>
      <c r="B353" s="357" t="s">
        <v>826</v>
      </c>
      <c r="C353" s="298" t="s">
        <v>756</v>
      </c>
      <c r="D353" s="299">
        <f t="shared" ref="D353" si="434">D354+D356+D355</f>
        <v>7382</v>
      </c>
      <c r="E353" s="299">
        <f>E354+E356+E355</f>
        <v>8799</v>
      </c>
      <c r="F353" s="299">
        <f>F354+F356+F355</f>
        <v>7933</v>
      </c>
      <c r="G353" s="299">
        <f>F353-D353</f>
        <v>551</v>
      </c>
      <c r="H353" s="299">
        <f t="shared" ref="H353:Z353" si="435">H354+H356+H355</f>
        <v>7933</v>
      </c>
      <c r="I353" s="299">
        <f t="shared" si="435"/>
        <v>7933</v>
      </c>
      <c r="J353" s="299">
        <f t="shared" si="435"/>
        <v>34</v>
      </c>
      <c r="K353" s="299">
        <f t="shared" si="435"/>
        <v>34</v>
      </c>
      <c r="L353" s="299">
        <f t="shared" si="435"/>
        <v>0</v>
      </c>
      <c r="M353" s="299">
        <f t="shared" si="435"/>
        <v>4163</v>
      </c>
      <c r="N353" s="299">
        <f t="shared" si="435"/>
        <v>4163</v>
      </c>
      <c r="O353" s="299">
        <f t="shared" si="435"/>
        <v>0</v>
      </c>
      <c r="P353" s="299">
        <f t="shared" si="435"/>
        <v>3770</v>
      </c>
      <c r="Q353" s="299"/>
      <c r="R353" s="299"/>
      <c r="S353" s="299">
        <f t="shared" si="435"/>
        <v>1792</v>
      </c>
      <c r="T353" s="299">
        <f t="shared" si="435"/>
        <v>1978</v>
      </c>
      <c r="U353" s="299">
        <f t="shared" si="435"/>
        <v>1507</v>
      </c>
      <c r="V353" s="299">
        <f t="shared" si="435"/>
        <v>471</v>
      </c>
      <c r="W353" s="299">
        <f>W354+W356+W355</f>
        <v>0</v>
      </c>
      <c r="X353" s="299"/>
      <c r="Y353" s="299"/>
      <c r="Z353" s="299">
        <f t="shared" si="435"/>
        <v>0</v>
      </c>
      <c r="AA353" s="299">
        <f>AA354+AA356+AA355</f>
        <v>0</v>
      </c>
      <c r="AB353" s="299">
        <f>AB354+AB356+AB355</f>
        <v>0</v>
      </c>
      <c r="AC353" s="299">
        <f t="shared" ref="AC353:AE353" si="436">AC354+AC356+AC355</f>
        <v>866</v>
      </c>
      <c r="AD353" s="299">
        <f t="shared" si="436"/>
        <v>341</v>
      </c>
      <c r="AE353" s="299">
        <f t="shared" si="436"/>
        <v>8458</v>
      </c>
      <c r="AF353" s="321"/>
      <c r="AG353" s="314">
        <f t="shared" si="404"/>
        <v>0</v>
      </c>
      <c r="AH353" s="696">
        <f t="shared" si="405"/>
        <v>0</v>
      </c>
      <c r="AI353" s="314">
        <f t="shared" si="406"/>
        <v>0</v>
      </c>
      <c r="AJ353" s="314">
        <f t="shared" si="407"/>
        <v>0</v>
      </c>
      <c r="AK353" s="314">
        <f t="shared" si="408"/>
        <v>0</v>
      </c>
      <c r="AL353" s="314">
        <f t="shared" si="409"/>
        <v>0</v>
      </c>
      <c r="AM353" s="314">
        <f t="shared" si="410"/>
        <v>0</v>
      </c>
      <c r="AN353" s="314">
        <f t="shared" si="411"/>
        <v>0</v>
      </c>
      <c r="AO353" s="314">
        <f t="shared" si="412"/>
        <v>0</v>
      </c>
      <c r="AP353" s="314">
        <f t="shared" si="413"/>
        <v>0</v>
      </c>
    </row>
    <row r="354" spans="1:42">
      <c r="A354" s="583" t="s">
        <v>45</v>
      </c>
      <c r="B354" s="324" t="s">
        <v>862</v>
      </c>
      <c r="C354" s="304"/>
      <c r="D354" s="304">
        <v>5655</v>
      </c>
      <c r="E354" s="304">
        <f t="shared" si="401"/>
        <v>6821</v>
      </c>
      <c r="F354" s="304">
        <f>H354-AB354</f>
        <v>5955</v>
      </c>
      <c r="G354" s="304">
        <f>F354-D354</f>
        <v>300</v>
      </c>
      <c r="H354" s="303">
        <f t="shared" ref="H354:H355" si="437">I354+W354</f>
        <v>5955</v>
      </c>
      <c r="I354" s="303">
        <f>M354+P354</f>
        <v>5955</v>
      </c>
      <c r="J354" s="311">
        <v>34</v>
      </c>
      <c r="K354" s="311">
        <v>34</v>
      </c>
      <c r="L354" s="294">
        <f>J354-K354</f>
        <v>0</v>
      </c>
      <c r="M354" s="303">
        <f>N354+O354</f>
        <v>4163</v>
      </c>
      <c r="N354" s="311">
        <v>4163</v>
      </c>
      <c r="O354" s="311">
        <v>0</v>
      </c>
      <c r="P354" s="303">
        <f>S354+T354</f>
        <v>1792</v>
      </c>
      <c r="Q354" s="294">
        <v>31</v>
      </c>
      <c r="R354" s="312">
        <v>1.7000000000000002</v>
      </c>
      <c r="S354" s="303">
        <f>ROUND(J354*Q354*R354,0)</f>
        <v>1792</v>
      </c>
      <c r="T354" s="303">
        <f>U354+V354</f>
        <v>0</v>
      </c>
      <c r="U354" s="303"/>
      <c r="V354" s="303"/>
      <c r="W354" s="303">
        <f>Z354+AA354</f>
        <v>0</v>
      </c>
      <c r="X354" s="303"/>
      <c r="Y354" s="303"/>
      <c r="Z354" s="303"/>
      <c r="AA354" s="303"/>
      <c r="AB354" s="304"/>
      <c r="AC354" s="304">
        <v>866</v>
      </c>
      <c r="AD354" s="304">
        <v>179</v>
      </c>
      <c r="AE354" s="303">
        <f>E354-AD354</f>
        <v>6642</v>
      </c>
      <c r="AF354" s="317"/>
      <c r="AG354" s="314">
        <f t="shared" si="404"/>
        <v>0</v>
      </c>
      <c r="AH354" s="696">
        <f t="shared" si="405"/>
        <v>0</v>
      </c>
      <c r="AI354" s="314">
        <f t="shared" si="406"/>
        <v>0</v>
      </c>
      <c r="AJ354" s="314">
        <f t="shared" si="407"/>
        <v>0</v>
      </c>
      <c r="AK354" s="314">
        <f t="shared" si="408"/>
        <v>0</v>
      </c>
      <c r="AL354" s="314">
        <f t="shared" si="409"/>
        <v>0</v>
      </c>
      <c r="AM354" s="314">
        <f t="shared" si="410"/>
        <v>0</v>
      </c>
      <c r="AN354" s="314">
        <f t="shared" si="411"/>
        <v>0</v>
      </c>
      <c r="AO354" s="314">
        <f t="shared" si="412"/>
        <v>0</v>
      </c>
      <c r="AP354" s="314">
        <f t="shared" si="413"/>
        <v>0</v>
      </c>
    </row>
    <row r="355" spans="1:42" ht="27.6" hidden="1" outlineLevel="3">
      <c r="A355" s="583" t="s">
        <v>47</v>
      </c>
      <c r="B355" s="324" t="s">
        <v>1521</v>
      </c>
      <c r="C355" s="304"/>
      <c r="D355" s="304">
        <v>420</v>
      </c>
      <c r="E355" s="304">
        <f t="shared" si="401"/>
        <v>0</v>
      </c>
      <c r="F355" s="304">
        <f>H355-AB355</f>
        <v>0</v>
      </c>
      <c r="G355" s="304">
        <f>F355-D355</f>
        <v>-420</v>
      </c>
      <c r="H355" s="303">
        <f t="shared" si="437"/>
        <v>0</v>
      </c>
      <c r="I355" s="303">
        <f t="shared" ref="I355" si="438">M355+P355</f>
        <v>0</v>
      </c>
      <c r="J355" s="294"/>
      <c r="K355" s="294">
        <v>0</v>
      </c>
      <c r="L355" s="294"/>
      <c r="M355" s="304">
        <f t="shared" ref="M355" si="439">N355+O355</f>
        <v>0</v>
      </c>
      <c r="N355" s="294"/>
      <c r="O355" s="294"/>
      <c r="P355" s="303">
        <f t="shared" ref="P355" si="440">S355+T355</f>
        <v>0</v>
      </c>
      <c r="Q355" s="311">
        <v>0</v>
      </c>
      <c r="R355" s="305"/>
      <c r="S355" s="304">
        <f>J355*Q355</f>
        <v>0</v>
      </c>
      <c r="T355" s="303">
        <f t="shared" ref="T355" si="441">U355+V355</f>
        <v>0</v>
      </c>
      <c r="U355" s="304"/>
      <c r="V355" s="304"/>
      <c r="W355" s="303">
        <f>Z355+AA355</f>
        <v>0</v>
      </c>
      <c r="X355" s="303"/>
      <c r="Y355" s="303"/>
      <c r="Z355" s="304"/>
      <c r="AA355" s="304"/>
      <c r="AB355" s="304"/>
      <c r="AC355" s="304"/>
      <c r="AD355" s="304">
        <v>-32</v>
      </c>
      <c r="AE355" s="303">
        <f>E355-AD355</f>
        <v>32</v>
      </c>
      <c r="AF355" s="317"/>
      <c r="AG355" s="314">
        <f t="shared" si="404"/>
        <v>0</v>
      </c>
      <c r="AH355" s="696">
        <f t="shared" si="405"/>
        <v>0</v>
      </c>
      <c r="AI355" s="314">
        <f t="shared" si="406"/>
        <v>0</v>
      </c>
      <c r="AJ355" s="314">
        <f t="shared" si="407"/>
        <v>0</v>
      </c>
      <c r="AK355" s="314">
        <f t="shared" si="408"/>
        <v>0</v>
      </c>
      <c r="AL355" s="314">
        <f t="shared" si="409"/>
        <v>0</v>
      </c>
      <c r="AM355" s="314">
        <f t="shared" si="410"/>
        <v>0</v>
      </c>
      <c r="AN355" s="314">
        <f t="shared" si="411"/>
        <v>0</v>
      </c>
      <c r="AO355" s="314">
        <f t="shared" si="412"/>
        <v>0</v>
      </c>
      <c r="AP355" s="314">
        <f t="shared" si="413"/>
        <v>0</v>
      </c>
    </row>
    <row r="356" spans="1:42" ht="27.6" collapsed="1">
      <c r="A356" s="583" t="s">
        <v>47</v>
      </c>
      <c r="B356" s="1273" t="s">
        <v>1737</v>
      </c>
      <c r="C356" s="304"/>
      <c r="D356" s="303">
        <v>1307</v>
      </c>
      <c r="E356" s="303">
        <f>E357+E361+E362</f>
        <v>1978</v>
      </c>
      <c r="F356" s="303">
        <f t="shared" ref="F356:AC356" si="442">F357+F361+F362</f>
        <v>1978</v>
      </c>
      <c r="G356" s="303">
        <f t="shared" si="442"/>
        <v>671</v>
      </c>
      <c r="H356" s="303">
        <f t="shared" si="442"/>
        <v>1978</v>
      </c>
      <c r="I356" s="303">
        <f t="shared" si="442"/>
        <v>1978</v>
      </c>
      <c r="J356" s="303">
        <f t="shared" si="442"/>
        <v>0</v>
      </c>
      <c r="K356" s="303">
        <f t="shared" si="442"/>
        <v>0</v>
      </c>
      <c r="L356" s="303">
        <f t="shared" si="442"/>
        <v>0</v>
      </c>
      <c r="M356" s="303">
        <f t="shared" si="442"/>
        <v>0</v>
      </c>
      <c r="N356" s="303">
        <f t="shared" si="442"/>
        <v>0</v>
      </c>
      <c r="O356" s="303">
        <f t="shared" si="442"/>
        <v>0</v>
      </c>
      <c r="P356" s="303">
        <f t="shared" si="442"/>
        <v>1978</v>
      </c>
      <c r="Q356" s="303">
        <f t="shared" si="442"/>
        <v>0</v>
      </c>
      <c r="R356" s="303">
        <f t="shared" si="442"/>
        <v>0</v>
      </c>
      <c r="S356" s="303">
        <f t="shared" si="442"/>
        <v>0</v>
      </c>
      <c r="T356" s="303">
        <f t="shared" si="442"/>
        <v>1978</v>
      </c>
      <c r="U356" s="303">
        <f t="shared" si="442"/>
        <v>1507</v>
      </c>
      <c r="V356" s="303">
        <f t="shared" si="442"/>
        <v>471</v>
      </c>
      <c r="W356" s="303">
        <f t="shared" si="442"/>
        <v>0</v>
      </c>
      <c r="X356" s="303">
        <f t="shared" si="442"/>
        <v>0</v>
      </c>
      <c r="Y356" s="303">
        <f t="shared" si="442"/>
        <v>0</v>
      </c>
      <c r="Z356" s="303">
        <f t="shared" si="442"/>
        <v>0</v>
      </c>
      <c r="AA356" s="303">
        <f t="shared" si="442"/>
        <v>0</v>
      </c>
      <c r="AB356" s="303">
        <f t="shared" si="442"/>
        <v>0</v>
      </c>
      <c r="AC356" s="303">
        <f t="shared" si="442"/>
        <v>0</v>
      </c>
      <c r="AD356" s="304">
        <v>194</v>
      </c>
      <c r="AE356" s="303">
        <f>E356-AD356</f>
        <v>1784</v>
      </c>
      <c r="AF356" s="317"/>
      <c r="AG356" s="314">
        <f t="shared" si="404"/>
        <v>0</v>
      </c>
      <c r="AH356" s="696">
        <f t="shared" si="405"/>
        <v>0</v>
      </c>
      <c r="AI356" s="314">
        <f t="shared" si="406"/>
        <v>0</v>
      </c>
      <c r="AJ356" s="314">
        <f t="shared" si="407"/>
        <v>0</v>
      </c>
      <c r="AK356" s="314">
        <f t="shared" si="408"/>
        <v>0</v>
      </c>
      <c r="AL356" s="314">
        <f t="shared" si="409"/>
        <v>0</v>
      </c>
      <c r="AM356" s="314">
        <f t="shared" si="410"/>
        <v>0</v>
      </c>
      <c r="AN356" s="314">
        <f t="shared" si="411"/>
        <v>0</v>
      </c>
      <c r="AO356" s="314">
        <f t="shared" si="412"/>
        <v>0</v>
      </c>
      <c r="AP356" s="314">
        <f t="shared" si="413"/>
        <v>0</v>
      </c>
    </row>
    <row r="357" spans="1:42" ht="41.4" outlineLevel="1">
      <c r="A357" s="593" t="s">
        <v>23</v>
      </c>
      <c r="B357" s="324" t="s">
        <v>1612</v>
      </c>
      <c r="C357" s="317"/>
      <c r="D357" s="304">
        <v>1265</v>
      </c>
      <c r="E357" s="304">
        <f>E358+E359+E360</f>
        <v>1465</v>
      </c>
      <c r="F357" s="304">
        <f t="shared" ref="F357:AC357" si="443">F358+F359+F360</f>
        <v>1465</v>
      </c>
      <c r="G357" s="304">
        <f t="shared" ref="G357:G372" si="444">F357-D357</f>
        <v>200</v>
      </c>
      <c r="H357" s="304">
        <f t="shared" si="443"/>
        <v>1465</v>
      </c>
      <c r="I357" s="304">
        <f t="shared" si="443"/>
        <v>1465</v>
      </c>
      <c r="J357" s="304">
        <f t="shared" si="443"/>
        <v>0</v>
      </c>
      <c r="K357" s="304">
        <f t="shared" si="443"/>
        <v>0</v>
      </c>
      <c r="L357" s="304">
        <f t="shared" si="443"/>
        <v>0</v>
      </c>
      <c r="M357" s="304">
        <f t="shared" si="443"/>
        <v>0</v>
      </c>
      <c r="N357" s="304">
        <f t="shared" si="443"/>
        <v>0</v>
      </c>
      <c r="O357" s="304">
        <f t="shared" si="443"/>
        <v>0</v>
      </c>
      <c r="P357" s="304">
        <f t="shared" si="443"/>
        <v>1465</v>
      </c>
      <c r="Q357" s="304">
        <f t="shared" si="443"/>
        <v>0</v>
      </c>
      <c r="R357" s="304">
        <f t="shared" si="443"/>
        <v>0</v>
      </c>
      <c r="S357" s="304">
        <f t="shared" si="443"/>
        <v>0</v>
      </c>
      <c r="T357" s="304">
        <f t="shared" si="443"/>
        <v>1465</v>
      </c>
      <c r="U357" s="304">
        <f t="shared" si="443"/>
        <v>1465</v>
      </c>
      <c r="V357" s="304">
        <f t="shared" si="443"/>
        <v>0</v>
      </c>
      <c r="W357" s="304">
        <f t="shared" si="443"/>
        <v>0</v>
      </c>
      <c r="X357" s="304">
        <f t="shared" si="443"/>
        <v>0</v>
      </c>
      <c r="Y357" s="304">
        <f t="shared" si="443"/>
        <v>0</v>
      </c>
      <c r="Z357" s="304">
        <f t="shared" si="443"/>
        <v>0</v>
      </c>
      <c r="AA357" s="304">
        <f t="shared" si="443"/>
        <v>0</v>
      </c>
      <c r="AB357" s="304">
        <f t="shared" si="443"/>
        <v>0</v>
      </c>
      <c r="AC357" s="304">
        <f t="shared" si="443"/>
        <v>0</v>
      </c>
      <c r="AD357" s="304"/>
      <c r="AE357" s="304"/>
      <c r="AF357" s="1653"/>
      <c r="AG357" s="314">
        <f t="shared" si="404"/>
        <v>0</v>
      </c>
      <c r="AH357" s="696">
        <f t="shared" si="405"/>
        <v>0</v>
      </c>
      <c r="AI357" s="314">
        <f t="shared" si="406"/>
        <v>0</v>
      </c>
      <c r="AJ357" s="314">
        <f t="shared" si="407"/>
        <v>0</v>
      </c>
      <c r="AK357" s="314">
        <f t="shared" si="408"/>
        <v>0</v>
      </c>
      <c r="AL357" s="314">
        <f t="shared" si="409"/>
        <v>0</v>
      </c>
      <c r="AM357" s="314">
        <f t="shared" si="410"/>
        <v>0</v>
      </c>
      <c r="AN357" s="314">
        <f t="shared" si="411"/>
        <v>0</v>
      </c>
      <c r="AO357" s="314">
        <f t="shared" si="412"/>
        <v>0</v>
      </c>
      <c r="AP357" s="314">
        <f t="shared" si="413"/>
        <v>0</v>
      </c>
    </row>
    <row r="358" spans="1:42" ht="27.6" outlineLevel="1">
      <c r="A358" s="593" t="s">
        <v>281</v>
      </c>
      <c r="B358" s="324" t="s">
        <v>1724</v>
      </c>
      <c r="C358" s="317"/>
      <c r="D358" s="304">
        <v>865</v>
      </c>
      <c r="E358" s="304">
        <f t="shared" si="401"/>
        <v>865</v>
      </c>
      <c r="F358" s="304">
        <f>H358-AB358</f>
        <v>865</v>
      </c>
      <c r="G358" s="304">
        <f t="shared" si="444"/>
        <v>0</v>
      </c>
      <c r="H358" s="303">
        <f t="shared" ref="H358:H362" si="445">I358+W358</f>
        <v>865</v>
      </c>
      <c r="I358" s="303">
        <f t="shared" ref="I358:I362" si="446">M358+P358</f>
        <v>865</v>
      </c>
      <c r="J358" s="294"/>
      <c r="K358" s="294"/>
      <c r="L358" s="294"/>
      <c r="M358" s="304"/>
      <c r="N358" s="294"/>
      <c r="O358" s="294"/>
      <c r="P358" s="303">
        <f t="shared" ref="P358:P362" si="447">S358+T358</f>
        <v>865</v>
      </c>
      <c r="Q358" s="294"/>
      <c r="R358" s="305"/>
      <c r="S358" s="304"/>
      <c r="T358" s="303">
        <f t="shared" ref="T358:T362" si="448">U358+V358</f>
        <v>865</v>
      </c>
      <c r="U358" s="304">
        <v>865</v>
      </c>
      <c r="V358" s="304"/>
      <c r="W358" s="303"/>
      <c r="X358" s="303"/>
      <c r="Y358" s="303"/>
      <c r="Z358" s="304"/>
      <c r="AA358" s="304"/>
      <c r="AB358" s="304"/>
      <c r="AC358" s="304"/>
      <c r="AD358" s="304"/>
      <c r="AE358" s="304"/>
      <c r="AF358" s="1654"/>
      <c r="AG358" s="314">
        <f t="shared" si="404"/>
        <v>0</v>
      </c>
      <c r="AH358" s="696">
        <f t="shared" si="405"/>
        <v>0</v>
      </c>
      <c r="AI358" s="314">
        <f t="shared" si="406"/>
        <v>0</v>
      </c>
      <c r="AJ358" s="314">
        <f t="shared" si="407"/>
        <v>0</v>
      </c>
      <c r="AK358" s="314">
        <f t="shared" si="408"/>
        <v>0</v>
      </c>
      <c r="AL358" s="314">
        <f t="shared" si="409"/>
        <v>0</v>
      </c>
      <c r="AM358" s="314">
        <f t="shared" si="410"/>
        <v>0</v>
      </c>
      <c r="AN358" s="314">
        <f t="shared" si="411"/>
        <v>0</v>
      </c>
      <c r="AO358" s="314">
        <f t="shared" si="412"/>
        <v>0</v>
      </c>
      <c r="AP358" s="314">
        <f t="shared" si="413"/>
        <v>0</v>
      </c>
    </row>
    <row r="359" spans="1:42" ht="27.6" outlineLevel="1">
      <c r="A359" s="593" t="s">
        <v>281</v>
      </c>
      <c r="B359" s="324" t="s">
        <v>1725</v>
      </c>
      <c r="C359" s="317"/>
      <c r="D359" s="304">
        <v>400</v>
      </c>
      <c r="E359" s="304">
        <f t="shared" si="401"/>
        <v>300</v>
      </c>
      <c r="F359" s="304">
        <f>H359-AB359</f>
        <v>300</v>
      </c>
      <c r="G359" s="304">
        <f t="shared" si="444"/>
        <v>-100</v>
      </c>
      <c r="H359" s="303">
        <f t="shared" si="445"/>
        <v>300</v>
      </c>
      <c r="I359" s="303">
        <f t="shared" si="446"/>
        <v>300</v>
      </c>
      <c r="J359" s="294"/>
      <c r="K359" s="294"/>
      <c r="L359" s="294"/>
      <c r="M359" s="304"/>
      <c r="N359" s="294"/>
      <c r="O359" s="294"/>
      <c r="P359" s="303">
        <f t="shared" si="447"/>
        <v>300</v>
      </c>
      <c r="Q359" s="294"/>
      <c r="R359" s="305"/>
      <c r="S359" s="304"/>
      <c r="T359" s="303">
        <f t="shared" si="448"/>
        <v>300</v>
      </c>
      <c r="U359" s="304">
        <v>300</v>
      </c>
      <c r="V359" s="304"/>
      <c r="W359" s="303"/>
      <c r="X359" s="303"/>
      <c r="Y359" s="303"/>
      <c r="Z359" s="304"/>
      <c r="AA359" s="304"/>
      <c r="AB359" s="304"/>
      <c r="AC359" s="304"/>
      <c r="AD359" s="304"/>
      <c r="AE359" s="304"/>
      <c r="AF359" s="1655"/>
      <c r="AG359" s="314">
        <f t="shared" si="404"/>
        <v>0</v>
      </c>
      <c r="AH359" s="696">
        <f t="shared" si="405"/>
        <v>0</v>
      </c>
      <c r="AI359" s="314">
        <f t="shared" si="406"/>
        <v>0</v>
      </c>
      <c r="AJ359" s="314">
        <f t="shared" si="407"/>
        <v>0</v>
      </c>
      <c r="AK359" s="314">
        <f t="shared" si="408"/>
        <v>0</v>
      </c>
      <c r="AL359" s="314">
        <f t="shared" si="409"/>
        <v>0</v>
      </c>
      <c r="AM359" s="314">
        <f t="shared" si="410"/>
        <v>0</v>
      </c>
      <c r="AN359" s="314">
        <f t="shared" si="411"/>
        <v>0</v>
      </c>
      <c r="AO359" s="314">
        <f t="shared" si="412"/>
        <v>0</v>
      </c>
      <c r="AP359" s="314">
        <f t="shared" si="413"/>
        <v>0</v>
      </c>
    </row>
    <row r="360" spans="1:42" ht="41.4" outlineLevel="1">
      <c r="A360" s="593" t="s">
        <v>281</v>
      </c>
      <c r="B360" s="324" t="s">
        <v>2129</v>
      </c>
      <c r="C360" s="317"/>
      <c r="D360" s="304"/>
      <c r="E360" s="304">
        <f t="shared" si="401"/>
        <v>300</v>
      </c>
      <c r="F360" s="304">
        <f>H360-AB360</f>
        <v>300</v>
      </c>
      <c r="G360" s="304">
        <f t="shared" si="444"/>
        <v>300</v>
      </c>
      <c r="H360" s="303">
        <f t="shared" si="445"/>
        <v>300</v>
      </c>
      <c r="I360" s="303">
        <f t="shared" si="446"/>
        <v>300</v>
      </c>
      <c r="J360" s="294"/>
      <c r="K360" s="294"/>
      <c r="L360" s="294"/>
      <c r="M360" s="304"/>
      <c r="N360" s="294"/>
      <c r="O360" s="294"/>
      <c r="P360" s="303">
        <f t="shared" si="447"/>
        <v>300</v>
      </c>
      <c r="Q360" s="294"/>
      <c r="R360" s="305"/>
      <c r="S360" s="304"/>
      <c r="T360" s="303">
        <f t="shared" si="448"/>
        <v>300</v>
      </c>
      <c r="U360" s="304">
        <v>300</v>
      </c>
      <c r="V360" s="304"/>
      <c r="W360" s="303"/>
      <c r="X360" s="303"/>
      <c r="Y360" s="303"/>
      <c r="Z360" s="304"/>
      <c r="AA360" s="304"/>
      <c r="AB360" s="304"/>
      <c r="AC360" s="304"/>
      <c r="AD360" s="304"/>
      <c r="AE360" s="304"/>
      <c r="AF360" s="1320"/>
      <c r="AG360" s="314">
        <f t="shared" si="404"/>
        <v>0</v>
      </c>
      <c r="AH360" s="696">
        <f t="shared" si="405"/>
        <v>0</v>
      </c>
      <c r="AI360" s="314">
        <f t="shared" si="406"/>
        <v>0</v>
      </c>
      <c r="AJ360" s="314">
        <f t="shared" si="407"/>
        <v>0</v>
      </c>
      <c r="AK360" s="314">
        <f t="shared" si="408"/>
        <v>0</v>
      </c>
      <c r="AL360" s="314">
        <f t="shared" si="409"/>
        <v>0</v>
      </c>
      <c r="AM360" s="314">
        <f t="shared" si="410"/>
        <v>0</v>
      </c>
      <c r="AN360" s="314">
        <f t="shared" si="411"/>
        <v>0</v>
      </c>
      <c r="AO360" s="314">
        <f t="shared" si="412"/>
        <v>0</v>
      </c>
      <c r="AP360" s="314">
        <f t="shared" si="413"/>
        <v>0</v>
      </c>
    </row>
    <row r="361" spans="1:42" ht="41.4" outlineLevel="1" collapsed="1">
      <c r="A361" s="583" t="s">
        <v>23</v>
      </c>
      <c r="B361" s="324" t="s">
        <v>1613</v>
      </c>
      <c r="C361" s="317"/>
      <c r="D361" s="304">
        <v>42</v>
      </c>
      <c r="E361" s="304">
        <f t="shared" si="401"/>
        <v>42</v>
      </c>
      <c r="F361" s="304">
        <f>H361-AB361</f>
        <v>42</v>
      </c>
      <c r="G361" s="304">
        <f t="shared" si="444"/>
        <v>0</v>
      </c>
      <c r="H361" s="303">
        <f t="shared" si="445"/>
        <v>42</v>
      </c>
      <c r="I361" s="303">
        <f t="shared" si="446"/>
        <v>42</v>
      </c>
      <c r="J361" s="294"/>
      <c r="K361" s="294"/>
      <c r="L361" s="294"/>
      <c r="M361" s="304"/>
      <c r="N361" s="294"/>
      <c r="O361" s="294"/>
      <c r="P361" s="303">
        <f t="shared" si="447"/>
        <v>42</v>
      </c>
      <c r="Q361" s="294"/>
      <c r="R361" s="305"/>
      <c r="S361" s="304"/>
      <c r="T361" s="303">
        <f t="shared" si="448"/>
        <v>42</v>
      </c>
      <c r="U361" s="304">
        <v>42</v>
      </c>
      <c r="V361" s="304"/>
      <c r="W361" s="303">
        <f>Z361+AA361</f>
        <v>0</v>
      </c>
      <c r="X361" s="303"/>
      <c r="Y361" s="303"/>
      <c r="Z361" s="304"/>
      <c r="AA361" s="304"/>
      <c r="AB361" s="304"/>
      <c r="AC361" s="304"/>
      <c r="AD361" s="304"/>
      <c r="AE361" s="304"/>
      <c r="AF361" s="317" t="s">
        <v>1807</v>
      </c>
      <c r="AG361" s="314">
        <f t="shared" si="404"/>
        <v>0</v>
      </c>
      <c r="AH361" s="696">
        <f t="shared" si="405"/>
        <v>0</v>
      </c>
      <c r="AI361" s="314">
        <f t="shared" si="406"/>
        <v>0</v>
      </c>
      <c r="AJ361" s="314">
        <f t="shared" si="407"/>
        <v>0</v>
      </c>
      <c r="AK361" s="314">
        <f t="shared" si="408"/>
        <v>0</v>
      </c>
      <c r="AL361" s="314">
        <f t="shared" si="409"/>
        <v>0</v>
      </c>
      <c r="AM361" s="314">
        <f t="shared" si="410"/>
        <v>0</v>
      </c>
      <c r="AN361" s="314">
        <f t="shared" si="411"/>
        <v>0</v>
      </c>
      <c r="AO361" s="314">
        <f t="shared" si="412"/>
        <v>0</v>
      </c>
      <c r="AP361" s="314">
        <f t="shared" si="413"/>
        <v>0</v>
      </c>
    </row>
    <row r="362" spans="1:42" outlineLevel="1">
      <c r="A362" s="593" t="s">
        <v>23</v>
      </c>
      <c r="B362" s="324" t="s">
        <v>2130</v>
      </c>
      <c r="C362" s="317"/>
      <c r="D362" s="304"/>
      <c r="E362" s="304">
        <f t="shared" si="401"/>
        <v>471</v>
      </c>
      <c r="F362" s="304">
        <f>H362-AB362</f>
        <v>471</v>
      </c>
      <c r="G362" s="304">
        <f t="shared" si="444"/>
        <v>471</v>
      </c>
      <c r="H362" s="303">
        <f t="shared" si="445"/>
        <v>471</v>
      </c>
      <c r="I362" s="303">
        <f t="shared" si="446"/>
        <v>471</v>
      </c>
      <c r="J362" s="294"/>
      <c r="K362" s="294"/>
      <c r="L362" s="294"/>
      <c r="M362" s="304"/>
      <c r="N362" s="294"/>
      <c r="O362" s="294"/>
      <c r="P362" s="303">
        <f t="shared" si="447"/>
        <v>471</v>
      </c>
      <c r="Q362" s="294"/>
      <c r="R362" s="305"/>
      <c r="S362" s="304"/>
      <c r="T362" s="303">
        <f t="shared" si="448"/>
        <v>471</v>
      </c>
      <c r="U362" s="304"/>
      <c r="V362" s="304">
        <v>471</v>
      </c>
      <c r="W362" s="303"/>
      <c r="X362" s="303"/>
      <c r="Y362" s="303"/>
      <c r="Z362" s="304"/>
      <c r="AA362" s="304"/>
      <c r="AB362" s="304"/>
      <c r="AC362" s="304"/>
      <c r="AD362" s="304"/>
      <c r="AE362" s="304"/>
      <c r="AF362" s="317">
        <v>0</v>
      </c>
      <c r="AG362" s="314">
        <f t="shared" si="404"/>
        <v>0</v>
      </c>
      <c r="AH362" s="696">
        <f t="shared" si="405"/>
        <v>0</v>
      </c>
      <c r="AI362" s="314">
        <f t="shared" si="406"/>
        <v>0</v>
      </c>
      <c r="AJ362" s="314">
        <f t="shared" si="407"/>
        <v>0</v>
      </c>
      <c r="AK362" s="314">
        <f t="shared" si="408"/>
        <v>0</v>
      </c>
      <c r="AL362" s="314">
        <f t="shared" si="409"/>
        <v>0</v>
      </c>
      <c r="AM362" s="314">
        <f t="shared" si="410"/>
        <v>0</v>
      </c>
      <c r="AN362" s="314">
        <f t="shared" si="411"/>
        <v>0</v>
      </c>
      <c r="AO362" s="314">
        <f t="shared" si="412"/>
        <v>0</v>
      </c>
      <c r="AP362" s="314">
        <f t="shared" si="413"/>
        <v>0</v>
      </c>
    </row>
    <row r="363" spans="1:42" s="314" customFormat="1">
      <c r="A363" s="592" t="s">
        <v>782</v>
      </c>
      <c r="B363" s="320" t="s">
        <v>953</v>
      </c>
      <c r="C363" s="298" t="s">
        <v>752</v>
      </c>
      <c r="D363" s="299">
        <f t="shared" ref="D363" si="449">D364+D367</f>
        <v>19836</v>
      </c>
      <c r="E363" s="299">
        <f>E364+E367</f>
        <v>21803</v>
      </c>
      <c r="F363" s="299">
        <f>F364+F367</f>
        <v>20824</v>
      </c>
      <c r="G363" s="299">
        <f t="shared" si="444"/>
        <v>988</v>
      </c>
      <c r="H363" s="299">
        <f>H364+H367</f>
        <v>20852</v>
      </c>
      <c r="I363" s="299">
        <f t="shared" ref="I363:P363" si="450">I364+I367</f>
        <v>6065</v>
      </c>
      <c r="J363" s="318">
        <f t="shared" si="450"/>
        <v>51</v>
      </c>
      <c r="K363" s="318">
        <f t="shared" si="450"/>
        <v>48</v>
      </c>
      <c r="L363" s="318">
        <f t="shared" si="450"/>
        <v>3</v>
      </c>
      <c r="M363" s="299">
        <f t="shared" si="450"/>
        <v>4706</v>
      </c>
      <c r="N363" s="318">
        <f t="shared" si="450"/>
        <v>4541</v>
      </c>
      <c r="O363" s="318">
        <f t="shared" si="450"/>
        <v>165</v>
      </c>
      <c r="P363" s="299">
        <f t="shared" si="450"/>
        <v>1359</v>
      </c>
      <c r="Q363" s="318"/>
      <c r="R363" s="318"/>
      <c r="S363" s="299">
        <f t="shared" ref="S363:Z363" si="451">S364+S367</f>
        <v>1359</v>
      </c>
      <c r="T363" s="299">
        <f t="shared" si="451"/>
        <v>0</v>
      </c>
      <c r="U363" s="299">
        <f t="shared" si="451"/>
        <v>0</v>
      </c>
      <c r="V363" s="299">
        <f t="shared" si="451"/>
        <v>0</v>
      </c>
      <c r="W363" s="299">
        <f>W364+W367</f>
        <v>14787</v>
      </c>
      <c r="X363" s="299"/>
      <c r="Y363" s="299"/>
      <c r="Z363" s="299">
        <f t="shared" si="451"/>
        <v>13835</v>
      </c>
      <c r="AA363" s="299">
        <f>AA364+AA367</f>
        <v>952</v>
      </c>
      <c r="AB363" s="299">
        <f>AB364+AB367</f>
        <v>28</v>
      </c>
      <c r="AC363" s="299">
        <f t="shared" ref="AC363:AE363" si="452">AC364+AC367</f>
        <v>979</v>
      </c>
      <c r="AD363" s="299">
        <f t="shared" si="452"/>
        <v>640</v>
      </c>
      <c r="AE363" s="299">
        <f t="shared" si="452"/>
        <v>21163</v>
      </c>
      <c r="AF363" s="321"/>
      <c r="AG363" s="314">
        <f t="shared" si="404"/>
        <v>0</v>
      </c>
      <c r="AH363" s="696">
        <f t="shared" si="405"/>
        <v>0</v>
      </c>
      <c r="AI363" s="314">
        <f t="shared" si="406"/>
        <v>0</v>
      </c>
      <c r="AJ363" s="314">
        <f t="shared" si="407"/>
        <v>0</v>
      </c>
      <c r="AK363" s="314">
        <f t="shared" si="408"/>
        <v>0</v>
      </c>
      <c r="AL363" s="314">
        <f t="shared" si="409"/>
        <v>0</v>
      </c>
      <c r="AM363" s="314">
        <f t="shared" si="410"/>
        <v>0</v>
      </c>
      <c r="AN363" s="314">
        <f t="shared" si="411"/>
        <v>0</v>
      </c>
      <c r="AO363" s="314">
        <f t="shared" si="412"/>
        <v>0</v>
      </c>
      <c r="AP363" s="314">
        <f t="shared" si="413"/>
        <v>0</v>
      </c>
    </row>
    <row r="364" spans="1:42">
      <c r="A364" s="583" t="s">
        <v>45</v>
      </c>
      <c r="B364" s="316" t="s">
        <v>841</v>
      </c>
      <c r="C364" s="304"/>
      <c r="D364" s="303">
        <f t="shared" ref="D364" si="453">D365+D366</f>
        <v>5801</v>
      </c>
      <c r="E364" s="303">
        <f>E365+E366</f>
        <v>7016</v>
      </c>
      <c r="F364" s="303">
        <f>F365+F366</f>
        <v>6037</v>
      </c>
      <c r="G364" s="303">
        <f t="shared" si="444"/>
        <v>236</v>
      </c>
      <c r="H364" s="303">
        <f t="shared" ref="H364:Z364" si="454">H365+H366</f>
        <v>6065</v>
      </c>
      <c r="I364" s="303">
        <f t="shared" si="454"/>
        <v>6065</v>
      </c>
      <c r="J364" s="303">
        <f t="shared" si="454"/>
        <v>51</v>
      </c>
      <c r="K364" s="303">
        <f t="shared" si="454"/>
        <v>48</v>
      </c>
      <c r="L364" s="303">
        <f t="shared" si="454"/>
        <v>3</v>
      </c>
      <c r="M364" s="303">
        <f t="shared" si="454"/>
        <v>4706</v>
      </c>
      <c r="N364" s="303">
        <f t="shared" si="454"/>
        <v>4541</v>
      </c>
      <c r="O364" s="303">
        <f t="shared" si="454"/>
        <v>165</v>
      </c>
      <c r="P364" s="303">
        <f t="shared" si="454"/>
        <v>1359</v>
      </c>
      <c r="Q364" s="303"/>
      <c r="R364" s="303"/>
      <c r="S364" s="303">
        <f t="shared" si="454"/>
        <v>1359</v>
      </c>
      <c r="T364" s="303">
        <f t="shared" si="454"/>
        <v>0</v>
      </c>
      <c r="U364" s="303">
        <f t="shared" si="454"/>
        <v>0</v>
      </c>
      <c r="V364" s="303">
        <f t="shared" si="454"/>
        <v>0</v>
      </c>
      <c r="W364" s="303">
        <f>W365+W366</f>
        <v>0</v>
      </c>
      <c r="X364" s="303"/>
      <c r="Y364" s="303"/>
      <c r="Z364" s="303">
        <f t="shared" si="454"/>
        <v>0</v>
      </c>
      <c r="AA364" s="303">
        <f>AA365+AA366</f>
        <v>0</v>
      </c>
      <c r="AB364" s="303">
        <f>AB365+AB366</f>
        <v>28</v>
      </c>
      <c r="AC364" s="303">
        <f t="shared" ref="AC364:AE364" si="455">AC365+AC366</f>
        <v>979</v>
      </c>
      <c r="AD364" s="303">
        <f t="shared" si="455"/>
        <v>133</v>
      </c>
      <c r="AE364" s="303">
        <f t="shared" si="455"/>
        <v>6883</v>
      </c>
      <c r="AF364" s="317"/>
      <c r="AG364" s="314">
        <f t="shared" si="404"/>
        <v>0</v>
      </c>
      <c r="AH364" s="696">
        <f t="shared" si="405"/>
        <v>0</v>
      </c>
      <c r="AI364" s="314">
        <f t="shared" si="406"/>
        <v>0</v>
      </c>
      <c r="AJ364" s="314">
        <f t="shared" si="407"/>
        <v>0</v>
      </c>
      <c r="AK364" s="314">
        <f t="shared" si="408"/>
        <v>0</v>
      </c>
      <c r="AL364" s="314">
        <f t="shared" si="409"/>
        <v>0</v>
      </c>
      <c r="AM364" s="314">
        <f t="shared" si="410"/>
        <v>0</v>
      </c>
      <c r="AN364" s="314">
        <f t="shared" si="411"/>
        <v>0</v>
      </c>
      <c r="AO364" s="314">
        <f t="shared" si="412"/>
        <v>0</v>
      </c>
      <c r="AP364" s="314">
        <f t="shared" si="413"/>
        <v>0</v>
      </c>
    </row>
    <row r="365" spans="1:42" outlineLevel="1">
      <c r="A365" s="583" t="s">
        <v>23</v>
      </c>
      <c r="B365" s="316" t="s">
        <v>954</v>
      </c>
      <c r="C365" s="317"/>
      <c r="D365" s="304">
        <v>4465</v>
      </c>
      <c r="E365" s="304">
        <f t="shared" si="401"/>
        <v>5489</v>
      </c>
      <c r="F365" s="304">
        <f>H365-AB365</f>
        <v>4723</v>
      </c>
      <c r="G365" s="304">
        <f t="shared" si="444"/>
        <v>258</v>
      </c>
      <c r="H365" s="303">
        <f t="shared" ref="H365:H401" si="456">I365+W365</f>
        <v>4723</v>
      </c>
      <c r="I365" s="303">
        <f t="shared" ref="I365:I366" si="457">M365+P365</f>
        <v>4723</v>
      </c>
      <c r="J365" s="311">
        <v>40</v>
      </c>
      <c r="K365" s="311">
        <v>38</v>
      </c>
      <c r="L365" s="294">
        <f>J365-K365</f>
        <v>2</v>
      </c>
      <c r="M365" s="304">
        <f>N365+O365</f>
        <v>3683</v>
      </c>
      <c r="N365" s="294">
        <v>3573</v>
      </c>
      <c r="O365" s="294">
        <v>110</v>
      </c>
      <c r="P365" s="303">
        <f>S365+T365</f>
        <v>1040</v>
      </c>
      <c r="Q365" s="294">
        <v>26</v>
      </c>
      <c r="R365" s="312">
        <v>1</v>
      </c>
      <c r="S365" s="303">
        <f t="shared" ref="S365:S366" si="458">ROUND(J365*Q365*R365,0)</f>
        <v>1040</v>
      </c>
      <c r="T365" s="303">
        <f>U365+V365</f>
        <v>0</v>
      </c>
      <c r="U365" s="304"/>
      <c r="V365" s="304"/>
      <c r="W365" s="303">
        <f t="shared" ref="W365:W399" si="459">Z365+AA365</f>
        <v>0</v>
      </c>
      <c r="X365" s="303"/>
      <c r="Y365" s="303"/>
      <c r="Z365" s="304"/>
      <c r="AA365" s="304"/>
      <c r="AB365" s="304"/>
      <c r="AC365" s="304">
        <v>766</v>
      </c>
      <c r="AD365" s="304">
        <v>104</v>
      </c>
      <c r="AE365" s="303">
        <f>E365-AD365</f>
        <v>5385</v>
      </c>
      <c r="AF365" s="317"/>
      <c r="AG365" s="314">
        <f t="shared" si="404"/>
        <v>0</v>
      </c>
      <c r="AH365" s="696">
        <f t="shared" si="405"/>
        <v>0</v>
      </c>
      <c r="AI365" s="314">
        <f t="shared" si="406"/>
        <v>0</v>
      </c>
      <c r="AJ365" s="314">
        <f t="shared" si="407"/>
        <v>0</v>
      </c>
      <c r="AK365" s="314">
        <f t="shared" si="408"/>
        <v>0</v>
      </c>
      <c r="AL365" s="314">
        <f t="shared" si="409"/>
        <v>0</v>
      </c>
      <c r="AM365" s="314">
        <f t="shared" si="410"/>
        <v>0</v>
      </c>
      <c r="AN365" s="314">
        <f t="shared" si="411"/>
        <v>0</v>
      </c>
      <c r="AO365" s="314">
        <f t="shared" si="412"/>
        <v>0</v>
      </c>
      <c r="AP365" s="314">
        <f t="shared" si="413"/>
        <v>0</v>
      </c>
    </row>
    <row r="366" spans="1:42" outlineLevel="1">
      <c r="A366" s="583" t="s">
        <v>23</v>
      </c>
      <c r="B366" s="316" t="s">
        <v>955</v>
      </c>
      <c r="C366" s="317"/>
      <c r="D366" s="304">
        <v>1336</v>
      </c>
      <c r="E366" s="304">
        <f t="shared" si="401"/>
        <v>1527</v>
      </c>
      <c r="F366" s="304">
        <f>H366-AB366</f>
        <v>1314</v>
      </c>
      <c r="G366" s="304">
        <f t="shared" si="444"/>
        <v>-22</v>
      </c>
      <c r="H366" s="303">
        <f t="shared" si="456"/>
        <v>1342</v>
      </c>
      <c r="I366" s="303">
        <f t="shared" si="457"/>
        <v>1342</v>
      </c>
      <c r="J366" s="311">
        <v>11</v>
      </c>
      <c r="K366" s="311">
        <v>10</v>
      </c>
      <c r="L366" s="294">
        <f>J366-K366</f>
        <v>1</v>
      </c>
      <c r="M366" s="304">
        <f>N366+O366</f>
        <v>1023</v>
      </c>
      <c r="N366" s="294">
        <v>968</v>
      </c>
      <c r="O366" s="294">
        <v>55</v>
      </c>
      <c r="P366" s="303">
        <f>S366+T366</f>
        <v>319</v>
      </c>
      <c r="Q366" s="294">
        <v>29</v>
      </c>
      <c r="R366" s="312">
        <v>1</v>
      </c>
      <c r="S366" s="303">
        <f t="shared" si="458"/>
        <v>319</v>
      </c>
      <c r="T366" s="303">
        <f>U366+V366</f>
        <v>0</v>
      </c>
      <c r="U366" s="304"/>
      <c r="V366" s="304"/>
      <c r="W366" s="303">
        <f t="shared" si="459"/>
        <v>0</v>
      </c>
      <c r="X366" s="303"/>
      <c r="Y366" s="303"/>
      <c r="Z366" s="304"/>
      <c r="AA366" s="304"/>
      <c r="AB366" s="304">
        <v>28</v>
      </c>
      <c r="AC366" s="304">
        <v>213</v>
      </c>
      <c r="AD366" s="304">
        <v>29</v>
      </c>
      <c r="AE366" s="303">
        <f>E366-AD366</f>
        <v>1498</v>
      </c>
      <c r="AF366" s="317"/>
      <c r="AG366" s="314">
        <f t="shared" si="404"/>
        <v>0</v>
      </c>
      <c r="AH366" s="696">
        <f t="shared" si="405"/>
        <v>0</v>
      </c>
      <c r="AI366" s="314">
        <f t="shared" si="406"/>
        <v>0</v>
      </c>
      <c r="AJ366" s="314">
        <f t="shared" si="407"/>
        <v>0</v>
      </c>
      <c r="AK366" s="314">
        <f t="shared" si="408"/>
        <v>0</v>
      </c>
      <c r="AL366" s="314">
        <f t="shared" si="409"/>
        <v>0</v>
      </c>
      <c r="AM366" s="314">
        <f t="shared" si="410"/>
        <v>0</v>
      </c>
      <c r="AN366" s="314">
        <f t="shared" si="411"/>
        <v>0</v>
      </c>
      <c r="AO366" s="314">
        <f t="shared" si="412"/>
        <v>0</v>
      </c>
      <c r="AP366" s="314">
        <f t="shared" si="413"/>
        <v>0</v>
      </c>
    </row>
    <row r="367" spans="1:42">
      <c r="A367" s="583" t="s">
        <v>47</v>
      </c>
      <c r="B367" s="324" t="s">
        <v>939</v>
      </c>
      <c r="C367" s="317"/>
      <c r="D367" s="303">
        <f>D368+D373+D390</f>
        <v>14035</v>
      </c>
      <c r="E367" s="303">
        <f>E368+E373+E390</f>
        <v>14787</v>
      </c>
      <c r="F367" s="303">
        <f>F368+F373+F390</f>
        <v>14787</v>
      </c>
      <c r="G367" s="303">
        <f t="shared" si="444"/>
        <v>752</v>
      </c>
      <c r="H367" s="303">
        <f>H368+H373+H390</f>
        <v>14787</v>
      </c>
      <c r="I367" s="303">
        <f t="shared" ref="I367:AB367" si="460">I368+I373+I390</f>
        <v>0</v>
      </c>
      <c r="J367" s="303">
        <f t="shared" si="460"/>
        <v>0</v>
      </c>
      <c r="K367" s="303">
        <f t="shared" si="460"/>
        <v>0</v>
      </c>
      <c r="L367" s="303">
        <f t="shared" si="460"/>
        <v>0</v>
      </c>
      <c r="M367" s="303">
        <f t="shared" si="460"/>
        <v>0</v>
      </c>
      <c r="N367" s="303">
        <f t="shared" si="460"/>
        <v>0</v>
      </c>
      <c r="O367" s="303">
        <f t="shared" si="460"/>
        <v>0</v>
      </c>
      <c r="P367" s="303">
        <f t="shared" si="460"/>
        <v>0</v>
      </c>
      <c r="Q367" s="303">
        <f t="shared" si="460"/>
        <v>0</v>
      </c>
      <c r="R367" s="303">
        <f t="shared" si="460"/>
        <v>0</v>
      </c>
      <c r="S367" s="303">
        <f t="shared" si="460"/>
        <v>0</v>
      </c>
      <c r="T367" s="303">
        <f t="shared" si="460"/>
        <v>0</v>
      </c>
      <c r="U367" s="303">
        <f t="shared" si="460"/>
        <v>0</v>
      </c>
      <c r="V367" s="303">
        <f t="shared" si="460"/>
        <v>0</v>
      </c>
      <c r="W367" s="303">
        <f t="shared" si="460"/>
        <v>14787</v>
      </c>
      <c r="X367" s="303">
        <f t="shared" si="460"/>
        <v>0</v>
      </c>
      <c r="Y367" s="303">
        <f t="shared" si="460"/>
        <v>0</v>
      </c>
      <c r="Z367" s="303">
        <f t="shared" si="460"/>
        <v>13835</v>
      </c>
      <c r="AA367" s="303">
        <f t="shared" si="460"/>
        <v>952</v>
      </c>
      <c r="AB367" s="303">
        <f t="shared" si="460"/>
        <v>0</v>
      </c>
      <c r="AC367" s="304"/>
      <c r="AD367" s="304">
        <v>507</v>
      </c>
      <c r="AE367" s="303">
        <f>E367-AD367</f>
        <v>14280</v>
      </c>
      <c r="AF367" s="317"/>
      <c r="AG367" s="314">
        <f t="shared" si="404"/>
        <v>0</v>
      </c>
      <c r="AH367" s="696">
        <f t="shared" si="405"/>
        <v>0</v>
      </c>
      <c r="AI367" s="314">
        <f t="shared" si="406"/>
        <v>0</v>
      </c>
      <c r="AJ367" s="314">
        <f t="shared" si="407"/>
        <v>0</v>
      </c>
      <c r="AK367" s="314">
        <f t="shared" si="408"/>
        <v>0</v>
      </c>
      <c r="AL367" s="314">
        <f t="shared" si="409"/>
        <v>0</v>
      </c>
      <c r="AM367" s="314">
        <f t="shared" si="410"/>
        <v>0</v>
      </c>
      <c r="AN367" s="314">
        <f t="shared" si="411"/>
        <v>0</v>
      </c>
      <c r="AO367" s="314">
        <f t="shared" si="412"/>
        <v>0</v>
      </c>
      <c r="AP367" s="314">
        <f t="shared" si="413"/>
        <v>0</v>
      </c>
    </row>
    <row r="368" spans="1:42" ht="27.6" outlineLevel="1">
      <c r="A368" s="583" t="s">
        <v>891</v>
      </c>
      <c r="B368" s="324" t="s">
        <v>956</v>
      </c>
      <c r="C368" s="317"/>
      <c r="D368" s="303">
        <f>SUM(D369:D372)</f>
        <v>5498</v>
      </c>
      <c r="E368" s="303">
        <f>SUM(E369:E372)</f>
        <v>5498</v>
      </c>
      <c r="F368" s="303">
        <f t="shared" ref="F368:AC368" si="461">SUM(F369:F372)</f>
        <v>5498</v>
      </c>
      <c r="G368" s="303">
        <f t="shared" si="461"/>
        <v>0</v>
      </c>
      <c r="H368" s="303">
        <f t="shared" si="461"/>
        <v>5498</v>
      </c>
      <c r="I368" s="303">
        <f t="shared" si="461"/>
        <v>0</v>
      </c>
      <c r="J368" s="303">
        <f t="shared" si="461"/>
        <v>0</v>
      </c>
      <c r="K368" s="303">
        <f t="shared" si="461"/>
        <v>0</v>
      </c>
      <c r="L368" s="303">
        <f t="shared" si="461"/>
        <v>0</v>
      </c>
      <c r="M368" s="303">
        <f t="shared" si="461"/>
        <v>0</v>
      </c>
      <c r="N368" s="303">
        <f t="shared" si="461"/>
        <v>0</v>
      </c>
      <c r="O368" s="303">
        <f t="shared" si="461"/>
        <v>0</v>
      </c>
      <c r="P368" s="303">
        <f t="shared" si="461"/>
        <v>0</v>
      </c>
      <c r="Q368" s="303">
        <f t="shared" si="461"/>
        <v>0</v>
      </c>
      <c r="R368" s="303">
        <f t="shared" si="461"/>
        <v>0</v>
      </c>
      <c r="S368" s="303">
        <f t="shared" si="461"/>
        <v>0</v>
      </c>
      <c r="T368" s="303">
        <f t="shared" si="461"/>
        <v>0</v>
      </c>
      <c r="U368" s="303">
        <f t="shared" si="461"/>
        <v>0</v>
      </c>
      <c r="V368" s="303">
        <f t="shared" si="461"/>
        <v>0</v>
      </c>
      <c r="W368" s="303">
        <f t="shared" si="461"/>
        <v>5498</v>
      </c>
      <c r="X368" s="303">
        <f t="shared" si="461"/>
        <v>0</v>
      </c>
      <c r="Y368" s="303">
        <f t="shared" si="461"/>
        <v>0</v>
      </c>
      <c r="Z368" s="303">
        <f>SUM(Z369:Z372)</f>
        <v>5498</v>
      </c>
      <c r="AA368" s="303">
        <f t="shared" si="461"/>
        <v>0</v>
      </c>
      <c r="AB368" s="303">
        <f t="shared" si="461"/>
        <v>0</v>
      </c>
      <c r="AC368" s="303">
        <f t="shared" si="461"/>
        <v>0</v>
      </c>
      <c r="AD368" s="304"/>
      <c r="AE368" s="303"/>
      <c r="AF368" s="317"/>
      <c r="AG368" s="314">
        <f t="shared" si="404"/>
        <v>0</v>
      </c>
      <c r="AH368" s="696">
        <f t="shared" si="405"/>
        <v>0</v>
      </c>
      <c r="AI368" s="314">
        <f t="shared" si="406"/>
        <v>0</v>
      </c>
      <c r="AJ368" s="314">
        <f t="shared" si="407"/>
        <v>0</v>
      </c>
      <c r="AK368" s="314">
        <f t="shared" si="408"/>
        <v>0</v>
      </c>
      <c r="AL368" s="314">
        <f t="shared" si="409"/>
        <v>0</v>
      </c>
      <c r="AM368" s="314">
        <f t="shared" si="410"/>
        <v>0</v>
      </c>
      <c r="AN368" s="314">
        <f t="shared" si="411"/>
        <v>0</v>
      </c>
      <c r="AO368" s="314">
        <f t="shared" si="412"/>
        <v>0</v>
      </c>
      <c r="AP368" s="314">
        <f t="shared" si="413"/>
        <v>0</v>
      </c>
    </row>
    <row r="369" spans="1:42" outlineLevel="1">
      <c r="A369" s="583" t="s">
        <v>23</v>
      </c>
      <c r="B369" s="324" t="s">
        <v>957</v>
      </c>
      <c r="C369" s="317"/>
      <c r="D369" s="304">
        <v>2817</v>
      </c>
      <c r="E369" s="304">
        <f t="shared" si="401"/>
        <v>2817</v>
      </c>
      <c r="F369" s="304">
        <f>H369-AB369</f>
        <v>2817</v>
      </c>
      <c r="G369" s="304">
        <f t="shared" si="444"/>
        <v>0</v>
      </c>
      <c r="H369" s="303">
        <f>I369+W369</f>
        <v>2817</v>
      </c>
      <c r="I369" s="303"/>
      <c r="J369" s="311"/>
      <c r="K369" s="311"/>
      <c r="L369" s="311"/>
      <c r="M369" s="303"/>
      <c r="N369" s="311"/>
      <c r="O369" s="311"/>
      <c r="P369" s="303"/>
      <c r="Q369" s="311"/>
      <c r="R369" s="312"/>
      <c r="S369" s="303"/>
      <c r="T369" s="303"/>
      <c r="U369" s="303"/>
      <c r="V369" s="303"/>
      <c r="W369" s="303">
        <f>Z369+AA369</f>
        <v>2817</v>
      </c>
      <c r="X369" s="303"/>
      <c r="Y369" s="303"/>
      <c r="Z369" s="303">
        <f>1174+1643</f>
        <v>2817</v>
      </c>
      <c r="AA369" s="303"/>
      <c r="AB369" s="304"/>
      <c r="AC369" s="304"/>
      <c r="AD369" s="304"/>
      <c r="AE369" s="304"/>
      <c r="AF369" s="1642" t="s">
        <v>1808</v>
      </c>
      <c r="AG369" s="314">
        <f t="shared" si="404"/>
        <v>0</v>
      </c>
      <c r="AH369" s="696">
        <f t="shared" si="405"/>
        <v>0</v>
      </c>
      <c r="AI369" s="314">
        <f t="shared" si="406"/>
        <v>0</v>
      </c>
      <c r="AJ369" s="314">
        <f t="shared" si="407"/>
        <v>0</v>
      </c>
      <c r="AK369" s="314">
        <f t="shared" si="408"/>
        <v>0</v>
      </c>
      <c r="AL369" s="314">
        <f t="shared" si="409"/>
        <v>0</v>
      </c>
      <c r="AM369" s="314">
        <f t="shared" si="410"/>
        <v>0</v>
      </c>
      <c r="AN369" s="314">
        <f t="shared" si="411"/>
        <v>0</v>
      </c>
      <c r="AO369" s="314">
        <f t="shared" si="412"/>
        <v>0</v>
      </c>
      <c r="AP369" s="314">
        <f t="shared" si="413"/>
        <v>0</v>
      </c>
    </row>
    <row r="370" spans="1:42" ht="27.6" outlineLevel="1">
      <c r="A370" s="583" t="s">
        <v>23</v>
      </c>
      <c r="B370" s="324" t="s">
        <v>958</v>
      </c>
      <c r="C370" s="317"/>
      <c r="D370" s="304">
        <v>2460</v>
      </c>
      <c r="E370" s="304">
        <f t="shared" si="401"/>
        <v>2460</v>
      </c>
      <c r="F370" s="304">
        <f>H370-AB370</f>
        <v>2460</v>
      </c>
      <c r="G370" s="304">
        <f t="shared" si="444"/>
        <v>0</v>
      </c>
      <c r="H370" s="303">
        <f>I370+W370</f>
        <v>2460</v>
      </c>
      <c r="I370" s="303"/>
      <c r="J370" s="311"/>
      <c r="K370" s="311"/>
      <c r="L370" s="311"/>
      <c r="M370" s="303"/>
      <c r="N370" s="311"/>
      <c r="O370" s="311"/>
      <c r="P370" s="303"/>
      <c r="Q370" s="311"/>
      <c r="R370" s="312"/>
      <c r="S370" s="303"/>
      <c r="T370" s="303"/>
      <c r="U370" s="303"/>
      <c r="V370" s="303"/>
      <c r="W370" s="303">
        <f>Z370+AA370</f>
        <v>2460</v>
      </c>
      <c r="X370" s="303"/>
      <c r="Y370" s="303"/>
      <c r="Z370" s="303">
        <f>2346+114</f>
        <v>2460</v>
      </c>
      <c r="AA370" s="303"/>
      <c r="AB370" s="304"/>
      <c r="AC370" s="304"/>
      <c r="AD370" s="304"/>
      <c r="AE370" s="304"/>
      <c r="AF370" s="1625"/>
      <c r="AG370" s="314">
        <f t="shared" si="404"/>
        <v>0</v>
      </c>
      <c r="AH370" s="696">
        <f t="shared" si="405"/>
        <v>0</v>
      </c>
      <c r="AI370" s="314">
        <f t="shared" si="406"/>
        <v>0</v>
      </c>
      <c r="AJ370" s="314">
        <f t="shared" si="407"/>
        <v>0</v>
      </c>
      <c r="AK370" s="314">
        <f t="shared" si="408"/>
        <v>0</v>
      </c>
      <c r="AL370" s="314">
        <f t="shared" si="409"/>
        <v>0</v>
      </c>
      <c r="AM370" s="314">
        <f t="shared" si="410"/>
        <v>0</v>
      </c>
      <c r="AN370" s="314">
        <f t="shared" si="411"/>
        <v>0</v>
      </c>
      <c r="AO370" s="314">
        <f t="shared" si="412"/>
        <v>0</v>
      </c>
      <c r="AP370" s="314">
        <f t="shared" si="413"/>
        <v>0</v>
      </c>
    </row>
    <row r="371" spans="1:42" ht="27.6" outlineLevel="1">
      <c r="A371" s="583" t="s">
        <v>23</v>
      </c>
      <c r="B371" s="324" t="s">
        <v>959</v>
      </c>
      <c r="C371" s="317"/>
      <c r="D371" s="304">
        <v>131</v>
      </c>
      <c r="E371" s="304">
        <f t="shared" si="401"/>
        <v>131</v>
      </c>
      <c r="F371" s="304">
        <f>H371-AB371</f>
        <v>131</v>
      </c>
      <c r="G371" s="304">
        <f t="shared" si="444"/>
        <v>0</v>
      </c>
      <c r="H371" s="303">
        <f>I371+W371</f>
        <v>131</v>
      </c>
      <c r="I371" s="303"/>
      <c r="J371" s="311"/>
      <c r="K371" s="311"/>
      <c r="L371" s="311"/>
      <c r="M371" s="303"/>
      <c r="N371" s="311"/>
      <c r="O371" s="311"/>
      <c r="P371" s="303"/>
      <c r="Q371" s="311"/>
      <c r="R371" s="312"/>
      <c r="S371" s="303"/>
      <c r="T371" s="303"/>
      <c r="U371" s="303"/>
      <c r="V371" s="303"/>
      <c r="W371" s="303">
        <f>Z371+AA371</f>
        <v>131</v>
      </c>
      <c r="X371" s="303"/>
      <c r="Y371" s="303"/>
      <c r="Z371" s="303">
        <v>131</v>
      </c>
      <c r="AA371" s="303"/>
      <c r="AB371" s="304"/>
      <c r="AC371" s="304"/>
      <c r="AD371" s="304"/>
      <c r="AE371" s="304"/>
      <c r="AF371" s="1625"/>
      <c r="AG371" s="314">
        <f t="shared" si="404"/>
        <v>0</v>
      </c>
      <c r="AH371" s="696">
        <f t="shared" si="405"/>
        <v>0</v>
      </c>
      <c r="AI371" s="314">
        <f t="shared" si="406"/>
        <v>0</v>
      </c>
      <c r="AJ371" s="314">
        <f t="shared" si="407"/>
        <v>0</v>
      </c>
      <c r="AK371" s="314">
        <f t="shared" si="408"/>
        <v>0</v>
      </c>
      <c r="AL371" s="314">
        <f t="shared" si="409"/>
        <v>0</v>
      </c>
      <c r="AM371" s="314">
        <f t="shared" si="410"/>
        <v>0</v>
      </c>
      <c r="AN371" s="314">
        <f t="shared" si="411"/>
        <v>0</v>
      </c>
      <c r="AO371" s="314">
        <f t="shared" si="412"/>
        <v>0</v>
      </c>
      <c r="AP371" s="314">
        <f t="shared" si="413"/>
        <v>0</v>
      </c>
    </row>
    <row r="372" spans="1:42" outlineLevel="1">
      <c r="A372" s="583" t="s">
        <v>23</v>
      </c>
      <c r="B372" s="324" t="s">
        <v>2131</v>
      </c>
      <c r="C372" s="317"/>
      <c r="D372" s="304">
        <v>90</v>
      </c>
      <c r="E372" s="304">
        <f t="shared" si="401"/>
        <v>90</v>
      </c>
      <c r="F372" s="304">
        <f>H372-AB372</f>
        <v>90</v>
      </c>
      <c r="G372" s="304">
        <f t="shared" si="444"/>
        <v>0</v>
      </c>
      <c r="H372" s="303">
        <f>I372+W372</f>
        <v>90</v>
      </c>
      <c r="I372" s="303"/>
      <c r="J372" s="311"/>
      <c r="K372" s="311"/>
      <c r="L372" s="311"/>
      <c r="M372" s="303"/>
      <c r="N372" s="311"/>
      <c r="O372" s="311"/>
      <c r="P372" s="303"/>
      <c r="Q372" s="311"/>
      <c r="R372" s="312"/>
      <c r="S372" s="303"/>
      <c r="T372" s="303"/>
      <c r="U372" s="303"/>
      <c r="V372" s="303"/>
      <c r="W372" s="303">
        <f>Z372+AA372</f>
        <v>90</v>
      </c>
      <c r="X372" s="303"/>
      <c r="Y372" s="303"/>
      <c r="Z372" s="303">
        <v>90</v>
      </c>
      <c r="AA372" s="303"/>
      <c r="AB372" s="304"/>
      <c r="AC372" s="304"/>
      <c r="AD372" s="304"/>
      <c r="AE372" s="304"/>
      <c r="AF372" s="1643"/>
      <c r="AG372" s="314">
        <f t="shared" si="404"/>
        <v>0</v>
      </c>
      <c r="AH372" s="696">
        <f t="shared" si="405"/>
        <v>0</v>
      </c>
      <c r="AI372" s="314">
        <f t="shared" si="406"/>
        <v>0</v>
      </c>
      <c r="AJ372" s="314">
        <f t="shared" si="407"/>
        <v>0</v>
      </c>
      <c r="AK372" s="314">
        <f t="shared" si="408"/>
        <v>0</v>
      </c>
      <c r="AL372" s="314">
        <f t="shared" si="409"/>
        <v>0</v>
      </c>
      <c r="AM372" s="314">
        <f t="shared" si="410"/>
        <v>0</v>
      </c>
      <c r="AN372" s="314">
        <f t="shared" si="411"/>
        <v>0</v>
      </c>
      <c r="AO372" s="314">
        <f t="shared" si="412"/>
        <v>0</v>
      </c>
      <c r="AP372" s="314">
        <f t="shared" si="413"/>
        <v>0</v>
      </c>
    </row>
    <row r="373" spans="1:42" ht="27.6" outlineLevel="1">
      <c r="A373" s="583" t="s">
        <v>897</v>
      </c>
      <c r="B373" s="324" t="s">
        <v>960</v>
      </c>
      <c r="C373" s="317"/>
      <c r="D373" s="303">
        <f>D374+D377+D382+D387</f>
        <v>4937</v>
      </c>
      <c r="E373" s="303">
        <f>E374+E377+E382+E387</f>
        <v>5233</v>
      </c>
      <c r="F373" s="303">
        <f>F374+F377+F382+F387</f>
        <v>5233</v>
      </c>
      <c r="G373" s="303">
        <f>G374+G377+G382+G387</f>
        <v>296</v>
      </c>
      <c r="H373" s="303">
        <f t="shared" ref="H373:AA373" si="462">H374+H377+H382+H387</f>
        <v>5233</v>
      </c>
      <c r="I373" s="303">
        <f t="shared" si="462"/>
        <v>0</v>
      </c>
      <c r="J373" s="303">
        <f t="shared" si="462"/>
        <v>0</v>
      </c>
      <c r="K373" s="303">
        <f t="shared" si="462"/>
        <v>0</v>
      </c>
      <c r="L373" s="303">
        <f t="shared" si="462"/>
        <v>0</v>
      </c>
      <c r="M373" s="303">
        <f t="shared" si="462"/>
        <v>0</v>
      </c>
      <c r="N373" s="303">
        <f t="shared" si="462"/>
        <v>0</v>
      </c>
      <c r="O373" s="303">
        <f t="shared" si="462"/>
        <v>0</v>
      </c>
      <c r="P373" s="303">
        <f t="shared" si="462"/>
        <v>0</v>
      </c>
      <c r="Q373" s="303">
        <f t="shared" si="462"/>
        <v>0</v>
      </c>
      <c r="R373" s="303">
        <f t="shared" si="462"/>
        <v>0</v>
      </c>
      <c r="S373" s="303">
        <f t="shared" si="462"/>
        <v>0</v>
      </c>
      <c r="T373" s="303">
        <f t="shared" si="462"/>
        <v>0</v>
      </c>
      <c r="U373" s="303">
        <f t="shared" si="462"/>
        <v>0</v>
      </c>
      <c r="V373" s="303">
        <f t="shared" si="462"/>
        <v>0</v>
      </c>
      <c r="W373" s="303">
        <f t="shared" si="462"/>
        <v>5233</v>
      </c>
      <c r="X373" s="303">
        <f t="shared" si="462"/>
        <v>0</v>
      </c>
      <c r="Y373" s="303">
        <f t="shared" si="462"/>
        <v>0</v>
      </c>
      <c r="Z373" s="303">
        <f t="shared" si="462"/>
        <v>5037</v>
      </c>
      <c r="AA373" s="303">
        <f t="shared" si="462"/>
        <v>196</v>
      </c>
      <c r="AB373" s="303"/>
      <c r="AC373" s="304"/>
      <c r="AD373" s="304"/>
      <c r="AE373" s="304"/>
      <c r="AF373" s="317"/>
      <c r="AG373" s="314">
        <f t="shared" si="404"/>
        <v>0</v>
      </c>
      <c r="AH373" s="696">
        <f t="shared" si="405"/>
        <v>0</v>
      </c>
      <c r="AI373" s="314">
        <f t="shared" si="406"/>
        <v>0</v>
      </c>
      <c r="AJ373" s="314">
        <f t="shared" si="407"/>
        <v>0</v>
      </c>
      <c r="AK373" s="314">
        <f t="shared" si="408"/>
        <v>0</v>
      </c>
      <c r="AL373" s="314">
        <f t="shared" si="409"/>
        <v>0</v>
      </c>
      <c r="AM373" s="314">
        <f t="shared" si="410"/>
        <v>0</v>
      </c>
      <c r="AN373" s="314">
        <f t="shared" si="411"/>
        <v>0</v>
      </c>
      <c r="AO373" s="314">
        <f t="shared" si="412"/>
        <v>0</v>
      </c>
      <c r="AP373" s="314">
        <f t="shared" si="413"/>
        <v>0</v>
      </c>
    </row>
    <row r="374" spans="1:42" ht="27.6" outlineLevel="1">
      <c r="A374" s="583" t="s">
        <v>23</v>
      </c>
      <c r="B374" s="324" t="s">
        <v>1477</v>
      </c>
      <c r="C374" s="317"/>
      <c r="D374" s="303">
        <v>550</v>
      </c>
      <c r="E374" s="303">
        <f t="shared" si="401"/>
        <v>650</v>
      </c>
      <c r="F374" s="303">
        <f>F375+F376</f>
        <v>650</v>
      </c>
      <c r="G374" s="303">
        <f>G375+G376</f>
        <v>100</v>
      </c>
      <c r="H374" s="303">
        <f t="shared" ref="H374:AA374" si="463">H375+H376</f>
        <v>650</v>
      </c>
      <c r="I374" s="303">
        <f t="shared" si="463"/>
        <v>0</v>
      </c>
      <c r="J374" s="303">
        <f t="shared" si="463"/>
        <v>0</v>
      </c>
      <c r="K374" s="303">
        <f t="shared" si="463"/>
        <v>0</v>
      </c>
      <c r="L374" s="303">
        <f t="shared" si="463"/>
        <v>0</v>
      </c>
      <c r="M374" s="303">
        <f t="shared" si="463"/>
        <v>0</v>
      </c>
      <c r="N374" s="303">
        <f t="shared" si="463"/>
        <v>0</v>
      </c>
      <c r="O374" s="303">
        <f t="shared" si="463"/>
        <v>0</v>
      </c>
      <c r="P374" s="303">
        <f t="shared" si="463"/>
        <v>0</v>
      </c>
      <c r="Q374" s="303">
        <f t="shared" si="463"/>
        <v>0</v>
      </c>
      <c r="R374" s="303">
        <f t="shared" si="463"/>
        <v>0</v>
      </c>
      <c r="S374" s="303">
        <f t="shared" si="463"/>
        <v>0</v>
      </c>
      <c r="T374" s="303">
        <f t="shared" si="463"/>
        <v>0</v>
      </c>
      <c r="U374" s="303">
        <f t="shared" si="463"/>
        <v>0</v>
      </c>
      <c r="V374" s="303">
        <f t="shared" si="463"/>
        <v>0</v>
      </c>
      <c r="W374" s="303">
        <f t="shared" si="463"/>
        <v>650</v>
      </c>
      <c r="X374" s="303">
        <f t="shared" si="463"/>
        <v>0</v>
      </c>
      <c r="Y374" s="303">
        <f t="shared" si="463"/>
        <v>0</v>
      </c>
      <c r="Z374" s="303">
        <f t="shared" si="463"/>
        <v>650</v>
      </c>
      <c r="AA374" s="303">
        <f t="shared" si="463"/>
        <v>0</v>
      </c>
      <c r="AB374" s="303"/>
      <c r="AC374" s="304"/>
      <c r="AD374" s="304"/>
      <c r="AE374" s="304"/>
      <c r="AF374" s="317"/>
      <c r="AG374" s="314">
        <f t="shared" si="404"/>
        <v>0</v>
      </c>
      <c r="AH374" s="696">
        <f t="shared" si="405"/>
        <v>0</v>
      </c>
      <c r="AI374" s="314">
        <f t="shared" si="406"/>
        <v>0</v>
      </c>
      <c r="AJ374" s="314">
        <f t="shared" si="407"/>
        <v>0</v>
      </c>
      <c r="AK374" s="314">
        <f t="shared" si="408"/>
        <v>0</v>
      </c>
      <c r="AL374" s="314">
        <f t="shared" si="409"/>
        <v>0</v>
      </c>
      <c r="AM374" s="314">
        <f t="shared" si="410"/>
        <v>0</v>
      </c>
      <c r="AN374" s="314">
        <f t="shared" si="411"/>
        <v>0</v>
      </c>
      <c r="AO374" s="314">
        <f t="shared" si="412"/>
        <v>0</v>
      </c>
      <c r="AP374" s="314">
        <f t="shared" si="413"/>
        <v>0</v>
      </c>
    </row>
    <row r="375" spans="1:42" hidden="1" outlineLevel="3">
      <c r="A375" s="583" t="s">
        <v>281</v>
      </c>
      <c r="B375" s="324" t="s">
        <v>961</v>
      </c>
      <c r="C375" s="317"/>
      <c r="D375" s="304">
        <v>150</v>
      </c>
      <c r="E375" s="304">
        <f t="shared" si="401"/>
        <v>150</v>
      </c>
      <c r="F375" s="304">
        <f>H375-AB375</f>
        <v>150</v>
      </c>
      <c r="G375" s="304">
        <f>F375-D375</f>
        <v>0</v>
      </c>
      <c r="H375" s="303">
        <f t="shared" ref="H375:H389" si="464">I375+W375</f>
        <v>150</v>
      </c>
      <c r="I375" s="303"/>
      <c r="J375" s="311"/>
      <c r="K375" s="311"/>
      <c r="L375" s="311"/>
      <c r="M375" s="303"/>
      <c r="N375" s="311"/>
      <c r="O375" s="311"/>
      <c r="P375" s="303"/>
      <c r="Q375" s="311"/>
      <c r="R375" s="312"/>
      <c r="S375" s="303"/>
      <c r="T375" s="303"/>
      <c r="U375" s="303"/>
      <c r="V375" s="303"/>
      <c r="W375" s="303">
        <f t="shared" ref="W375:W389" si="465">Z375+AA375</f>
        <v>150</v>
      </c>
      <c r="X375" s="303"/>
      <c r="Y375" s="303"/>
      <c r="Z375" s="303">
        <v>150</v>
      </c>
      <c r="AA375" s="303"/>
      <c r="AB375" s="304"/>
      <c r="AC375" s="304"/>
      <c r="AD375" s="304"/>
      <c r="AE375" s="304"/>
      <c r="AF375" s="317" t="s">
        <v>1809</v>
      </c>
      <c r="AG375" s="314">
        <f t="shared" si="404"/>
        <v>0</v>
      </c>
      <c r="AH375" s="696">
        <f t="shared" si="405"/>
        <v>0</v>
      </c>
      <c r="AI375" s="314">
        <f t="shared" si="406"/>
        <v>0</v>
      </c>
      <c r="AJ375" s="314">
        <f t="shared" si="407"/>
        <v>0</v>
      </c>
      <c r="AK375" s="314">
        <f t="shared" si="408"/>
        <v>0</v>
      </c>
      <c r="AL375" s="314">
        <f t="shared" si="409"/>
        <v>0</v>
      </c>
      <c r="AM375" s="314">
        <f t="shared" si="410"/>
        <v>0</v>
      </c>
      <c r="AN375" s="314">
        <f t="shared" si="411"/>
        <v>0</v>
      </c>
      <c r="AO375" s="314">
        <f t="shared" si="412"/>
        <v>0</v>
      </c>
      <c r="AP375" s="314">
        <f t="shared" si="413"/>
        <v>0</v>
      </c>
    </row>
    <row r="376" spans="1:42" ht="55.2" hidden="1" outlineLevel="3">
      <c r="A376" s="583" t="s">
        <v>281</v>
      </c>
      <c r="B376" s="324" t="s">
        <v>967</v>
      </c>
      <c r="C376" s="317"/>
      <c r="D376" s="304">
        <v>400</v>
      </c>
      <c r="E376" s="304">
        <f t="shared" si="401"/>
        <v>500</v>
      </c>
      <c r="F376" s="304">
        <f>H376-AB376</f>
        <v>500</v>
      </c>
      <c r="G376" s="304">
        <f>F376-D376</f>
        <v>100</v>
      </c>
      <c r="H376" s="303">
        <f>I376+W376</f>
        <v>500</v>
      </c>
      <c r="I376" s="303"/>
      <c r="J376" s="311"/>
      <c r="K376" s="311"/>
      <c r="L376" s="311"/>
      <c r="M376" s="303"/>
      <c r="N376" s="311"/>
      <c r="O376" s="311"/>
      <c r="P376" s="303"/>
      <c r="Q376" s="311"/>
      <c r="R376" s="312"/>
      <c r="S376" s="303"/>
      <c r="T376" s="303"/>
      <c r="U376" s="303"/>
      <c r="V376" s="303"/>
      <c r="W376" s="303">
        <f>Z376+AA376</f>
        <v>500</v>
      </c>
      <c r="X376" s="303"/>
      <c r="Y376" s="303"/>
      <c r="Z376" s="303">
        <v>500</v>
      </c>
      <c r="AA376" s="303"/>
      <c r="AB376" s="304"/>
      <c r="AC376" s="304"/>
      <c r="AD376" s="304"/>
      <c r="AE376" s="304"/>
      <c r="AF376" s="317" t="s">
        <v>2132</v>
      </c>
      <c r="AG376" s="314">
        <f t="shared" si="404"/>
        <v>0</v>
      </c>
      <c r="AH376" s="696">
        <f t="shared" si="405"/>
        <v>0</v>
      </c>
      <c r="AI376" s="314">
        <f t="shared" si="406"/>
        <v>0</v>
      </c>
      <c r="AJ376" s="314">
        <f t="shared" si="407"/>
        <v>0</v>
      </c>
      <c r="AK376" s="314">
        <f t="shared" si="408"/>
        <v>0</v>
      </c>
      <c r="AL376" s="314">
        <f t="shared" si="409"/>
        <v>0</v>
      </c>
      <c r="AM376" s="314">
        <f t="shared" si="410"/>
        <v>0</v>
      </c>
      <c r="AN376" s="314">
        <f t="shared" si="411"/>
        <v>0</v>
      </c>
      <c r="AO376" s="314">
        <f t="shared" si="412"/>
        <v>0</v>
      </c>
      <c r="AP376" s="314">
        <f t="shared" si="413"/>
        <v>0</v>
      </c>
    </row>
    <row r="377" spans="1:42" ht="110.4" outlineLevel="1" collapsed="1">
      <c r="A377" s="583" t="s">
        <v>23</v>
      </c>
      <c r="B377" s="1273" t="s">
        <v>1614</v>
      </c>
      <c r="C377" s="317"/>
      <c r="D377" s="303">
        <v>1834</v>
      </c>
      <c r="E377" s="303">
        <f t="shared" si="401"/>
        <v>1834</v>
      </c>
      <c r="F377" s="303">
        <f>F378+F379+F380+F381</f>
        <v>1834</v>
      </c>
      <c r="G377" s="303">
        <f>G378+G379+G380+G381</f>
        <v>0</v>
      </c>
      <c r="H377" s="303">
        <f t="shared" ref="H377:AA377" si="466">H378+H379+H380+H381</f>
        <v>1834</v>
      </c>
      <c r="I377" s="303">
        <f t="shared" si="466"/>
        <v>0</v>
      </c>
      <c r="J377" s="303">
        <f t="shared" si="466"/>
        <v>0</v>
      </c>
      <c r="K377" s="303">
        <f t="shared" si="466"/>
        <v>0</v>
      </c>
      <c r="L377" s="303">
        <f t="shared" si="466"/>
        <v>0</v>
      </c>
      <c r="M377" s="303">
        <f t="shared" si="466"/>
        <v>0</v>
      </c>
      <c r="N377" s="303">
        <f t="shared" si="466"/>
        <v>0</v>
      </c>
      <c r="O377" s="303">
        <f t="shared" si="466"/>
        <v>0</v>
      </c>
      <c r="P377" s="303">
        <f t="shared" si="466"/>
        <v>0</v>
      </c>
      <c r="Q377" s="303">
        <f t="shared" si="466"/>
        <v>0</v>
      </c>
      <c r="R377" s="303">
        <f t="shared" si="466"/>
        <v>0</v>
      </c>
      <c r="S377" s="303">
        <f t="shared" si="466"/>
        <v>0</v>
      </c>
      <c r="T377" s="303">
        <f t="shared" si="466"/>
        <v>0</v>
      </c>
      <c r="U377" s="303">
        <f t="shared" si="466"/>
        <v>0</v>
      </c>
      <c r="V377" s="303">
        <f t="shared" si="466"/>
        <v>0</v>
      </c>
      <c r="W377" s="303">
        <f t="shared" si="466"/>
        <v>1834</v>
      </c>
      <c r="X377" s="303">
        <f t="shared" si="466"/>
        <v>0</v>
      </c>
      <c r="Y377" s="303">
        <f t="shared" si="466"/>
        <v>0</v>
      </c>
      <c r="Z377" s="303">
        <f t="shared" si="466"/>
        <v>1834</v>
      </c>
      <c r="AA377" s="303">
        <f t="shared" si="466"/>
        <v>0</v>
      </c>
      <c r="AB377" s="304"/>
      <c r="AC377" s="304"/>
      <c r="AD377" s="304"/>
      <c r="AE377" s="304"/>
      <c r="AF377" s="1293"/>
      <c r="AG377" s="314">
        <f t="shared" si="404"/>
        <v>0</v>
      </c>
      <c r="AH377" s="696">
        <f t="shared" si="405"/>
        <v>0</v>
      </c>
      <c r="AI377" s="314">
        <f t="shared" si="406"/>
        <v>0</v>
      </c>
      <c r="AJ377" s="314">
        <f t="shared" si="407"/>
        <v>0</v>
      </c>
      <c r="AK377" s="314">
        <f t="shared" si="408"/>
        <v>0</v>
      </c>
      <c r="AL377" s="314">
        <f t="shared" si="409"/>
        <v>0</v>
      </c>
      <c r="AM377" s="314">
        <f t="shared" si="410"/>
        <v>0</v>
      </c>
      <c r="AN377" s="314">
        <f t="shared" si="411"/>
        <v>0</v>
      </c>
      <c r="AO377" s="314">
        <f t="shared" si="412"/>
        <v>0</v>
      </c>
      <c r="AP377" s="314">
        <f t="shared" si="413"/>
        <v>0</v>
      </c>
    </row>
    <row r="378" spans="1:42" ht="69" hidden="1" outlineLevel="3">
      <c r="A378" s="583" t="s">
        <v>281</v>
      </c>
      <c r="B378" s="324" t="s">
        <v>1615</v>
      </c>
      <c r="C378" s="317"/>
      <c r="D378" s="304">
        <v>270</v>
      </c>
      <c r="E378" s="304">
        <f t="shared" si="401"/>
        <v>270</v>
      </c>
      <c r="F378" s="304">
        <f>H378-AB378</f>
        <v>270</v>
      </c>
      <c r="G378" s="304">
        <f>F378-D378</f>
        <v>0</v>
      </c>
      <c r="H378" s="303">
        <f>I378+W378</f>
        <v>270</v>
      </c>
      <c r="I378" s="303"/>
      <c r="J378" s="311"/>
      <c r="K378" s="311"/>
      <c r="L378" s="311"/>
      <c r="M378" s="303"/>
      <c r="N378" s="311"/>
      <c r="O378" s="311"/>
      <c r="P378" s="303"/>
      <c r="Q378" s="311"/>
      <c r="R378" s="312"/>
      <c r="S378" s="303"/>
      <c r="T378" s="303"/>
      <c r="U378" s="303"/>
      <c r="V378" s="303"/>
      <c r="W378" s="303">
        <f>Z378+AA378</f>
        <v>270</v>
      </c>
      <c r="X378" s="303"/>
      <c r="Y378" s="303"/>
      <c r="Z378" s="303">
        <v>270</v>
      </c>
      <c r="AA378" s="303"/>
      <c r="AB378" s="304"/>
      <c r="AC378" s="304"/>
      <c r="AD378" s="304"/>
      <c r="AE378" s="304"/>
      <c r="AF378" s="317" t="s">
        <v>2133</v>
      </c>
      <c r="AG378" s="314">
        <f t="shared" si="404"/>
        <v>0</v>
      </c>
      <c r="AH378" s="696">
        <f t="shared" si="405"/>
        <v>0</v>
      </c>
      <c r="AI378" s="314">
        <f t="shared" si="406"/>
        <v>0</v>
      </c>
      <c r="AJ378" s="314">
        <f t="shared" si="407"/>
        <v>0</v>
      </c>
      <c r="AK378" s="314">
        <f t="shared" si="408"/>
        <v>0</v>
      </c>
      <c r="AL378" s="314">
        <f t="shared" si="409"/>
        <v>0</v>
      </c>
      <c r="AM378" s="314">
        <f t="shared" si="410"/>
        <v>0</v>
      </c>
      <c r="AN378" s="314">
        <f t="shared" si="411"/>
        <v>0</v>
      </c>
      <c r="AO378" s="314">
        <f t="shared" si="412"/>
        <v>0</v>
      </c>
      <c r="AP378" s="314">
        <f t="shared" si="413"/>
        <v>0</v>
      </c>
    </row>
    <row r="379" spans="1:42" ht="41.4" hidden="1" outlineLevel="3">
      <c r="A379" s="583" t="s">
        <v>281</v>
      </c>
      <c r="B379" s="324" t="s">
        <v>1616</v>
      </c>
      <c r="C379" s="317"/>
      <c r="D379" s="304">
        <v>1219</v>
      </c>
      <c r="E379" s="304">
        <f t="shared" si="401"/>
        <v>1219</v>
      </c>
      <c r="F379" s="304">
        <f>H379-AB379</f>
        <v>1219</v>
      </c>
      <c r="G379" s="304">
        <f>F379-D379</f>
        <v>0</v>
      </c>
      <c r="H379" s="303">
        <f>I379+W379</f>
        <v>1219</v>
      </c>
      <c r="I379" s="303"/>
      <c r="J379" s="311"/>
      <c r="K379" s="311"/>
      <c r="L379" s="311"/>
      <c r="M379" s="303"/>
      <c r="N379" s="311"/>
      <c r="O379" s="311"/>
      <c r="P379" s="303"/>
      <c r="Q379" s="311"/>
      <c r="R379" s="312"/>
      <c r="S379" s="303"/>
      <c r="T379" s="303"/>
      <c r="U379" s="303"/>
      <c r="V379" s="303"/>
      <c r="W379" s="303">
        <f>Z379+AA379</f>
        <v>1219</v>
      </c>
      <c r="X379" s="303"/>
      <c r="Y379" s="303"/>
      <c r="Z379" s="303">
        <f>1058+161</f>
        <v>1219</v>
      </c>
      <c r="AA379" s="303"/>
      <c r="AB379" s="304"/>
      <c r="AC379" s="304"/>
      <c r="AD379" s="304"/>
      <c r="AE379" s="304"/>
      <c r="AF379" s="317" t="s">
        <v>1808</v>
      </c>
      <c r="AG379" s="314">
        <f t="shared" si="404"/>
        <v>0</v>
      </c>
      <c r="AH379" s="696">
        <f t="shared" si="405"/>
        <v>0</v>
      </c>
      <c r="AI379" s="314">
        <f t="shared" si="406"/>
        <v>0</v>
      </c>
      <c r="AJ379" s="314">
        <f t="shared" si="407"/>
        <v>0</v>
      </c>
      <c r="AK379" s="314">
        <f t="shared" si="408"/>
        <v>0</v>
      </c>
      <c r="AL379" s="314">
        <f t="shared" si="409"/>
        <v>0</v>
      </c>
      <c r="AM379" s="314">
        <f t="shared" si="410"/>
        <v>0</v>
      </c>
      <c r="AN379" s="314">
        <f t="shared" si="411"/>
        <v>0</v>
      </c>
      <c r="AO379" s="314">
        <f t="shared" si="412"/>
        <v>0</v>
      </c>
      <c r="AP379" s="314">
        <f t="shared" si="413"/>
        <v>0</v>
      </c>
    </row>
    <row r="380" spans="1:42" ht="55.2" hidden="1" outlineLevel="3">
      <c r="A380" s="583" t="s">
        <v>281</v>
      </c>
      <c r="B380" s="324" t="s">
        <v>968</v>
      </c>
      <c r="C380" s="317"/>
      <c r="D380" s="304">
        <v>330</v>
      </c>
      <c r="E380" s="304">
        <f t="shared" si="401"/>
        <v>330</v>
      </c>
      <c r="F380" s="304">
        <f>H380-AB380</f>
        <v>330</v>
      </c>
      <c r="G380" s="304">
        <f>F380-D380</f>
        <v>0</v>
      </c>
      <c r="H380" s="303">
        <f>I380+W380</f>
        <v>330</v>
      </c>
      <c r="I380" s="303"/>
      <c r="J380" s="311"/>
      <c r="K380" s="311"/>
      <c r="L380" s="311"/>
      <c r="M380" s="303"/>
      <c r="N380" s="311"/>
      <c r="O380" s="311"/>
      <c r="P380" s="303"/>
      <c r="Q380" s="311"/>
      <c r="R380" s="312"/>
      <c r="S380" s="303"/>
      <c r="T380" s="303"/>
      <c r="U380" s="303"/>
      <c r="V380" s="303"/>
      <c r="W380" s="303">
        <f>Z380+AA380</f>
        <v>330</v>
      </c>
      <c r="X380" s="303"/>
      <c r="Y380" s="303"/>
      <c r="Z380" s="303">
        <v>330</v>
      </c>
      <c r="AA380" s="303"/>
      <c r="AB380" s="304"/>
      <c r="AC380" s="304"/>
      <c r="AD380" s="304"/>
      <c r="AE380" s="304"/>
      <c r="AF380" s="317" t="s">
        <v>1810</v>
      </c>
      <c r="AG380" s="314">
        <f t="shared" si="404"/>
        <v>0</v>
      </c>
      <c r="AH380" s="696">
        <f t="shared" si="405"/>
        <v>0</v>
      </c>
      <c r="AI380" s="314">
        <f t="shared" si="406"/>
        <v>0</v>
      </c>
      <c r="AJ380" s="314">
        <f t="shared" si="407"/>
        <v>0</v>
      </c>
      <c r="AK380" s="314">
        <f t="shared" si="408"/>
        <v>0</v>
      </c>
      <c r="AL380" s="314">
        <f t="shared" si="409"/>
        <v>0</v>
      </c>
      <c r="AM380" s="314">
        <f t="shared" si="410"/>
        <v>0</v>
      </c>
      <c r="AN380" s="314">
        <f t="shared" si="411"/>
        <v>0</v>
      </c>
      <c r="AO380" s="314">
        <f t="shared" si="412"/>
        <v>0</v>
      </c>
      <c r="AP380" s="314">
        <f t="shared" si="413"/>
        <v>0</v>
      </c>
    </row>
    <row r="381" spans="1:42" ht="41.4" hidden="1" outlineLevel="3">
      <c r="A381" s="583" t="s">
        <v>281</v>
      </c>
      <c r="B381" s="324" t="s">
        <v>962</v>
      </c>
      <c r="C381" s="317"/>
      <c r="D381" s="304">
        <v>15</v>
      </c>
      <c r="E381" s="304">
        <f t="shared" si="401"/>
        <v>15</v>
      </c>
      <c r="F381" s="304">
        <f>H381-AB381</f>
        <v>15</v>
      </c>
      <c r="G381" s="304">
        <f>F381-D381</f>
        <v>0</v>
      </c>
      <c r="H381" s="303">
        <f t="shared" si="464"/>
        <v>15</v>
      </c>
      <c r="I381" s="303"/>
      <c r="J381" s="311"/>
      <c r="K381" s="311"/>
      <c r="L381" s="311"/>
      <c r="M381" s="303"/>
      <c r="N381" s="311"/>
      <c r="O381" s="311"/>
      <c r="P381" s="303"/>
      <c r="Q381" s="311"/>
      <c r="R381" s="312"/>
      <c r="S381" s="303"/>
      <c r="T381" s="303"/>
      <c r="U381" s="303"/>
      <c r="V381" s="303"/>
      <c r="W381" s="303">
        <f t="shared" si="465"/>
        <v>15</v>
      </c>
      <c r="X381" s="303"/>
      <c r="Y381" s="303"/>
      <c r="Z381" s="303">
        <v>15</v>
      </c>
      <c r="AA381" s="303"/>
      <c r="AB381" s="304"/>
      <c r="AC381" s="304"/>
      <c r="AD381" s="304"/>
      <c r="AE381" s="304"/>
      <c r="AF381" s="317"/>
      <c r="AG381" s="314">
        <f t="shared" si="404"/>
        <v>0</v>
      </c>
      <c r="AH381" s="696">
        <f t="shared" si="405"/>
        <v>0</v>
      </c>
      <c r="AI381" s="314">
        <f t="shared" si="406"/>
        <v>0</v>
      </c>
      <c r="AJ381" s="314">
        <f t="shared" si="407"/>
        <v>0</v>
      </c>
      <c r="AK381" s="314">
        <f t="shared" si="408"/>
        <v>0</v>
      </c>
      <c r="AL381" s="314">
        <f t="shared" si="409"/>
        <v>0</v>
      </c>
      <c r="AM381" s="314">
        <f t="shared" si="410"/>
        <v>0</v>
      </c>
      <c r="AN381" s="314">
        <f t="shared" si="411"/>
        <v>0</v>
      </c>
      <c r="AO381" s="314">
        <f t="shared" si="412"/>
        <v>0</v>
      </c>
      <c r="AP381" s="314">
        <f t="shared" si="413"/>
        <v>0</v>
      </c>
    </row>
    <row r="382" spans="1:42" ht="55.2" outlineLevel="1" collapsed="1">
      <c r="A382" s="583" t="s">
        <v>23</v>
      </c>
      <c r="B382" s="324" t="s">
        <v>1478</v>
      </c>
      <c r="C382" s="317"/>
      <c r="D382" s="303">
        <v>1586</v>
      </c>
      <c r="E382" s="303">
        <f t="shared" si="401"/>
        <v>1782</v>
      </c>
      <c r="F382" s="303">
        <f>F383+F384+F385+F386</f>
        <v>1782</v>
      </c>
      <c r="G382" s="303">
        <f>G383+G384+G385+G386</f>
        <v>196</v>
      </c>
      <c r="H382" s="303">
        <f t="shared" ref="H382:AA382" si="467">H383+H384+H385+H386</f>
        <v>1782</v>
      </c>
      <c r="I382" s="303">
        <f t="shared" si="467"/>
        <v>0</v>
      </c>
      <c r="J382" s="303">
        <f t="shared" si="467"/>
        <v>0</v>
      </c>
      <c r="K382" s="303">
        <f t="shared" si="467"/>
        <v>0</v>
      </c>
      <c r="L382" s="303">
        <f t="shared" si="467"/>
        <v>0</v>
      </c>
      <c r="M382" s="303">
        <f t="shared" si="467"/>
        <v>0</v>
      </c>
      <c r="N382" s="303">
        <f t="shared" si="467"/>
        <v>0</v>
      </c>
      <c r="O382" s="303">
        <f t="shared" si="467"/>
        <v>0</v>
      </c>
      <c r="P382" s="303">
        <f t="shared" si="467"/>
        <v>0</v>
      </c>
      <c r="Q382" s="303">
        <f t="shared" si="467"/>
        <v>0</v>
      </c>
      <c r="R382" s="303">
        <f t="shared" si="467"/>
        <v>0</v>
      </c>
      <c r="S382" s="303">
        <f t="shared" si="467"/>
        <v>0</v>
      </c>
      <c r="T382" s="303">
        <f t="shared" si="467"/>
        <v>0</v>
      </c>
      <c r="U382" s="303">
        <f t="shared" si="467"/>
        <v>0</v>
      </c>
      <c r="V382" s="303">
        <f t="shared" si="467"/>
        <v>0</v>
      </c>
      <c r="W382" s="303">
        <f t="shared" si="467"/>
        <v>1782</v>
      </c>
      <c r="X382" s="303">
        <f t="shared" si="467"/>
        <v>0</v>
      </c>
      <c r="Y382" s="303">
        <f t="shared" si="467"/>
        <v>0</v>
      </c>
      <c r="Z382" s="303">
        <f t="shared" si="467"/>
        <v>1586</v>
      </c>
      <c r="AA382" s="303">
        <f t="shared" si="467"/>
        <v>196</v>
      </c>
      <c r="AB382" s="304"/>
      <c r="AC382" s="304"/>
      <c r="AD382" s="304"/>
      <c r="AE382" s="304"/>
      <c r="AF382" s="317"/>
      <c r="AG382" s="314">
        <f t="shared" si="404"/>
        <v>0</v>
      </c>
      <c r="AH382" s="696">
        <f t="shared" si="405"/>
        <v>0</v>
      </c>
      <c r="AI382" s="314">
        <f t="shared" si="406"/>
        <v>0</v>
      </c>
      <c r="AJ382" s="314">
        <f t="shared" si="407"/>
        <v>0</v>
      </c>
      <c r="AK382" s="314">
        <f t="shared" si="408"/>
        <v>0</v>
      </c>
      <c r="AL382" s="314">
        <f t="shared" si="409"/>
        <v>0</v>
      </c>
      <c r="AM382" s="314">
        <f t="shared" si="410"/>
        <v>0</v>
      </c>
      <c r="AN382" s="314">
        <f t="shared" si="411"/>
        <v>0</v>
      </c>
      <c r="AO382" s="314">
        <f t="shared" si="412"/>
        <v>0</v>
      </c>
      <c r="AP382" s="314">
        <f t="shared" si="413"/>
        <v>0</v>
      </c>
    </row>
    <row r="383" spans="1:42" ht="27.6" hidden="1" outlineLevel="3">
      <c r="A383" s="583" t="s">
        <v>281</v>
      </c>
      <c r="B383" s="324" t="s">
        <v>963</v>
      </c>
      <c r="C383" s="317"/>
      <c r="D383" s="304">
        <v>300</v>
      </c>
      <c r="E383" s="304">
        <f t="shared" si="401"/>
        <v>300</v>
      </c>
      <c r="F383" s="304">
        <f>H383-AB383</f>
        <v>300</v>
      </c>
      <c r="G383" s="304">
        <f>F383-D383</f>
        <v>0</v>
      </c>
      <c r="H383" s="303">
        <f t="shared" si="464"/>
        <v>300</v>
      </c>
      <c r="I383" s="303"/>
      <c r="J383" s="311"/>
      <c r="K383" s="311"/>
      <c r="L383" s="311"/>
      <c r="M383" s="303"/>
      <c r="N383" s="311"/>
      <c r="O383" s="311"/>
      <c r="P383" s="303"/>
      <c r="Q383" s="311"/>
      <c r="R383" s="312"/>
      <c r="S383" s="303"/>
      <c r="T383" s="303"/>
      <c r="U383" s="303"/>
      <c r="V383" s="303"/>
      <c r="W383" s="303">
        <f t="shared" si="465"/>
        <v>300</v>
      </c>
      <c r="X383" s="303"/>
      <c r="Y383" s="303"/>
      <c r="Z383" s="303">
        <f>100+200</f>
        <v>300</v>
      </c>
      <c r="AA383" s="303"/>
      <c r="AB383" s="304"/>
      <c r="AC383" s="304"/>
      <c r="AD383" s="304"/>
      <c r="AE383" s="304"/>
      <c r="AF383" s="1642" t="s">
        <v>1811</v>
      </c>
      <c r="AG383" s="314">
        <f t="shared" si="404"/>
        <v>0</v>
      </c>
      <c r="AH383" s="696">
        <f t="shared" si="405"/>
        <v>0</v>
      </c>
      <c r="AI383" s="314">
        <f t="shared" si="406"/>
        <v>0</v>
      </c>
      <c r="AJ383" s="314">
        <f t="shared" si="407"/>
        <v>0</v>
      </c>
      <c r="AK383" s="314">
        <f t="shared" si="408"/>
        <v>0</v>
      </c>
      <c r="AL383" s="314">
        <f t="shared" si="409"/>
        <v>0</v>
      </c>
      <c r="AM383" s="314">
        <f t="shared" si="410"/>
        <v>0</v>
      </c>
      <c r="AN383" s="314">
        <f t="shared" si="411"/>
        <v>0</v>
      </c>
      <c r="AO383" s="314">
        <f t="shared" si="412"/>
        <v>0</v>
      </c>
      <c r="AP383" s="314">
        <f t="shared" si="413"/>
        <v>0</v>
      </c>
    </row>
    <row r="384" spans="1:42" hidden="1" outlineLevel="3">
      <c r="A384" s="583" t="s">
        <v>281</v>
      </c>
      <c r="B384" s="324" t="s">
        <v>964</v>
      </c>
      <c r="C384" s="317"/>
      <c r="D384" s="304">
        <v>624</v>
      </c>
      <c r="E384" s="304">
        <f t="shared" si="401"/>
        <v>820</v>
      </c>
      <c r="F384" s="304">
        <f>H384-AB384</f>
        <v>820</v>
      </c>
      <c r="G384" s="304">
        <f>F384-D384</f>
        <v>196</v>
      </c>
      <c r="H384" s="303">
        <f t="shared" si="464"/>
        <v>820</v>
      </c>
      <c r="I384" s="303"/>
      <c r="J384" s="311"/>
      <c r="K384" s="311"/>
      <c r="L384" s="311"/>
      <c r="M384" s="303"/>
      <c r="N384" s="311"/>
      <c r="O384" s="311"/>
      <c r="P384" s="303"/>
      <c r="Q384" s="311"/>
      <c r="R384" s="312"/>
      <c r="S384" s="303"/>
      <c r="T384" s="303"/>
      <c r="U384" s="303"/>
      <c r="V384" s="303"/>
      <c r="W384" s="303">
        <f t="shared" si="465"/>
        <v>820</v>
      </c>
      <c r="X384" s="303"/>
      <c r="Y384" s="303"/>
      <c r="Z384" s="303">
        <v>624</v>
      </c>
      <c r="AA384" s="303">
        <v>196</v>
      </c>
      <c r="AB384" s="304"/>
      <c r="AC384" s="304"/>
      <c r="AD384" s="304"/>
      <c r="AE384" s="304"/>
      <c r="AF384" s="1625"/>
      <c r="AG384" s="314">
        <f t="shared" si="404"/>
        <v>0</v>
      </c>
      <c r="AH384" s="696">
        <f t="shared" si="405"/>
        <v>0</v>
      </c>
      <c r="AI384" s="314">
        <f t="shared" si="406"/>
        <v>0</v>
      </c>
      <c r="AJ384" s="314">
        <f t="shared" si="407"/>
        <v>0</v>
      </c>
      <c r="AK384" s="314">
        <f t="shared" si="408"/>
        <v>0</v>
      </c>
      <c r="AL384" s="314">
        <f t="shared" si="409"/>
        <v>0</v>
      </c>
      <c r="AM384" s="314">
        <f t="shared" si="410"/>
        <v>0</v>
      </c>
      <c r="AN384" s="314">
        <f t="shared" si="411"/>
        <v>0</v>
      </c>
      <c r="AO384" s="314">
        <f t="shared" si="412"/>
        <v>0</v>
      </c>
      <c r="AP384" s="314">
        <f t="shared" si="413"/>
        <v>0</v>
      </c>
    </row>
    <row r="385" spans="1:42" hidden="1" outlineLevel="3">
      <c r="A385" s="583" t="s">
        <v>281</v>
      </c>
      <c r="B385" s="324" t="s">
        <v>965</v>
      </c>
      <c r="C385" s="317"/>
      <c r="D385" s="304">
        <v>100</v>
      </c>
      <c r="E385" s="304">
        <f t="shared" si="401"/>
        <v>100</v>
      </c>
      <c r="F385" s="304">
        <f>H385-AB385</f>
        <v>100</v>
      </c>
      <c r="G385" s="304">
        <f>F385-D385</f>
        <v>0</v>
      </c>
      <c r="H385" s="303">
        <f t="shared" si="464"/>
        <v>100</v>
      </c>
      <c r="I385" s="303"/>
      <c r="J385" s="311"/>
      <c r="K385" s="311"/>
      <c r="L385" s="311"/>
      <c r="M385" s="303"/>
      <c r="N385" s="311"/>
      <c r="O385" s="311"/>
      <c r="P385" s="303"/>
      <c r="Q385" s="311"/>
      <c r="R385" s="312"/>
      <c r="S385" s="303"/>
      <c r="T385" s="303"/>
      <c r="U385" s="303"/>
      <c r="V385" s="303"/>
      <c r="W385" s="303">
        <f t="shared" si="465"/>
        <v>100</v>
      </c>
      <c r="X385" s="303"/>
      <c r="Y385" s="303"/>
      <c r="Z385" s="303">
        <v>100</v>
      </c>
      <c r="AA385" s="303"/>
      <c r="AB385" s="304"/>
      <c r="AC385" s="304"/>
      <c r="AD385" s="304"/>
      <c r="AE385" s="304"/>
      <c r="AF385" s="1625"/>
      <c r="AG385" s="314">
        <f t="shared" si="404"/>
        <v>0</v>
      </c>
      <c r="AH385" s="696">
        <f t="shared" si="405"/>
        <v>0</v>
      </c>
      <c r="AI385" s="314">
        <f t="shared" si="406"/>
        <v>0</v>
      </c>
      <c r="AJ385" s="314">
        <f t="shared" si="407"/>
        <v>0</v>
      </c>
      <c r="AK385" s="314">
        <f t="shared" si="408"/>
        <v>0</v>
      </c>
      <c r="AL385" s="314">
        <f t="shared" si="409"/>
        <v>0</v>
      </c>
      <c r="AM385" s="314">
        <f t="shared" si="410"/>
        <v>0</v>
      </c>
      <c r="AN385" s="314">
        <f t="shared" si="411"/>
        <v>0</v>
      </c>
      <c r="AO385" s="314">
        <f t="shared" si="412"/>
        <v>0</v>
      </c>
      <c r="AP385" s="314">
        <f t="shared" si="413"/>
        <v>0</v>
      </c>
    </row>
    <row r="386" spans="1:42" hidden="1" outlineLevel="3">
      <c r="A386" s="583" t="s">
        <v>281</v>
      </c>
      <c r="B386" s="324" t="s">
        <v>966</v>
      </c>
      <c r="C386" s="317"/>
      <c r="D386" s="304">
        <v>562</v>
      </c>
      <c r="E386" s="304">
        <f t="shared" si="401"/>
        <v>562</v>
      </c>
      <c r="F386" s="304">
        <f>H386-AB386</f>
        <v>562</v>
      </c>
      <c r="G386" s="304">
        <f>F386-D386</f>
        <v>0</v>
      </c>
      <c r="H386" s="303">
        <f t="shared" si="464"/>
        <v>562</v>
      </c>
      <c r="I386" s="303"/>
      <c r="J386" s="311"/>
      <c r="K386" s="311"/>
      <c r="L386" s="311"/>
      <c r="M386" s="303"/>
      <c r="N386" s="311"/>
      <c r="O386" s="311"/>
      <c r="P386" s="303"/>
      <c r="Q386" s="311"/>
      <c r="R386" s="312"/>
      <c r="S386" s="303"/>
      <c r="T386" s="303"/>
      <c r="U386" s="303"/>
      <c r="V386" s="303"/>
      <c r="W386" s="303">
        <f t="shared" si="465"/>
        <v>562</v>
      </c>
      <c r="X386" s="303"/>
      <c r="Y386" s="303"/>
      <c r="Z386" s="303">
        <v>562</v>
      </c>
      <c r="AA386" s="303"/>
      <c r="AB386" s="304"/>
      <c r="AC386" s="304"/>
      <c r="AD386" s="304"/>
      <c r="AE386" s="304"/>
      <c r="AF386" s="1643"/>
      <c r="AG386" s="314">
        <f t="shared" si="404"/>
        <v>0</v>
      </c>
      <c r="AH386" s="696">
        <f t="shared" si="405"/>
        <v>0</v>
      </c>
      <c r="AI386" s="314">
        <f t="shared" si="406"/>
        <v>0</v>
      </c>
      <c r="AJ386" s="314">
        <f t="shared" si="407"/>
        <v>0</v>
      </c>
      <c r="AK386" s="314">
        <f t="shared" si="408"/>
        <v>0</v>
      </c>
      <c r="AL386" s="314">
        <f t="shared" si="409"/>
        <v>0</v>
      </c>
      <c r="AM386" s="314">
        <f t="shared" si="410"/>
        <v>0</v>
      </c>
      <c r="AN386" s="314">
        <f t="shared" si="411"/>
        <v>0</v>
      </c>
      <c r="AO386" s="314">
        <f t="shared" si="412"/>
        <v>0</v>
      </c>
      <c r="AP386" s="314">
        <f t="shared" si="413"/>
        <v>0</v>
      </c>
    </row>
    <row r="387" spans="1:42" ht="69" outlineLevel="1" collapsed="1">
      <c r="A387" s="583" t="s">
        <v>23</v>
      </c>
      <c r="B387" s="324" t="s">
        <v>1617</v>
      </c>
      <c r="C387" s="317"/>
      <c r="D387" s="303">
        <v>967</v>
      </c>
      <c r="E387" s="303">
        <f t="shared" si="401"/>
        <v>967</v>
      </c>
      <c r="F387" s="303">
        <f>F388+F389</f>
        <v>967</v>
      </c>
      <c r="G387" s="303">
        <f>G388+G389</f>
        <v>0</v>
      </c>
      <c r="H387" s="303">
        <f t="shared" ref="H387:AA387" si="468">H388+H389</f>
        <v>967</v>
      </c>
      <c r="I387" s="303">
        <f t="shared" si="468"/>
        <v>0</v>
      </c>
      <c r="J387" s="303">
        <f t="shared" si="468"/>
        <v>0</v>
      </c>
      <c r="K387" s="303">
        <f t="shared" si="468"/>
        <v>0</v>
      </c>
      <c r="L387" s="303">
        <f t="shared" si="468"/>
        <v>0</v>
      </c>
      <c r="M387" s="303">
        <f t="shared" si="468"/>
        <v>0</v>
      </c>
      <c r="N387" s="303">
        <f t="shared" si="468"/>
        <v>0</v>
      </c>
      <c r="O387" s="303">
        <f t="shared" si="468"/>
        <v>0</v>
      </c>
      <c r="P387" s="303">
        <f t="shared" si="468"/>
        <v>0</v>
      </c>
      <c r="Q387" s="303">
        <f t="shared" si="468"/>
        <v>0</v>
      </c>
      <c r="R387" s="303">
        <f t="shared" si="468"/>
        <v>0</v>
      </c>
      <c r="S387" s="303">
        <f t="shared" si="468"/>
        <v>0</v>
      </c>
      <c r="T387" s="303">
        <f t="shared" si="468"/>
        <v>0</v>
      </c>
      <c r="U387" s="303">
        <f t="shared" si="468"/>
        <v>0</v>
      </c>
      <c r="V387" s="303">
        <f t="shared" si="468"/>
        <v>0</v>
      </c>
      <c r="W387" s="303">
        <f t="shared" si="468"/>
        <v>967</v>
      </c>
      <c r="X387" s="303">
        <f t="shared" si="468"/>
        <v>0</v>
      </c>
      <c r="Y387" s="303">
        <f t="shared" si="468"/>
        <v>0</v>
      </c>
      <c r="Z387" s="303">
        <f t="shared" si="468"/>
        <v>967</v>
      </c>
      <c r="AA387" s="303">
        <f t="shared" si="468"/>
        <v>0</v>
      </c>
      <c r="AB387" s="304"/>
      <c r="AC387" s="304"/>
      <c r="AD387" s="304"/>
      <c r="AE387" s="304"/>
      <c r="AF387" s="317"/>
      <c r="AG387" s="314">
        <f t="shared" si="404"/>
        <v>0</v>
      </c>
      <c r="AH387" s="696">
        <f t="shared" si="405"/>
        <v>0</v>
      </c>
      <c r="AI387" s="314">
        <f t="shared" si="406"/>
        <v>0</v>
      </c>
      <c r="AJ387" s="314">
        <f t="shared" si="407"/>
        <v>0</v>
      </c>
      <c r="AK387" s="314">
        <f t="shared" si="408"/>
        <v>0</v>
      </c>
      <c r="AL387" s="314">
        <f t="shared" si="409"/>
        <v>0</v>
      </c>
      <c r="AM387" s="314">
        <f t="shared" si="410"/>
        <v>0</v>
      </c>
      <c r="AN387" s="314">
        <f t="shared" si="411"/>
        <v>0</v>
      </c>
      <c r="AO387" s="314">
        <f t="shared" si="412"/>
        <v>0</v>
      </c>
      <c r="AP387" s="314">
        <f t="shared" si="413"/>
        <v>0</v>
      </c>
    </row>
    <row r="388" spans="1:42" ht="27.6" hidden="1" outlineLevel="3">
      <c r="A388" s="583" t="s">
        <v>281</v>
      </c>
      <c r="B388" s="324" t="s">
        <v>969</v>
      </c>
      <c r="C388" s="317"/>
      <c r="D388" s="304">
        <v>175</v>
      </c>
      <c r="E388" s="304">
        <f t="shared" si="401"/>
        <v>175</v>
      </c>
      <c r="F388" s="304">
        <f>H388-AB388</f>
        <v>175</v>
      </c>
      <c r="G388" s="304">
        <f>F388-D388</f>
        <v>0</v>
      </c>
      <c r="H388" s="303">
        <f t="shared" si="464"/>
        <v>175</v>
      </c>
      <c r="I388" s="303"/>
      <c r="J388" s="311"/>
      <c r="K388" s="311"/>
      <c r="L388" s="311"/>
      <c r="M388" s="303"/>
      <c r="N388" s="311"/>
      <c r="O388" s="311"/>
      <c r="P388" s="303"/>
      <c r="Q388" s="311"/>
      <c r="R388" s="312"/>
      <c r="S388" s="303"/>
      <c r="T388" s="303"/>
      <c r="U388" s="303"/>
      <c r="V388" s="303"/>
      <c r="W388" s="303">
        <f t="shared" si="465"/>
        <v>175</v>
      </c>
      <c r="X388" s="303"/>
      <c r="Y388" s="303"/>
      <c r="Z388" s="303">
        <v>175</v>
      </c>
      <c r="AA388" s="303"/>
      <c r="AB388" s="304"/>
      <c r="AC388" s="304"/>
      <c r="AD388" s="304"/>
      <c r="AE388" s="304"/>
      <c r="AF388" s="317"/>
      <c r="AG388" s="314">
        <f t="shared" si="404"/>
        <v>0</v>
      </c>
      <c r="AH388" s="696">
        <f t="shared" si="405"/>
        <v>0</v>
      </c>
      <c r="AI388" s="314">
        <f t="shared" si="406"/>
        <v>0</v>
      </c>
      <c r="AJ388" s="314">
        <f t="shared" si="407"/>
        <v>0</v>
      </c>
      <c r="AK388" s="314">
        <f t="shared" si="408"/>
        <v>0</v>
      </c>
      <c r="AL388" s="314">
        <f t="shared" si="409"/>
        <v>0</v>
      </c>
      <c r="AM388" s="314">
        <f t="shared" si="410"/>
        <v>0</v>
      </c>
      <c r="AN388" s="314">
        <f t="shared" si="411"/>
        <v>0</v>
      </c>
      <c r="AO388" s="314">
        <f t="shared" si="412"/>
        <v>0</v>
      </c>
      <c r="AP388" s="314">
        <f t="shared" si="413"/>
        <v>0</v>
      </c>
    </row>
    <row r="389" spans="1:42" ht="41.4" hidden="1" outlineLevel="3">
      <c r="A389" s="583" t="s">
        <v>281</v>
      </c>
      <c r="B389" s="324" t="s">
        <v>1618</v>
      </c>
      <c r="C389" s="317"/>
      <c r="D389" s="304">
        <v>792</v>
      </c>
      <c r="E389" s="304">
        <f t="shared" si="401"/>
        <v>792</v>
      </c>
      <c r="F389" s="304">
        <f>H389-AB389</f>
        <v>792</v>
      </c>
      <c r="G389" s="304">
        <f>F389-D389</f>
        <v>0</v>
      </c>
      <c r="H389" s="303">
        <f t="shared" si="464"/>
        <v>792</v>
      </c>
      <c r="I389" s="303"/>
      <c r="J389" s="311"/>
      <c r="K389" s="311"/>
      <c r="L389" s="311"/>
      <c r="M389" s="303"/>
      <c r="N389" s="311"/>
      <c r="O389" s="311"/>
      <c r="P389" s="303"/>
      <c r="Q389" s="311"/>
      <c r="R389" s="312"/>
      <c r="S389" s="303"/>
      <c r="T389" s="303"/>
      <c r="U389" s="303"/>
      <c r="V389" s="303"/>
      <c r="W389" s="303">
        <f t="shared" si="465"/>
        <v>792</v>
      </c>
      <c r="X389" s="303"/>
      <c r="Y389" s="303"/>
      <c r="Z389" s="303">
        <v>792</v>
      </c>
      <c r="AA389" s="303"/>
      <c r="AB389" s="304"/>
      <c r="AC389" s="304"/>
      <c r="AD389" s="304"/>
      <c r="AE389" s="304"/>
      <c r="AF389" s="317"/>
      <c r="AG389" s="314">
        <f t="shared" si="404"/>
        <v>0</v>
      </c>
      <c r="AH389" s="696">
        <f t="shared" si="405"/>
        <v>0</v>
      </c>
      <c r="AI389" s="314">
        <f t="shared" si="406"/>
        <v>0</v>
      </c>
      <c r="AJ389" s="314">
        <f t="shared" si="407"/>
        <v>0</v>
      </c>
      <c r="AK389" s="314">
        <f t="shared" si="408"/>
        <v>0</v>
      </c>
      <c r="AL389" s="314">
        <f t="shared" si="409"/>
        <v>0</v>
      </c>
      <c r="AM389" s="314">
        <f t="shared" si="410"/>
        <v>0</v>
      </c>
      <c r="AN389" s="314">
        <f t="shared" si="411"/>
        <v>0</v>
      </c>
      <c r="AO389" s="314">
        <f t="shared" si="412"/>
        <v>0</v>
      </c>
      <c r="AP389" s="314">
        <f t="shared" si="413"/>
        <v>0</v>
      </c>
    </row>
    <row r="390" spans="1:42" outlineLevel="1" collapsed="1">
      <c r="A390" s="583" t="s">
        <v>970</v>
      </c>
      <c r="B390" s="324" t="s">
        <v>971</v>
      </c>
      <c r="C390" s="317"/>
      <c r="D390" s="303">
        <f>D391+D392+D393+D395+D399+D402+D394</f>
        <v>3600</v>
      </c>
      <c r="E390" s="303">
        <f>E391+E392+E393+E395+E399+E402+E394+E400+E401</f>
        <v>4056</v>
      </c>
      <c r="F390" s="303">
        <f t="shared" ref="F390:W390" si="469">F391+F392+F393+F395+F399+F402+F394+F400+F401</f>
        <v>4056</v>
      </c>
      <c r="G390" s="303">
        <f t="shared" si="469"/>
        <v>456</v>
      </c>
      <c r="H390" s="303">
        <f t="shared" si="469"/>
        <v>4056</v>
      </c>
      <c r="I390" s="303">
        <f t="shared" si="469"/>
        <v>0</v>
      </c>
      <c r="J390" s="303">
        <f t="shared" si="469"/>
        <v>0</v>
      </c>
      <c r="K390" s="303">
        <f t="shared" si="469"/>
        <v>0</v>
      </c>
      <c r="L390" s="303">
        <f t="shared" si="469"/>
        <v>0</v>
      </c>
      <c r="M390" s="303">
        <f t="shared" si="469"/>
        <v>0</v>
      </c>
      <c r="N390" s="303">
        <f t="shared" si="469"/>
        <v>0</v>
      </c>
      <c r="O390" s="303">
        <f t="shared" si="469"/>
        <v>0</v>
      </c>
      <c r="P390" s="303">
        <f t="shared" si="469"/>
        <v>0</v>
      </c>
      <c r="Q390" s="303">
        <f t="shared" si="469"/>
        <v>0</v>
      </c>
      <c r="R390" s="303">
        <f t="shared" si="469"/>
        <v>0</v>
      </c>
      <c r="S390" s="303">
        <f t="shared" si="469"/>
        <v>0</v>
      </c>
      <c r="T390" s="303">
        <f t="shared" si="469"/>
        <v>0</v>
      </c>
      <c r="U390" s="303">
        <f t="shared" si="469"/>
        <v>0</v>
      </c>
      <c r="V390" s="303">
        <f t="shared" si="469"/>
        <v>0</v>
      </c>
      <c r="W390" s="303">
        <f t="shared" si="469"/>
        <v>4056</v>
      </c>
      <c r="X390" s="303">
        <f>X391+X392+X393+X395+X399+X402+X394+X400+X401</f>
        <v>0</v>
      </c>
      <c r="Y390" s="303">
        <f t="shared" ref="Y390:AA390" si="470">Y391+Y392+Y393+Y395+Y399+Y402+Y394+Y400+Y401</f>
        <v>0</v>
      </c>
      <c r="Z390" s="303">
        <f t="shared" si="470"/>
        <v>3300</v>
      </c>
      <c r="AA390" s="303">
        <f t="shared" si="470"/>
        <v>756</v>
      </c>
      <c r="AB390" s="303">
        <f t="shared" ref="AB390:AE390" si="471">AB391+AB392+AB393+AB395+AB399+AB402+AB394</f>
        <v>0</v>
      </c>
      <c r="AC390" s="303">
        <f t="shared" si="471"/>
        <v>0</v>
      </c>
      <c r="AD390" s="303">
        <f t="shared" si="471"/>
        <v>0</v>
      </c>
      <c r="AE390" s="303">
        <f t="shared" si="471"/>
        <v>0</v>
      </c>
      <c r="AF390" s="317"/>
      <c r="AG390" s="314">
        <f t="shared" si="404"/>
        <v>0</v>
      </c>
      <c r="AH390" s="696">
        <f t="shared" si="405"/>
        <v>0</v>
      </c>
      <c r="AI390" s="314">
        <f t="shared" si="406"/>
        <v>0</v>
      </c>
      <c r="AJ390" s="314">
        <f t="shared" si="407"/>
        <v>0</v>
      </c>
      <c r="AK390" s="314">
        <f t="shared" si="408"/>
        <v>0</v>
      </c>
      <c r="AL390" s="314">
        <f t="shared" si="409"/>
        <v>0</v>
      </c>
      <c r="AM390" s="314">
        <f t="shared" si="410"/>
        <v>0</v>
      </c>
      <c r="AN390" s="314">
        <f t="shared" si="411"/>
        <v>0</v>
      </c>
      <c r="AO390" s="314">
        <f t="shared" si="412"/>
        <v>0</v>
      </c>
      <c r="AP390" s="314">
        <f t="shared" si="413"/>
        <v>0</v>
      </c>
    </row>
    <row r="391" spans="1:42" ht="55.2" outlineLevel="1">
      <c r="A391" s="583" t="s">
        <v>23</v>
      </c>
      <c r="B391" s="324" t="s">
        <v>972</v>
      </c>
      <c r="C391" s="317"/>
      <c r="D391" s="304">
        <v>679</v>
      </c>
      <c r="E391" s="304">
        <f t="shared" si="401"/>
        <v>679</v>
      </c>
      <c r="F391" s="304">
        <f t="shared" ref="F391:F402" si="472">H391-AB391</f>
        <v>679</v>
      </c>
      <c r="G391" s="304">
        <f t="shared" ref="G391" si="473">F391-D391</f>
        <v>0</v>
      </c>
      <c r="H391" s="303">
        <f t="shared" si="456"/>
        <v>679</v>
      </c>
      <c r="I391" s="303"/>
      <c r="J391" s="311"/>
      <c r="K391" s="311"/>
      <c r="L391" s="311"/>
      <c r="M391" s="303"/>
      <c r="N391" s="311"/>
      <c r="O391" s="311"/>
      <c r="P391" s="303"/>
      <c r="Q391" s="311"/>
      <c r="R391" s="312"/>
      <c r="S391" s="303"/>
      <c r="T391" s="303"/>
      <c r="U391" s="303"/>
      <c r="V391" s="303"/>
      <c r="W391" s="303">
        <f t="shared" si="459"/>
        <v>679</v>
      </c>
      <c r="X391" s="303"/>
      <c r="Y391" s="303"/>
      <c r="Z391" s="303">
        <v>679</v>
      </c>
      <c r="AA391" s="303"/>
      <c r="AB391" s="304"/>
      <c r="AC391" s="304"/>
      <c r="AD391" s="304"/>
      <c r="AE391" s="304"/>
      <c r="AF391" s="317" t="s">
        <v>1812</v>
      </c>
      <c r="AG391" s="314">
        <f t="shared" si="404"/>
        <v>0</v>
      </c>
      <c r="AH391" s="696">
        <f t="shared" si="405"/>
        <v>0</v>
      </c>
      <c r="AI391" s="314">
        <f t="shared" si="406"/>
        <v>0</v>
      </c>
      <c r="AJ391" s="314">
        <f t="shared" si="407"/>
        <v>0</v>
      </c>
      <c r="AK391" s="314">
        <f t="shared" si="408"/>
        <v>0</v>
      </c>
      <c r="AL391" s="314">
        <f t="shared" si="409"/>
        <v>0</v>
      </c>
      <c r="AM391" s="314">
        <f t="shared" si="410"/>
        <v>0</v>
      </c>
      <c r="AN391" s="314">
        <f t="shared" si="411"/>
        <v>0</v>
      </c>
      <c r="AO391" s="314">
        <f t="shared" si="412"/>
        <v>0</v>
      </c>
      <c r="AP391" s="314">
        <f t="shared" si="413"/>
        <v>0</v>
      </c>
    </row>
    <row r="392" spans="1:42" ht="110.4" outlineLevel="1">
      <c r="A392" s="583" t="s">
        <v>23</v>
      </c>
      <c r="B392" s="324" t="s">
        <v>1489</v>
      </c>
      <c r="C392" s="317"/>
      <c r="D392" s="304">
        <v>732</v>
      </c>
      <c r="E392" s="304">
        <f t="shared" si="401"/>
        <v>639</v>
      </c>
      <c r="F392" s="304">
        <f t="shared" si="472"/>
        <v>639</v>
      </c>
      <c r="G392" s="304">
        <f>F392-D392</f>
        <v>-93</v>
      </c>
      <c r="H392" s="303">
        <f t="shared" si="456"/>
        <v>639</v>
      </c>
      <c r="I392" s="303"/>
      <c r="J392" s="311"/>
      <c r="K392" s="311"/>
      <c r="L392" s="311"/>
      <c r="M392" s="303"/>
      <c r="N392" s="311"/>
      <c r="O392" s="311"/>
      <c r="P392" s="303"/>
      <c r="Q392" s="311"/>
      <c r="R392" s="312"/>
      <c r="S392" s="303"/>
      <c r="T392" s="303"/>
      <c r="U392" s="303"/>
      <c r="V392" s="303"/>
      <c r="W392" s="303">
        <f t="shared" si="459"/>
        <v>639</v>
      </c>
      <c r="X392" s="303"/>
      <c r="Y392" s="303"/>
      <c r="Z392" s="303">
        <v>639</v>
      </c>
      <c r="AA392" s="303"/>
      <c r="AB392" s="304"/>
      <c r="AC392" s="304"/>
      <c r="AD392" s="304"/>
      <c r="AE392" s="304"/>
      <c r="AF392" s="1263" t="s">
        <v>2134</v>
      </c>
      <c r="AG392" s="314">
        <f t="shared" si="404"/>
        <v>0</v>
      </c>
      <c r="AH392" s="696">
        <f t="shared" si="405"/>
        <v>0</v>
      </c>
      <c r="AI392" s="314">
        <f t="shared" si="406"/>
        <v>0</v>
      </c>
      <c r="AJ392" s="314">
        <f t="shared" si="407"/>
        <v>0</v>
      </c>
      <c r="AK392" s="314">
        <f t="shared" si="408"/>
        <v>0</v>
      </c>
      <c r="AL392" s="314">
        <f t="shared" si="409"/>
        <v>0</v>
      </c>
      <c r="AM392" s="314">
        <f t="shared" si="410"/>
        <v>0</v>
      </c>
      <c r="AN392" s="314">
        <f t="shared" si="411"/>
        <v>0</v>
      </c>
      <c r="AO392" s="314">
        <f t="shared" si="412"/>
        <v>0</v>
      </c>
      <c r="AP392" s="314">
        <f t="shared" si="413"/>
        <v>0</v>
      </c>
    </row>
    <row r="393" spans="1:42" outlineLevel="1">
      <c r="A393" s="583" t="s">
        <v>23</v>
      </c>
      <c r="B393" s="324" t="s">
        <v>2135</v>
      </c>
      <c r="C393" s="317"/>
      <c r="D393" s="304">
        <v>230</v>
      </c>
      <c r="E393" s="304">
        <f t="shared" si="401"/>
        <v>230</v>
      </c>
      <c r="F393" s="304">
        <f t="shared" si="472"/>
        <v>230</v>
      </c>
      <c r="G393" s="304">
        <f t="shared" ref="G393:G402" si="474">F393-D393</f>
        <v>0</v>
      </c>
      <c r="H393" s="303">
        <f t="shared" si="456"/>
        <v>230</v>
      </c>
      <c r="I393" s="303"/>
      <c r="J393" s="311"/>
      <c r="K393" s="311"/>
      <c r="L393" s="311"/>
      <c r="M393" s="303"/>
      <c r="N393" s="311"/>
      <c r="O393" s="311"/>
      <c r="P393" s="303"/>
      <c r="Q393" s="311"/>
      <c r="R393" s="312"/>
      <c r="S393" s="303"/>
      <c r="T393" s="303"/>
      <c r="U393" s="303"/>
      <c r="V393" s="303"/>
      <c r="W393" s="303">
        <f t="shared" si="459"/>
        <v>230</v>
      </c>
      <c r="X393" s="303"/>
      <c r="Y393" s="303"/>
      <c r="Z393" s="303">
        <v>230</v>
      </c>
      <c r="AA393" s="303"/>
      <c r="AB393" s="304"/>
      <c r="AC393" s="304"/>
      <c r="AD393" s="304"/>
      <c r="AE393" s="304"/>
      <c r="AF393" s="317"/>
      <c r="AG393" s="314">
        <f t="shared" si="404"/>
        <v>0</v>
      </c>
      <c r="AH393" s="696">
        <f t="shared" si="405"/>
        <v>0</v>
      </c>
      <c r="AI393" s="314">
        <f t="shared" si="406"/>
        <v>0</v>
      </c>
      <c r="AJ393" s="314">
        <f t="shared" si="407"/>
        <v>0</v>
      </c>
      <c r="AK393" s="314">
        <f t="shared" si="408"/>
        <v>0</v>
      </c>
      <c r="AL393" s="314">
        <f t="shared" si="409"/>
        <v>0</v>
      </c>
      <c r="AM393" s="314">
        <f t="shared" si="410"/>
        <v>0</v>
      </c>
      <c r="AN393" s="314">
        <f t="shared" si="411"/>
        <v>0</v>
      </c>
      <c r="AO393" s="314">
        <f t="shared" si="412"/>
        <v>0</v>
      </c>
      <c r="AP393" s="314">
        <f t="shared" si="413"/>
        <v>0</v>
      </c>
    </row>
    <row r="394" spans="1:42" ht="27.6" outlineLevel="1">
      <c r="A394" s="583" t="s">
        <v>23</v>
      </c>
      <c r="B394" s="324" t="s">
        <v>2304</v>
      </c>
      <c r="C394" s="317"/>
      <c r="D394" s="304">
        <v>132</v>
      </c>
      <c r="E394" s="304">
        <f t="shared" si="401"/>
        <v>132</v>
      </c>
      <c r="F394" s="304">
        <f t="shared" si="472"/>
        <v>132</v>
      </c>
      <c r="G394" s="304">
        <f t="shared" si="474"/>
        <v>0</v>
      </c>
      <c r="H394" s="303">
        <f t="shared" si="456"/>
        <v>132</v>
      </c>
      <c r="I394" s="303"/>
      <c r="J394" s="311"/>
      <c r="K394" s="311"/>
      <c r="L394" s="311"/>
      <c r="M394" s="303"/>
      <c r="N394" s="311"/>
      <c r="O394" s="311"/>
      <c r="P394" s="303"/>
      <c r="Q394" s="311"/>
      <c r="R394" s="312"/>
      <c r="S394" s="303"/>
      <c r="T394" s="303"/>
      <c r="U394" s="303"/>
      <c r="V394" s="303"/>
      <c r="W394" s="303">
        <f t="shared" si="459"/>
        <v>132</v>
      </c>
      <c r="X394" s="303"/>
      <c r="Y394" s="303"/>
      <c r="Z394" s="303">
        <v>132</v>
      </c>
      <c r="AA394" s="303"/>
      <c r="AB394" s="304"/>
      <c r="AC394" s="304"/>
      <c r="AD394" s="304"/>
      <c r="AE394" s="304"/>
      <c r="AF394" s="317"/>
      <c r="AG394" s="314">
        <f t="shared" si="404"/>
        <v>0</v>
      </c>
      <c r="AH394" s="696">
        <f t="shared" si="405"/>
        <v>0</v>
      </c>
      <c r="AI394" s="314">
        <f t="shared" si="406"/>
        <v>0</v>
      </c>
      <c r="AJ394" s="314">
        <f t="shared" si="407"/>
        <v>0</v>
      </c>
      <c r="AK394" s="314">
        <f t="shared" si="408"/>
        <v>0</v>
      </c>
      <c r="AL394" s="314">
        <f t="shared" si="409"/>
        <v>0</v>
      </c>
      <c r="AM394" s="314">
        <f t="shared" si="410"/>
        <v>0</v>
      </c>
      <c r="AN394" s="314">
        <f t="shared" si="411"/>
        <v>0</v>
      </c>
      <c r="AO394" s="314">
        <f t="shared" si="412"/>
        <v>0</v>
      </c>
      <c r="AP394" s="314">
        <f t="shared" si="413"/>
        <v>0</v>
      </c>
    </row>
    <row r="395" spans="1:42" ht="55.2" outlineLevel="1">
      <c r="A395" s="583" t="s">
        <v>23</v>
      </c>
      <c r="B395" s="324" t="s">
        <v>1524</v>
      </c>
      <c r="C395" s="317"/>
      <c r="D395" s="304">
        <v>685</v>
      </c>
      <c r="E395" s="304">
        <f t="shared" si="401"/>
        <v>685</v>
      </c>
      <c r="F395" s="304">
        <f>H395-AB395</f>
        <v>685</v>
      </c>
      <c r="G395" s="304">
        <f t="shared" si="474"/>
        <v>0</v>
      </c>
      <c r="H395" s="303">
        <f t="shared" si="456"/>
        <v>685</v>
      </c>
      <c r="I395" s="303"/>
      <c r="J395" s="311"/>
      <c r="K395" s="311"/>
      <c r="L395" s="311"/>
      <c r="M395" s="303"/>
      <c r="N395" s="311"/>
      <c r="O395" s="311"/>
      <c r="P395" s="303"/>
      <c r="Q395" s="311"/>
      <c r="R395" s="312"/>
      <c r="S395" s="303"/>
      <c r="T395" s="303"/>
      <c r="U395" s="303"/>
      <c r="V395" s="303"/>
      <c r="W395" s="303">
        <f t="shared" si="459"/>
        <v>685</v>
      </c>
      <c r="X395" s="303"/>
      <c r="Y395" s="303"/>
      <c r="Z395" s="303">
        <f>Z396+Z397+Z398</f>
        <v>685</v>
      </c>
      <c r="AA395" s="303"/>
      <c r="AB395" s="304"/>
      <c r="AC395" s="304"/>
      <c r="AD395" s="304"/>
      <c r="AE395" s="304"/>
      <c r="AF395" s="317"/>
      <c r="AG395" s="314">
        <f t="shared" si="404"/>
        <v>0</v>
      </c>
      <c r="AH395" s="696">
        <f t="shared" si="405"/>
        <v>0</v>
      </c>
      <c r="AI395" s="314">
        <f t="shared" si="406"/>
        <v>0</v>
      </c>
      <c r="AJ395" s="314">
        <f t="shared" si="407"/>
        <v>0</v>
      </c>
      <c r="AK395" s="314">
        <f t="shared" si="408"/>
        <v>0</v>
      </c>
      <c r="AL395" s="314">
        <f t="shared" si="409"/>
        <v>0</v>
      </c>
      <c r="AM395" s="314">
        <f t="shared" si="410"/>
        <v>0</v>
      </c>
      <c r="AN395" s="314">
        <f t="shared" si="411"/>
        <v>0</v>
      </c>
      <c r="AO395" s="314">
        <f t="shared" si="412"/>
        <v>0</v>
      </c>
      <c r="AP395" s="314">
        <f t="shared" si="413"/>
        <v>0</v>
      </c>
    </row>
    <row r="396" spans="1:42" ht="27.6" hidden="1" outlineLevel="3">
      <c r="A396" s="583" t="s">
        <v>281</v>
      </c>
      <c r="B396" s="324" t="s">
        <v>2136</v>
      </c>
      <c r="C396" s="317"/>
      <c r="D396" s="304"/>
      <c r="E396" s="304">
        <f t="shared" si="401"/>
        <v>100</v>
      </c>
      <c r="F396" s="304">
        <f t="shared" si="472"/>
        <v>100</v>
      </c>
      <c r="G396" s="304"/>
      <c r="H396" s="303">
        <f t="shared" si="456"/>
        <v>100</v>
      </c>
      <c r="I396" s="303"/>
      <c r="J396" s="311"/>
      <c r="K396" s="311"/>
      <c r="L396" s="311"/>
      <c r="M396" s="303"/>
      <c r="N396" s="311"/>
      <c r="O396" s="311"/>
      <c r="P396" s="303"/>
      <c r="Q396" s="311"/>
      <c r="R396" s="312"/>
      <c r="S396" s="303"/>
      <c r="T396" s="303"/>
      <c r="U396" s="303"/>
      <c r="V396" s="303"/>
      <c r="W396" s="303">
        <f t="shared" si="459"/>
        <v>100</v>
      </c>
      <c r="X396" s="303"/>
      <c r="Y396" s="303"/>
      <c r="Z396" s="303">
        <v>100</v>
      </c>
      <c r="AA396" s="303"/>
      <c r="AB396" s="304"/>
      <c r="AC396" s="304"/>
      <c r="AD396" s="304"/>
      <c r="AE396" s="304"/>
      <c r="AF396" s="317"/>
      <c r="AG396" s="314">
        <f t="shared" si="404"/>
        <v>0</v>
      </c>
      <c r="AH396" s="696">
        <f t="shared" si="405"/>
        <v>0</v>
      </c>
      <c r="AI396" s="314">
        <f t="shared" si="406"/>
        <v>0</v>
      </c>
      <c r="AJ396" s="314">
        <f t="shared" si="407"/>
        <v>0</v>
      </c>
      <c r="AK396" s="314">
        <f t="shared" si="408"/>
        <v>0</v>
      </c>
      <c r="AL396" s="314">
        <f t="shared" si="409"/>
        <v>0</v>
      </c>
      <c r="AM396" s="314">
        <f t="shared" si="410"/>
        <v>0</v>
      </c>
      <c r="AN396" s="314">
        <f t="shared" si="411"/>
        <v>0</v>
      </c>
      <c r="AO396" s="314">
        <f t="shared" si="412"/>
        <v>0</v>
      </c>
      <c r="AP396" s="314">
        <f t="shared" si="413"/>
        <v>0</v>
      </c>
    </row>
    <row r="397" spans="1:42" hidden="1" outlineLevel="3">
      <c r="A397" s="583" t="s">
        <v>281</v>
      </c>
      <c r="B397" s="324" t="s">
        <v>2137</v>
      </c>
      <c r="C397" s="317"/>
      <c r="D397" s="304"/>
      <c r="E397" s="304">
        <f t="shared" si="401"/>
        <v>450</v>
      </c>
      <c r="F397" s="304">
        <f t="shared" si="472"/>
        <v>450</v>
      </c>
      <c r="G397" s="304"/>
      <c r="H397" s="303">
        <f t="shared" si="456"/>
        <v>450</v>
      </c>
      <c r="I397" s="303"/>
      <c r="J397" s="311"/>
      <c r="K397" s="311"/>
      <c r="L397" s="311"/>
      <c r="M397" s="303"/>
      <c r="N397" s="311"/>
      <c r="O397" s="311"/>
      <c r="P397" s="303"/>
      <c r="Q397" s="311"/>
      <c r="R397" s="312"/>
      <c r="S397" s="303"/>
      <c r="T397" s="303"/>
      <c r="U397" s="303"/>
      <c r="V397" s="303"/>
      <c r="W397" s="303">
        <f t="shared" si="459"/>
        <v>450</v>
      </c>
      <c r="X397" s="303"/>
      <c r="Y397" s="303"/>
      <c r="Z397" s="303">
        <v>450</v>
      </c>
      <c r="AA397" s="303"/>
      <c r="AB397" s="304"/>
      <c r="AC397" s="304"/>
      <c r="AD397" s="304"/>
      <c r="AE397" s="304"/>
      <c r="AF397" s="317"/>
      <c r="AG397" s="314">
        <f t="shared" si="404"/>
        <v>0</v>
      </c>
      <c r="AH397" s="696">
        <f t="shared" si="405"/>
        <v>0</v>
      </c>
      <c r="AI397" s="314">
        <f t="shared" si="406"/>
        <v>0</v>
      </c>
      <c r="AJ397" s="314">
        <f t="shared" si="407"/>
        <v>0</v>
      </c>
      <c r="AK397" s="314">
        <f t="shared" si="408"/>
        <v>0</v>
      </c>
      <c r="AL397" s="314">
        <f t="shared" si="409"/>
        <v>0</v>
      </c>
      <c r="AM397" s="314">
        <f t="shared" si="410"/>
        <v>0</v>
      </c>
      <c r="AN397" s="314">
        <f t="shared" si="411"/>
        <v>0</v>
      </c>
      <c r="AO397" s="314">
        <f t="shared" si="412"/>
        <v>0</v>
      </c>
      <c r="AP397" s="314">
        <f t="shared" si="413"/>
        <v>0</v>
      </c>
    </row>
    <row r="398" spans="1:42" ht="27.6" hidden="1" outlineLevel="3">
      <c r="A398" s="583" t="s">
        <v>281</v>
      </c>
      <c r="B398" s="324" t="s">
        <v>2138</v>
      </c>
      <c r="C398" s="317"/>
      <c r="D398" s="304"/>
      <c r="E398" s="304">
        <f t="shared" si="401"/>
        <v>135</v>
      </c>
      <c r="F398" s="304">
        <f t="shared" si="472"/>
        <v>135</v>
      </c>
      <c r="G398" s="304"/>
      <c r="H398" s="303">
        <f t="shared" si="456"/>
        <v>135</v>
      </c>
      <c r="I398" s="303"/>
      <c r="J398" s="311"/>
      <c r="K398" s="311"/>
      <c r="L398" s="311"/>
      <c r="M398" s="303"/>
      <c r="N398" s="311"/>
      <c r="O398" s="311"/>
      <c r="P398" s="303"/>
      <c r="Q398" s="311"/>
      <c r="R398" s="312"/>
      <c r="S398" s="303"/>
      <c r="T398" s="303"/>
      <c r="U398" s="303"/>
      <c r="V398" s="303"/>
      <c r="W398" s="303">
        <f t="shared" si="459"/>
        <v>135</v>
      </c>
      <c r="X398" s="303"/>
      <c r="Y398" s="303"/>
      <c r="Z398" s="303">
        <f>135</f>
        <v>135</v>
      </c>
      <c r="AA398" s="303"/>
      <c r="AB398" s="304"/>
      <c r="AC398" s="304"/>
      <c r="AD398" s="304"/>
      <c r="AE398" s="304"/>
      <c r="AF398" s="317"/>
      <c r="AG398" s="314">
        <f t="shared" si="404"/>
        <v>0</v>
      </c>
      <c r="AH398" s="696">
        <f t="shared" si="405"/>
        <v>0</v>
      </c>
      <c r="AI398" s="314">
        <f t="shared" si="406"/>
        <v>0</v>
      </c>
      <c r="AJ398" s="314">
        <f t="shared" si="407"/>
        <v>0</v>
      </c>
      <c r="AK398" s="314">
        <f t="shared" si="408"/>
        <v>0</v>
      </c>
      <c r="AL398" s="314">
        <f t="shared" si="409"/>
        <v>0</v>
      </c>
      <c r="AM398" s="314">
        <f t="shared" si="410"/>
        <v>0</v>
      </c>
      <c r="AN398" s="314">
        <f t="shared" si="411"/>
        <v>0</v>
      </c>
      <c r="AO398" s="314">
        <f t="shared" si="412"/>
        <v>0</v>
      </c>
      <c r="AP398" s="314">
        <f t="shared" si="413"/>
        <v>0</v>
      </c>
    </row>
    <row r="399" spans="1:42" ht="82.8" outlineLevel="1" collapsed="1">
      <c r="A399" s="583" t="s">
        <v>23</v>
      </c>
      <c r="B399" s="324" t="s">
        <v>1619</v>
      </c>
      <c r="C399" s="317"/>
      <c r="D399" s="304">
        <v>415</v>
      </c>
      <c r="E399" s="304">
        <f t="shared" si="401"/>
        <v>415</v>
      </c>
      <c r="F399" s="304">
        <f t="shared" si="472"/>
        <v>415</v>
      </c>
      <c r="G399" s="304">
        <f t="shared" si="474"/>
        <v>0</v>
      </c>
      <c r="H399" s="303">
        <f t="shared" si="456"/>
        <v>415</v>
      </c>
      <c r="I399" s="303"/>
      <c r="J399" s="311"/>
      <c r="K399" s="311"/>
      <c r="L399" s="311"/>
      <c r="M399" s="303"/>
      <c r="N399" s="311"/>
      <c r="O399" s="311"/>
      <c r="P399" s="303"/>
      <c r="Q399" s="311"/>
      <c r="R399" s="312"/>
      <c r="S399" s="303"/>
      <c r="T399" s="303"/>
      <c r="U399" s="303"/>
      <c r="V399" s="303"/>
      <c r="W399" s="303">
        <f t="shared" si="459"/>
        <v>415</v>
      </c>
      <c r="X399" s="303"/>
      <c r="Y399" s="303"/>
      <c r="Z399" s="303">
        <f>280+45+90</f>
        <v>415</v>
      </c>
      <c r="AA399" s="303"/>
      <c r="AB399" s="304"/>
      <c r="AC399" s="304"/>
      <c r="AD399" s="304"/>
      <c r="AE399" s="304"/>
      <c r="AF399" s="317"/>
      <c r="AG399" s="314">
        <f t="shared" si="404"/>
        <v>0</v>
      </c>
      <c r="AH399" s="696">
        <f t="shared" si="405"/>
        <v>0</v>
      </c>
      <c r="AI399" s="314">
        <f t="shared" si="406"/>
        <v>0</v>
      </c>
      <c r="AJ399" s="314">
        <f t="shared" si="407"/>
        <v>0</v>
      </c>
      <c r="AK399" s="314">
        <f t="shared" si="408"/>
        <v>0</v>
      </c>
      <c r="AL399" s="314">
        <f t="shared" si="409"/>
        <v>0</v>
      </c>
      <c r="AM399" s="314">
        <f t="shared" si="410"/>
        <v>0</v>
      </c>
      <c r="AN399" s="314">
        <f t="shared" si="411"/>
        <v>0</v>
      </c>
      <c r="AO399" s="314">
        <f t="shared" si="412"/>
        <v>0</v>
      </c>
      <c r="AP399" s="314">
        <f t="shared" si="413"/>
        <v>0</v>
      </c>
    </row>
    <row r="400" spans="1:42" ht="41.4" outlineLevel="1">
      <c r="A400" s="583" t="s">
        <v>23</v>
      </c>
      <c r="B400" s="1273" t="s">
        <v>2139</v>
      </c>
      <c r="C400" s="317"/>
      <c r="D400" s="304"/>
      <c r="E400" s="304">
        <f t="shared" si="401"/>
        <v>307</v>
      </c>
      <c r="F400" s="304">
        <f>H400-AB400</f>
        <v>307</v>
      </c>
      <c r="G400" s="304">
        <f t="shared" si="474"/>
        <v>307</v>
      </c>
      <c r="H400" s="303">
        <f t="shared" si="456"/>
        <v>307</v>
      </c>
      <c r="I400" s="303"/>
      <c r="J400" s="311"/>
      <c r="K400" s="311"/>
      <c r="L400" s="311"/>
      <c r="M400" s="303"/>
      <c r="N400" s="311"/>
      <c r="O400" s="311"/>
      <c r="P400" s="303"/>
      <c r="Q400" s="311"/>
      <c r="R400" s="312"/>
      <c r="S400" s="303"/>
      <c r="T400" s="303"/>
      <c r="U400" s="303"/>
      <c r="V400" s="303"/>
      <c r="W400" s="303">
        <f>Z400+AA400</f>
        <v>307</v>
      </c>
      <c r="X400" s="303"/>
      <c r="Y400" s="303"/>
      <c r="Z400" s="303">
        <v>9</v>
      </c>
      <c r="AA400" s="303">
        <v>298</v>
      </c>
      <c r="AB400" s="304"/>
      <c r="AC400" s="304"/>
      <c r="AD400" s="304"/>
      <c r="AE400" s="304"/>
      <c r="AF400" s="1293" t="s">
        <v>2140</v>
      </c>
      <c r="AG400" s="314">
        <f t="shared" si="404"/>
        <v>0</v>
      </c>
      <c r="AH400" s="696">
        <f t="shared" si="405"/>
        <v>0</v>
      </c>
      <c r="AI400" s="314">
        <f t="shared" si="406"/>
        <v>0</v>
      </c>
      <c r="AJ400" s="314">
        <f t="shared" si="407"/>
        <v>0</v>
      </c>
      <c r="AK400" s="314">
        <f t="shared" si="408"/>
        <v>0</v>
      </c>
      <c r="AL400" s="314">
        <f t="shared" si="409"/>
        <v>0</v>
      </c>
      <c r="AM400" s="314">
        <f t="shared" si="410"/>
        <v>0</v>
      </c>
      <c r="AN400" s="314">
        <f t="shared" si="411"/>
        <v>0</v>
      </c>
      <c r="AO400" s="314">
        <f t="shared" si="412"/>
        <v>0</v>
      </c>
      <c r="AP400" s="314">
        <f t="shared" si="413"/>
        <v>0</v>
      </c>
    </row>
    <row r="401" spans="1:42" ht="56.25" customHeight="1" outlineLevel="1">
      <c r="A401" s="583" t="s">
        <v>23</v>
      </c>
      <c r="B401" s="1273" t="s">
        <v>2141</v>
      </c>
      <c r="C401" s="317"/>
      <c r="D401" s="304"/>
      <c r="E401" s="304">
        <f t="shared" si="401"/>
        <v>458</v>
      </c>
      <c r="F401" s="304">
        <f t="shared" ref="F401" si="475">H401-AB401</f>
        <v>458</v>
      </c>
      <c r="G401" s="304">
        <f t="shared" si="474"/>
        <v>458</v>
      </c>
      <c r="H401" s="303">
        <f t="shared" si="456"/>
        <v>458</v>
      </c>
      <c r="I401" s="303"/>
      <c r="J401" s="311"/>
      <c r="K401" s="311"/>
      <c r="L401" s="311"/>
      <c r="M401" s="303"/>
      <c r="N401" s="311"/>
      <c r="O401" s="311"/>
      <c r="P401" s="303"/>
      <c r="Q401" s="311"/>
      <c r="R401" s="312"/>
      <c r="S401" s="303"/>
      <c r="T401" s="303"/>
      <c r="U401" s="303"/>
      <c r="V401" s="303"/>
      <c r="W401" s="303">
        <f t="shared" ref="W401" si="476">Z401+AA401</f>
        <v>458</v>
      </c>
      <c r="X401" s="303"/>
      <c r="Y401" s="303"/>
      <c r="Z401" s="303"/>
      <c r="AA401" s="303">
        <v>458</v>
      </c>
      <c r="AB401" s="304"/>
      <c r="AC401" s="304"/>
      <c r="AD401" s="304"/>
      <c r="AE401" s="304"/>
      <c r="AF401" s="1293" t="s">
        <v>2451</v>
      </c>
      <c r="AG401" s="314">
        <f t="shared" si="404"/>
        <v>0</v>
      </c>
      <c r="AH401" s="696">
        <f t="shared" si="405"/>
        <v>0</v>
      </c>
      <c r="AI401" s="314">
        <f t="shared" si="406"/>
        <v>0</v>
      </c>
      <c r="AJ401" s="314">
        <f t="shared" si="407"/>
        <v>0</v>
      </c>
      <c r="AK401" s="314">
        <f t="shared" si="408"/>
        <v>0</v>
      </c>
      <c r="AL401" s="314">
        <f t="shared" si="409"/>
        <v>0</v>
      </c>
      <c r="AM401" s="314">
        <f t="shared" si="410"/>
        <v>0</v>
      </c>
      <c r="AN401" s="314">
        <f t="shared" si="411"/>
        <v>0</v>
      </c>
      <c r="AO401" s="314">
        <f t="shared" si="412"/>
        <v>0</v>
      </c>
      <c r="AP401" s="314">
        <f t="shared" si="413"/>
        <v>0</v>
      </c>
    </row>
    <row r="402" spans="1:42" ht="69" outlineLevel="1">
      <c r="A402" s="583" t="s">
        <v>23</v>
      </c>
      <c r="B402" s="1273" t="s">
        <v>2305</v>
      </c>
      <c r="C402" s="317"/>
      <c r="D402" s="304">
        <f>727</f>
        <v>727</v>
      </c>
      <c r="E402" s="304">
        <f t="shared" si="401"/>
        <v>511</v>
      </c>
      <c r="F402" s="304">
        <f t="shared" si="472"/>
        <v>511</v>
      </c>
      <c r="G402" s="304">
        <f t="shared" si="474"/>
        <v>-216</v>
      </c>
      <c r="H402" s="303">
        <f>I402+W402</f>
        <v>511</v>
      </c>
      <c r="I402" s="303"/>
      <c r="J402" s="311"/>
      <c r="K402" s="311"/>
      <c r="L402" s="311"/>
      <c r="M402" s="303"/>
      <c r="N402" s="311"/>
      <c r="O402" s="311"/>
      <c r="P402" s="303"/>
      <c r="Q402" s="311"/>
      <c r="R402" s="312"/>
      <c r="S402" s="303"/>
      <c r="T402" s="303"/>
      <c r="U402" s="303"/>
      <c r="V402" s="303"/>
      <c r="W402" s="303">
        <f>Z402+AA402</f>
        <v>511</v>
      </c>
      <c r="X402" s="303"/>
      <c r="Y402" s="303"/>
      <c r="Z402" s="303">
        <f>511</f>
        <v>511</v>
      </c>
      <c r="AA402" s="303"/>
      <c r="AB402" s="304"/>
      <c r="AC402" s="304"/>
      <c r="AD402" s="304"/>
      <c r="AE402" s="304"/>
      <c r="AF402" s="1293"/>
      <c r="AG402" s="314">
        <f t="shared" ref="AG402:AG465" si="477">E402-F402-AC402</f>
        <v>0</v>
      </c>
      <c r="AH402" s="696">
        <f t="shared" ref="AH402:AH465" si="478">F402-H402+AB402</f>
        <v>0</v>
      </c>
      <c r="AI402" s="314">
        <f t="shared" ref="AI402:AI465" si="479">H402-I402-W402</f>
        <v>0</v>
      </c>
      <c r="AJ402" s="314">
        <f t="shared" ref="AJ402:AJ465" si="480">I402-M402-P402</f>
        <v>0</v>
      </c>
      <c r="AK402" s="314">
        <f t="shared" ref="AK402:AK465" si="481">J402-K402-L402</f>
        <v>0</v>
      </c>
      <c r="AL402" s="314">
        <f t="shared" ref="AL402:AL465" si="482">M402-N402-O402</f>
        <v>0</v>
      </c>
      <c r="AM402" s="314">
        <f t="shared" ref="AM402:AM465" si="483">P402-S402-T402</f>
        <v>0</v>
      </c>
      <c r="AN402" s="314">
        <f t="shared" ref="AN402:AN465" si="484">T402-U402-V402</f>
        <v>0</v>
      </c>
      <c r="AO402" s="314">
        <f t="shared" ref="AO402:AO465" si="485">W402-Z402-AA402</f>
        <v>0</v>
      </c>
      <c r="AP402" s="314">
        <f t="shared" ref="AP402:AP465" si="486">AC402+AA402+Z402+V402+U402+S402+O402+N402-AB402-E402</f>
        <v>0</v>
      </c>
    </row>
    <row r="403" spans="1:42" s="314" customFormat="1">
      <c r="A403" s="592" t="s">
        <v>973</v>
      </c>
      <c r="B403" s="357" t="s">
        <v>907</v>
      </c>
      <c r="C403" s="298" t="s">
        <v>739</v>
      </c>
      <c r="D403" s="299">
        <f>D404+D411+D412+D413</f>
        <v>286018</v>
      </c>
      <c r="E403" s="299">
        <f>E404+E411+E412+E413</f>
        <v>283518</v>
      </c>
      <c r="F403" s="299">
        <f>F404+F411+F412+F413</f>
        <v>283518</v>
      </c>
      <c r="G403" s="299">
        <f>G404+G411+G412+G413</f>
        <v>-2500</v>
      </c>
      <c r="H403" s="299">
        <f t="shared" ref="H403:AB403" si="487">H404+H411+H412+H413</f>
        <v>283518</v>
      </c>
      <c r="I403" s="299">
        <f t="shared" si="487"/>
        <v>0</v>
      </c>
      <c r="J403" s="299">
        <f t="shared" si="487"/>
        <v>0</v>
      </c>
      <c r="K403" s="299">
        <f t="shared" si="487"/>
        <v>0</v>
      </c>
      <c r="L403" s="299">
        <f t="shared" si="487"/>
        <v>0</v>
      </c>
      <c r="M403" s="299">
        <f t="shared" si="487"/>
        <v>0</v>
      </c>
      <c r="N403" s="299">
        <f t="shared" si="487"/>
        <v>0</v>
      </c>
      <c r="O403" s="299">
        <f t="shared" si="487"/>
        <v>0</v>
      </c>
      <c r="P403" s="299">
        <f t="shared" si="487"/>
        <v>0</v>
      </c>
      <c r="Q403" s="299">
        <f t="shared" si="487"/>
        <v>0</v>
      </c>
      <c r="R403" s="299">
        <f t="shared" si="487"/>
        <v>0</v>
      </c>
      <c r="S403" s="299">
        <f t="shared" si="487"/>
        <v>0</v>
      </c>
      <c r="T403" s="299">
        <f t="shared" si="487"/>
        <v>0</v>
      </c>
      <c r="U403" s="299">
        <f t="shared" si="487"/>
        <v>0</v>
      </c>
      <c r="V403" s="299">
        <f t="shared" si="487"/>
        <v>0</v>
      </c>
      <c r="W403" s="299">
        <f t="shared" si="487"/>
        <v>283518</v>
      </c>
      <c r="X403" s="299">
        <f t="shared" si="487"/>
        <v>0</v>
      </c>
      <c r="Y403" s="299">
        <f t="shared" si="487"/>
        <v>0</v>
      </c>
      <c r="Z403" s="299">
        <f t="shared" si="487"/>
        <v>283518</v>
      </c>
      <c r="AA403" s="299">
        <f t="shared" si="487"/>
        <v>0</v>
      </c>
      <c r="AB403" s="299">
        <f t="shared" si="487"/>
        <v>0</v>
      </c>
      <c r="AC403" s="299"/>
      <c r="AD403" s="299">
        <v>0</v>
      </c>
      <c r="AE403" s="299">
        <f t="shared" ref="AE403:AE413" si="488">E403-AD403</f>
        <v>283518</v>
      </c>
      <c r="AF403" s="321"/>
      <c r="AG403" s="314">
        <f t="shared" si="477"/>
        <v>0</v>
      </c>
      <c r="AH403" s="696">
        <f t="shared" si="478"/>
        <v>0</v>
      </c>
      <c r="AI403" s="314">
        <f t="shared" si="479"/>
        <v>0</v>
      </c>
      <c r="AJ403" s="314">
        <f t="shared" si="480"/>
        <v>0</v>
      </c>
      <c r="AK403" s="314">
        <f t="shared" si="481"/>
        <v>0</v>
      </c>
      <c r="AL403" s="314">
        <f t="shared" si="482"/>
        <v>0</v>
      </c>
      <c r="AM403" s="314">
        <f t="shared" si="483"/>
        <v>0</v>
      </c>
      <c r="AN403" s="314">
        <f t="shared" si="484"/>
        <v>0</v>
      </c>
      <c r="AO403" s="314">
        <f t="shared" si="485"/>
        <v>0</v>
      </c>
      <c r="AP403" s="314">
        <f t="shared" si="486"/>
        <v>0</v>
      </c>
    </row>
    <row r="404" spans="1:42" ht="27.6">
      <c r="A404" s="583" t="s">
        <v>45</v>
      </c>
      <c r="B404" s="324" t="s">
        <v>974</v>
      </c>
      <c r="C404" s="304"/>
      <c r="D404" s="303">
        <v>276074</v>
      </c>
      <c r="E404" s="303">
        <f t="shared" si="401"/>
        <v>276074</v>
      </c>
      <c r="F404" s="303">
        <f>SUM(F405:F410)</f>
        <v>276074</v>
      </c>
      <c r="G404" s="303">
        <f t="shared" ref="G404:G419" si="489">F404-D404</f>
        <v>0</v>
      </c>
      <c r="H404" s="303">
        <f t="shared" ref="H404:AB404" si="490">SUM(H405:H410)</f>
        <v>276074</v>
      </c>
      <c r="I404" s="303">
        <f t="shared" si="490"/>
        <v>0</v>
      </c>
      <c r="J404" s="303">
        <f t="shared" si="490"/>
        <v>0</v>
      </c>
      <c r="K404" s="303">
        <f t="shared" si="490"/>
        <v>0</v>
      </c>
      <c r="L404" s="303">
        <f t="shared" si="490"/>
        <v>0</v>
      </c>
      <c r="M404" s="303">
        <f t="shared" si="490"/>
        <v>0</v>
      </c>
      <c r="N404" s="303">
        <f t="shared" si="490"/>
        <v>0</v>
      </c>
      <c r="O404" s="303">
        <f t="shared" si="490"/>
        <v>0</v>
      </c>
      <c r="P404" s="303">
        <f t="shared" si="490"/>
        <v>0</v>
      </c>
      <c r="Q404" s="303">
        <f t="shared" si="490"/>
        <v>0</v>
      </c>
      <c r="R404" s="303">
        <f t="shared" si="490"/>
        <v>0</v>
      </c>
      <c r="S404" s="303">
        <f t="shared" si="490"/>
        <v>0</v>
      </c>
      <c r="T404" s="303">
        <f t="shared" si="490"/>
        <v>0</v>
      </c>
      <c r="U404" s="303">
        <f t="shared" si="490"/>
        <v>0</v>
      </c>
      <c r="V404" s="303">
        <f t="shared" si="490"/>
        <v>0</v>
      </c>
      <c r="W404" s="303">
        <f t="shared" si="490"/>
        <v>276074</v>
      </c>
      <c r="X404" s="303">
        <f t="shared" si="490"/>
        <v>0</v>
      </c>
      <c r="Y404" s="303">
        <f t="shared" si="490"/>
        <v>0</v>
      </c>
      <c r="Z404" s="303">
        <f t="shared" si="490"/>
        <v>276074</v>
      </c>
      <c r="AA404" s="303">
        <f t="shared" si="490"/>
        <v>0</v>
      </c>
      <c r="AB404" s="303">
        <f t="shared" si="490"/>
        <v>0</v>
      </c>
      <c r="AC404" s="304"/>
      <c r="AD404" s="304"/>
      <c r="AE404" s="303">
        <f t="shared" si="488"/>
        <v>276074</v>
      </c>
      <c r="AF404" s="317"/>
      <c r="AG404" s="314">
        <f t="shared" si="477"/>
        <v>0</v>
      </c>
      <c r="AH404" s="696">
        <f t="shared" si="478"/>
        <v>0</v>
      </c>
      <c r="AI404" s="314">
        <f t="shared" si="479"/>
        <v>0</v>
      </c>
      <c r="AJ404" s="314">
        <f t="shared" si="480"/>
        <v>0</v>
      </c>
      <c r="AK404" s="314">
        <f t="shared" si="481"/>
        <v>0</v>
      </c>
      <c r="AL404" s="314">
        <f t="shared" si="482"/>
        <v>0</v>
      </c>
      <c r="AM404" s="314">
        <f t="shared" si="483"/>
        <v>0</v>
      </c>
      <c r="AN404" s="314">
        <f t="shared" si="484"/>
        <v>0</v>
      </c>
      <c r="AO404" s="314">
        <f t="shared" si="485"/>
        <v>0</v>
      </c>
      <c r="AP404" s="314">
        <f t="shared" si="486"/>
        <v>0</v>
      </c>
    </row>
    <row r="405" spans="1:42" outlineLevel="2">
      <c r="A405" s="583" t="s">
        <v>23</v>
      </c>
      <c r="B405" s="324" t="s">
        <v>975</v>
      </c>
      <c r="C405" s="304"/>
      <c r="D405" s="304">
        <v>68391</v>
      </c>
      <c r="E405" s="304">
        <f t="shared" si="401"/>
        <v>68391</v>
      </c>
      <c r="F405" s="304">
        <f t="shared" ref="F405:F415" si="491">H405-AB405</f>
        <v>68391</v>
      </c>
      <c r="G405" s="304">
        <f t="shared" si="489"/>
        <v>0</v>
      </c>
      <c r="H405" s="303">
        <f t="shared" ref="H405:H414" si="492">I405+W405</f>
        <v>68391</v>
      </c>
      <c r="I405" s="303"/>
      <c r="J405" s="311"/>
      <c r="K405" s="311"/>
      <c r="L405" s="311"/>
      <c r="M405" s="303"/>
      <c r="N405" s="311"/>
      <c r="O405" s="311"/>
      <c r="P405" s="303"/>
      <c r="Q405" s="311"/>
      <c r="R405" s="312"/>
      <c r="S405" s="303"/>
      <c r="T405" s="303"/>
      <c r="U405" s="303"/>
      <c r="V405" s="303"/>
      <c r="W405" s="303">
        <f t="shared" ref="W405:W413" si="493">Z405+AA405</f>
        <v>68391</v>
      </c>
      <c r="X405" s="303"/>
      <c r="Y405" s="303"/>
      <c r="Z405" s="303">
        <f>61364+7027</f>
        <v>68391</v>
      </c>
      <c r="AA405" s="303"/>
      <c r="AB405" s="304"/>
      <c r="AC405" s="304"/>
      <c r="AD405" s="304"/>
      <c r="AE405" s="303">
        <f t="shared" si="488"/>
        <v>68391</v>
      </c>
      <c r="AF405" s="317"/>
      <c r="AG405" s="314">
        <f t="shared" si="477"/>
        <v>0</v>
      </c>
      <c r="AH405" s="696">
        <f t="shared" si="478"/>
        <v>0</v>
      </c>
      <c r="AI405" s="314">
        <f t="shared" si="479"/>
        <v>0</v>
      </c>
      <c r="AJ405" s="314">
        <f t="shared" si="480"/>
        <v>0</v>
      </c>
      <c r="AK405" s="314">
        <f t="shared" si="481"/>
        <v>0</v>
      </c>
      <c r="AL405" s="314">
        <f t="shared" si="482"/>
        <v>0</v>
      </c>
      <c r="AM405" s="314">
        <f t="shared" si="483"/>
        <v>0</v>
      </c>
      <c r="AN405" s="314">
        <f t="shared" si="484"/>
        <v>0</v>
      </c>
      <c r="AO405" s="314">
        <f t="shared" si="485"/>
        <v>0</v>
      </c>
      <c r="AP405" s="314">
        <f t="shared" si="486"/>
        <v>0</v>
      </c>
    </row>
    <row r="406" spans="1:42" ht="27.6" outlineLevel="2">
      <c r="A406" s="583" t="s">
        <v>23</v>
      </c>
      <c r="B406" s="324" t="s">
        <v>976</v>
      </c>
      <c r="C406" s="304"/>
      <c r="D406" s="304">
        <v>181035</v>
      </c>
      <c r="E406" s="304">
        <f t="shared" si="401"/>
        <v>181035</v>
      </c>
      <c r="F406" s="304">
        <f t="shared" si="491"/>
        <v>181035</v>
      </c>
      <c r="G406" s="304">
        <f t="shared" si="489"/>
        <v>0</v>
      </c>
      <c r="H406" s="303">
        <f t="shared" si="492"/>
        <v>181035</v>
      </c>
      <c r="I406" s="303"/>
      <c r="J406" s="311"/>
      <c r="K406" s="311"/>
      <c r="L406" s="311"/>
      <c r="M406" s="303"/>
      <c r="N406" s="311"/>
      <c r="O406" s="311"/>
      <c r="P406" s="303"/>
      <c r="Q406" s="311"/>
      <c r="R406" s="312"/>
      <c r="S406" s="303"/>
      <c r="T406" s="303"/>
      <c r="U406" s="303"/>
      <c r="V406" s="303"/>
      <c r="W406" s="303">
        <f t="shared" si="493"/>
        <v>181035</v>
      </c>
      <c r="X406" s="303"/>
      <c r="Y406" s="303"/>
      <c r="Z406" s="303">
        <f>177831+3204</f>
        <v>181035</v>
      </c>
      <c r="AA406" s="303"/>
      <c r="AB406" s="304"/>
      <c r="AC406" s="304"/>
      <c r="AD406" s="304"/>
      <c r="AE406" s="303">
        <f t="shared" si="488"/>
        <v>181035</v>
      </c>
      <c r="AF406" s="317"/>
      <c r="AG406" s="314">
        <f t="shared" si="477"/>
        <v>0</v>
      </c>
      <c r="AH406" s="696">
        <f t="shared" si="478"/>
        <v>0</v>
      </c>
      <c r="AI406" s="314">
        <f t="shared" si="479"/>
        <v>0</v>
      </c>
      <c r="AJ406" s="314">
        <f t="shared" si="480"/>
        <v>0</v>
      </c>
      <c r="AK406" s="314">
        <f t="shared" si="481"/>
        <v>0</v>
      </c>
      <c r="AL406" s="314">
        <f t="shared" si="482"/>
        <v>0</v>
      </c>
      <c r="AM406" s="314">
        <f t="shared" si="483"/>
        <v>0</v>
      </c>
      <c r="AN406" s="314">
        <f t="shared" si="484"/>
        <v>0</v>
      </c>
      <c r="AO406" s="314">
        <f t="shared" si="485"/>
        <v>0</v>
      </c>
      <c r="AP406" s="314">
        <f t="shared" si="486"/>
        <v>0</v>
      </c>
    </row>
    <row r="407" spans="1:42" outlineLevel="2">
      <c r="A407" s="583" t="s">
        <v>23</v>
      </c>
      <c r="B407" s="324" t="s">
        <v>977</v>
      </c>
      <c r="C407" s="304"/>
      <c r="D407" s="304">
        <v>16896</v>
      </c>
      <c r="E407" s="304">
        <f t="shared" si="401"/>
        <v>16896</v>
      </c>
      <c r="F407" s="304">
        <f t="shared" si="491"/>
        <v>16896</v>
      </c>
      <c r="G407" s="304">
        <f t="shared" si="489"/>
        <v>0</v>
      </c>
      <c r="H407" s="303">
        <f t="shared" si="492"/>
        <v>16896</v>
      </c>
      <c r="I407" s="303"/>
      <c r="J407" s="311"/>
      <c r="K407" s="311"/>
      <c r="L407" s="311"/>
      <c r="M407" s="303"/>
      <c r="N407" s="311"/>
      <c r="O407" s="311"/>
      <c r="P407" s="303"/>
      <c r="Q407" s="311"/>
      <c r="R407" s="312"/>
      <c r="S407" s="303"/>
      <c r="T407" s="303"/>
      <c r="U407" s="303"/>
      <c r="V407" s="303"/>
      <c r="W407" s="303">
        <f t="shared" si="493"/>
        <v>16896</v>
      </c>
      <c r="X407" s="303"/>
      <c r="Y407" s="303"/>
      <c r="Z407" s="303">
        <f>11576+5320</f>
        <v>16896</v>
      </c>
      <c r="AA407" s="303"/>
      <c r="AB407" s="304"/>
      <c r="AC407" s="304"/>
      <c r="AD407" s="304"/>
      <c r="AE407" s="303">
        <f t="shared" si="488"/>
        <v>16896</v>
      </c>
      <c r="AF407" s="317"/>
      <c r="AG407" s="314">
        <f t="shared" si="477"/>
        <v>0</v>
      </c>
      <c r="AH407" s="696">
        <f t="shared" si="478"/>
        <v>0</v>
      </c>
      <c r="AI407" s="314">
        <f t="shared" si="479"/>
        <v>0</v>
      </c>
      <c r="AJ407" s="314">
        <f t="shared" si="480"/>
        <v>0</v>
      </c>
      <c r="AK407" s="314">
        <f t="shared" si="481"/>
        <v>0</v>
      </c>
      <c r="AL407" s="314">
        <f t="shared" si="482"/>
        <v>0</v>
      </c>
      <c r="AM407" s="314">
        <f t="shared" si="483"/>
        <v>0</v>
      </c>
      <c r="AN407" s="314">
        <f t="shared" si="484"/>
        <v>0</v>
      </c>
      <c r="AO407" s="314">
        <f t="shared" si="485"/>
        <v>0</v>
      </c>
      <c r="AP407" s="314">
        <f t="shared" si="486"/>
        <v>0</v>
      </c>
    </row>
    <row r="408" spans="1:42" outlineLevel="2">
      <c r="A408" s="583" t="s">
        <v>23</v>
      </c>
      <c r="B408" s="324" t="s">
        <v>978</v>
      </c>
      <c r="C408" s="304"/>
      <c r="D408" s="304">
        <v>16</v>
      </c>
      <c r="E408" s="304">
        <f t="shared" si="401"/>
        <v>16</v>
      </c>
      <c r="F408" s="304">
        <f t="shared" si="491"/>
        <v>16</v>
      </c>
      <c r="G408" s="304">
        <f t="shared" si="489"/>
        <v>0</v>
      </c>
      <c r="H408" s="303">
        <f t="shared" si="492"/>
        <v>16</v>
      </c>
      <c r="I408" s="303"/>
      <c r="J408" s="311"/>
      <c r="K408" s="311"/>
      <c r="L408" s="311"/>
      <c r="M408" s="303"/>
      <c r="N408" s="311"/>
      <c r="O408" s="311"/>
      <c r="P408" s="303"/>
      <c r="Q408" s="311"/>
      <c r="R408" s="312"/>
      <c r="S408" s="303"/>
      <c r="T408" s="303"/>
      <c r="U408" s="303"/>
      <c r="V408" s="303"/>
      <c r="W408" s="303">
        <f t="shared" si="493"/>
        <v>16</v>
      </c>
      <c r="X408" s="303"/>
      <c r="Y408" s="303"/>
      <c r="Z408" s="303">
        <f>11+5</f>
        <v>16</v>
      </c>
      <c r="AA408" s="303"/>
      <c r="AB408" s="304"/>
      <c r="AC408" s="304"/>
      <c r="AD408" s="304"/>
      <c r="AE408" s="303">
        <f t="shared" si="488"/>
        <v>16</v>
      </c>
      <c r="AF408" s="317"/>
      <c r="AG408" s="314">
        <f t="shared" si="477"/>
        <v>0</v>
      </c>
      <c r="AH408" s="696">
        <f t="shared" si="478"/>
        <v>0</v>
      </c>
      <c r="AI408" s="314">
        <f t="shared" si="479"/>
        <v>0</v>
      </c>
      <c r="AJ408" s="314">
        <f t="shared" si="480"/>
        <v>0</v>
      </c>
      <c r="AK408" s="314">
        <f t="shared" si="481"/>
        <v>0</v>
      </c>
      <c r="AL408" s="314">
        <f t="shared" si="482"/>
        <v>0</v>
      </c>
      <c r="AM408" s="314">
        <f t="shared" si="483"/>
        <v>0</v>
      </c>
      <c r="AN408" s="314">
        <f t="shared" si="484"/>
        <v>0</v>
      </c>
      <c r="AO408" s="314">
        <f t="shared" si="485"/>
        <v>0</v>
      </c>
      <c r="AP408" s="314">
        <f t="shared" si="486"/>
        <v>0</v>
      </c>
    </row>
    <row r="409" spans="1:42" outlineLevel="2">
      <c r="A409" s="583" t="s">
        <v>23</v>
      </c>
      <c r="B409" s="324" t="s">
        <v>979</v>
      </c>
      <c r="C409" s="304"/>
      <c r="D409" s="304">
        <v>7322</v>
      </c>
      <c r="E409" s="304">
        <f t="shared" si="401"/>
        <v>7322</v>
      </c>
      <c r="F409" s="304">
        <f t="shared" si="491"/>
        <v>7322</v>
      </c>
      <c r="G409" s="304">
        <f t="shared" si="489"/>
        <v>0</v>
      </c>
      <c r="H409" s="303">
        <f t="shared" si="492"/>
        <v>7322</v>
      </c>
      <c r="I409" s="303"/>
      <c r="J409" s="311"/>
      <c r="K409" s="311"/>
      <c r="L409" s="311"/>
      <c r="M409" s="303"/>
      <c r="N409" s="311"/>
      <c r="O409" s="311"/>
      <c r="P409" s="303"/>
      <c r="Q409" s="311"/>
      <c r="R409" s="312"/>
      <c r="S409" s="303"/>
      <c r="T409" s="303"/>
      <c r="U409" s="303"/>
      <c r="V409" s="303"/>
      <c r="W409" s="303">
        <f t="shared" si="493"/>
        <v>7322</v>
      </c>
      <c r="X409" s="303"/>
      <c r="Y409" s="303"/>
      <c r="Z409" s="303">
        <f>3237+4085</f>
        <v>7322</v>
      </c>
      <c r="AA409" s="303"/>
      <c r="AB409" s="304"/>
      <c r="AC409" s="304"/>
      <c r="AD409" s="304"/>
      <c r="AE409" s="303">
        <f t="shared" si="488"/>
        <v>7322</v>
      </c>
      <c r="AF409" s="317"/>
      <c r="AG409" s="314">
        <f t="shared" si="477"/>
        <v>0</v>
      </c>
      <c r="AH409" s="696">
        <f t="shared" si="478"/>
        <v>0</v>
      </c>
      <c r="AI409" s="314">
        <f t="shared" si="479"/>
        <v>0</v>
      </c>
      <c r="AJ409" s="314">
        <f t="shared" si="480"/>
        <v>0</v>
      </c>
      <c r="AK409" s="314">
        <f t="shared" si="481"/>
        <v>0</v>
      </c>
      <c r="AL409" s="314">
        <f t="shared" si="482"/>
        <v>0</v>
      </c>
      <c r="AM409" s="314">
        <f t="shared" si="483"/>
        <v>0</v>
      </c>
      <c r="AN409" s="314">
        <f t="shared" si="484"/>
        <v>0</v>
      </c>
      <c r="AO409" s="314">
        <f t="shared" si="485"/>
        <v>0</v>
      </c>
      <c r="AP409" s="314">
        <f t="shared" si="486"/>
        <v>0</v>
      </c>
    </row>
    <row r="410" spans="1:42" ht="27.6" outlineLevel="2">
      <c r="A410" s="583" t="s">
        <v>23</v>
      </c>
      <c r="B410" s="324" t="s">
        <v>980</v>
      </c>
      <c r="C410" s="304"/>
      <c r="D410" s="304">
        <v>2414</v>
      </c>
      <c r="E410" s="304">
        <f t="shared" ref="E410:E475" si="494">F410+AC410</f>
        <v>2414</v>
      </c>
      <c r="F410" s="304">
        <f t="shared" si="491"/>
        <v>2414</v>
      </c>
      <c r="G410" s="304">
        <f t="shared" si="489"/>
        <v>0</v>
      </c>
      <c r="H410" s="303">
        <f t="shared" si="492"/>
        <v>2414</v>
      </c>
      <c r="I410" s="303"/>
      <c r="J410" s="311"/>
      <c r="K410" s="311"/>
      <c r="L410" s="311"/>
      <c r="M410" s="303"/>
      <c r="N410" s="311"/>
      <c r="O410" s="311"/>
      <c r="P410" s="303"/>
      <c r="Q410" s="311"/>
      <c r="R410" s="312"/>
      <c r="S410" s="303"/>
      <c r="T410" s="303"/>
      <c r="U410" s="303"/>
      <c r="V410" s="303"/>
      <c r="W410" s="303">
        <f t="shared" si="493"/>
        <v>2414</v>
      </c>
      <c r="X410" s="303"/>
      <c r="Y410" s="303"/>
      <c r="Z410" s="303">
        <f>77+2337</f>
        <v>2414</v>
      </c>
      <c r="AA410" s="303"/>
      <c r="AB410" s="304"/>
      <c r="AC410" s="304"/>
      <c r="AD410" s="304"/>
      <c r="AE410" s="303">
        <f t="shared" si="488"/>
        <v>2414</v>
      </c>
      <c r="AF410" s="317"/>
      <c r="AG410" s="314">
        <f t="shared" si="477"/>
        <v>0</v>
      </c>
      <c r="AH410" s="696">
        <f t="shared" si="478"/>
        <v>0</v>
      </c>
      <c r="AI410" s="314">
        <f t="shared" si="479"/>
        <v>0</v>
      </c>
      <c r="AJ410" s="314">
        <f t="shared" si="480"/>
        <v>0</v>
      </c>
      <c r="AK410" s="314">
        <f t="shared" si="481"/>
        <v>0</v>
      </c>
      <c r="AL410" s="314">
        <f t="shared" si="482"/>
        <v>0</v>
      </c>
      <c r="AM410" s="314">
        <f t="shared" si="483"/>
        <v>0</v>
      </c>
      <c r="AN410" s="314">
        <f t="shared" si="484"/>
        <v>0</v>
      </c>
      <c r="AO410" s="314">
        <f t="shared" si="485"/>
        <v>0</v>
      </c>
      <c r="AP410" s="314">
        <f t="shared" si="486"/>
        <v>0</v>
      </c>
    </row>
    <row r="411" spans="1:42" ht="27.6">
      <c r="A411" s="583" t="s">
        <v>47</v>
      </c>
      <c r="B411" s="324" t="s">
        <v>981</v>
      </c>
      <c r="C411" s="304"/>
      <c r="D411" s="304">
        <v>6600</v>
      </c>
      <c r="E411" s="304">
        <f t="shared" si="494"/>
        <v>6600</v>
      </c>
      <c r="F411" s="304">
        <f t="shared" si="491"/>
        <v>6600</v>
      </c>
      <c r="G411" s="304">
        <f t="shared" si="489"/>
        <v>0</v>
      </c>
      <c r="H411" s="303">
        <f t="shared" si="492"/>
        <v>6600</v>
      </c>
      <c r="I411" s="303"/>
      <c r="J411" s="311"/>
      <c r="K411" s="311"/>
      <c r="L411" s="311"/>
      <c r="M411" s="303"/>
      <c r="N411" s="311"/>
      <c r="O411" s="311"/>
      <c r="P411" s="303"/>
      <c r="Q411" s="311"/>
      <c r="R411" s="312"/>
      <c r="S411" s="303"/>
      <c r="T411" s="303"/>
      <c r="U411" s="303"/>
      <c r="V411" s="303"/>
      <c r="W411" s="303">
        <f t="shared" si="493"/>
        <v>6600</v>
      </c>
      <c r="X411" s="303"/>
      <c r="Y411" s="303"/>
      <c r="Z411" s="303">
        <v>6600</v>
      </c>
      <c r="AA411" s="303"/>
      <c r="AB411" s="304"/>
      <c r="AC411" s="304"/>
      <c r="AD411" s="304"/>
      <c r="AE411" s="303">
        <f t="shared" si="488"/>
        <v>6600</v>
      </c>
      <c r="AF411" s="317" t="s">
        <v>982</v>
      </c>
      <c r="AG411" s="314">
        <f t="shared" si="477"/>
        <v>0</v>
      </c>
      <c r="AH411" s="696">
        <f t="shared" si="478"/>
        <v>0</v>
      </c>
      <c r="AI411" s="314">
        <f t="shared" si="479"/>
        <v>0</v>
      </c>
      <c r="AJ411" s="314">
        <f t="shared" si="480"/>
        <v>0</v>
      </c>
      <c r="AK411" s="314">
        <f t="shared" si="481"/>
        <v>0</v>
      </c>
      <c r="AL411" s="314">
        <f t="shared" si="482"/>
        <v>0</v>
      </c>
      <c r="AM411" s="314">
        <f t="shared" si="483"/>
        <v>0</v>
      </c>
      <c r="AN411" s="314">
        <f t="shared" si="484"/>
        <v>0</v>
      </c>
      <c r="AO411" s="314">
        <f t="shared" si="485"/>
        <v>0</v>
      </c>
      <c r="AP411" s="314">
        <f t="shared" si="486"/>
        <v>0</v>
      </c>
    </row>
    <row r="412" spans="1:42" ht="27.6" hidden="1" outlineLevel="3">
      <c r="A412" s="583" t="s">
        <v>49</v>
      </c>
      <c r="B412" s="324" t="s">
        <v>983</v>
      </c>
      <c r="C412" s="304"/>
      <c r="D412" s="304">
        <v>2500</v>
      </c>
      <c r="E412" s="304">
        <f t="shared" si="494"/>
        <v>0</v>
      </c>
      <c r="F412" s="304">
        <f t="shared" si="491"/>
        <v>0</v>
      </c>
      <c r="G412" s="304">
        <f t="shared" si="489"/>
        <v>-2500</v>
      </c>
      <c r="H412" s="303">
        <f t="shared" si="492"/>
        <v>0</v>
      </c>
      <c r="I412" s="303"/>
      <c r="J412" s="311"/>
      <c r="K412" s="311"/>
      <c r="L412" s="311"/>
      <c r="M412" s="303"/>
      <c r="N412" s="311"/>
      <c r="O412" s="311"/>
      <c r="P412" s="303"/>
      <c r="Q412" s="311"/>
      <c r="R412" s="312"/>
      <c r="S412" s="303"/>
      <c r="T412" s="303"/>
      <c r="U412" s="303"/>
      <c r="V412" s="303"/>
      <c r="W412" s="303">
        <f t="shared" si="493"/>
        <v>0</v>
      </c>
      <c r="X412" s="303"/>
      <c r="Y412" s="303"/>
      <c r="Z412" s="303"/>
      <c r="AA412" s="303"/>
      <c r="AB412" s="304"/>
      <c r="AC412" s="304"/>
      <c r="AD412" s="304"/>
      <c r="AE412" s="303">
        <f t="shared" si="488"/>
        <v>0</v>
      </c>
      <c r="AF412" s="317" t="s">
        <v>2306</v>
      </c>
      <c r="AG412" s="314">
        <f t="shared" si="477"/>
        <v>0</v>
      </c>
      <c r="AH412" s="696">
        <f t="shared" si="478"/>
        <v>0</v>
      </c>
      <c r="AI412" s="314">
        <f t="shared" si="479"/>
        <v>0</v>
      </c>
      <c r="AJ412" s="314">
        <f t="shared" si="480"/>
        <v>0</v>
      </c>
      <c r="AK412" s="314">
        <f t="shared" si="481"/>
        <v>0</v>
      </c>
      <c r="AL412" s="314">
        <f t="shared" si="482"/>
        <v>0</v>
      </c>
      <c r="AM412" s="314">
        <f t="shared" si="483"/>
        <v>0</v>
      </c>
      <c r="AN412" s="314">
        <f t="shared" si="484"/>
        <v>0</v>
      </c>
      <c r="AO412" s="314">
        <f t="shared" si="485"/>
        <v>0</v>
      </c>
      <c r="AP412" s="314">
        <f t="shared" si="486"/>
        <v>0</v>
      </c>
    </row>
    <row r="413" spans="1:42" ht="41.4" collapsed="1">
      <c r="A413" s="583" t="s">
        <v>49</v>
      </c>
      <c r="B413" s="324" t="s">
        <v>1684</v>
      </c>
      <c r="C413" s="304"/>
      <c r="D413" s="304">
        <v>844</v>
      </c>
      <c r="E413" s="304">
        <f t="shared" si="494"/>
        <v>844</v>
      </c>
      <c r="F413" s="304">
        <f t="shared" si="491"/>
        <v>844</v>
      </c>
      <c r="G413" s="304">
        <f t="shared" si="489"/>
        <v>0</v>
      </c>
      <c r="H413" s="303">
        <f t="shared" si="492"/>
        <v>844</v>
      </c>
      <c r="I413" s="303"/>
      <c r="J413" s="311"/>
      <c r="K413" s="311"/>
      <c r="L413" s="311"/>
      <c r="M413" s="303"/>
      <c r="N413" s="311"/>
      <c r="O413" s="311"/>
      <c r="P413" s="303"/>
      <c r="Q413" s="311"/>
      <c r="R413" s="312"/>
      <c r="S413" s="303"/>
      <c r="T413" s="303"/>
      <c r="U413" s="303"/>
      <c r="V413" s="303"/>
      <c r="W413" s="303">
        <f t="shared" si="493"/>
        <v>844</v>
      </c>
      <c r="X413" s="303"/>
      <c r="Y413" s="303"/>
      <c r="Z413" s="303">
        <v>844</v>
      </c>
      <c r="AA413" s="303"/>
      <c r="AB413" s="304"/>
      <c r="AC413" s="304"/>
      <c r="AD413" s="304"/>
      <c r="AE413" s="303">
        <f t="shared" si="488"/>
        <v>844</v>
      </c>
      <c r="AF413" s="317"/>
      <c r="AG413" s="314">
        <f t="shared" si="477"/>
        <v>0</v>
      </c>
      <c r="AH413" s="696">
        <f t="shared" si="478"/>
        <v>0</v>
      </c>
      <c r="AI413" s="314">
        <f t="shared" si="479"/>
        <v>0</v>
      </c>
      <c r="AJ413" s="314">
        <f t="shared" si="480"/>
        <v>0</v>
      </c>
      <c r="AK413" s="314">
        <f t="shared" si="481"/>
        <v>0</v>
      </c>
      <c r="AL413" s="314">
        <f t="shared" si="482"/>
        <v>0</v>
      </c>
      <c r="AM413" s="314">
        <f t="shared" si="483"/>
        <v>0</v>
      </c>
      <c r="AN413" s="314">
        <f t="shared" si="484"/>
        <v>0</v>
      </c>
      <c r="AO413" s="314">
        <f t="shared" si="485"/>
        <v>0</v>
      </c>
      <c r="AP413" s="314">
        <f t="shared" si="486"/>
        <v>0</v>
      </c>
    </row>
    <row r="414" spans="1:42" s="333" customFormat="1">
      <c r="A414" s="592" t="s">
        <v>1369</v>
      </c>
      <c r="B414" s="320" t="s">
        <v>1121</v>
      </c>
      <c r="C414" s="298" t="s">
        <v>720</v>
      </c>
      <c r="D414" s="297">
        <v>2500</v>
      </c>
      <c r="E414" s="297">
        <f t="shared" si="494"/>
        <v>500</v>
      </c>
      <c r="F414" s="297">
        <f t="shared" si="491"/>
        <v>500</v>
      </c>
      <c r="G414" s="297">
        <f t="shared" si="489"/>
        <v>-2000</v>
      </c>
      <c r="H414" s="299">
        <f t="shared" si="492"/>
        <v>500</v>
      </c>
      <c r="I414" s="299">
        <f>I415</f>
        <v>0</v>
      </c>
      <c r="J414" s="299">
        <f t="shared" ref="J414:AA414" si="495">J415</f>
        <v>0</v>
      </c>
      <c r="K414" s="299">
        <f t="shared" si="495"/>
        <v>0</v>
      </c>
      <c r="L414" s="299">
        <f t="shared" si="495"/>
        <v>0</v>
      </c>
      <c r="M414" s="299">
        <f t="shared" si="495"/>
        <v>0</v>
      </c>
      <c r="N414" s="299">
        <f t="shared" si="495"/>
        <v>0</v>
      </c>
      <c r="O414" s="299">
        <f t="shared" si="495"/>
        <v>0</v>
      </c>
      <c r="P414" s="299">
        <f t="shared" si="495"/>
        <v>0</v>
      </c>
      <c r="Q414" s="299">
        <f t="shared" si="495"/>
        <v>0</v>
      </c>
      <c r="R414" s="299">
        <f t="shared" si="495"/>
        <v>0</v>
      </c>
      <c r="S414" s="299">
        <f t="shared" si="495"/>
        <v>0</v>
      </c>
      <c r="T414" s="299">
        <f t="shared" si="495"/>
        <v>0</v>
      </c>
      <c r="U414" s="299">
        <f t="shared" si="495"/>
        <v>0</v>
      </c>
      <c r="V414" s="299">
        <f t="shared" si="495"/>
        <v>0</v>
      </c>
      <c r="W414" s="299">
        <f t="shared" si="495"/>
        <v>500</v>
      </c>
      <c r="X414" s="299">
        <f t="shared" si="495"/>
        <v>180</v>
      </c>
      <c r="Y414" s="299">
        <f t="shared" si="495"/>
        <v>0</v>
      </c>
      <c r="Z414" s="299">
        <f t="shared" si="495"/>
        <v>500</v>
      </c>
      <c r="AA414" s="299">
        <f t="shared" si="495"/>
        <v>0</v>
      </c>
      <c r="AB414" s="299">
        <f>AB415</f>
        <v>0</v>
      </c>
      <c r="AC414" s="299">
        <f t="shared" ref="AC414:AE414" si="496">AC415</f>
        <v>0</v>
      </c>
      <c r="AD414" s="299">
        <f t="shared" si="496"/>
        <v>50</v>
      </c>
      <c r="AE414" s="299">
        <f t="shared" si="496"/>
        <v>450</v>
      </c>
      <c r="AF414" s="321"/>
      <c r="AG414" s="314">
        <f t="shared" si="477"/>
        <v>0</v>
      </c>
      <c r="AH414" s="696">
        <f t="shared" si="478"/>
        <v>0</v>
      </c>
      <c r="AI414" s="314">
        <f t="shared" si="479"/>
        <v>0</v>
      </c>
      <c r="AJ414" s="314">
        <f t="shared" si="480"/>
        <v>0</v>
      </c>
      <c r="AK414" s="314">
        <f t="shared" si="481"/>
        <v>0</v>
      </c>
      <c r="AL414" s="314">
        <f t="shared" si="482"/>
        <v>0</v>
      </c>
      <c r="AM414" s="314">
        <f t="shared" si="483"/>
        <v>0</v>
      </c>
      <c r="AN414" s="314">
        <f t="shared" si="484"/>
        <v>0</v>
      </c>
      <c r="AO414" s="314">
        <f t="shared" si="485"/>
        <v>0</v>
      </c>
      <c r="AP414" s="314">
        <f t="shared" si="486"/>
        <v>0</v>
      </c>
    </row>
    <row r="415" spans="1:42" ht="193.2" outlineLevel="1">
      <c r="A415" s="593" t="s">
        <v>23</v>
      </c>
      <c r="B415" s="866" t="s">
        <v>1864</v>
      </c>
      <c r="C415" s="334"/>
      <c r="D415" s="304">
        <v>2500</v>
      </c>
      <c r="E415" s="304">
        <f t="shared" si="494"/>
        <v>500</v>
      </c>
      <c r="F415" s="304">
        <f t="shared" si="491"/>
        <v>500</v>
      </c>
      <c r="G415" s="304">
        <f t="shared" si="489"/>
        <v>-2000</v>
      </c>
      <c r="H415" s="303">
        <f>I415+W415</f>
        <v>500</v>
      </c>
      <c r="I415" s="303">
        <f>M415+P415</f>
        <v>0</v>
      </c>
      <c r="J415" s="311"/>
      <c r="K415" s="311"/>
      <c r="L415" s="311"/>
      <c r="M415" s="303"/>
      <c r="N415" s="311"/>
      <c r="O415" s="311"/>
      <c r="P415" s="303">
        <f>S415+T415</f>
        <v>0</v>
      </c>
      <c r="Q415" s="311"/>
      <c r="R415" s="312"/>
      <c r="S415" s="303"/>
      <c r="T415" s="303">
        <f>U415+V415</f>
        <v>0</v>
      </c>
      <c r="U415" s="303"/>
      <c r="V415" s="303"/>
      <c r="W415" s="303">
        <f>Z415+AA415</f>
        <v>500</v>
      </c>
      <c r="X415" s="303">
        <v>180</v>
      </c>
      <c r="Y415" s="303"/>
      <c r="Z415" s="303">
        <v>500</v>
      </c>
      <c r="AA415" s="303"/>
      <c r="AB415" s="304"/>
      <c r="AC415" s="304"/>
      <c r="AD415" s="304">
        <v>50</v>
      </c>
      <c r="AE415" s="303">
        <f>E415-AD415</f>
        <v>450</v>
      </c>
      <c r="AF415" s="1263" t="s">
        <v>1850</v>
      </c>
      <c r="AG415" s="314">
        <f t="shared" si="477"/>
        <v>0</v>
      </c>
      <c r="AH415" s="696">
        <f t="shared" si="478"/>
        <v>0</v>
      </c>
      <c r="AI415" s="314">
        <f t="shared" si="479"/>
        <v>0</v>
      </c>
      <c r="AJ415" s="314">
        <f t="shared" si="480"/>
        <v>0</v>
      </c>
      <c r="AK415" s="314">
        <f t="shared" si="481"/>
        <v>0</v>
      </c>
      <c r="AL415" s="314">
        <f t="shared" si="482"/>
        <v>0</v>
      </c>
      <c r="AM415" s="314">
        <f t="shared" si="483"/>
        <v>0</v>
      </c>
      <c r="AN415" s="314">
        <f t="shared" si="484"/>
        <v>0</v>
      </c>
      <c r="AO415" s="314">
        <f t="shared" si="485"/>
        <v>0</v>
      </c>
      <c r="AP415" s="314">
        <f t="shared" si="486"/>
        <v>0</v>
      </c>
    </row>
    <row r="416" spans="1:42" s="314" customFormat="1">
      <c r="A416" s="592" t="s">
        <v>79</v>
      </c>
      <c r="B416" s="320" t="s">
        <v>984</v>
      </c>
      <c r="C416" s="297"/>
      <c r="D416" s="299">
        <f>D417+D430</f>
        <v>10002</v>
      </c>
      <c r="E416" s="299">
        <f>E417+E430</f>
        <v>11613</v>
      </c>
      <c r="F416" s="299">
        <f>F417+F430</f>
        <v>10750</v>
      </c>
      <c r="G416" s="299">
        <f t="shared" si="489"/>
        <v>748</v>
      </c>
      <c r="H416" s="299">
        <f>H417+H430</f>
        <v>10782</v>
      </c>
      <c r="I416" s="299">
        <f t="shared" ref="I416:P416" si="497">I417+I430</f>
        <v>8600</v>
      </c>
      <c r="J416" s="318">
        <f t="shared" si="497"/>
        <v>42</v>
      </c>
      <c r="K416" s="318">
        <f t="shared" si="497"/>
        <v>38</v>
      </c>
      <c r="L416" s="318">
        <f t="shared" si="497"/>
        <v>4</v>
      </c>
      <c r="M416" s="299">
        <f t="shared" si="497"/>
        <v>4144</v>
      </c>
      <c r="N416" s="318">
        <f t="shared" si="497"/>
        <v>3893</v>
      </c>
      <c r="O416" s="318">
        <f t="shared" si="497"/>
        <v>251</v>
      </c>
      <c r="P416" s="299">
        <f t="shared" si="497"/>
        <v>4456</v>
      </c>
      <c r="Q416" s="318"/>
      <c r="R416" s="318"/>
      <c r="S416" s="299">
        <f>S417+S430</f>
        <v>1930</v>
      </c>
      <c r="T416" s="299">
        <f>T417+T430</f>
        <v>2526</v>
      </c>
      <c r="U416" s="299">
        <f>U417+U430</f>
        <v>1910</v>
      </c>
      <c r="V416" s="299">
        <f>V417+V430</f>
        <v>616</v>
      </c>
      <c r="W416" s="299">
        <f>W417+W430</f>
        <v>2182</v>
      </c>
      <c r="X416" s="299"/>
      <c r="Y416" s="299"/>
      <c r="Z416" s="299">
        <f t="shared" ref="Z416:AE416" si="498">Z417+Z430</f>
        <v>2077</v>
      </c>
      <c r="AA416" s="299">
        <f t="shared" si="498"/>
        <v>105</v>
      </c>
      <c r="AB416" s="299">
        <f t="shared" si="498"/>
        <v>32</v>
      </c>
      <c r="AC416" s="299">
        <f t="shared" si="498"/>
        <v>863</v>
      </c>
      <c r="AD416" s="299">
        <f t="shared" si="498"/>
        <v>642</v>
      </c>
      <c r="AE416" s="299">
        <f t="shared" si="498"/>
        <v>10971</v>
      </c>
      <c r="AF416" s="321"/>
      <c r="AG416" s="314">
        <f t="shared" si="477"/>
        <v>0</v>
      </c>
      <c r="AH416" s="696">
        <f t="shared" si="478"/>
        <v>0</v>
      </c>
      <c r="AI416" s="314">
        <f t="shared" si="479"/>
        <v>0</v>
      </c>
      <c r="AJ416" s="314">
        <f t="shared" si="480"/>
        <v>0</v>
      </c>
      <c r="AK416" s="314">
        <f t="shared" si="481"/>
        <v>0</v>
      </c>
      <c r="AL416" s="314">
        <f t="shared" si="482"/>
        <v>0</v>
      </c>
      <c r="AM416" s="314">
        <f t="shared" si="483"/>
        <v>0</v>
      </c>
      <c r="AN416" s="314">
        <f t="shared" si="484"/>
        <v>0</v>
      </c>
      <c r="AO416" s="314">
        <f t="shared" si="485"/>
        <v>0</v>
      </c>
      <c r="AP416" s="314">
        <f t="shared" si="486"/>
        <v>0</v>
      </c>
    </row>
    <row r="417" spans="1:42" s="314" customFormat="1">
      <c r="A417" s="592" t="s">
        <v>409</v>
      </c>
      <c r="B417" s="357" t="s">
        <v>826</v>
      </c>
      <c r="C417" s="298" t="s">
        <v>756</v>
      </c>
      <c r="D417" s="299">
        <f t="shared" ref="D417" si="499">D418+D420+D419</f>
        <v>5976</v>
      </c>
      <c r="E417" s="299">
        <f>E418+E420+E419</f>
        <v>7232</v>
      </c>
      <c r="F417" s="299">
        <f>F418+F420+F419</f>
        <v>6663</v>
      </c>
      <c r="G417" s="299">
        <f t="shared" si="489"/>
        <v>687</v>
      </c>
      <c r="H417" s="299">
        <f t="shared" ref="H417:Z417" si="500">H418+H420+H419</f>
        <v>6663</v>
      </c>
      <c r="I417" s="299">
        <f t="shared" si="500"/>
        <v>6663</v>
      </c>
      <c r="J417" s="299">
        <f t="shared" si="500"/>
        <v>25</v>
      </c>
      <c r="K417" s="299">
        <f t="shared" si="500"/>
        <v>22</v>
      </c>
      <c r="L417" s="299">
        <f t="shared" si="500"/>
        <v>3</v>
      </c>
      <c r="M417" s="299">
        <f t="shared" si="500"/>
        <v>2734</v>
      </c>
      <c r="N417" s="299">
        <f t="shared" si="500"/>
        <v>2538</v>
      </c>
      <c r="O417" s="299">
        <f t="shared" si="500"/>
        <v>196</v>
      </c>
      <c r="P417" s="299">
        <f t="shared" si="500"/>
        <v>3929</v>
      </c>
      <c r="Q417" s="299"/>
      <c r="R417" s="299"/>
      <c r="S417" s="299">
        <f t="shared" si="500"/>
        <v>1403</v>
      </c>
      <c r="T417" s="299">
        <f t="shared" si="500"/>
        <v>2526</v>
      </c>
      <c r="U417" s="299">
        <f t="shared" si="500"/>
        <v>1910</v>
      </c>
      <c r="V417" s="299">
        <f t="shared" si="500"/>
        <v>616</v>
      </c>
      <c r="W417" s="299">
        <f>W418+W420+W419</f>
        <v>0</v>
      </c>
      <c r="X417" s="299"/>
      <c r="Y417" s="299"/>
      <c r="Z417" s="299">
        <f t="shared" si="500"/>
        <v>0</v>
      </c>
      <c r="AA417" s="299">
        <f>AA418+AA420+AA419</f>
        <v>0</v>
      </c>
      <c r="AB417" s="299">
        <f>AB418+AB420+AB419</f>
        <v>0</v>
      </c>
      <c r="AC417" s="299">
        <f t="shared" ref="AC417:AE417" si="501">AC418+AC420+AC419</f>
        <v>569</v>
      </c>
      <c r="AD417" s="299">
        <f t="shared" si="501"/>
        <v>374</v>
      </c>
      <c r="AE417" s="299">
        <f t="shared" si="501"/>
        <v>6858</v>
      </c>
      <c r="AF417" s="321"/>
      <c r="AG417" s="314">
        <f t="shared" si="477"/>
        <v>0</v>
      </c>
      <c r="AH417" s="696">
        <f t="shared" si="478"/>
        <v>0</v>
      </c>
      <c r="AI417" s="314">
        <f t="shared" si="479"/>
        <v>0</v>
      </c>
      <c r="AJ417" s="314">
        <f t="shared" si="480"/>
        <v>0</v>
      </c>
      <c r="AK417" s="314">
        <f t="shared" si="481"/>
        <v>0</v>
      </c>
      <c r="AL417" s="314">
        <f t="shared" si="482"/>
        <v>0</v>
      </c>
      <c r="AM417" s="314">
        <f t="shared" si="483"/>
        <v>0</v>
      </c>
      <c r="AN417" s="314">
        <f t="shared" si="484"/>
        <v>0</v>
      </c>
      <c r="AO417" s="314">
        <f t="shared" si="485"/>
        <v>0</v>
      </c>
      <c r="AP417" s="314">
        <f t="shared" si="486"/>
        <v>0</v>
      </c>
    </row>
    <row r="418" spans="1:42">
      <c r="A418" s="583" t="s">
        <v>45</v>
      </c>
      <c r="B418" s="324" t="s">
        <v>862</v>
      </c>
      <c r="C418" s="304"/>
      <c r="D418" s="304">
        <v>3926</v>
      </c>
      <c r="E418" s="304">
        <f t="shared" si="494"/>
        <v>4706</v>
      </c>
      <c r="F418" s="304">
        <f>H418-AB418</f>
        <v>4137</v>
      </c>
      <c r="G418" s="304">
        <f t="shared" si="489"/>
        <v>211</v>
      </c>
      <c r="H418" s="303">
        <f t="shared" ref="H418:H419" si="502">I418+W418</f>
        <v>4137</v>
      </c>
      <c r="I418" s="303">
        <f>M418+P418</f>
        <v>4137</v>
      </c>
      <c r="J418" s="311">
        <v>25</v>
      </c>
      <c r="K418" s="311">
        <v>22</v>
      </c>
      <c r="L418" s="311">
        <f>J418-K418</f>
        <v>3</v>
      </c>
      <c r="M418" s="303">
        <f>N418+O418</f>
        <v>2734</v>
      </c>
      <c r="N418" s="311">
        <v>2538</v>
      </c>
      <c r="O418" s="311">
        <v>196</v>
      </c>
      <c r="P418" s="303">
        <f>S418+T418</f>
        <v>1403</v>
      </c>
      <c r="Q418" s="294">
        <v>33</v>
      </c>
      <c r="R418" s="312">
        <v>1.7000000000000002</v>
      </c>
      <c r="S418" s="303">
        <f t="shared" ref="S418" si="503">ROUND(J418*Q418*R418,0)</f>
        <v>1403</v>
      </c>
      <c r="T418" s="303">
        <f>U418+V418</f>
        <v>0</v>
      </c>
      <c r="U418" s="303"/>
      <c r="V418" s="303"/>
      <c r="W418" s="303">
        <f>Z418+AA418</f>
        <v>0</v>
      </c>
      <c r="X418" s="303"/>
      <c r="Y418" s="303"/>
      <c r="Z418" s="303"/>
      <c r="AA418" s="303"/>
      <c r="AB418" s="304"/>
      <c r="AC418" s="304">
        <v>569</v>
      </c>
      <c r="AD418" s="304">
        <v>140</v>
      </c>
      <c r="AE418" s="303">
        <f>E418-AD418</f>
        <v>4566</v>
      </c>
      <c r="AF418" s="317"/>
      <c r="AG418" s="314">
        <f t="shared" si="477"/>
        <v>0</v>
      </c>
      <c r="AH418" s="696">
        <f t="shared" si="478"/>
        <v>0</v>
      </c>
      <c r="AI418" s="314">
        <f t="shared" si="479"/>
        <v>0</v>
      </c>
      <c r="AJ418" s="314">
        <f t="shared" si="480"/>
        <v>0</v>
      </c>
      <c r="AK418" s="314">
        <f t="shared" si="481"/>
        <v>0</v>
      </c>
      <c r="AL418" s="314">
        <f t="shared" si="482"/>
        <v>0</v>
      </c>
      <c r="AM418" s="314">
        <f t="shared" si="483"/>
        <v>0</v>
      </c>
      <c r="AN418" s="314">
        <f t="shared" si="484"/>
        <v>0</v>
      </c>
      <c r="AO418" s="314">
        <f t="shared" si="485"/>
        <v>0</v>
      </c>
      <c r="AP418" s="314">
        <f t="shared" si="486"/>
        <v>0</v>
      </c>
    </row>
    <row r="419" spans="1:42" ht="27.6" hidden="1" outlineLevel="3">
      <c r="A419" s="583" t="s">
        <v>47</v>
      </c>
      <c r="B419" s="324" t="s">
        <v>1521</v>
      </c>
      <c r="C419" s="304"/>
      <c r="D419" s="304">
        <v>140</v>
      </c>
      <c r="E419" s="304">
        <f t="shared" si="494"/>
        <v>0</v>
      </c>
      <c r="F419" s="304">
        <f>H419-AB419</f>
        <v>0</v>
      </c>
      <c r="G419" s="304">
        <f t="shared" si="489"/>
        <v>-140</v>
      </c>
      <c r="H419" s="303">
        <f t="shared" si="502"/>
        <v>0</v>
      </c>
      <c r="I419" s="303">
        <f t="shared" ref="I419" si="504">M419+P419</f>
        <v>0</v>
      </c>
      <c r="J419" s="294"/>
      <c r="K419" s="294">
        <v>0</v>
      </c>
      <c r="L419" s="294"/>
      <c r="M419" s="304">
        <f t="shared" ref="M419" si="505">N419+O419</f>
        <v>0</v>
      </c>
      <c r="N419" s="294"/>
      <c r="O419" s="294"/>
      <c r="P419" s="303">
        <f t="shared" ref="P419" si="506">S419+T419</f>
        <v>0</v>
      </c>
      <c r="Q419" s="311">
        <v>0</v>
      </c>
      <c r="R419" s="305"/>
      <c r="S419" s="304">
        <f>J419*Q419</f>
        <v>0</v>
      </c>
      <c r="T419" s="303">
        <f t="shared" ref="T419" si="507">U419+V419</f>
        <v>0</v>
      </c>
      <c r="U419" s="304"/>
      <c r="V419" s="304"/>
      <c r="W419" s="303">
        <f>Z419+AA419</f>
        <v>0</v>
      </c>
      <c r="X419" s="303"/>
      <c r="Y419" s="303"/>
      <c r="Z419" s="304"/>
      <c r="AA419" s="304"/>
      <c r="AB419" s="304"/>
      <c r="AC419" s="304"/>
      <c r="AD419" s="304">
        <v>-11</v>
      </c>
      <c r="AE419" s="303">
        <f>E419-AD419</f>
        <v>11</v>
      </c>
      <c r="AF419" s="317"/>
      <c r="AG419" s="314">
        <f t="shared" si="477"/>
        <v>0</v>
      </c>
      <c r="AH419" s="696">
        <f t="shared" si="478"/>
        <v>0</v>
      </c>
      <c r="AI419" s="314">
        <f t="shared" si="479"/>
        <v>0</v>
      </c>
      <c r="AJ419" s="314">
        <f t="shared" si="480"/>
        <v>0</v>
      </c>
      <c r="AK419" s="314">
        <f t="shared" si="481"/>
        <v>0</v>
      </c>
      <c r="AL419" s="314">
        <f t="shared" si="482"/>
        <v>0</v>
      </c>
      <c r="AM419" s="314">
        <f t="shared" si="483"/>
        <v>0</v>
      </c>
      <c r="AN419" s="314">
        <f t="shared" si="484"/>
        <v>0</v>
      </c>
      <c r="AO419" s="314">
        <f t="shared" si="485"/>
        <v>0</v>
      </c>
      <c r="AP419" s="314">
        <f t="shared" si="486"/>
        <v>0</v>
      </c>
    </row>
    <row r="420" spans="1:42" ht="27.6" collapsed="1">
      <c r="A420" s="583" t="s">
        <v>47</v>
      </c>
      <c r="B420" s="1273" t="s">
        <v>1737</v>
      </c>
      <c r="C420" s="304"/>
      <c r="D420" s="303">
        <f>SUM(D421:D429)</f>
        <v>1910</v>
      </c>
      <c r="E420" s="303">
        <f t="shared" ref="E420:AC420" si="508">SUM(E421:E429)</f>
        <v>2526</v>
      </c>
      <c r="F420" s="303">
        <f t="shared" si="508"/>
        <v>2526</v>
      </c>
      <c r="G420" s="303">
        <f t="shared" si="508"/>
        <v>616</v>
      </c>
      <c r="H420" s="303">
        <f t="shared" si="508"/>
        <v>2526</v>
      </c>
      <c r="I420" s="303">
        <f t="shared" si="508"/>
        <v>2526</v>
      </c>
      <c r="J420" s="303">
        <f t="shared" si="508"/>
        <v>0</v>
      </c>
      <c r="K420" s="303">
        <f t="shared" si="508"/>
        <v>0</v>
      </c>
      <c r="L420" s="303">
        <f t="shared" si="508"/>
        <v>0</v>
      </c>
      <c r="M420" s="303">
        <f t="shared" si="508"/>
        <v>0</v>
      </c>
      <c r="N420" s="303">
        <f t="shared" si="508"/>
        <v>0</v>
      </c>
      <c r="O420" s="303">
        <f t="shared" si="508"/>
        <v>0</v>
      </c>
      <c r="P420" s="303">
        <f t="shared" si="508"/>
        <v>2526</v>
      </c>
      <c r="Q420" s="303">
        <f t="shared" si="508"/>
        <v>0</v>
      </c>
      <c r="R420" s="303">
        <f t="shared" si="508"/>
        <v>0</v>
      </c>
      <c r="S420" s="303">
        <f t="shared" si="508"/>
        <v>0</v>
      </c>
      <c r="T420" s="303">
        <f t="shared" si="508"/>
        <v>2526</v>
      </c>
      <c r="U420" s="303">
        <f t="shared" si="508"/>
        <v>1910</v>
      </c>
      <c r="V420" s="303">
        <f t="shared" si="508"/>
        <v>616</v>
      </c>
      <c r="W420" s="303">
        <f t="shared" si="508"/>
        <v>0</v>
      </c>
      <c r="X420" s="303">
        <f t="shared" si="508"/>
        <v>0</v>
      </c>
      <c r="Y420" s="303">
        <f t="shared" si="508"/>
        <v>0</v>
      </c>
      <c r="Z420" s="303">
        <f t="shared" si="508"/>
        <v>0</v>
      </c>
      <c r="AA420" s="303">
        <f t="shared" si="508"/>
        <v>0</v>
      </c>
      <c r="AB420" s="303">
        <f t="shared" si="508"/>
        <v>0</v>
      </c>
      <c r="AC420" s="303">
        <f t="shared" si="508"/>
        <v>0</v>
      </c>
      <c r="AD420" s="304">
        <v>245</v>
      </c>
      <c r="AE420" s="303">
        <f>E420-AD420</f>
        <v>2281</v>
      </c>
      <c r="AF420" s="317"/>
      <c r="AG420" s="314">
        <f t="shared" si="477"/>
        <v>0</v>
      </c>
      <c r="AH420" s="696">
        <f t="shared" si="478"/>
        <v>0</v>
      </c>
      <c r="AI420" s="314">
        <f t="shared" si="479"/>
        <v>0</v>
      </c>
      <c r="AJ420" s="314">
        <f t="shared" si="480"/>
        <v>0</v>
      </c>
      <c r="AK420" s="314">
        <f t="shared" si="481"/>
        <v>0</v>
      </c>
      <c r="AL420" s="314">
        <f t="shared" si="482"/>
        <v>0</v>
      </c>
      <c r="AM420" s="314">
        <f t="shared" si="483"/>
        <v>0</v>
      </c>
      <c r="AN420" s="314">
        <f t="shared" si="484"/>
        <v>0</v>
      </c>
      <c r="AO420" s="314">
        <f t="shared" si="485"/>
        <v>0</v>
      </c>
      <c r="AP420" s="314">
        <f t="shared" si="486"/>
        <v>0</v>
      </c>
    </row>
    <row r="421" spans="1:42" ht="27.6" outlineLevel="1">
      <c r="A421" s="593" t="s">
        <v>23</v>
      </c>
      <c r="B421" s="324" t="s">
        <v>985</v>
      </c>
      <c r="C421" s="317"/>
      <c r="D421" s="304">
        <v>185</v>
      </c>
      <c r="E421" s="304">
        <f t="shared" si="494"/>
        <v>185</v>
      </c>
      <c r="F421" s="304">
        <f t="shared" ref="F421:F429" si="509">H421-AB421</f>
        <v>185</v>
      </c>
      <c r="G421" s="304">
        <f t="shared" ref="G421:G430" si="510">F421-D421</f>
        <v>0</v>
      </c>
      <c r="H421" s="303">
        <f t="shared" ref="H421:H429" si="511">I421+W421</f>
        <v>185</v>
      </c>
      <c r="I421" s="303">
        <f t="shared" ref="I421:I423" si="512">M421+P421</f>
        <v>185</v>
      </c>
      <c r="J421" s="294"/>
      <c r="K421" s="294"/>
      <c r="L421" s="294"/>
      <c r="M421" s="304"/>
      <c r="N421" s="294"/>
      <c r="O421" s="294"/>
      <c r="P421" s="303">
        <f t="shared" ref="P421:P429" si="513">S421+T421</f>
        <v>185</v>
      </c>
      <c r="Q421" s="294"/>
      <c r="R421" s="305"/>
      <c r="S421" s="304"/>
      <c r="T421" s="303">
        <f t="shared" ref="T421:T423" si="514">U421+V421</f>
        <v>185</v>
      </c>
      <c r="U421" s="304">
        <v>185</v>
      </c>
      <c r="V421" s="304"/>
      <c r="W421" s="303">
        <f>Z421+AA421</f>
        <v>0</v>
      </c>
      <c r="X421" s="303"/>
      <c r="Y421" s="303"/>
      <c r="Z421" s="304"/>
      <c r="AA421" s="304"/>
      <c r="AB421" s="304"/>
      <c r="AC421" s="304"/>
      <c r="AD421" s="304"/>
      <c r="AE421" s="304"/>
      <c r="AF421" s="317"/>
      <c r="AG421" s="314">
        <f t="shared" si="477"/>
        <v>0</v>
      </c>
      <c r="AH421" s="696">
        <f t="shared" si="478"/>
        <v>0</v>
      </c>
      <c r="AI421" s="314">
        <f t="shared" si="479"/>
        <v>0</v>
      </c>
      <c r="AJ421" s="314">
        <f t="shared" si="480"/>
        <v>0</v>
      </c>
      <c r="AK421" s="314">
        <f t="shared" si="481"/>
        <v>0</v>
      </c>
      <c r="AL421" s="314">
        <f t="shared" si="482"/>
        <v>0</v>
      </c>
      <c r="AM421" s="314">
        <f t="shared" si="483"/>
        <v>0</v>
      </c>
      <c r="AN421" s="314">
        <f t="shared" si="484"/>
        <v>0</v>
      </c>
      <c r="AO421" s="314">
        <f t="shared" si="485"/>
        <v>0</v>
      </c>
      <c r="AP421" s="314">
        <f t="shared" si="486"/>
        <v>0</v>
      </c>
    </row>
    <row r="422" spans="1:42" ht="41.4" outlineLevel="1">
      <c r="A422" s="593" t="s">
        <v>23</v>
      </c>
      <c r="B422" s="316" t="s">
        <v>986</v>
      </c>
      <c r="C422" s="317"/>
      <c r="D422" s="304">
        <v>75</v>
      </c>
      <c r="E422" s="304">
        <f t="shared" si="494"/>
        <v>75</v>
      </c>
      <c r="F422" s="304">
        <f t="shared" si="509"/>
        <v>75</v>
      </c>
      <c r="G422" s="304">
        <f t="shared" si="510"/>
        <v>0</v>
      </c>
      <c r="H422" s="303">
        <f t="shared" si="511"/>
        <v>75</v>
      </c>
      <c r="I422" s="303">
        <f t="shared" si="512"/>
        <v>75</v>
      </c>
      <c r="J422" s="294"/>
      <c r="K422" s="294"/>
      <c r="L422" s="294"/>
      <c r="M422" s="304"/>
      <c r="N422" s="294"/>
      <c r="O422" s="294"/>
      <c r="P422" s="303">
        <f t="shared" si="513"/>
        <v>75</v>
      </c>
      <c r="Q422" s="294"/>
      <c r="R422" s="305"/>
      <c r="S422" s="304"/>
      <c r="T422" s="303">
        <f t="shared" si="514"/>
        <v>75</v>
      </c>
      <c r="U422" s="304">
        <v>75</v>
      </c>
      <c r="V422" s="304"/>
      <c r="W422" s="303">
        <f>Z422+AA422</f>
        <v>0</v>
      </c>
      <c r="X422" s="303"/>
      <c r="Y422" s="303"/>
      <c r="Z422" s="304"/>
      <c r="AA422" s="304"/>
      <c r="AB422" s="304"/>
      <c r="AC422" s="304"/>
      <c r="AD422" s="304"/>
      <c r="AE422" s="304"/>
      <c r="AF422" s="317"/>
      <c r="AG422" s="314">
        <f t="shared" si="477"/>
        <v>0</v>
      </c>
      <c r="AH422" s="696">
        <f t="shared" si="478"/>
        <v>0</v>
      </c>
      <c r="AI422" s="314">
        <f t="shared" si="479"/>
        <v>0</v>
      </c>
      <c r="AJ422" s="314">
        <f t="shared" si="480"/>
        <v>0</v>
      </c>
      <c r="AK422" s="314">
        <f t="shared" si="481"/>
        <v>0</v>
      </c>
      <c r="AL422" s="314">
        <f t="shared" si="482"/>
        <v>0</v>
      </c>
      <c r="AM422" s="314">
        <f t="shared" si="483"/>
        <v>0</v>
      </c>
      <c r="AN422" s="314">
        <f t="shared" si="484"/>
        <v>0</v>
      </c>
      <c r="AO422" s="314">
        <f t="shared" si="485"/>
        <v>0</v>
      </c>
      <c r="AP422" s="314">
        <f t="shared" si="486"/>
        <v>0</v>
      </c>
    </row>
    <row r="423" spans="1:42" ht="41.4" outlineLevel="1">
      <c r="A423" s="593" t="s">
        <v>23</v>
      </c>
      <c r="B423" s="316" t="s">
        <v>1726</v>
      </c>
      <c r="C423" s="317"/>
      <c r="D423" s="304">
        <v>590</v>
      </c>
      <c r="E423" s="304">
        <f t="shared" si="494"/>
        <v>935</v>
      </c>
      <c r="F423" s="304">
        <f t="shared" si="509"/>
        <v>935</v>
      </c>
      <c r="G423" s="304">
        <f t="shared" si="510"/>
        <v>345</v>
      </c>
      <c r="H423" s="303">
        <f t="shared" si="511"/>
        <v>935</v>
      </c>
      <c r="I423" s="303">
        <f t="shared" si="512"/>
        <v>935</v>
      </c>
      <c r="J423" s="294"/>
      <c r="K423" s="294"/>
      <c r="L423" s="294"/>
      <c r="M423" s="304"/>
      <c r="N423" s="294"/>
      <c r="O423" s="294"/>
      <c r="P423" s="303">
        <f t="shared" si="513"/>
        <v>935</v>
      </c>
      <c r="Q423" s="294"/>
      <c r="R423" s="305"/>
      <c r="S423" s="304"/>
      <c r="T423" s="303">
        <f t="shared" si="514"/>
        <v>935</v>
      </c>
      <c r="U423" s="304">
        <v>590</v>
      </c>
      <c r="V423" s="304">
        <f>45+300</f>
        <v>345</v>
      </c>
      <c r="W423" s="303"/>
      <c r="X423" s="303"/>
      <c r="Y423" s="303"/>
      <c r="Z423" s="304"/>
      <c r="AA423" s="304"/>
      <c r="AB423" s="304"/>
      <c r="AC423" s="304"/>
      <c r="AD423" s="304"/>
      <c r="AE423" s="304"/>
      <c r="AF423" s="1263"/>
      <c r="AG423" s="314">
        <f t="shared" si="477"/>
        <v>0</v>
      </c>
      <c r="AH423" s="696">
        <f t="shared" si="478"/>
        <v>0</v>
      </c>
      <c r="AI423" s="314">
        <f t="shared" si="479"/>
        <v>0</v>
      </c>
      <c r="AJ423" s="314">
        <f t="shared" si="480"/>
        <v>0</v>
      </c>
      <c r="AK423" s="314">
        <f t="shared" si="481"/>
        <v>0</v>
      </c>
      <c r="AL423" s="314">
        <f t="shared" si="482"/>
        <v>0</v>
      </c>
      <c r="AM423" s="314">
        <f t="shared" si="483"/>
        <v>0</v>
      </c>
      <c r="AN423" s="314">
        <f t="shared" si="484"/>
        <v>0</v>
      </c>
      <c r="AO423" s="314">
        <f t="shared" si="485"/>
        <v>0</v>
      </c>
      <c r="AP423" s="314">
        <f t="shared" si="486"/>
        <v>0</v>
      </c>
    </row>
    <row r="424" spans="1:42" ht="41.4" outlineLevel="1">
      <c r="A424" s="596" t="s">
        <v>23</v>
      </c>
      <c r="B424" s="316" t="s">
        <v>991</v>
      </c>
      <c r="C424" s="304"/>
      <c r="D424" s="304">
        <v>90</v>
      </c>
      <c r="E424" s="304">
        <f t="shared" si="494"/>
        <v>90</v>
      </c>
      <c r="F424" s="304">
        <f t="shared" si="509"/>
        <v>90</v>
      </c>
      <c r="G424" s="304">
        <f t="shared" si="510"/>
        <v>0</v>
      </c>
      <c r="H424" s="303">
        <f t="shared" si="511"/>
        <v>90</v>
      </c>
      <c r="I424" s="303">
        <f>M424+P424</f>
        <v>90</v>
      </c>
      <c r="J424" s="311"/>
      <c r="K424" s="311"/>
      <c r="L424" s="311"/>
      <c r="M424" s="303"/>
      <c r="N424" s="311"/>
      <c r="O424" s="311"/>
      <c r="P424" s="303">
        <f t="shared" si="513"/>
        <v>90</v>
      </c>
      <c r="Q424" s="311"/>
      <c r="R424" s="312"/>
      <c r="S424" s="304"/>
      <c r="T424" s="303">
        <f>U424+V424</f>
        <v>90</v>
      </c>
      <c r="U424" s="304">
        <v>90</v>
      </c>
      <c r="V424" s="304"/>
      <c r="W424" s="303">
        <f>Z424+AA424</f>
        <v>0</v>
      </c>
      <c r="X424" s="303"/>
      <c r="Y424" s="303"/>
      <c r="Z424" s="304"/>
      <c r="AA424" s="304"/>
      <c r="AB424" s="304"/>
      <c r="AC424" s="304"/>
      <c r="AD424" s="304"/>
      <c r="AE424" s="304"/>
      <c r="AF424" s="317"/>
      <c r="AG424" s="314">
        <f t="shared" si="477"/>
        <v>0</v>
      </c>
      <c r="AH424" s="696">
        <f t="shared" si="478"/>
        <v>0</v>
      </c>
      <c r="AI424" s="314">
        <f t="shared" si="479"/>
        <v>0</v>
      </c>
      <c r="AJ424" s="314">
        <f t="shared" si="480"/>
        <v>0</v>
      </c>
      <c r="AK424" s="314">
        <f t="shared" si="481"/>
        <v>0</v>
      </c>
      <c r="AL424" s="314">
        <f t="shared" si="482"/>
        <v>0</v>
      </c>
      <c r="AM424" s="314">
        <f t="shared" si="483"/>
        <v>0</v>
      </c>
      <c r="AN424" s="314">
        <f t="shared" si="484"/>
        <v>0</v>
      </c>
      <c r="AO424" s="314">
        <f t="shared" si="485"/>
        <v>0</v>
      </c>
      <c r="AP424" s="314">
        <f t="shared" si="486"/>
        <v>0</v>
      </c>
    </row>
    <row r="425" spans="1:42" ht="27.6" outlineLevel="1">
      <c r="A425" s="596" t="s">
        <v>23</v>
      </c>
      <c r="B425" s="316" t="s">
        <v>990</v>
      </c>
      <c r="C425" s="304"/>
      <c r="D425" s="304">
        <v>57</v>
      </c>
      <c r="E425" s="304">
        <f>F425+AC425</f>
        <v>57</v>
      </c>
      <c r="F425" s="304">
        <f t="shared" si="509"/>
        <v>57</v>
      </c>
      <c r="G425" s="304">
        <f t="shared" si="510"/>
        <v>0</v>
      </c>
      <c r="H425" s="303">
        <f t="shared" si="511"/>
        <v>57</v>
      </c>
      <c r="I425" s="303">
        <f t="shared" ref="I425" si="515">M425+P425</f>
        <v>57</v>
      </c>
      <c r="J425" s="311"/>
      <c r="K425" s="311"/>
      <c r="L425" s="311"/>
      <c r="M425" s="303"/>
      <c r="N425" s="311"/>
      <c r="O425" s="311"/>
      <c r="P425" s="303">
        <f t="shared" si="513"/>
        <v>57</v>
      </c>
      <c r="Q425" s="311"/>
      <c r="R425" s="312"/>
      <c r="S425" s="304"/>
      <c r="T425" s="303">
        <f t="shared" ref="T425" si="516">U425+V425</f>
        <v>57</v>
      </c>
      <c r="U425" s="303">
        <f>38+19</f>
        <v>57</v>
      </c>
      <c r="V425" s="304"/>
      <c r="W425" s="303">
        <f>Z425+AA425</f>
        <v>0</v>
      </c>
      <c r="X425" s="303"/>
      <c r="Y425" s="303"/>
      <c r="Z425" s="303"/>
      <c r="AA425" s="303"/>
      <c r="AB425" s="303"/>
      <c r="AC425" s="303"/>
      <c r="AD425" s="303"/>
      <c r="AE425" s="303"/>
      <c r="AF425" s="317"/>
      <c r="AG425" s="314">
        <f t="shared" si="477"/>
        <v>0</v>
      </c>
      <c r="AH425" s="696">
        <f t="shared" si="478"/>
        <v>0</v>
      </c>
      <c r="AI425" s="314">
        <f t="shared" si="479"/>
        <v>0</v>
      </c>
      <c r="AJ425" s="314">
        <f t="shared" si="480"/>
        <v>0</v>
      </c>
      <c r="AK425" s="314">
        <f t="shared" si="481"/>
        <v>0</v>
      </c>
      <c r="AL425" s="314">
        <f t="shared" si="482"/>
        <v>0</v>
      </c>
      <c r="AM425" s="314">
        <f t="shared" si="483"/>
        <v>0</v>
      </c>
      <c r="AN425" s="314">
        <f t="shared" si="484"/>
        <v>0</v>
      </c>
      <c r="AO425" s="314">
        <f t="shared" si="485"/>
        <v>0</v>
      </c>
      <c r="AP425" s="314">
        <f t="shared" si="486"/>
        <v>0</v>
      </c>
    </row>
    <row r="426" spans="1:42" ht="41.4" outlineLevel="1">
      <c r="A426" s="596" t="s">
        <v>23</v>
      </c>
      <c r="B426" s="316" t="s">
        <v>1479</v>
      </c>
      <c r="C426" s="304"/>
      <c r="D426" s="304">
        <v>868</v>
      </c>
      <c r="E426" s="304">
        <f>F426+AC426</f>
        <v>1043</v>
      </c>
      <c r="F426" s="304">
        <f t="shared" si="509"/>
        <v>1043</v>
      </c>
      <c r="G426" s="304">
        <f t="shared" si="510"/>
        <v>175</v>
      </c>
      <c r="H426" s="303">
        <f t="shared" si="511"/>
        <v>1043</v>
      </c>
      <c r="I426" s="303">
        <f>M426+P426</f>
        <v>1043</v>
      </c>
      <c r="J426" s="311"/>
      <c r="K426" s="311"/>
      <c r="L426" s="311"/>
      <c r="M426" s="303"/>
      <c r="N426" s="311"/>
      <c r="O426" s="311"/>
      <c r="P426" s="303">
        <f t="shared" si="513"/>
        <v>1043</v>
      </c>
      <c r="Q426" s="311"/>
      <c r="R426" s="312"/>
      <c r="S426" s="304"/>
      <c r="T426" s="303">
        <f>U426+V426</f>
        <v>1043</v>
      </c>
      <c r="U426" s="304">
        <v>868</v>
      </c>
      <c r="V426" s="304">
        <v>175</v>
      </c>
      <c r="W426" s="303">
        <f>Z426+AA426</f>
        <v>0</v>
      </c>
      <c r="X426" s="303"/>
      <c r="Y426" s="303"/>
      <c r="Z426" s="304"/>
      <c r="AA426" s="304"/>
      <c r="AB426" s="304"/>
      <c r="AC426" s="304"/>
      <c r="AD426" s="304"/>
      <c r="AE426" s="304"/>
      <c r="AF426" s="317"/>
      <c r="AG426" s="314">
        <f t="shared" si="477"/>
        <v>0</v>
      </c>
      <c r="AH426" s="696">
        <f t="shared" si="478"/>
        <v>0</v>
      </c>
      <c r="AI426" s="314">
        <f t="shared" si="479"/>
        <v>0</v>
      </c>
      <c r="AJ426" s="314">
        <f t="shared" si="480"/>
        <v>0</v>
      </c>
      <c r="AK426" s="314">
        <f t="shared" si="481"/>
        <v>0</v>
      </c>
      <c r="AL426" s="314">
        <f t="shared" si="482"/>
        <v>0</v>
      </c>
      <c r="AM426" s="314">
        <f t="shared" si="483"/>
        <v>0</v>
      </c>
      <c r="AN426" s="314">
        <f t="shared" si="484"/>
        <v>0</v>
      </c>
      <c r="AO426" s="314">
        <f t="shared" si="485"/>
        <v>0</v>
      </c>
      <c r="AP426" s="314">
        <f t="shared" si="486"/>
        <v>0</v>
      </c>
    </row>
    <row r="427" spans="1:42" ht="55.2" outlineLevel="1">
      <c r="A427" s="596" t="s">
        <v>23</v>
      </c>
      <c r="B427" s="329" t="s">
        <v>1621</v>
      </c>
      <c r="C427" s="308"/>
      <c r="D427" s="304">
        <v>45</v>
      </c>
      <c r="E427" s="304">
        <f>F427+AC427</f>
        <v>45</v>
      </c>
      <c r="F427" s="304">
        <f t="shared" si="509"/>
        <v>45</v>
      </c>
      <c r="G427" s="304">
        <f t="shared" si="510"/>
        <v>0</v>
      </c>
      <c r="H427" s="303">
        <f t="shared" si="511"/>
        <v>45</v>
      </c>
      <c r="I427" s="303">
        <f>M427+P427</f>
        <v>45</v>
      </c>
      <c r="J427" s="311"/>
      <c r="K427" s="311"/>
      <c r="L427" s="311"/>
      <c r="M427" s="303"/>
      <c r="N427" s="311"/>
      <c r="O427" s="311"/>
      <c r="P427" s="303">
        <f t="shared" si="513"/>
        <v>45</v>
      </c>
      <c r="Q427" s="311"/>
      <c r="R427" s="312"/>
      <c r="S427" s="304"/>
      <c r="T427" s="303">
        <f>U427+V427</f>
        <v>45</v>
      </c>
      <c r="U427" s="304">
        <v>45</v>
      </c>
      <c r="V427" s="304"/>
      <c r="W427" s="303">
        <f>Z427+AA427</f>
        <v>0</v>
      </c>
      <c r="X427" s="303"/>
      <c r="Y427" s="303"/>
      <c r="Z427" s="304"/>
      <c r="AA427" s="304"/>
      <c r="AB427" s="304"/>
      <c r="AC427" s="304"/>
      <c r="AD427" s="304"/>
      <c r="AE427" s="304"/>
      <c r="AF427" s="332"/>
      <c r="AG427" s="314">
        <f t="shared" si="477"/>
        <v>0</v>
      </c>
      <c r="AH427" s="696">
        <f t="shared" si="478"/>
        <v>0</v>
      </c>
      <c r="AI427" s="314">
        <f t="shared" si="479"/>
        <v>0</v>
      </c>
      <c r="AJ427" s="314">
        <f t="shared" si="480"/>
        <v>0</v>
      </c>
      <c r="AK427" s="314">
        <f t="shared" si="481"/>
        <v>0</v>
      </c>
      <c r="AL427" s="314">
        <f t="shared" si="482"/>
        <v>0</v>
      </c>
      <c r="AM427" s="314">
        <f t="shared" si="483"/>
        <v>0</v>
      </c>
      <c r="AN427" s="314">
        <f t="shared" si="484"/>
        <v>0</v>
      </c>
      <c r="AO427" s="314">
        <f t="shared" si="485"/>
        <v>0</v>
      </c>
      <c r="AP427" s="314">
        <f t="shared" si="486"/>
        <v>0</v>
      </c>
    </row>
    <row r="428" spans="1:42" ht="55.2" hidden="1" outlineLevel="3">
      <c r="A428" s="583" t="s">
        <v>23</v>
      </c>
      <c r="B428" s="324" t="s">
        <v>2142</v>
      </c>
      <c r="C428" s="317"/>
      <c r="D428" s="304"/>
      <c r="E428" s="304">
        <f>F428+AC428</f>
        <v>0</v>
      </c>
      <c r="F428" s="304">
        <f t="shared" si="509"/>
        <v>0</v>
      </c>
      <c r="G428" s="304">
        <f t="shared" si="510"/>
        <v>0</v>
      </c>
      <c r="H428" s="303">
        <f t="shared" si="511"/>
        <v>0</v>
      </c>
      <c r="I428" s="303">
        <f>M428+P428</f>
        <v>0</v>
      </c>
      <c r="J428" s="311"/>
      <c r="K428" s="311"/>
      <c r="L428" s="311"/>
      <c r="M428" s="303"/>
      <c r="N428" s="311"/>
      <c r="O428" s="311"/>
      <c r="P428" s="303">
        <f t="shared" si="513"/>
        <v>0</v>
      </c>
      <c r="Q428" s="311"/>
      <c r="R428" s="312"/>
      <c r="S428" s="303"/>
      <c r="T428" s="303">
        <f>U428+V428</f>
        <v>0</v>
      </c>
      <c r="U428" s="303"/>
      <c r="V428" s="303">
        <f>300-300</f>
        <v>0</v>
      </c>
      <c r="W428" s="303"/>
      <c r="X428" s="303"/>
      <c r="Y428" s="303"/>
      <c r="Z428" s="303"/>
      <c r="AA428" s="303"/>
      <c r="AB428" s="304"/>
      <c r="AC428" s="304"/>
      <c r="AD428" s="304"/>
      <c r="AE428" s="304"/>
      <c r="AF428" s="317" t="s">
        <v>2316</v>
      </c>
      <c r="AG428" s="314">
        <f t="shared" si="477"/>
        <v>0</v>
      </c>
      <c r="AH428" s="696">
        <f t="shared" si="478"/>
        <v>0</v>
      </c>
      <c r="AI428" s="314">
        <f t="shared" si="479"/>
        <v>0</v>
      </c>
      <c r="AJ428" s="314">
        <f t="shared" si="480"/>
        <v>0</v>
      </c>
      <c r="AK428" s="314">
        <f t="shared" si="481"/>
        <v>0</v>
      </c>
      <c r="AL428" s="314">
        <f t="shared" si="482"/>
        <v>0</v>
      </c>
      <c r="AM428" s="314">
        <f t="shared" si="483"/>
        <v>0</v>
      </c>
      <c r="AN428" s="314">
        <f t="shared" si="484"/>
        <v>0</v>
      </c>
      <c r="AO428" s="314">
        <f t="shared" si="485"/>
        <v>0</v>
      </c>
      <c r="AP428" s="314">
        <f t="shared" si="486"/>
        <v>0</v>
      </c>
    </row>
    <row r="429" spans="1:42" ht="69" outlineLevel="1" collapsed="1">
      <c r="A429" s="583" t="s">
        <v>23</v>
      </c>
      <c r="B429" s="324" t="s">
        <v>2143</v>
      </c>
      <c r="C429" s="317"/>
      <c r="D429" s="304"/>
      <c r="E429" s="304">
        <f>F429+AC429</f>
        <v>96</v>
      </c>
      <c r="F429" s="304">
        <f t="shared" si="509"/>
        <v>96</v>
      </c>
      <c r="G429" s="304">
        <f t="shared" si="510"/>
        <v>96</v>
      </c>
      <c r="H429" s="303">
        <f t="shared" si="511"/>
        <v>96</v>
      </c>
      <c r="I429" s="303">
        <f>M429+P429</f>
        <v>96</v>
      </c>
      <c r="J429" s="311"/>
      <c r="K429" s="311"/>
      <c r="L429" s="311"/>
      <c r="M429" s="303"/>
      <c r="N429" s="311"/>
      <c r="O429" s="311"/>
      <c r="P429" s="303">
        <f t="shared" si="513"/>
        <v>96</v>
      </c>
      <c r="Q429" s="311"/>
      <c r="R429" s="312"/>
      <c r="S429" s="303"/>
      <c r="T429" s="303">
        <f>U429+V429</f>
        <v>96</v>
      </c>
      <c r="U429" s="303"/>
      <c r="V429" s="303">
        <v>96</v>
      </c>
      <c r="W429" s="303"/>
      <c r="X429" s="303"/>
      <c r="Y429" s="303"/>
      <c r="Z429" s="303"/>
      <c r="AA429" s="303"/>
      <c r="AB429" s="304"/>
      <c r="AC429" s="304"/>
      <c r="AD429" s="304"/>
      <c r="AE429" s="304"/>
      <c r="AF429" s="317" t="s">
        <v>2317</v>
      </c>
      <c r="AG429" s="314">
        <f t="shared" si="477"/>
        <v>0</v>
      </c>
      <c r="AH429" s="696">
        <f t="shared" si="478"/>
        <v>0</v>
      </c>
      <c r="AI429" s="314">
        <f t="shared" si="479"/>
        <v>0</v>
      </c>
      <c r="AJ429" s="314">
        <f t="shared" si="480"/>
        <v>0</v>
      </c>
      <c r="AK429" s="314">
        <f t="shared" si="481"/>
        <v>0</v>
      </c>
      <c r="AL429" s="314">
        <f t="shared" si="482"/>
        <v>0</v>
      </c>
      <c r="AM429" s="314">
        <f t="shared" si="483"/>
        <v>0</v>
      </c>
      <c r="AN429" s="314">
        <f t="shared" si="484"/>
        <v>0</v>
      </c>
      <c r="AO429" s="314">
        <f t="shared" si="485"/>
        <v>0</v>
      </c>
      <c r="AP429" s="314">
        <f t="shared" si="486"/>
        <v>0</v>
      </c>
    </row>
    <row r="430" spans="1:42" s="314" customFormat="1">
      <c r="A430" s="592" t="s">
        <v>411</v>
      </c>
      <c r="B430" s="320" t="s">
        <v>987</v>
      </c>
      <c r="C430" s="298" t="s">
        <v>752</v>
      </c>
      <c r="D430" s="299">
        <f>D431+D434</f>
        <v>4026</v>
      </c>
      <c r="E430" s="299">
        <f>E431+E434</f>
        <v>4381</v>
      </c>
      <c r="F430" s="299">
        <f>F431+F434</f>
        <v>4087</v>
      </c>
      <c r="G430" s="299">
        <f t="shared" si="510"/>
        <v>61</v>
      </c>
      <c r="H430" s="299">
        <f t="shared" ref="H430:P430" si="517">H431+H434</f>
        <v>4119</v>
      </c>
      <c r="I430" s="299">
        <f t="shared" si="517"/>
        <v>1937</v>
      </c>
      <c r="J430" s="318">
        <f t="shared" si="517"/>
        <v>17</v>
      </c>
      <c r="K430" s="318">
        <f t="shared" si="517"/>
        <v>16</v>
      </c>
      <c r="L430" s="318">
        <f t="shared" si="517"/>
        <v>1</v>
      </c>
      <c r="M430" s="299">
        <f t="shared" si="517"/>
        <v>1410</v>
      </c>
      <c r="N430" s="318">
        <f t="shared" si="517"/>
        <v>1355</v>
      </c>
      <c r="O430" s="318">
        <f t="shared" si="517"/>
        <v>55</v>
      </c>
      <c r="P430" s="299">
        <f t="shared" si="517"/>
        <v>527</v>
      </c>
      <c r="Q430" s="318"/>
      <c r="R430" s="318"/>
      <c r="S430" s="299">
        <f>S431+S434</f>
        <v>527</v>
      </c>
      <c r="T430" s="299">
        <f>T431+T434</f>
        <v>0</v>
      </c>
      <c r="U430" s="299">
        <f>U431+U434</f>
        <v>0</v>
      </c>
      <c r="V430" s="299">
        <f>V431+V434</f>
        <v>0</v>
      </c>
      <c r="W430" s="299">
        <f>W431+W434</f>
        <v>2182</v>
      </c>
      <c r="X430" s="299"/>
      <c r="Y430" s="299"/>
      <c r="Z430" s="299">
        <f t="shared" ref="Z430:AE430" si="518">Z431+Z434</f>
        <v>2077</v>
      </c>
      <c r="AA430" s="299">
        <f t="shared" si="518"/>
        <v>105</v>
      </c>
      <c r="AB430" s="299">
        <f t="shared" si="518"/>
        <v>32</v>
      </c>
      <c r="AC430" s="299">
        <f t="shared" si="518"/>
        <v>294</v>
      </c>
      <c r="AD430" s="299">
        <f t="shared" si="518"/>
        <v>268</v>
      </c>
      <c r="AE430" s="299">
        <f t="shared" si="518"/>
        <v>4113</v>
      </c>
      <c r="AF430" s="321"/>
      <c r="AG430" s="314">
        <f t="shared" si="477"/>
        <v>0</v>
      </c>
      <c r="AH430" s="696">
        <f t="shared" si="478"/>
        <v>0</v>
      </c>
      <c r="AI430" s="314">
        <f t="shared" si="479"/>
        <v>0</v>
      </c>
      <c r="AJ430" s="314">
        <f t="shared" si="480"/>
        <v>0</v>
      </c>
      <c r="AK430" s="314">
        <f t="shared" si="481"/>
        <v>0</v>
      </c>
      <c r="AL430" s="314">
        <f t="shared" si="482"/>
        <v>0</v>
      </c>
      <c r="AM430" s="314">
        <f t="shared" si="483"/>
        <v>0</v>
      </c>
      <c r="AN430" s="314">
        <f t="shared" si="484"/>
        <v>0</v>
      </c>
      <c r="AO430" s="314">
        <f t="shared" si="485"/>
        <v>0</v>
      </c>
      <c r="AP430" s="314">
        <f t="shared" si="486"/>
        <v>0</v>
      </c>
    </row>
    <row r="431" spans="1:42">
      <c r="A431" s="583" t="s">
        <v>45</v>
      </c>
      <c r="B431" s="316" t="s">
        <v>841</v>
      </c>
      <c r="C431" s="304"/>
      <c r="D431" s="303">
        <f t="shared" ref="D431" si="519">D432+D433</f>
        <v>1949</v>
      </c>
      <c r="E431" s="303">
        <f>E432+E433</f>
        <v>2199</v>
      </c>
      <c r="F431" s="303">
        <f>F432+F433</f>
        <v>1905</v>
      </c>
      <c r="G431" s="303">
        <f>G432+G433</f>
        <v>-44</v>
      </c>
      <c r="H431" s="303">
        <f t="shared" ref="H431:AE431" si="520">H432+H433</f>
        <v>1937</v>
      </c>
      <c r="I431" s="303">
        <f t="shared" si="520"/>
        <v>1937</v>
      </c>
      <c r="J431" s="303">
        <f t="shared" si="520"/>
        <v>17</v>
      </c>
      <c r="K431" s="303">
        <f t="shared" si="520"/>
        <v>16</v>
      </c>
      <c r="L431" s="303">
        <f t="shared" si="520"/>
        <v>1</v>
      </c>
      <c r="M431" s="303">
        <f t="shared" si="520"/>
        <v>1410</v>
      </c>
      <c r="N431" s="303">
        <f t="shared" si="520"/>
        <v>1355</v>
      </c>
      <c r="O431" s="303">
        <f t="shared" si="520"/>
        <v>55</v>
      </c>
      <c r="P431" s="303">
        <f t="shared" si="520"/>
        <v>527</v>
      </c>
      <c r="Q431" s="303"/>
      <c r="R431" s="303"/>
      <c r="S431" s="303">
        <f t="shared" si="520"/>
        <v>527</v>
      </c>
      <c r="T431" s="303">
        <f t="shared" si="520"/>
        <v>0</v>
      </c>
      <c r="U431" s="303">
        <f t="shared" si="520"/>
        <v>0</v>
      </c>
      <c r="V431" s="303">
        <f t="shared" si="520"/>
        <v>0</v>
      </c>
      <c r="W431" s="303">
        <f t="shared" si="520"/>
        <v>0</v>
      </c>
      <c r="X431" s="303">
        <f t="shared" si="520"/>
        <v>0</v>
      </c>
      <c r="Y431" s="303">
        <f t="shared" si="520"/>
        <v>0</v>
      </c>
      <c r="Z431" s="303">
        <f t="shared" si="520"/>
        <v>0</v>
      </c>
      <c r="AA431" s="303">
        <f t="shared" si="520"/>
        <v>0</v>
      </c>
      <c r="AB431" s="303">
        <f t="shared" si="520"/>
        <v>32</v>
      </c>
      <c r="AC431" s="303">
        <f t="shared" si="520"/>
        <v>294</v>
      </c>
      <c r="AD431" s="303">
        <f t="shared" si="520"/>
        <v>50</v>
      </c>
      <c r="AE431" s="303">
        <f t="shared" si="520"/>
        <v>2149</v>
      </c>
      <c r="AF431" s="317"/>
      <c r="AG431" s="314">
        <f t="shared" si="477"/>
        <v>0</v>
      </c>
      <c r="AH431" s="696">
        <f t="shared" si="478"/>
        <v>0</v>
      </c>
      <c r="AI431" s="314">
        <f t="shared" si="479"/>
        <v>0</v>
      </c>
      <c r="AJ431" s="314">
        <f t="shared" si="480"/>
        <v>0</v>
      </c>
      <c r="AK431" s="314">
        <f t="shared" si="481"/>
        <v>0</v>
      </c>
      <c r="AL431" s="314">
        <f t="shared" si="482"/>
        <v>0</v>
      </c>
      <c r="AM431" s="314">
        <f t="shared" si="483"/>
        <v>0</v>
      </c>
      <c r="AN431" s="314">
        <f t="shared" si="484"/>
        <v>0</v>
      </c>
      <c r="AO431" s="314">
        <f t="shared" si="485"/>
        <v>0</v>
      </c>
      <c r="AP431" s="314">
        <f t="shared" si="486"/>
        <v>0</v>
      </c>
    </row>
    <row r="432" spans="1:42" outlineLevel="1">
      <c r="A432" s="593" t="s">
        <v>23</v>
      </c>
      <c r="B432" s="316" t="s">
        <v>988</v>
      </c>
      <c r="C432" s="317"/>
      <c r="D432" s="304">
        <v>1206</v>
      </c>
      <c r="E432" s="304">
        <f t="shared" si="494"/>
        <v>1313</v>
      </c>
      <c r="F432" s="304">
        <f>H432-AB432</f>
        <v>1140</v>
      </c>
      <c r="G432" s="304">
        <f t="shared" ref="G432:G440" si="521">F432-D432</f>
        <v>-66</v>
      </c>
      <c r="H432" s="303">
        <f t="shared" ref="H432:H440" si="522">I432+W432</f>
        <v>1140</v>
      </c>
      <c r="I432" s="303">
        <f t="shared" ref="I432" si="523">M432+P432</f>
        <v>1140</v>
      </c>
      <c r="J432" s="294">
        <v>10</v>
      </c>
      <c r="K432" s="294">
        <v>9</v>
      </c>
      <c r="L432" s="294">
        <f>J432-K432</f>
        <v>1</v>
      </c>
      <c r="M432" s="304">
        <f>N432+O432</f>
        <v>830</v>
      </c>
      <c r="N432" s="294">
        <v>775</v>
      </c>
      <c r="O432" s="294">
        <v>55</v>
      </c>
      <c r="P432" s="303">
        <f t="shared" ref="P432:P433" si="524">S432+T432</f>
        <v>310</v>
      </c>
      <c r="Q432" s="294">
        <v>31</v>
      </c>
      <c r="R432" s="305">
        <v>1</v>
      </c>
      <c r="S432" s="303">
        <f t="shared" ref="S432:S433" si="525">ROUND(J432*Q432*R432,0)</f>
        <v>310</v>
      </c>
      <c r="T432" s="303">
        <f>U432+V432</f>
        <v>0</v>
      </c>
      <c r="U432" s="304"/>
      <c r="V432" s="304"/>
      <c r="W432" s="303">
        <f>Z432+AA432</f>
        <v>0</v>
      </c>
      <c r="X432" s="303"/>
      <c r="Y432" s="303"/>
      <c r="Z432" s="304"/>
      <c r="AA432" s="304"/>
      <c r="AB432" s="304"/>
      <c r="AC432" s="304">
        <v>173</v>
      </c>
      <c r="AD432" s="304">
        <v>31</v>
      </c>
      <c r="AE432" s="303">
        <f>E432-AD432</f>
        <v>1282</v>
      </c>
      <c r="AF432" s="317"/>
      <c r="AG432" s="314">
        <f t="shared" si="477"/>
        <v>0</v>
      </c>
      <c r="AH432" s="696">
        <f t="shared" si="478"/>
        <v>0</v>
      </c>
      <c r="AI432" s="314">
        <f t="shared" si="479"/>
        <v>0</v>
      </c>
      <c r="AJ432" s="314">
        <f t="shared" si="480"/>
        <v>0</v>
      </c>
      <c r="AK432" s="314">
        <f t="shared" si="481"/>
        <v>0</v>
      </c>
      <c r="AL432" s="314">
        <f t="shared" si="482"/>
        <v>0</v>
      </c>
      <c r="AM432" s="314">
        <f t="shared" si="483"/>
        <v>0</v>
      </c>
      <c r="AN432" s="314">
        <f t="shared" si="484"/>
        <v>0</v>
      </c>
      <c r="AO432" s="314">
        <f t="shared" si="485"/>
        <v>0</v>
      </c>
      <c r="AP432" s="314">
        <f t="shared" si="486"/>
        <v>0</v>
      </c>
    </row>
    <row r="433" spans="1:42" outlineLevel="1">
      <c r="A433" s="593" t="s">
        <v>23</v>
      </c>
      <c r="B433" s="316" t="s">
        <v>989</v>
      </c>
      <c r="C433" s="317"/>
      <c r="D433" s="304">
        <v>743</v>
      </c>
      <c r="E433" s="304">
        <f t="shared" si="494"/>
        <v>886</v>
      </c>
      <c r="F433" s="304">
        <f>H433-AB433</f>
        <v>765</v>
      </c>
      <c r="G433" s="304">
        <f t="shared" si="521"/>
        <v>22</v>
      </c>
      <c r="H433" s="303">
        <f t="shared" si="522"/>
        <v>797</v>
      </c>
      <c r="I433" s="303">
        <f>M433+P433</f>
        <v>797</v>
      </c>
      <c r="J433" s="294">
        <v>7</v>
      </c>
      <c r="K433" s="294">
        <v>7</v>
      </c>
      <c r="L433" s="294">
        <f>J433-K433</f>
        <v>0</v>
      </c>
      <c r="M433" s="304">
        <f>N433+O433</f>
        <v>580</v>
      </c>
      <c r="N433" s="294">
        <v>580</v>
      </c>
      <c r="O433" s="294">
        <v>0</v>
      </c>
      <c r="P433" s="303">
        <f t="shared" si="524"/>
        <v>217</v>
      </c>
      <c r="Q433" s="294">
        <v>31</v>
      </c>
      <c r="R433" s="305">
        <v>1</v>
      </c>
      <c r="S433" s="303">
        <f t="shared" si="525"/>
        <v>217</v>
      </c>
      <c r="T433" s="303">
        <f>U433+V433</f>
        <v>0</v>
      </c>
      <c r="U433" s="304"/>
      <c r="V433" s="304"/>
      <c r="W433" s="303">
        <f>Z433+AA433</f>
        <v>0</v>
      </c>
      <c r="X433" s="303"/>
      <c r="Y433" s="303"/>
      <c r="Z433" s="304"/>
      <c r="AA433" s="304"/>
      <c r="AB433" s="304">
        <v>32</v>
      </c>
      <c r="AC433" s="304">
        <v>121</v>
      </c>
      <c r="AD433" s="304">
        <v>19</v>
      </c>
      <c r="AE433" s="303">
        <f>E433-AD433</f>
        <v>867</v>
      </c>
      <c r="AF433" s="317"/>
      <c r="AG433" s="314">
        <f t="shared" si="477"/>
        <v>0</v>
      </c>
      <c r="AH433" s="696">
        <f t="shared" si="478"/>
        <v>0</v>
      </c>
      <c r="AI433" s="314">
        <f t="shared" si="479"/>
        <v>0</v>
      </c>
      <c r="AJ433" s="314">
        <f t="shared" si="480"/>
        <v>0</v>
      </c>
      <c r="AK433" s="314">
        <f t="shared" si="481"/>
        <v>0</v>
      </c>
      <c r="AL433" s="314">
        <f t="shared" si="482"/>
        <v>0</v>
      </c>
      <c r="AM433" s="314">
        <f t="shared" si="483"/>
        <v>0</v>
      </c>
      <c r="AN433" s="314">
        <f t="shared" si="484"/>
        <v>0</v>
      </c>
      <c r="AO433" s="314">
        <f t="shared" si="485"/>
        <v>0</v>
      </c>
      <c r="AP433" s="314">
        <f t="shared" si="486"/>
        <v>0</v>
      </c>
    </row>
    <row r="434" spans="1:42">
      <c r="A434" s="583" t="s">
        <v>47</v>
      </c>
      <c r="B434" s="316" t="s">
        <v>844</v>
      </c>
      <c r="C434" s="304"/>
      <c r="D434" s="304">
        <f>SUM(D435:D440)</f>
        <v>2077</v>
      </c>
      <c r="E434" s="304">
        <f t="shared" ref="E434:AC434" si="526">SUM(E435:E440)</f>
        <v>2182</v>
      </c>
      <c r="F434" s="304">
        <f t="shared" si="526"/>
        <v>2182</v>
      </c>
      <c r="G434" s="304">
        <f t="shared" si="526"/>
        <v>105</v>
      </c>
      <c r="H434" s="304">
        <f t="shared" si="526"/>
        <v>2182</v>
      </c>
      <c r="I434" s="304">
        <f t="shared" si="526"/>
        <v>0</v>
      </c>
      <c r="J434" s="304">
        <f t="shared" si="526"/>
        <v>0</v>
      </c>
      <c r="K434" s="304">
        <f t="shared" si="526"/>
        <v>0</v>
      </c>
      <c r="L434" s="304">
        <f t="shared" si="526"/>
        <v>0</v>
      </c>
      <c r="M434" s="304">
        <f t="shared" si="526"/>
        <v>0</v>
      </c>
      <c r="N434" s="304">
        <f t="shared" si="526"/>
        <v>0</v>
      </c>
      <c r="O434" s="304">
        <f t="shared" si="526"/>
        <v>0</v>
      </c>
      <c r="P434" s="304">
        <f t="shared" si="526"/>
        <v>0</v>
      </c>
      <c r="Q434" s="304">
        <f t="shared" si="526"/>
        <v>0</v>
      </c>
      <c r="R434" s="304">
        <f t="shared" si="526"/>
        <v>0</v>
      </c>
      <c r="S434" s="304">
        <f t="shared" si="526"/>
        <v>0</v>
      </c>
      <c r="T434" s="304">
        <f t="shared" si="526"/>
        <v>0</v>
      </c>
      <c r="U434" s="304">
        <f t="shared" si="526"/>
        <v>0</v>
      </c>
      <c r="V434" s="304">
        <f t="shared" si="526"/>
        <v>0</v>
      </c>
      <c r="W434" s="304">
        <f t="shared" si="526"/>
        <v>2182</v>
      </c>
      <c r="X434" s="304">
        <f t="shared" si="526"/>
        <v>0</v>
      </c>
      <c r="Y434" s="304">
        <f t="shared" si="526"/>
        <v>0</v>
      </c>
      <c r="Z434" s="304">
        <f t="shared" si="526"/>
        <v>2077</v>
      </c>
      <c r="AA434" s="304">
        <f t="shared" si="526"/>
        <v>105</v>
      </c>
      <c r="AB434" s="304">
        <f t="shared" si="526"/>
        <v>0</v>
      </c>
      <c r="AC434" s="304">
        <f t="shared" si="526"/>
        <v>0</v>
      </c>
      <c r="AD434" s="303">
        <v>218</v>
      </c>
      <c r="AE434" s="303">
        <f>E434-AD434</f>
        <v>1964</v>
      </c>
      <c r="AF434" s="317"/>
      <c r="AG434" s="314">
        <f t="shared" si="477"/>
        <v>0</v>
      </c>
      <c r="AH434" s="696">
        <f t="shared" si="478"/>
        <v>0</v>
      </c>
      <c r="AI434" s="314">
        <f t="shared" si="479"/>
        <v>0</v>
      </c>
      <c r="AJ434" s="314">
        <f t="shared" si="480"/>
        <v>0</v>
      </c>
      <c r="AK434" s="314">
        <f t="shared" si="481"/>
        <v>0</v>
      </c>
      <c r="AL434" s="314">
        <f t="shared" si="482"/>
        <v>0</v>
      </c>
      <c r="AM434" s="314">
        <f t="shared" si="483"/>
        <v>0</v>
      </c>
      <c r="AN434" s="314">
        <f t="shared" si="484"/>
        <v>0</v>
      </c>
      <c r="AO434" s="314">
        <f t="shared" si="485"/>
        <v>0</v>
      </c>
      <c r="AP434" s="314">
        <f t="shared" si="486"/>
        <v>0</v>
      </c>
    </row>
    <row r="435" spans="1:42" ht="55.2" outlineLevel="1">
      <c r="A435" s="596" t="s">
        <v>23</v>
      </c>
      <c r="B435" s="316" t="s">
        <v>1480</v>
      </c>
      <c r="C435" s="304"/>
      <c r="D435" s="304">
        <v>736</v>
      </c>
      <c r="E435" s="304">
        <f t="shared" si="494"/>
        <v>736</v>
      </c>
      <c r="F435" s="304">
        <f t="shared" ref="F435:F440" si="527">H435-AB435</f>
        <v>736</v>
      </c>
      <c r="G435" s="304">
        <f t="shared" si="521"/>
        <v>0</v>
      </c>
      <c r="H435" s="303">
        <f t="shared" si="522"/>
        <v>736</v>
      </c>
      <c r="I435" s="303">
        <f t="shared" ref="I435:I440" si="528">M435+P435</f>
        <v>0</v>
      </c>
      <c r="J435" s="311"/>
      <c r="K435" s="311"/>
      <c r="L435" s="311"/>
      <c r="M435" s="303"/>
      <c r="N435" s="311"/>
      <c r="O435" s="311"/>
      <c r="P435" s="303">
        <f t="shared" ref="P435:P440" si="529">S435+T435</f>
        <v>0</v>
      </c>
      <c r="Q435" s="311"/>
      <c r="R435" s="312"/>
      <c r="S435" s="304"/>
      <c r="T435" s="303">
        <f t="shared" ref="T435:T440" si="530">U435+V435</f>
        <v>0</v>
      </c>
      <c r="U435" s="304"/>
      <c r="V435" s="304"/>
      <c r="W435" s="303">
        <f t="shared" ref="W435:W440" si="531">Z435+AA435</f>
        <v>736</v>
      </c>
      <c r="X435" s="303"/>
      <c r="Y435" s="303"/>
      <c r="Z435" s="304">
        <f>120+453+163</f>
        <v>736</v>
      </c>
      <c r="AA435" s="304"/>
      <c r="AB435" s="304"/>
      <c r="AC435" s="304"/>
      <c r="AD435" s="304"/>
      <c r="AE435" s="304"/>
      <c r="AF435" s="317"/>
      <c r="AG435" s="314">
        <f t="shared" si="477"/>
        <v>0</v>
      </c>
      <c r="AH435" s="696">
        <f t="shared" si="478"/>
        <v>0</v>
      </c>
      <c r="AI435" s="314">
        <f t="shared" si="479"/>
        <v>0</v>
      </c>
      <c r="AJ435" s="314">
        <f t="shared" si="480"/>
        <v>0</v>
      </c>
      <c r="AK435" s="314">
        <f t="shared" si="481"/>
        <v>0</v>
      </c>
      <c r="AL435" s="314">
        <f t="shared" si="482"/>
        <v>0</v>
      </c>
      <c r="AM435" s="314">
        <f t="shared" si="483"/>
        <v>0</v>
      </c>
      <c r="AN435" s="314">
        <f t="shared" si="484"/>
        <v>0</v>
      </c>
      <c r="AO435" s="314">
        <f t="shared" si="485"/>
        <v>0</v>
      </c>
      <c r="AP435" s="314">
        <f t="shared" si="486"/>
        <v>0</v>
      </c>
    </row>
    <row r="436" spans="1:42" ht="41.4" outlineLevel="1">
      <c r="A436" s="596" t="s">
        <v>23</v>
      </c>
      <c r="B436" s="329" t="s">
        <v>992</v>
      </c>
      <c r="C436" s="308"/>
      <c r="D436" s="304">
        <v>100</v>
      </c>
      <c r="E436" s="304">
        <f t="shared" si="494"/>
        <v>100</v>
      </c>
      <c r="F436" s="304">
        <f t="shared" si="527"/>
        <v>100</v>
      </c>
      <c r="G436" s="304">
        <f t="shared" si="521"/>
        <v>0</v>
      </c>
      <c r="H436" s="303">
        <f t="shared" si="522"/>
        <v>100</v>
      </c>
      <c r="I436" s="303">
        <f t="shared" si="528"/>
        <v>0</v>
      </c>
      <c r="J436" s="311"/>
      <c r="K436" s="311"/>
      <c r="L436" s="311"/>
      <c r="M436" s="303"/>
      <c r="N436" s="311"/>
      <c r="O436" s="311"/>
      <c r="P436" s="303">
        <f t="shared" si="529"/>
        <v>0</v>
      </c>
      <c r="Q436" s="311"/>
      <c r="R436" s="312"/>
      <c r="S436" s="304"/>
      <c r="T436" s="303">
        <f t="shared" si="530"/>
        <v>0</v>
      </c>
      <c r="U436" s="304"/>
      <c r="V436" s="304"/>
      <c r="W436" s="303">
        <f t="shared" si="531"/>
        <v>100</v>
      </c>
      <c r="X436" s="303"/>
      <c r="Y436" s="303"/>
      <c r="Z436" s="304">
        <f>72+28</f>
        <v>100</v>
      </c>
      <c r="AA436" s="304"/>
      <c r="AB436" s="304"/>
      <c r="AC436" s="304"/>
      <c r="AD436" s="304"/>
      <c r="AE436" s="304"/>
      <c r="AF436" s="332"/>
      <c r="AG436" s="314">
        <f t="shared" si="477"/>
        <v>0</v>
      </c>
      <c r="AH436" s="696">
        <f t="shared" si="478"/>
        <v>0</v>
      </c>
      <c r="AI436" s="314">
        <f t="shared" si="479"/>
        <v>0</v>
      </c>
      <c r="AJ436" s="314">
        <f t="shared" si="480"/>
        <v>0</v>
      </c>
      <c r="AK436" s="314">
        <f t="shared" si="481"/>
        <v>0</v>
      </c>
      <c r="AL436" s="314">
        <f t="shared" si="482"/>
        <v>0</v>
      </c>
      <c r="AM436" s="314">
        <f t="shared" si="483"/>
        <v>0</v>
      </c>
      <c r="AN436" s="314">
        <f t="shared" si="484"/>
        <v>0</v>
      </c>
      <c r="AO436" s="314">
        <f t="shared" si="485"/>
        <v>0</v>
      </c>
      <c r="AP436" s="314">
        <f t="shared" si="486"/>
        <v>0</v>
      </c>
    </row>
    <row r="437" spans="1:42" ht="55.2" outlineLevel="1">
      <c r="A437" s="596" t="s">
        <v>23</v>
      </c>
      <c r="B437" s="329" t="s">
        <v>1481</v>
      </c>
      <c r="C437" s="308"/>
      <c r="D437" s="304">
        <v>650</v>
      </c>
      <c r="E437" s="304">
        <f t="shared" si="494"/>
        <v>694</v>
      </c>
      <c r="F437" s="304">
        <f t="shared" si="527"/>
        <v>694</v>
      </c>
      <c r="G437" s="304">
        <f t="shared" si="521"/>
        <v>44</v>
      </c>
      <c r="H437" s="303">
        <f t="shared" si="522"/>
        <v>694</v>
      </c>
      <c r="I437" s="303">
        <f t="shared" si="528"/>
        <v>0</v>
      </c>
      <c r="J437" s="311"/>
      <c r="K437" s="311"/>
      <c r="L437" s="311"/>
      <c r="M437" s="303"/>
      <c r="N437" s="311"/>
      <c r="O437" s="311"/>
      <c r="P437" s="303">
        <f t="shared" si="529"/>
        <v>0</v>
      </c>
      <c r="Q437" s="311"/>
      <c r="R437" s="312"/>
      <c r="S437" s="304"/>
      <c r="T437" s="303">
        <f t="shared" si="530"/>
        <v>0</v>
      </c>
      <c r="U437" s="304"/>
      <c r="V437" s="304"/>
      <c r="W437" s="303">
        <f t="shared" si="531"/>
        <v>694</v>
      </c>
      <c r="X437" s="303"/>
      <c r="Y437" s="303"/>
      <c r="Z437" s="304">
        <v>650</v>
      </c>
      <c r="AA437" s="304">
        <v>44</v>
      </c>
      <c r="AB437" s="304"/>
      <c r="AC437" s="304"/>
      <c r="AD437" s="304"/>
      <c r="AE437" s="304"/>
      <c r="AF437" s="332"/>
      <c r="AG437" s="314">
        <f t="shared" si="477"/>
        <v>0</v>
      </c>
      <c r="AH437" s="696">
        <f t="shared" si="478"/>
        <v>0</v>
      </c>
      <c r="AI437" s="314">
        <f t="shared" si="479"/>
        <v>0</v>
      </c>
      <c r="AJ437" s="314">
        <f t="shared" si="480"/>
        <v>0</v>
      </c>
      <c r="AK437" s="314">
        <f t="shared" si="481"/>
        <v>0</v>
      </c>
      <c r="AL437" s="314">
        <f t="shared" si="482"/>
        <v>0</v>
      </c>
      <c r="AM437" s="314">
        <f t="shared" si="483"/>
        <v>0</v>
      </c>
      <c r="AN437" s="314">
        <f t="shared" si="484"/>
        <v>0</v>
      </c>
      <c r="AO437" s="314">
        <f t="shared" si="485"/>
        <v>0</v>
      </c>
      <c r="AP437" s="314">
        <f t="shared" si="486"/>
        <v>0</v>
      </c>
    </row>
    <row r="438" spans="1:42" outlineLevel="1">
      <c r="A438" s="596" t="s">
        <v>23</v>
      </c>
      <c r="B438" s="329" t="s">
        <v>1620</v>
      </c>
      <c r="C438" s="308"/>
      <c r="D438" s="304">
        <v>100</v>
      </c>
      <c r="E438" s="304">
        <f t="shared" si="494"/>
        <v>100</v>
      </c>
      <c r="F438" s="304">
        <f t="shared" si="527"/>
        <v>100</v>
      </c>
      <c r="G438" s="304">
        <f t="shared" si="521"/>
        <v>0</v>
      </c>
      <c r="H438" s="303">
        <f t="shared" si="522"/>
        <v>100</v>
      </c>
      <c r="I438" s="303">
        <f t="shared" si="528"/>
        <v>0</v>
      </c>
      <c r="J438" s="311"/>
      <c r="K438" s="311"/>
      <c r="L438" s="311"/>
      <c r="M438" s="303"/>
      <c r="N438" s="311"/>
      <c r="O438" s="311"/>
      <c r="P438" s="303">
        <f t="shared" si="529"/>
        <v>0</v>
      </c>
      <c r="Q438" s="311"/>
      <c r="R438" s="312"/>
      <c r="S438" s="304"/>
      <c r="T438" s="303">
        <f t="shared" si="530"/>
        <v>0</v>
      </c>
      <c r="U438" s="304"/>
      <c r="V438" s="304"/>
      <c r="W438" s="303">
        <f t="shared" si="531"/>
        <v>100</v>
      </c>
      <c r="X438" s="303"/>
      <c r="Y438" s="303"/>
      <c r="Z438" s="304">
        <v>100</v>
      </c>
      <c r="AA438" s="304"/>
      <c r="AB438" s="304"/>
      <c r="AC438" s="304"/>
      <c r="AD438" s="304"/>
      <c r="AE438" s="304"/>
      <c r="AF438" s="332"/>
      <c r="AG438" s="314">
        <f t="shared" si="477"/>
        <v>0</v>
      </c>
      <c r="AH438" s="696">
        <f t="shared" si="478"/>
        <v>0</v>
      </c>
      <c r="AI438" s="314">
        <f t="shared" si="479"/>
        <v>0</v>
      </c>
      <c r="AJ438" s="314">
        <f t="shared" si="480"/>
        <v>0</v>
      </c>
      <c r="AK438" s="314">
        <f t="shared" si="481"/>
        <v>0</v>
      </c>
      <c r="AL438" s="314">
        <f t="shared" si="482"/>
        <v>0</v>
      </c>
      <c r="AM438" s="314">
        <f t="shared" si="483"/>
        <v>0</v>
      </c>
      <c r="AN438" s="314">
        <f t="shared" si="484"/>
        <v>0</v>
      </c>
      <c r="AO438" s="314">
        <f t="shared" si="485"/>
        <v>0</v>
      </c>
      <c r="AP438" s="314">
        <f t="shared" si="486"/>
        <v>0</v>
      </c>
    </row>
    <row r="439" spans="1:42" ht="69" outlineLevel="1">
      <c r="A439" s="596" t="s">
        <v>23</v>
      </c>
      <c r="B439" s="329" t="s">
        <v>2144</v>
      </c>
      <c r="C439" s="308"/>
      <c r="D439" s="304">
        <v>491</v>
      </c>
      <c r="E439" s="304">
        <f t="shared" si="494"/>
        <v>491</v>
      </c>
      <c r="F439" s="304">
        <f t="shared" si="527"/>
        <v>491</v>
      </c>
      <c r="G439" s="304">
        <f t="shared" si="521"/>
        <v>0</v>
      </c>
      <c r="H439" s="303">
        <f t="shared" si="522"/>
        <v>491</v>
      </c>
      <c r="I439" s="303">
        <f t="shared" si="528"/>
        <v>0</v>
      </c>
      <c r="J439" s="311"/>
      <c r="K439" s="311"/>
      <c r="L439" s="311"/>
      <c r="M439" s="303"/>
      <c r="N439" s="311"/>
      <c r="O439" s="311"/>
      <c r="P439" s="303">
        <f t="shared" si="529"/>
        <v>0</v>
      </c>
      <c r="Q439" s="311"/>
      <c r="R439" s="312"/>
      <c r="S439" s="304"/>
      <c r="T439" s="303">
        <f t="shared" si="530"/>
        <v>0</v>
      </c>
      <c r="U439" s="304"/>
      <c r="V439" s="304"/>
      <c r="W439" s="303">
        <f t="shared" si="531"/>
        <v>491</v>
      </c>
      <c r="X439" s="303"/>
      <c r="Y439" s="303"/>
      <c r="Z439" s="304">
        <v>491</v>
      </c>
      <c r="AA439" s="304"/>
      <c r="AB439" s="304"/>
      <c r="AC439" s="304"/>
      <c r="AD439" s="304"/>
      <c r="AE439" s="304"/>
      <c r="AF439" s="332"/>
      <c r="AG439" s="314">
        <f t="shared" si="477"/>
        <v>0</v>
      </c>
      <c r="AH439" s="696">
        <f t="shared" si="478"/>
        <v>0</v>
      </c>
      <c r="AI439" s="314">
        <f t="shared" si="479"/>
        <v>0</v>
      </c>
      <c r="AJ439" s="314">
        <f t="shared" si="480"/>
        <v>0</v>
      </c>
      <c r="AK439" s="314">
        <f t="shared" si="481"/>
        <v>0</v>
      </c>
      <c r="AL439" s="314">
        <f t="shared" si="482"/>
        <v>0</v>
      </c>
      <c r="AM439" s="314">
        <f t="shared" si="483"/>
        <v>0</v>
      </c>
      <c r="AN439" s="314">
        <f t="shared" si="484"/>
        <v>0</v>
      </c>
      <c r="AO439" s="314">
        <f t="shared" si="485"/>
        <v>0</v>
      </c>
      <c r="AP439" s="314">
        <f t="shared" si="486"/>
        <v>0</v>
      </c>
    </row>
    <row r="440" spans="1:42" ht="69" hidden="1" outlineLevel="3">
      <c r="A440" s="583"/>
      <c r="B440" s="324" t="s">
        <v>2145</v>
      </c>
      <c r="C440" s="317"/>
      <c r="D440" s="304"/>
      <c r="E440" s="304">
        <f t="shared" si="494"/>
        <v>61</v>
      </c>
      <c r="F440" s="304">
        <f t="shared" si="527"/>
        <v>61</v>
      </c>
      <c r="G440" s="304">
        <f t="shared" si="521"/>
        <v>61</v>
      </c>
      <c r="H440" s="303">
        <f t="shared" si="522"/>
        <v>61</v>
      </c>
      <c r="I440" s="303">
        <f t="shared" si="528"/>
        <v>0</v>
      </c>
      <c r="J440" s="311"/>
      <c r="K440" s="311"/>
      <c r="L440" s="311"/>
      <c r="M440" s="303"/>
      <c r="N440" s="311"/>
      <c r="O440" s="311"/>
      <c r="P440" s="303">
        <f t="shared" si="529"/>
        <v>0</v>
      </c>
      <c r="Q440" s="311"/>
      <c r="R440" s="312"/>
      <c r="S440" s="304"/>
      <c r="T440" s="303">
        <f t="shared" si="530"/>
        <v>0</v>
      </c>
      <c r="U440" s="304"/>
      <c r="V440" s="304"/>
      <c r="W440" s="303">
        <f t="shared" si="531"/>
        <v>61</v>
      </c>
      <c r="X440" s="303"/>
      <c r="Y440" s="303"/>
      <c r="Z440" s="303"/>
      <c r="AA440" s="303">
        <v>61</v>
      </c>
      <c r="AB440" s="304"/>
      <c r="AC440" s="304"/>
      <c r="AD440" s="304"/>
      <c r="AE440" s="304"/>
      <c r="AF440" s="317" t="s">
        <v>2318</v>
      </c>
      <c r="AG440" s="314">
        <f t="shared" si="477"/>
        <v>0</v>
      </c>
      <c r="AH440" s="696">
        <f t="shared" si="478"/>
        <v>0</v>
      </c>
      <c r="AI440" s="314">
        <f t="shared" si="479"/>
        <v>0</v>
      </c>
      <c r="AJ440" s="314">
        <f t="shared" si="480"/>
        <v>0</v>
      </c>
      <c r="AK440" s="314">
        <f t="shared" si="481"/>
        <v>0</v>
      </c>
      <c r="AL440" s="314">
        <f t="shared" si="482"/>
        <v>0</v>
      </c>
      <c r="AM440" s="314">
        <f t="shared" si="483"/>
        <v>0</v>
      </c>
      <c r="AN440" s="314">
        <f t="shared" si="484"/>
        <v>0</v>
      </c>
      <c r="AO440" s="314">
        <f t="shared" si="485"/>
        <v>0</v>
      </c>
      <c r="AP440" s="314">
        <f t="shared" si="486"/>
        <v>0</v>
      </c>
    </row>
    <row r="441" spans="1:42" s="314" customFormat="1">
      <c r="A441" s="592" t="s">
        <v>80</v>
      </c>
      <c r="B441" s="320" t="s">
        <v>993</v>
      </c>
      <c r="C441" s="297"/>
      <c r="D441" s="299">
        <f t="shared" ref="D441:AE441" si="532">D442+D481+D489+D491</f>
        <v>84041</v>
      </c>
      <c r="E441" s="299">
        <f t="shared" si="532"/>
        <v>98358</v>
      </c>
      <c r="F441" s="299">
        <f t="shared" si="532"/>
        <v>92055</v>
      </c>
      <c r="G441" s="299">
        <f t="shared" si="532"/>
        <v>8014</v>
      </c>
      <c r="H441" s="299">
        <f t="shared" si="532"/>
        <v>92275</v>
      </c>
      <c r="I441" s="299">
        <f t="shared" si="532"/>
        <v>69370</v>
      </c>
      <c r="J441" s="299">
        <f t="shared" si="532"/>
        <v>201</v>
      </c>
      <c r="K441" s="299">
        <f t="shared" si="532"/>
        <v>193</v>
      </c>
      <c r="L441" s="299">
        <f t="shared" si="532"/>
        <v>8</v>
      </c>
      <c r="M441" s="299">
        <f t="shared" si="532"/>
        <v>30294</v>
      </c>
      <c r="N441" s="299">
        <f t="shared" si="532"/>
        <v>29641</v>
      </c>
      <c r="O441" s="299">
        <f t="shared" si="532"/>
        <v>653</v>
      </c>
      <c r="P441" s="299">
        <f t="shared" si="532"/>
        <v>39076</v>
      </c>
      <c r="Q441" s="299">
        <f t="shared" si="532"/>
        <v>29</v>
      </c>
      <c r="R441" s="299">
        <f t="shared" si="532"/>
        <v>1</v>
      </c>
      <c r="S441" s="299">
        <f t="shared" si="532"/>
        <v>16570</v>
      </c>
      <c r="T441" s="299">
        <f t="shared" si="532"/>
        <v>22506</v>
      </c>
      <c r="U441" s="299">
        <f t="shared" si="532"/>
        <v>16591</v>
      </c>
      <c r="V441" s="299">
        <f t="shared" si="532"/>
        <v>5915</v>
      </c>
      <c r="W441" s="299">
        <f t="shared" si="532"/>
        <v>22905</v>
      </c>
      <c r="X441" s="299">
        <f t="shared" si="532"/>
        <v>0</v>
      </c>
      <c r="Y441" s="299">
        <f t="shared" si="532"/>
        <v>0</v>
      </c>
      <c r="Z441" s="299">
        <f t="shared" si="532"/>
        <v>21413</v>
      </c>
      <c r="AA441" s="299">
        <f t="shared" si="532"/>
        <v>1492</v>
      </c>
      <c r="AB441" s="299">
        <f t="shared" si="532"/>
        <v>220</v>
      </c>
      <c r="AC441" s="299">
        <f t="shared" si="532"/>
        <v>6303</v>
      </c>
      <c r="AD441" s="299">
        <f t="shared" si="532"/>
        <v>3134</v>
      </c>
      <c r="AE441" s="299">
        <f t="shared" si="532"/>
        <v>95224</v>
      </c>
      <c r="AF441" s="321"/>
      <c r="AG441" s="314">
        <f t="shared" si="477"/>
        <v>0</v>
      </c>
      <c r="AH441" s="696">
        <f t="shared" si="478"/>
        <v>0</v>
      </c>
      <c r="AI441" s="314">
        <f t="shared" si="479"/>
        <v>0</v>
      </c>
      <c r="AJ441" s="314">
        <f t="shared" si="480"/>
        <v>0</v>
      </c>
      <c r="AK441" s="314">
        <f t="shared" si="481"/>
        <v>0</v>
      </c>
      <c r="AL441" s="314">
        <f t="shared" si="482"/>
        <v>0</v>
      </c>
      <c r="AM441" s="314">
        <f t="shared" si="483"/>
        <v>0</v>
      </c>
      <c r="AN441" s="314">
        <f t="shared" si="484"/>
        <v>0</v>
      </c>
      <c r="AO441" s="314">
        <f t="shared" si="485"/>
        <v>0</v>
      </c>
      <c r="AP441" s="314">
        <f t="shared" si="486"/>
        <v>0</v>
      </c>
    </row>
    <row r="442" spans="1:42" s="314" customFormat="1">
      <c r="A442" s="592" t="s">
        <v>994</v>
      </c>
      <c r="B442" s="357" t="s">
        <v>826</v>
      </c>
      <c r="C442" s="298" t="s">
        <v>756</v>
      </c>
      <c r="D442" s="299">
        <f>D443+D452+D479+D480</f>
        <v>57993</v>
      </c>
      <c r="E442" s="299">
        <f>E443+E452+E479+E480</f>
        <v>71905</v>
      </c>
      <c r="F442" s="299">
        <f>F443+F452+F479+F480</f>
        <v>66131</v>
      </c>
      <c r="G442" s="299">
        <f t="shared" ref="G442:G451" si="533">F442-D442</f>
        <v>8138</v>
      </c>
      <c r="H442" s="299">
        <f t="shared" ref="H442:P442" si="534">H443+H452+H479+H480</f>
        <v>66131</v>
      </c>
      <c r="I442" s="299">
        <f t="shared" si="534"/>
        <v>66131</v>
      </c>
      <c r="J442" s="299">
        <f t="shared" si="534"/>
        <v>177</v>
      </c>
      <c r="K442" s="299">
        <f t="shared" si="534"/>
        <v>169</v>
      </c>
      <c r="L442" s="299">
        <f t="shared" si="534"/>
        <v>8</v>
      </c>
      <c r="M442" s="299">
        <f t="shared" si="534"/>
        <v>27751</v>
      </c>
      <c r="N442" s="299">
        <f t="shared" si="534"/>
        <v>27098</v>
      </c>
      <c r="O442" s="299">
        <f t="shared" si="534"/>
        <v>653</v>
      </c>
      <c r="P442" s="299">
        <f t="shared" si="534"/>
        <v>38380</v>
      </c>
      <c r="Q442" s="299"/>
      <c r="R442" s="299"/>
      <c r="S442" s="299">
        <f>S443+S452+S479+S480</f>
        <v>15874</v>
      </c>
      <c r="T442" s="299">
        <f>T443+T452+T479+T480</f>
        <v>22506</v>
      </c>
      <c r="U442" s="299">
        <f>U443+U452+U479+U480</f>
        <v>16591</v>
      </c>
      <c r="V442" s="299">
        <f>V443+V452+V479+V480</f>
        <v>5915</v>
      </c>
      <c r="W442" s="299">
        <f>W443+W452+W479+W480</f>
        <v>0</v>
      </c>
      <c r="X442" s="299"/>
      <c r="Y442" s="299"/>
      <c r="Z442" s="299">
        <f t="shared" ref="Z442:AE442" si="535">Z443+Z452+Z479+Z480</f>
        <v>0</v>
      </c>
      <c r="AA442" s="299">
        <f t="shared" si="535"/>
        <v>0</v>
      </c>
      <c r="AB442" s="299">
        <f t="shared" si="535"/>
        <v>0</v>
      </c>
      <c r="AC442" s="299">
        <f t="shared" si="535"/>
        <v>5774</v>
      </c>
      <c r="AD442" s="299">
        <f t="shared" si="535"/>
        <v>2990</v>
      </c>
      <c r="AE442" s="299">
        <f t="shared" si="535"/>
        <v>68915</v>
      </c>
      <c r="AF442" s="321"/>
      <c r="AG442" s="314">
        <f t="shared" si="477"/>
        <v>0</v>
      </c>
      <c r="AH442" s="696">
        <f t="shared" si="478"/>
        <v>0</v>
      </c>
      <c r="AI442" s="314">
        <f t="shared" si="479"/>
        <v>0</v>
      </c>
      <c r="AJ442" s="314">
        <f t="shared" si="480"/>
        <v>0</v>
      </c>
      <c r="AK442" s="314">
        <f t="shared" si="481"/>
        <v>0</v>
      </c>
      <c r="AL442" s="314">
        <f t="shared" si="482"/>
        <v>0</v>
      </c>
      <c r="AM442" s="314">
        <f t="shared" si="483"/>
        <v>0</v>
      </c>
      <c r="AN442" s="314">
        <f t="shared" si="484"/>
        <v>0</v>
      </c>
      <c r="AO442" s="314">
        <f t="shared" si="485"/>
        <v>0</v>
      </c>
      <c r="AP442" s="314">
        <f t="shared" si="486"/>
        <v>0</v>
      </c>
    </row>
    <row r="443" spans="1:42">
      <c r="A443" s="583" t="s">
        <v>45</v>
      </c>
      <c r="B443" s="324" t="s">
        <v>862</v>
      </c>
      <c r="C443" s="304"/>
      <c r="D443" s="303">
        <f t="shared" ref="D443" si="536">D444+D445+D446+D447+D449+D450+D451</f>
        <v>41340</v>
      </c>
      <c r="E443" s="303">
        <f>E444+E445+E446+E447+E449+E450+E451</f>
        <v>49399</v>
      </c>
      <c r="F443" s="303">
        <f>F444+F445+F446+F447+F449+F450+F451</f>
        <v>43625</v>
      </c>
      <c r="G443" s="303">
        <f t="shared" si="533"/>
        <v>2285</v>
      </c>
      <c r="H443" s="303">
        <f t="shared" ref="H443:Z443" si="537">H444+H445+H446+H447+H449+H450+H451</f>
        <v>43625</v>
      </c>
      <c r="I443" s="303">
        <f t="shared" si="537"/>
        <v>43625</v>
      </c>
      <c r="J443" s="303">
        <f t="shared" si="537"/>
        <v>177</v>
      </c>
      <c r="K443" s="303">
        <f t="shared" si="537"/>
        <v>169</v>
      </c>
      <c r="L443" s="303">
        <f t="shared" si="537"/>
        <v>8</v>
      </c>
      <c r="M443" s="303">
        <f t="shared" si="537"/>
        <v>27751</v>
      </c>
      <c r="N443" s="303">
        <f t="shared" si="537"/>
        <v>27098</v>
      </c>
      <c r="O443" s="303">
        <f t="shared" si="537"/>
        <v>653</v>
      </c>
      <c r="P443" s="303">
        <f t="shared" si="537"/>
        <v>15874</v>
      </c>
      <c r="Q443" s="303"/>
      <c r="R443" s="303"/>
      <c r="S443" s="303">
        <f t="shared" si="537"/>
        <v>15874</v>
      </c>
      <c r="T443" s="303">
        <f t="shared" si="537"/>
        <v>0</v>
      </c>
      <c r="U443" s="303">
        <f t="shared" si="537"/>
        <v>0</v>
      </c>
      <c r="V443" s="303">
        <f t="shared" si="537"/>
        <v>0</v>
      </c>
      <c r="W443" s="303">
        <f>W444+W445+W446+W447+W449+W450+W451</f>
        <v>0</v>
      </c>
      <c r="X443" s="303"/>
      <c r="Y443" s="303"/>
      <c r="Z443" s="303">
        <f t="shared" si="537"/>
        <v>0</v>
      </c>
      <c r="AA443" s="303">
        <f>AA444+AA445+AA446+AA447+AA449+AA450+AA451</f>
        <v>0</v>
      </c>
      <c r="AB443" s="303">
        <f>AB444+AB445+AB446+AB447+AB449+AB450+AB451</f>
        <v>0</v>
      </c>
      <c r="AC443" s="303">
        <f t="shared" ref="AC443:AE443" si="538">AC444+AC445+AC446+AC447+AC449+AC450+AC451</f>
        <v>5774</v>
      </c>
      <c r="AD443" s="303">
        <f t="shared" si="538"/>
        <v>1587</v>
      </c>
      <c r="AE443" s="303">
        <f t="shared" si="538"/>
        <v>47812</v>
      </c>
      <c r="AF443" s="317"/>
      <c r="AG443" s="314">
        <f t="shared" si="477"/>
        <v>0</v>
      </c>
      <c r="AH443" s="696">
        <f t="shared" si="478"/>
        <v>0</v>
      </c>
      <c r="AI443" s="314">
        <f t="shared" si="479"/>
        <v>0</v>
      </c>
      <c r="AJ443" s="314">
        <f t="shared" si="480"/>
        <v>0</v>
      </c>
      <c r="AK443" s="314">
        <f t="shared" si="481"/>
        <v>0</v>
      </c>
      <c r="AL443" s="314">
        <f t="shared" si="482"/>
        <v>0</v>
      </c>
      <c r="AM443" s="314">
        <f t="shared" si="483"/>
        <v>0</v>
      </c>
      <c r="AN443" s="314">
        <f t="shared" si="484"/>
        <v>0</v>
      </c>
      <c r="AO443" s="314">
        <f t="shared" si="485"/>
        <v>0</v>
      </c>
      <c r="AP443" s="314">
        <f t="shared" si="486"/>
        <v>0</v>
      </c>
    </row>
    <row r="444" spans="1:42" outlineLevel="1">
      <c r="A444" s="583" t="s">
        <v>23</v>
      </c>
      <c r="B444" s="329" t="s">
        <v>995</v>
      </c>
      <c r="C444" s="308"/>
      <c r="D444" s="304">
        <v>11582</v>
      </c>
      <c r="E444" s="304">
        <f t="shared" si="494"/>
        <v>11685</v>
      </c>
      <c r="F444" s="304">
        <f t="shared" ref="F444:F451" si="539">H444-AB444</f>
        <v>10375</v>
      </c>
      <c r="G444" s="304">
        <f t="shared" si="533"/>
        <v>-1207</v>
      </c>
      <c r="H444" s="303">
        <f t="shared" ref="H444:H451" si="540">I444+W444</f>
        <v>10375</v>
      </c>
      <c r="I444" s="303">
        <f t="shared" ref="I444:I451" si="541">M444+P444</f>
        <v>10375</v>
      </c>
      <c r="J444" s="294">
        <v>40</v>
      </c>
      <c r="K444" s="294">
        <v>40</v>
      </c>
      <c r="L444" s="294">
        <f>J444-K444</f>
        <v>0</v>
      </c>
      <c r="M444" s="304">
        <f>N444+O444</f>
        <v>6295</v>
      </c>
      <c r="N444" s="294">
        <v>6295</v>
      </c>
      <c r="O444" s="294">
        <v>0</v>
      </c>
      <c r="P444" s="303">
        <f t="shared" ref="P444:P450" si="542">S444+T444</f>
        <v>4080</v>
      </c>
      <c r="Q444" s="294">
        <v>34</v>
      </c>
      <c r="R444" s="305">
        <v>3</v>
      </c>
      <c r="S444" s="303">
        <f>ROUND(J444*Q444*R444,0)</f>
        <v>4080</v>
      </c>
      <c r="T444" s="303">
        <f t="shared" ref="T444:T450" si="543">U444+V444</f>
        <v>0</v>
      </c>
      <c r="U444" s="304"/>
      <c r="V444" s="304"/>
      <c r="W444" s="303">
        <f t="shared" ref="W444:W451" si="544">Z444+AA444</f>
        <v>0</v>
      </c>
      <c r="X444" s="303"/>
      <c r="Y444" s="303"/>
      <c r="Z444" s="304"/>
      <c r="AA444" s="304"/>
      <c r="AB444" s="304"/>
      <c r="AC444" s="304">
        <v>1310</v>
      </c>
      <c r="AD444" s="304">
        <v>408</v>
      </c>
      <c r="AE444" s="303">
        <f t="shared" ref="AE444:AE451" si="545">E444-AD444</f>
        <v>11277</v>
      </c>
      <c r="AF444" s="332"/>
      <c r="AG444" s="314">
        <f t="shared" si="477"/>
        <v>0</v>
      </c>
      <c r="AH444" s="696">
        <f t="shared" si="478"/>
        <v>0</v>
      </c>
      <c r="AI444" s="314">
        <f t="shared" si="479"/>
        <v>0</v>
      </c>
      <c r="AJ444" s="314">
        <f t="shared" si="480"/>
        <v>0</v>
      </c>
      <c r="AK444" s="314">
        <f t="shared" si="481"/>
        <v>0</v>
      </c>
      <c r="AL444" s="314">
        <f t="shared" si="482"/>
        <v>0</v>
      </c>
      <c r="AM444" s="314">
        <f t="shared" si="483"/>
        <v>0</v>
      </c>
      <c r="AN444" s="314">
        <f t="shared" si="484"/>
        <v>0</v>
      </c>
      <c r="AO444" s="314">
        <f t="shared" si="485"/>
        <v>0</v>
      </c>
      <c r="AP444" s="314">
        <f t="shared" si="486"/>
        <v>0</v>
      </c>
    </row>
    <row r="445" spans="1:42" outlineLevel="1">
      <c r="A445" s="583" t="s">
        <v>23</v>
      </c>
      <c r="B445" s="329" t="s">
        <v>996</v>
      </c>
      <c r="C445" s="308"/>
      <c r="D445" s="304">
        <v>6360</v>
      </c>
      <c r="E445" s="304">
        <f t="shared" si="494"/>
        <v>8188</v>
      </c>
      <c r="F445" s="304">
        <f t="shared" si="539"/>
        <v>7206</v>
      </c>
      <c r="G445" s="304">
        <f t="shared" si="533"/>
        <v>846</v>
      </c>
      <c r="H445" s="303">
        <f t="shared" si="540"/>
        <v>7206</v>
      </c>
      <c r="I445" s="303">
        <f t="shared" si="541"/>
        <v>7206</v>
      </c>
      <c r="J445" s="294">
        <v>30</v>
      </c>
      <c r="K445" s="294">
        <v>28</v>
      </c>
      <c r="L445" s="294">
        <f>J445-K445</f>
        <v>2</v>
      </c>
      <c r="M445" s="304">
        <f>N445+O445</f>
        <v>4722</v>
      </c>
      <c r="N445" s="294">
        <v>4559</v>
      </c>
      <c r="O445" s="294">
        <v>163</v>
      </c>
      <c r="P445" s="303">
        <f t="shared" si="542"/>
        <v>2484</v>
      </c>
      <c r="Q445" s="294">
        <v>36</v>
      </c>
      <c r="R445" s="305">
        <v>2.2999999999999998</v>
      </c>
      <c r="S445" s="303">
        <f t="shared" ref="S445:S451" si="546">ROUND(J445*Q445*R445,0)</f>
        <v>2484</v>
      </c>
      <c r="T445" s="303">
        <f t="shared" si="543"/>
        <v>0</v>
      </c>
      <c r="U445" s="304"/>
      <c r="V445" s="304"/>
      <c r="W445" s="303">
        <f t="shared" si="544"/>
        <v>0</v>
      </c>
      <c r="X445" s="303"/>
      <c r="Y445" s="303"/>
      <c r="Z445" s="304"/>
      <c r="AA445" s="304"/>
      <c r="AB445" s="304"/>
      <c r="AC445" s="304">
        <v>982</v>
      </c>
      <c r="AD445" s="304">
        <v>248</v>
      </c>
      <c r="AE445" s="303">
        <f t="shared" si="545"/>
        <v>7940</v>
      </c>
      <c r="AF445" s="332"/>
      <c r="AG445" s="314">
        <f t="shared" si="477"/>
        <v>0</v>
      </c>
      <c r="AH445" s="696">
        <f t="shared" si="478"/>
        <v>0</v>
      </c>
      <c r="AI445" s="314">
        <f t="shared" si="479"/>
        <v>0</v>
      </c>
      <c r="AJ445" s="314">
        <f t="shared" si="480"/>
        <v>0</v>
      </c>
      <c r="AK445" s="314">
        <f t="shared" si="481"/>
        <v>0</v>
      </c>
      <c r="AL445" s="314">
        <f t="shared" si="482"/>
        <v>0</v>
      </c>
      <c r="AM445" s="314">
        <f t="shared" si="483"/>
        <v>0</v>
      </c>
      <c r="AN445" s="314">
        <f t="shared" si="484"/>
        <v>0</v>
      </c>
      <c r="AO445" s="314">
        <f t="shared" si="485"/>
        <v>0</v>
      </c>
      <c r="AP445" s="314">
        <f t="shared" si="486"/>
        <v>0</v>
      </c>
    </row>
    <row r="446" spans="1:42" outlineLevel="1">
      <c r="A446" s="583" t="s">
        <v>23</v>
      </c>
      <c r="B446" s="329" t="s">
        <v>997</v>
      </c>
      <c r="C446" s="308"/>
      <c r="D446" s="304">
        <v>5493</v>
      </c>
      <c r="E446" s="304">
        <f t="shared" si="494"/>
        <v>6704</v>
      </c>
      <c r="F446" s="304">
        <f t="shared" si="539"/>
        <v>5906</v>
      </c>
      <c r="G446" s="304">
        <f t="shared" si="533"/>
        <v>413</v>
      </c>
      <c r="H446" s="303">
        <f t="shared" si="540"/>
        <v>5906</v>
      </c>
      <c r="I446" s="303">
        <f t="shared" si="541"/>
        <v>5906</v>
      </c>
      <c r="J446" s="294">
        <v>25</v>
      </c>
      <c r="K446" s="294">
        <v>24</v>
      </c>
      <c r="L446" s="294">
        <f>J446-K446</f>
        <v>1</v>
      </c>
      <c r="M446" s="304">
        <f>N446+O446</f>
        <v>3836</v>
      </c>
      <c r="N446" s="294">
        <v>3754</v>
      </c>
      <c r="O446" s="294">
        <v>82</v>
      </c>
      <c r="P446" s="303">
        <f t="shared" si="542"/>
        <v>2070</v>
      </c>
      <c r="Q446" s="294">
        <v>36</v>
      </c>
      <c r="R446" s="305">
        <v>2.2999999999999998</v>
      </c>
      <c r="S446" s="303">
        <f t="shared" si="546"/>
        <v>2070</v>
      </c>
      <c r="T446" s="303">
        <f t="shared" si="543"/>
        <v>0</v>
      </c>
      <c r="U446" s="304"/>
      <c r="V446" s="304"/>
      <c r="W446" s="303">
        <f t="shared" si="544"/>
        <v>0</v>
      </c>
      <c r="X446" s="303"/>
      <c r="Y446" s="303"/>
      <c r="Z446" s="304"/>
      <c r="AA446" s="304"/>
      <c r="AB446" s="304"/>
      <c r="AC446" s="304">
        <v>798</v>
      </c>
      <c r="AD446" s="304">
        <v>207</v>
      </c>
      <c r="AE446" s="303">
        <f t="shared" si="545"/>
        <v>6497</v>
      </c>
      <c r="AF446" s="332"/>
      <c r="AG446" s="314">
        <f t="shared" si="477"/>
        <v>0</v>
      </c>
      <c r="AH446" s="696">
        <f t="shared" si="478"/>
        <v>0</v>
      </c>
      <c r="AI446" s="314">
        <f t="shared" si="479"/>
        <v>0</v>
      </c>
      <c r="AJ446" s="314">
        <f t="shared" si="480"/>
        <v>0</v>
      </c>
      <c r="AK446" s="314">
        <f t="shared" si="481"/>
        <v>0</v>
      </c>
      <c r="AL446" s="314">
        <f t="shared" si="482"/>
        <v>0</v>
      </c>
      <c r="AM446" s="314">
        <f t="shared" si="483"/>
        <v>0</v>
      </c>
      <c r="AN446" s="314">
        <f t="shared" si="484"/>
        <v>0</v>
      </c>
      <c r="AO446" s="314">
        <f t="shared" si="485"/>
        <v>0</v>
      </c>
      <c r="AP446" s="314">
        <f t="shared" si="486"/>
        <v>0</v>
      </c>
    </row>
    <row r="447" spans="1:42" outlineLevel="1">
      <c r="A447" s="583" t="s">
        <v>23</v>
      </c>
      <c r="B447" s="329" t="s">
        <v>998</v>
      </c>
      <c r="C447" s="308"/>
      <c r="D447" s="304">
        <v>5825</v>
      </c>
      <c r="E447" s="304">
        <f t="shared" si="494"/>
        <v>7629</v>
      </c>
      <c r="F447" s="304">
        <f t="shared" si="539"/>
        <v>6749</v>
      </c>
      <c r="G447" s="304">
        <f t="shared" si="533"/>
        <v>924</v>
      </c>
      <c r="H447" s="303">
        <f t="shared" si="540"/>
        <v>6749</v>
      </c>
      <c r="I447" s="303">
        <f t="shared" si="541"/>
        <v>6749</v>
      </c>
      <c r="J447" s="294">
        <v>25</v>
      </c>
      <c r="K447" s="294">
        <v>22</v>
      </c>
      <c r="L447" s="294">
        <f>J447-K447</f>
        <v>3</v>
      </c>
      <c r="M447" s="304">
        <f>N447+O447</f>
        <v>4229</v>
      </c>
      <c r="N447" s="294">
        <v>3984</v>
      </c>
      <c r="O447" s="294">
        <v>245</v>
      </c>
      <c r="P447" s="303">
        <f t="shared" si="542"/>
        <v>2520</v>
      </c>
      <c r="Q447" s="294">
        <v>36</v>
      </c>
      <c r="R447" s="305">
        <v>2.8</v>
      </c>
      <c r="S447" s="303">
        <f t="shared" si="546"/>
        <v>2520</v>
      </c>
      <c r="T447" s="303">
        <f t="shared" si="543"/>
        <v>0</v>
      </c>
      <c r="U447" s="304"/>
      <c r="V447" s="304"/>
      <c r="W447" s="303">
        <f t="shared" si="544"/>
        <v>0</v>
      </c>
      <c r="X447" s="303"/>
      <c r="Y447" s="303"/>
      <c r="Z447" s="304"/>
      <c r="AA447" s="304"/>
      <c r="AB447" s="304"/>
      <c r="AC447" s="304">
        <v>880</v>
      </c>
      <c r="AD447" s="304">
        <v>252</v>
      </c>
      <c r="AE447" s="303">
        <f t="shared" si="545"/>
        <v>7377</v>
      </c>
      <c r="AF447" s="332"/>
      <c r="AG447" s="314">
        <f t="shared" si="477"/>
        <v>0</v>
      </c>
      <c r="AH447" s="696">
        <f t="shared" si="478"/>
        <v>0</v>
      </c>
      <c r="AI447" s="314">
        <f t="shared" si="479"/>
        <v>0</v>
      </c>
      <c r="AJ447" s="314">
        <f t="shared" si="480"/>
        <v>0</v>
      </c>
      <c r="AK447" s="314">
        <f t="shared" si="481"/>
        <v>0</v>
      </c>
      <c r="AL447" s="314">
        <f t="shared" si="482"/>
        <v>0</v>
      </c>
      <c r="AM447" s="314">
        <f t="shared" si="483"/>
        <v>0</v>
      </c>
      <c r="AN447" s="314">
        <f t="shared" si="484"/>
        <v>0</v>
      </c>
      <c r="AO447" s="314">
        <f t="shared" si="485"/>
        <v>0</v>
      </c>
      <c r="AP447" s="314">
        <f t="shared" si="486"/>
        <v>0</v>
      </c>
    </row>
    <row r="448" spans="1:42" outlineLevel="1" collapsed="1">
      <c r="A448" s="593"/>
      <c r="B448" s="329" t="s">
        <v>999</v>
      </c>
      <c r="C448" s="308"/>
      <c r="D448" s="304">
        <v>396</v>
      </c>
      <c r="E448" s="304">
        <f t="shared" si="494"/>
        <v>450</v>
      </c>
      <c r="F448" s="304">
        <f t="shared" si="539"/>
        <v>450</v>
      </c>
      <c r="G448" s="304">
        <f t="shared" si="533"/>
        <v>54</v>
      </c>
      <c r="H448" s="303">
        <f t="shared" si="540"/>
        <v>450</v>
      </c>
      <c r="I448" s="303">
        <f t="shared" si="541"/>
        <v>450</v>
      </c>
      <c r="J448" s="294"/>
      <c r="K448" s="294"/>
      <c r="L448" s="294"/>
      <c r="M448" s="304"/>
      <c r="N448" s="294"/>
      <c r="O448" s="294"/>
      <c r="P448" s="303">
        <f t="shared" si="542"/>
        <v>450</v>
      </c>
      <c r="Q448" s="294"/>
      <c r="R448" s="305"/>
      <c r="S448" s="304">
        <f>ROUND(J447*Q447*0.5,0)</f>
        <v>450</v>
      </c>
      <c r="T448" s="303">
        <f t="shared" si="543"/>
        <v>0</v>
      </c>
      <c r="U448" s="304"/>
      <c r="V448" s="304"/>
      <c r="W448" s="303">
        <f t="shared" si="544"/>
        <v>0</v>
      </c>
      <c r="X448" s="303"/>
      <c r="Y448" s="303"/>
      <c r="Z448" s="304"/>
      <c r="AA448" s="304"/>
      <c r="AB448" s="304"/>
      <c r="AC448" s="304"/>
      <c r="AD448" s="304">
        <v>45</v>
      </c>
      <c r="AE448" s="303">
        <f t="shared" si="545"/>
        <v>405</v>
      </c>
      <c r="AF448" s="332"/>
      <c r="AG448" s="314">
        <f t="shared" si="477"/>
        <v>0</v>
      </c>
      <c r="AH448" s="696">
        <f t="shared" si="478"/>
        <v>0</v>
      </c>
      <c r="AI448" s="314">
        <f t="shared" si="479"/>
        <v>0</v>
      </c>
      <c r="AJ448" s="314">
        <f t="shared" si="480"/>
        <v>0</v>
      </c>
      <c r="AK448" s="314">
        <f t="shared" si="481"/>
        <v>0</v>
      </c>
      <c r="AL448" s="314">
        <f t="shared" si="482"/>
        <v>0</v>
      </c>
      <c r="AM448" s="314">
        <f t="shared" si="483"/>
        <v>0</v>
      </c>
      <c r="AN448" s="314">
        <f t="shared" si="484"/>
        <v>0</v>
      </c>
      <c r="AO448" s="314">
        <f t="shared" si="485"/>
        <v>0</v>
      </c>
      <c r="AP448" s="314">
        <f t="shared" si="486"/>
        <v>0</v>
      </c>
    </row>
    <row r="449" spans="1:42" outlineLevel="1">
      <c r="A449" s="583" t="s">
        <v>23</v>
      </c>
      <c r="B449" s="329" t="s">
        <v>1000</v>
      </c>
      <c r="C449" s="308"/>
      <c r="D449" s="304">
        <v>4165</v>
      </c>
      <c r="E449" s="304">
        <f t="shared" si="494"/>
        <v>5020</v>
      </c>
      <c r="F449" s="304">
        <f t="shared" si="539"/>
        <v>4426</v>
      </c>
      <c r="G449" s="304">
        <f t="shared" si="533"/>
        <v>261</v>
      </c>
      <c r="H449" s="303">
        <f t="shared" si="540"/>
        <v>4426</v>
      </c>
      <c r="I449" s="303">
        <f t="shared" si="541"/>
        <v>4426</v>
      </c>
      <c r="J449" s="294">
        <v>19</v>
      </c>
      <c r="K449" s="294">
        <v>19</v>
      </c>
      <c r="L449" s="294">
        <f>J449-K449</f>
        <v>0</v>
      </c>
      <c r="M449" s="304">
        <f>N449+O449</f>
        <v>2853</v>
      </c>
      <c r="N449" s="294">
        <v>2853</v>
      </c>
      <c r="O449" s="294">
        <v>0</v>
      </c>
      <c r="P449" s="303">
        <f t="shared" si="542"/>
        <v>1573</v>
      </c>
      <c r="Q449" s="294">
        <v>36</v>
      </c>
      <c r="R449" s="305">
        <v>2.2999999999999998</v>
      </c>
      <c r="S449" s="303">
        <f t="shared" si="546"/>
        <v>1573</v>
      </c>
      <c r="T449" s="303">
        <f t="shared" si="543"/>
        <v>0</v>
      </c>
      <c r="U449" s="304"/>
      <c r="V449" s="304"/>
      <c r="W449" s="303">
        <f t="shared" si="544"/>
        <v>0</v>
      </c>
      <c r="X449" s="303"/>
      <c r="Y449" s="303"/>
      <c r="Z449" s="304"/>
      <c r="AA449" s="304"/>
      <c r="AB449" s="304"/>
      <c r="AC449" s="304">
        <v>594</v>
      </c>
      <c r="AD449" s="304">
        <v>157</v>
      </c>
      <c r="AE449" s="303">
        <f t="shared" si="545"/>
        <v>4863</v>
      </c>
      <c r="AF449" s="332"/>
      <c r="AG449" s="314">
        <f t="shared" si="477"/>
        <v>0</v>
      </c>
      <c r="AH449" s="696">
        <f t="shared" si="478"/>
        <v>0</v>
      </c>
      <c r="AI449" s="314">
        <f t="shared" si="479"/>
        <v>0</v>
      </c>
      <c r="AJ449" s="314">
        <f t="shared" si="480"/>
        <v>0</v>
      </c>
      <c r="AK449" s="314">
        <f t="shared" si="481"/>
        <v>0</v>
      </c>
      <c r="AL449" s="314">
        <f t="shared" si="482"/>
        <v>0</v>
      </c>
      <c r="AM449" s="314">
        <f t="shared" si="483"/>
        <v>0</v>
      </c>
      <c r="AN449" s="314">
        <f t="shared" si="484"/>
        <v>0</v>
      </c>
      <c r="AO449" s="314">
        <f t="shared" si="485"/>
        <v>0</v>
      </c>
      <c r="AP449" s="314">
        <f t="shared" si="486"/>
        <v>0</v>
      </c>
    </row>
    <row r="450" spans="1:42" outlineLevel="1">
      <c r="A450" s="583" t="s">
        <v>23</v>
      </c>
      <c r="B450" s="329" t="s">
        <v>1001</v>
      </c>
      <c r="C450" s="308"/>
      <c r="D450" s="304">
        <v>5580</v>
      </c>
      <c r="E450" s="304">
        <f t="shared" si="494"/>
        <v>6183</v>
      </c>
      <c r="F450" s="304">
        <f t="shared" si="539"/>
        <v>5432</v>
      </c>
      <c r="G450" s="304">
        <f t="shared" si="533"/>
        <v>-148</v>
      </c>
      <c r="H450" s="303">
        <f t="shared" si="540"/>
        <v>5432</v>
      </c>
      <c r="I450" s="303">
        <f t="shared" si="541"/>
        <v>5432</v>
      </c>
      <c r="J450" s="294">
        <v>22</v>
      </c>
      <c r="K450" s="294">
        <v>22</v>
      </c>
      <c r="L450" s="294">
        <f>J450-K450</f>
        <v>0</v>
      </c>
      <c r="M450" s="304">
        <f>N450+O450</f>
        <v>3610</v>
      </c>
      <c r="N450" s="294">
        <v>3610</v>
      </c>
      <c r="O450" s="294">
        <v>0</v>
      </c>
      <c r="P450" s="303">
        <f t="shared" si="542"/>
        <v>1822</v>
      </c>
      <c r="Q450" s="294">
        <v>36</v>
      </c>
      <c r="R450" s="305">
        <v>2.2999999999999998</v>
      </c>
      <c r="S450" s="303">
        <f t="shared" si="546"/>
        <v>1822</v>
      </c>
      <c r="T450" s="303">
        <f t="shared" si="543"/>
        <v>0</v>
      </c>
      <c r="U450" s="304"/>
      <c r="V450" s="304"/>
      <c r="W450" s="303">
        <f t="shared" si="544"/>
        <v>0</v>
      </c>
      <c r="X450" s="303"/>
      <c r="Y450" s="303"/>
      <c r="Z450" s="304"/>
      <c r="AA450" s="304"/>
      <c r="AB450" s="304"/>
      <c r="AC450" s="304">
        <v>751</v>
      </c>
      <c r="AD450" s="304">
        <v>182</v>
      </c>
      <c r="AE450" s="303">
        <f t="shared" si="545"/>
        <v>6001</v>
      </c>
      <c r="AF450" s="332"/>
      <c r="AG450" s="314">
        <f t="shared" si="477"/>
        <v>0</v>
      </c>
      <c r="AH450" s="696">
        <f t="shared" si="478"/>
        <v>0</v>
      </c>
      <c r="AI450" s="314">
        <f t="shared" si="479"/>
        <v>0</v>
      </c>
      <c r="AJ450" s="314">
        <f t="shared" si="480"/>
        <v>0</v>
      </c>
      <c r="AK450" s="314">
        <f t="shared" si="481"/>
        <v>0</v>
      </c>
      <c r="AL450" s="314">
        <f t="shared" si="482"/>
        <v>0</v>
      </c>
      <c r="AM450" s="314">
        <f t="shared" si="483"/>
        <v>0</v>
      </c>
      <c r="AN450" s="314">
        <f t="shared" si="484"/>
        <v>0</v>
      </c>
      <c r="AO450" s="314">
        <f t="shared" si="485"/>
        <v>0</v>
      </c>
      <c r="AP450" s="314">
        <f t="shared" si="486"/>
        <v>0</v>
      </c>
    </row>
    <row r="451" spans="1:42" outlineLevel="1">
      <c r="A451" s="583" t="s">
        <v>23</v>
      </c>
      <c r="B451" s="329" t="s">
        <v>1002</v>
      </c>
      <c r="C451" s="308"/>
      <c r="D451" s="304">
        <v>2335</v>
      </c>
      <c r="E451" s="304">
        <f t="shared" si="494"/>
        <v>3990</v>
      </c>
      <c r="F451" s="304">
        <f t="shared" si="539"/>
        <v>3531</v>
      </c>
      <c r="G451" s="304">
        <f t="shared" si="533"/>
        <v>1196</v>
      </c>
      <c r="H451" s="303">
        <f t="shared" si="540"/>
        <v>3531</v>
      </c>
      <c r="I451" s="303">
        <f t="shared" si="541"/>
        <v>3531</v>
      </c>
      <c r="J451" s="294">
        <v>16</v>
      </c>
      <c r="K451" s="294">
        <v>14</v>
      </c>
      <c r="L451" s="294">
        <f>J451-K451</f>
        <v>2</v>
      </c>
      <c r="M451" s="304">
        <f>N451+O451</f>
        <v>2206</v>
      </c>
      <c r="N451" s="294">
        <v>2043</v>
      </c>
      <c r="O451" s="294">
        <v>163</v>
      </c>
      <c r="P451" s="303">
        <f>S451+T451</f>
        <v>1325</v>
      </c>
      <c r="Q451" s="294">
        <v>36</v>
      </c>
      <c r="R451" s="305">
        <v>2.2999999999999998</v>
      </c>
      <c r="S451" s="303">
        <f t="shared" si="546"/>
        <v>1325</v>
      </c>
      <c r="T451" s="303">
        <f>U451+V451</f>
        <v>0</v>
      </c>
      <c r="U451" s="304"/>
      <c r="V451" s="304"/>
      <c r="W451" s="303">
        <f t="shared" si="544"/>
        <v>0</v>
      </c>
      <c r="X451" s="303"/>
      <c r="Y451" s="303"/>
      <c r="Z451" s="304"/>
      <c r="AA451" s="304"/>
      <c r="AB451" s="304"/>
      <c r="AC451" s="304">
        <v>459</v>
      </c>
      <c r="AD451" s="304">
        <v>133</v>
      </c>
      <c r="AE451" s="303">
        <f t="shared" si="545"/>
        <v>3857</v>
      </c>
      <c r="AF451" s="332"/>
      <c r="AG451" s="314">
        <f t="shared" si="477"/>
        <v>0</v>
      </c>
      <c r="AH451" s="696">
        <f t="shared" si="478"/>
        <v>0</v>
      </c>
      <c r="AI451" s="314">
        <f t="shared" si="479"/>
        <v>0</v>
      </c>
      <c r="AJ451" s="314">
        <f t="shared" si="480"/>
        <v>0</v>
      </c>
      <c r="AK451" s="314">
        <f t="shared" si="481"/>
        <v>0</v>
      </c>
      <c r="AL451" s="314">
        <f t="shared" si="482"/>
        <v>0</v>
      </c>
      <c r="AM451" s="314">
        <f t="shared" si="483"/>
        <v>0</v>
      </c>
      <c r="AN451" s="314">
        <f t="shared" si="484"/>
        <v>0</v>
      </c>
      <c r="AO451" s="314">
        <f t="shared" si="485"/>
        <v>0</v>
      </c>
      <c r="AP451" s="314">
        <f t="shared" si="486"/>
        <v>0</v>
      </c>
    </row>
    <row r="452" spans="1:42" ht="27.6">
      <c r="A452" s="583" t="s">
        <v>47</v>
      </c>
      <c r="B452" s="1273" t="s">
        <v>1737</v>
      </c>
      <c r="C452" s="304"/>
      <c r="D452" s="303">
        <f t="shared" ref="D452:AB452" si="547">D455+D456+D463+D464+D465+D457+D458+D466+D462+D467+D468+D470+D471+D472+D473+D474+D475+D477+D476+D454+D478</f>
        <v>9122</v>
      </c>
      <c r="E452" s="303">
        <f t="shared" si="547"/>
        <v>13183</v>
      </c>
      <c r="F452" s="303">
        <f t="shared" si="547"/>
        <v>13183</v>
      </c>
      <c r="G452" s="303">
        <f t="shared" si="547"/>
        <v>4061</v>
      </c>
      <c r="H452" s="303">
        <f t="shared" si="547"/>
        <v>13183</v>
      </c>
      <c r="I452" s="303">
        <f t="shared" si="547"/>
        <v>13183</v>
      </c>
      <c r="J452" s="303">
        <f t="shared" si="547"/>
        <v>0</v>
      </c>
      <c r="K452" s="303">
        <f t="shared" si="547"/>
        <v>0</v>
      </c>
      <c r="L452" s="303">
        <f t="shared" si="547"/>
        <v>0</v>
      </c>
      <c r="M452" s="303">
        <f t="shared" si="547"/>
        <v>0</v>
      </c>
      <c r="N452" s="303">
        <f t="shared" si="547"/>
        <v>0</v>
      </c>
      <c r="O452" s="303">
        <f t="shared" si="547"/>
        <v>0</v>
      </c>
      <c r="P452" s="303">
        <f t="shared" si="547"/>
        <v>13183</v>
      </c>
      <c r="Q452" s="303">
        <f t="shared" si="547"/>
        <v>0</v>
      </c>
      <c r="R452" s="303">
        <f t="shared" si="547"/>
        <v>0</v>
      </c>
      <c r="S452" s="303">
        <f t="shared" si="547"/>
        <v>0</v>
      </c>
      <c r="T452" s="303">
        <f t="shared" si="547"/>
        <v>13183</v>
      </c>
      <c r="U452" s="303">
        <f t="shared" si="547"/>
        <v>8900</v>
      </c>
      <c r="V452" s="303">
        <f>V455+V456+V463+V464+V465+V457+V458+V466+V462+V467+V468+V470+V471+V472+V473+V474+V475+V477+V476+V454+V478</f>
        <v>4283</v>
      </c>
      <c r="W452" s="303">
        <f t="shared" si="547"/>
        <v>0</v>
      </c>
      <c r="X452" s="303">
        <f t="shared" si="547"/>
        <v>0</v>
      </c>
      <c r="Y452" s="303">
        <f t="shared" si="547"/>
        <v>0</v>
      </c>
      <c r="Z452" s="303">
        <f t="shared" si="547"/>
        <v>0</v>
      </c>
      <c r="AA452" s="303">
        <f t="shared" si="547"/>
        <v>0</v>
      </c>
      <c r="AB452" s="303">
        <f t="shared" si="547"/>
        <v>0</v>
      </c>
      <c r="AC452" s="304"/>
      <c r="AD452" s="304">
        <v>471</v>
      </c>
      <c r="AE452" s="303">
        <f>E452-AD452</f>
        <v>12712</v>
      </c>
      <c r="AF452" s="317"/>
      <c r="AG452" s="314">
        <f t="shared" si="477"/>
        <v>0</v>
      </c>
      <c r="AH452" s="696">
        <f t="shared" si="478"/>
        <v>0</v>
      </c>
      <c r="AI452" s="314">
        <f t="shared" si="479"/>
        <v>0</v>
      </c>
      <c r="AJ452" s="314">
        <f t="shared" si="480"/>
        <v>0</v>
      </c>
      <c r="AK452" s="314">
        <f t="shared" si="481"/>
        <v>0</v>
      </c>
      <c r="AL452" s="314">
        <f t="shared" si="482"/>
        <v>0</v>
      </c>
      <c r="AM452" s="314">
        <f t="shared" si="483"/>
        <v>0</v>
      </c>
      <c r="AN452" s="314">
        <f t="shared" si="484"/>
        <v>0</v>
      </c>
      <c r="AO452" s="314">
        <f t="shared" si="485"/>
        <v>0</v>
      </c>
      <c r="AP452" s="314">
        <f t="shared" si="486"/>
        <v>0</v>
      </c>
    </row>
    <row r="453" spans="1:42" outlineLevel="1">
      <c r="A453" s="583"/>
      <c r="B453" s="324" t="s">
        <v>338</v>
      </c>
      <c r="C453" s="304"/>
      <c r="D453" s="304"/>
      <c r="E453" s="304">
        <f t="shared" si="494"/>
        <v>0</v>
      </c>
      <c r="F453" s="304"/>
      <c r="G453" s="304">
        <f>F453-D453</f>
        <v>0</v>
      </c>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303"/>
      <c r="AF453" s="317"/>
      <c r="AG453" s="314">
        <f t="shared" si="477"/>
        <v>0</v>
      </c>
      <c r="AH453" s="696">
        <f t="shared" si="478"/>
        <v>0</v>
      </c>
      <c r="AI453" s="314">
        <f t="shared" si="479"/>
        <v>0</v>
      </c>
      <c r="AJ453" s="314">
        <f t="shared" si="480"/>
        <v>0</v>
      </c>
      <c r="AK453" s="314">
        <f t="shared" si="481"/>
        <v>0</v>
      </c>
      <c r="AL453" s="314">
        <f t="shared" si="482"/>
        <v>0</v>
      </c>
      <c r="AM453" s="314">
        <f t="shared" si="483"/>
        <v>0</v>
      </c>
      <c r="AN453" s="314">
        <f t="shared" si="484"/>
        <v>0</v>
      </c>
      <c r="AO453" s="314">
        <f t="shared" si="485"/>
        <v>0</v>
      </c>
      <c r="AP453" s="314">
        <f t="shared" si="486"/>
        <v>0</v>
      </c>
    </row>
    <row r="454" spans="1:42" ht="69" outlineLevel="1">
      <c r="A454" s="583" t="s">
        <v>23</v>
      </c>
      <c r="B454" s="324" t="s">
        <v>2146</v>
      </c>
      <c r="C454" s="304"/>
      <c r="D454" s="304">
        <v>400</v>
      </c>
      <c r="E454" s="304">
        <f t="shared" si="494"/>
        <v>1604</v>
      </c>
      <c r="F454" s="304">
        <f>H454-AB454</f>
        <v>1604</v>
      </c>
      <c r="G454" s="304">
        <f>F454-D454</f>
        <v>1204</v>
      </c>
      <c r="H454" s="303">
        <f t="shared" ref="H454:H480" si="548">I454+W454</f>
        <v>1604</v>
      </c>
      <c r="I454" s="303">
        <f>M454+P454</f>
        <v>1604</v>
      </c>
      <c r="J454" s="330"/>
      <c r="K454" s="330"/>
      <c r="L454" s="330"/>
      <c r="M454" s="317"/>
      <c r="N454" s="330"/>
      <c r="O454" s="330"/>
      <c r="P454" s="303">
        <f t="shared" ref="P454:P480" si="549">S454+T454</f>
        <v>1604</v>
      </c>
      <c r="Q454" s="330"/>
      <c r="R454" s="331"/>
      <c r="S454" s="317"/>
      <c r="T454" s="303">
        <f t="shared" ref="T454:T467" si="550">U454+V454</f>
        <v>1604</v>
      </c>
      <c r="U454" s="303">
        <v>400</v>
      </c>
      <c r="V454" s="303">
        <v>1204</v>
      </c>
      <c r="W454" s="303"/>
      <c r="X454" s="303"/>
      <c r="Y454" s="303"/>
      <c r="Z454" s="303"/>
      <c r="AA454" s="303"/>
      <c r="AB454" s="303"/>
      <c r="AC454" s="303"/>
      <c r="AD454" s="303"/>
      <c r="AE454" s="303"/>
      <c r="AF454" s="317" t="s">
        <v>2319</v>
      </c>
      <c r="AG454" s="314">
        <f t="shared" si="477"/>
        <v>0</v>
      </c>
      <c r="AH454" s="696">
        <f t="shared" si="478"/>
        <v>0</v>
      </c>
      <c r="AI454" s="314">
        <f t="shared" si="479"/>
        <v>0</v>
      </c>
      <c r="AJ454" s="314">
        <f t="shared" si="480"/>
        <v>0</v>
      </c>
      <c r="AK454" s="314">
        <f t="shared" si="481"/>
        <v>0</v>
      </c>
      <c r="AL454" s="314">
        <f t="shared" si="482"/>
        <v>0</v>
      </c>
      <c r="AM454" s="314">
        <f t="shared" si="483"/>
        <v>0</v>
      </c>
      <c r="AN454" s="314">
        <f t="shared" si="484"/>
        <v>0</v>
      </c>
      <c r="AO454" s="314">
        <f t="shared" si="485"/>
        <v>0</v>
      </c>
      <c r="AP454" s="314">
        <f t="shared" si="486"/>
        <v>0</v>
      </c>
    </row>
    <row r="455" spans="1:42" ht="41.4" outlineLevel="1">
      <c r="A455" s="583" t="s">
        <v>23</v>
      </c>
      <c r="B455" s="316" t="s">
        <v>1747</v>
      </c>
      <c r="C455" s="317"/>
      <c r="D455" s="304">
        <v>50</v>
      </c>
      <c r="E455" s="304">
        <f t="shared" si="494"/>
        <v>50</v>
      </c>
      <c r="F455" s="304">
        <f>H455-AB455</f>
        <v>50</v>
      </c>
      <c r="G455" s="304">
        <f>F455-D455</f>
        <v>0</v>
      </c>
      <c r="H455" s="303">
        <f t="shared" si="548"/>
        <v>50</v>
      </c>
      <c r="I455" s="303">
        <f>M455+P455</f>
        <v>50</v>
      </c>
      <c r="J455" s="330"/>
      <c r="K455" s="330"/>
      <c r="L455" s="330"/>
      <c r="M455" s="317"/>
      <c r="N455" s="330"/>
      <c r="O455" s="330"/>
      <c r="P455" s="303">
        <f t="shared" si="549"/>
        <v>50</v>
      </c>
      <c r="Q455" s="330"/>
      <c r="R455" s="331"/>
      <c r="S455" s="317"/>
      <c r="T455" s="303">
        <f t="shared" si="550"/>
        <v>50</v>
      </c>
      <c r="U455" s="317">
        <f>200-100-50</f>
        <v>50</v>
      </c>
      <c r="V455" s="317"/>
      <c r="W455" s="303">
        <f>Z455+AA455</f>
        <v>0</v>
      </c>
      <c r="X455" s="303"/>
      <c r="Y455" s="303"/>
      <c r="Z455" s="317"/>
      <c r="AA455" s="317"/>
      <c r="AB455" s="304"/>
      <c r="AC455" s="304"/>
      <c r="AD455" s="304"/>
      <c r="AE455" s="304"/>
      <c r="AF455" s="317"/>
      <c r="AG455" s="314">
        <f t="shared" si="477"/>
        <v>0</v>
      </c>
      <c r="AH455" s="696">
        <f t="shared" si="478"/>
        <v>0</v>
      </c>
      <c r="AI455" s="314">
        <f t="shared" si="479"/>
        <v>0</v>
      </c>
      <c r="AJ455" s="314">
        <f t="shared" si="480"/>
        <v>0</v>
      </c>
      <c r="AK455" s="314">
        <f t="shared" si="481"/>
        <v>0</v>
      </c>
      <c r="AL455" s="314">
        <f t="shared" si="482"/>
        <v>0</v>
      </c>
      <c r="AM455" s="314">
        <f t="shared" si="483"/>
        <v>0</v>
      </c>
      <c r="AN455" s="314">
        <f t="shared" si="484"/>
        <v>0</v>
      </c>
      <c r="AO455" s="314">
        <f t="shared" si="485"/>
        <v>0</v>
      </c>
      <c r="AP455" s="314">
        <f t="shared" si="486"/>
        <v>0</v>
      </c>
    </row>
    <row r="456" spans="1:42" ht="27.6" outlineLevel="1">
      <c r="A456" s="583" t="s">
        <v>23</v>
      </c>
      <c r="B456" s="316" t="s">
        <v>1003</v>
      </c>
      <c r="C456" s="317"/>
      <c r="D456" s="304">
        <v>2150</v>
      </c>
      <c r="E456" s="304">
        <f t="shared" si="494"/>
        <v>4304</v>
      </c>
      <c r="F456" s="304">
        <f>H456-AB456</f>
        <v>4304</v>
      </c>
      <c r="G456" s="304">
        <f>F456-D456</f>
        <v>2154</v>
      </c>
      <c r="H456" s="303">
        <f t="shared" si="548"/>
        <v>4304</v>
      </c>
      <c r="I456" s="303">
        <f t="shared" ref="I456:I480" si="551">M456+P456</f>
        <v>4304</v>
      </c>
      <c r="J456" s="294"/>
      <c r="K456" s="294"/>
      <c r="L456" s="294"/>
      <c r="M456" s="304"/>
      <c r="N456" s="294"/>
      <c r="O456" s="294"/>
      <c r="P456" s="303">
        <f t="shared" si="549"/>
        <v>4304</v>
      </c>
      <c r="Q456" s="294"/>
      <c r="R456" s="305"/>
      <c r="S456" s="304"/>
      <c r="T456" s="303">
        <f t="shared" si="550"/>
        <v>4304</v>
      </c>
      <c r="U456" s="304">
        <f>1550+400+200</f>
        <v>2150</v>
      </c>
      <c r="V456" s="304">
        <v>2154</v>
      </c>
      <c r="W456" s="303">
        <f>Z456+AA456</f>
        <v>0</v>
      </c>
      <c r="X456" s="303"/>
      <c r="Y456" s="303"/>
      <c r="Z456" s="304"/>
      <c r="AA456" s="304"/>
      <c r="AB456" s="304"/>
      <c r="AC456" s="304"/>
      <c r="AD456" s="304"/>
      <c r="AE456" s="304"/>
      <c r="AF456" s="317" t="s">
        <v>1789</v>
      </c>
      <c r="AG456" s="314">
        <f t="shared" si="477"/>
        <v>0</v>
      </c>
      <c r="AH456" s="696">
        <f t="shared" si="478"/>
        <v>0</v>
      </c>
      <c r="AI456" s="314">
        <f t="shared" si="479"/>
        <v>0</v>
      </c>
      <c r="AJ456" s="314">
        <f t="shared" si="480"/>
        <v>0</v>
      </c>
      <c r="AK456" s="314">
        <f t="shared" si="481"/>
        <v>0</v>
      </c>
      <c r="AL456" s="314">
        <f t="shared" si="482"/>
        <v>0</v>
      </c>
      <c r="AM456" s="314">
        <f t="shared" si="483"/>
        <v>0</v>
      </c>
      <c r="AN456" s="314">
        <f t="shared" si="484"/>
        <v>0</v>
      </c>
      <c r="AO456" s="314">
        <f t="shared" si="485"/>
        <v>0</v>
      </c>
      <c r="AP456" s="314">
        <f t="shared" si="486"/>
        <v>0</v>
      </c>
    </row>
    <row r="457" spans="1:42" ht="41.4" outlineLevel="1">
      <c r="A457" s="593" t="s">
        <v>23</v>
      </c>
      <c r="B457" s="329" t="s">
        <v>1749</v>
      </c>
      <c r="C457" s="308"/>
      <c r="D457" s="304">
        <v>183</v>
      </c>
      <c r="E457" s="304">
        <f t="shared" si="494"/>
        <v>268</v>
      </c>
      <c r="F457" s="304">
        <f>H457-AB457</f>
        <v>268</v>
      </c>
      <c r="G457" s="304">
        <f>F457-D457</f>
        <v>85</v>
      </c>
      <c r="H457" s="303">
        <f t="shared" si="548"/>
        <v>268</v>
      </c>
      <c r="I457" s="303">
        <f t="shared" si="551"/>
        <v>268</v>
      </c>
      <c r="J457" s="294"/>
      <c r="K457" s="294"/>
      <c r="L457" s="294"/>
      <c r="M457" s="304"/>
      <c r="N457" s="294"/>
      <c r="O457" s="294"/>
      <c r="P457" s="303">
        <f t="shared" si="549"/>
        <v>268</v>
      </c>
      <c r="Q457" s="294"/>
      <c r="R457" s="305"/>
      <c r="S457" s="304"/>
      <c r="T457" s="303">
        <f t="shared" si="550"/>
        <v>268</v>
      </c>
      <c r="U457" s="304">
        <v>200</v>
      </c>
      <c r="V457" s="304">
        <v>68</v>
      </c>
      <c r="W457" s="303"/>
      <c r="X457" s="303"/>
      <c r="Y457" s="303"/>
      <c r="Z457" s="304"/>
      <c r="AA457" s="304"/>
      <c r="AB457" s="304"/>
      <c r="AC457" s="304"/>
      <c r="AD457" s="304"/>
      <c r="AE457" s="304"/>
      <c r="AF457" s="332" t="s">
        <v>1790</v>
      </c>
      <c r="AG457" s="314">
        <f t="shared" si="477"/>
        <v>0</v>
      </c>
      <c r="AH457" s="696">
        <f t="shared" si="478"/>
        <v>0</v>
      </c>
      <c r="AI457" s="314">
        <f t="shared" si="479"/>
        <v>0</v>
      </c>
      <c r="AJ457" s="314">
        <f t="shared" si="480"/>
        <v>0</v>
      </c>
      <c r="AK457" s="314">
        <f t="shared" si="481"/>
        <v>0</v>
      </c>
      <c r="AL457" s="314">
        <f t="shared" si="482"/>
        <v>0</v>
      </c>
      <c r="AM457" s="314">
        <f t="shared" si="483"/>
        <v>0</v>
      </c>
      <c r="AN457" s="314">
        <f t="shared" si="484"/>
        <v>0</v>
      </c>
      <c r="AO457" s="314">
        <f t="shared" si="485"/>
        <v>0</v>
      </c>
      <c r="AP457" s="314">
        <f t="shared" si="486"/>
        <v>0</v>
      </c>
    </row>
    <row r="458" spans="1:42" ht="27.6" outlineLevel="1">
      <c r="A458" s="583" t="s">
        <v>23</v>
      </c>
      <c r="B458" s="329" t="s">
        <v>1004</v>
      </c>
      <c r="C458" s="332"/>
      <c r="D458" s="304">
        <v>1147</v>
      </c>
      <c r="E458" s="304">
        <f t="shared" si="494"/>
        <v>1254</v>
      </c>
      <c r="F458" s="304">
        <f>F459+F460+F461</f>
        <v>1254</v>
      </c>
      <c r="G458" s="304">
        <f>G459+G460+G461</f>
        <v>107</v>
      </c>
      <c r="H458" s="304">
        <f t="shared" ref="H458:W458" si="552">H459+H460+H461</f>
        <v>1254</v>
      </c>
      <c r="I458" s="304">
        <f t="shared" si="552"/>
        <v>1254</v>
      </c>
      <c r="J458" s="304">
        <f t="shared" si="552"/>
        <v>0</v>
      </c>
      <c r="K458" s="304">
        <f t="shared" si="552"/>
        <v>0</v>
      </c>
      <c r="L458" s="304">
        <f t="shared" si="552"/>
        <v>0</v>
      </c>
      <c r="M458" s="304">
        <f t="shared" si="552"/>
        <v>0</v>
      </c>
      <c r="N458" s="304">
        <f t="shared" si="552"/>
        <v>0</v>
      </c>
      <c r="O458" s="304">
        <f t="shared" si="552"/>
        <v>0</v>
      </c>
      <c r="P458" s="304">
        <f t="shared" si="552"/>
        <v>1254</v>
      </c>
      <c r="Q458" s="304">
        <f t="shared" si="552"/>
        <v>0</v>
      </c>
      <c r="R458" s="304">
        <f t="shared" si="552"/>
        <v>0</v>
      </c>
      <c r="S458" s="304">
        <f t="shared" si="552"/>
        <v>0</v>
      </c>
      <c r="T458" s="304">
        <f t="shared" si="552"/>
        <v>1254</v>
      </c>
      <c r="U458" s="304">
        <f t="shared" si="552"/>
        <v>1147</v>
      </c>
      <c r="V458" s="304">
        <f t="shared" si="552"/>
        <v>107</v>
      </c>
      <c r="W458" s="304">
        <f t="shared" si="552"/>
        <v>0</v>
      </c>
      <c r="X458" s="303"/>
      <c r="Y458" s="303"/>
      <c r="Z458" s="303"/>
      <c r="AA458" s="303">
        <f>AA459+AA460+AA461</f>
        <v>0</v>
      </c>
      <c r="AB458" s="303"/>
      <c r="AC458" s="303"/>
      <c r="AD458" s="303"/>
      <c r="AE458" s="303"/>
      <c r="AF458" s="332"/>
      <c r="AG458" s="314">
        <f t="shared" si="477"/>
        <v>0</v>
      </c>
      <c r="AH458" s="696">
        <f t="shared" si="478"/>
        <v>0</v>
      </c>
      <c r="AI458" s="314">
        <f t="shared" si="479"/>
        <v>0</v>
      </c>
      <c r="AJ458" s="314">
        <f t="shared" si="480"/>
        <v>0</v>
      </c>
      <c r="AK458" s="314">
        <f t="shared" si="481"/>
        <v>0</v>
      </c>
      <c r="AL458" s="314">
        <f t="shared" si="482"/>
        <v>0</v>
      </c>
      <c r="AM458" s="314">
        <f t="shared" si="483"/>
        <v>0</v>
      </c>
      <c r="AN458" s="314">
        <f t="shared" si="484"/>
        <v>0</v>
      </c>
      <c r="AO458" s="314">
        <f t="shared" si="485"/>
        <v>0</v>
      </c>
      <c r="AP458" s="314">
        <f t="shared" si="486"/>
        <v>0</v>
      </c>
    </row>
    <row r="459" spans="1:42" ht="82.8" outlineLevel="1">
      <c r="A459" s="593" t="s">
        <v>281</v>
      </c>
      <c r="B459" s="329" t="s">
        <v>1750</v>
      </c>
      <c r="C459" s="332"/>
      <c r="D459" s="304">
        <v>240</v>
      </c>
      <c r="E459" s="304">
        <f t="shared" si="494"/>
        <v>273</v>
      </c>
      <c r="F459" s="304">
        <f t="shared" ref="F459:F467" si="553">H459-AB459</f>
        <v>273</v>
      </c>
      <c r="G459" s="304">
        <f t="shared" ref="G459:G467" si="554">F459-D459</f>
        <v>33</v>
      </c>
      <c r="H459" s="303">
        <f t="shared" si="548"/>
        <v>273</v>
      </c>
      <c r="I459" s="303">
        <f t="shared" si="551"/>
        <v>273</v>
      </c>
      <c r="J459" s="311"/>
      <c r="K459" s="311"/>
      <c r="L459" s="311"/>
      <c r="M459" s="303"/>
      <c r="N459" s="311"/>
      <c r="O459" s="311"/>
      <c r="P459" s="303">
        <f t="shared" si="549"/>
        <v>273</v>
      </c>
      <c r="Q459" s="311"/>
      <c r="R459" s="312"/>
      <c r="S459" s="303"/>
      <c r="T459" s="303">
        <f t="shared" si="550"/>
        <v>273</v>
      </c>
      <c r="U459" s="303">
        <f>80+40+80+40</f>
        <v>240</v>
      </c>
      <c r="V459" s="303">
        <v>33</v>
      </c>
      <c r="W459" s="303">
        <f>Z459+AA459</f>
        <v>0</v>
      </c>
      <c r="X459" s="303"/>
      <c r="Y459" s="303"/>
      <c r="Z459" s="303"/>
      <c r="AA459" s="303"/>
      <c r="AB459" s="304"/>
      <c r="AC459" s="304"/>
      <c r="AD459" s="304"/>
      <c r="AE459" s="304"/>
      <c r="AF459" s="332"/>
      <c r="AG459" s="314">
        <f t="shared" si="477"/>
        <v>0</v>
      </c>
      <c r="AH459" s="696">
        <f t="shared" si="478"/>
        <v>0</v>
      </c>
      <c r="AI459" s="314">
        <f t="shared" si="479"/>
        <v>0</v>
      </c>
      <c r="AJ459" s="314">
        <f t="shared" si="480"/>
        <v>0</v>
      </c>
      <c r="AK459" s="314">
        <f t="shared" si="481"/>
        <v>0</v>
      </c>
      <c r="AL459" s="314">
        <f t="shared" si="482"/>
        <v>0</v>
      </c>
      <c r="AM459" s="314">
        <f t="shared" si="483"/>
        <v>0</v>
      </c>
      <c r="AN459" s="314">
        <f t="shared" si="484"/>
        <v>0</v>
      </c>
      <c r="AO459" s="314">
        <f t="shared" si="485"/>
        <v>0</v>
      </c>
      <c r="AP459" s="314">
        <f t="shared" si="486"/>
        <v>0</v>
      </c>
    </row>
    <row r="460" spans="1:42" ht="55.2" outlineLevel="1">
      <c r="A460" s="593" t="s">
        <v>281</v>
      </c>
      <c r="B460" s="329" t="s">
        <v>1791</v>
      </c>
      <c r="C460" s="308"/>
      <c r="D460" s="304">
        <v>652</v>
      </c>
      <c r="E460" s="304">
        <f t="shared" si="494"/>
        <v>590</v>
      </c>
      <c r="F460" s="304">
        <f t="shared" si="553"/>
        <v>590</v>
      </c>
      <c r="G460" s="304">
        <f t="shared" si="554"/>
        <v>-62</v>
      </c>
      <c r="H460" s="303">
        <f t="shared" si="548"/>
        <v>590</v>
      </c>
      <c r="I460" s="303">
        <f t="shared" si="551"/>
        <v>590</v>
      </c>
      <c r="J460" s="294"/>
      <c r="K460" s="294"/>
      <c r="L460" s="294"/>
      <c r="M460" s="304"/>
      <c r="N460" s="294"/>
      <c r="O460" s="294"/>
      <c r="P460" s="303">
        <f t="shared" si="549"/>
        <v>590</v>
      </c>
      <c r="Q460" s="294"/>
      <c r="R460" s="305"/>
      <c r="S460" s="304"/>
      <c r="T460" s="303">
        <f t="shared" si="550"/>
        <v>590</v>
      </c>
      <c r="U460" s="304">
        <f>622+30-62</f>
        <v>590</v>
      </c>
      <c r="V460" s="303">
        <v>0</v>
      </c>
      <c r="W460" s="303">
        <f>Z460+AA460</f>
        <v>0</v>
      </c>
      <c r="X460" s="303"/>
      <c r="Y460" s="303"/>
      <c r="Z460" s="304"/>
      <c r="AA460" s="304"/>
      <c r="AB460" s="304"/>
      <c r="AC460" s="304"/>
      <c r="AD460" s="304"/>
      <c r="AE460" s="304"/>
      <c r="AF460" s="332"/>
      <c r="AG460" s="314">
        <f t="shared" si="477"/>
        <v>0</v>
      </c>
      <c r="AH460" s="696">
        <f t="shared" si="478"/>
        <v>0</v>
      </c>
      <c r="AI460" s="314">
        <f t="shared" si="479"/>
        <v>0</v>
      </c>
      <c r="AJ460" s="314">
        <f t="shared" si="480"/>
        <v>0</v>
      </c>
      <c r="AK460" s="314">
        <f t="shared" si="481"/>
        <v>0</v>
      </c>
      <c r="AL460" s="314">
        <f t="shared" si="482"/>
        <v>0</v>
      </c>
      <c r="AM460" s="314">
        <f t="shared" si="483"/>
        <v>0</v>
      </c>
      <c r="AN460" s="314">
        <f t="shared" si="484"/>
        <v>0</v>
      </c>
      <c r="AO460" s="314">
        <f t="shared" si="485"/>
        <v>0</v>
      </c>
      <c r="AP460" s="314">
        <f t="shared" si="486"/>
        <v>0</v>
      </c>
    </row>
    <row r="461" spans="1:42" ht="27.6" outlineLevel="1">
      <c r="A461" s="593" t="s">
        <v>281</v>
      </c>
      <c r="B461" s="329" t="s">
        <v>1005</v>
      </c>
      <c r="C461" s="332"/>
      <c r="D461" s="304">
        <v>255</v>
      </c>
      <c r="E461" s="304">
        <f t="shared" si="494"/>
        <v>391</v>
      </c>
      <c r="F461" s="304">
        <f t="shared" si="553"/>
        <v>391</v>
      </c>
      <c r="G461" s="304">
        <f t="shared" si="554"/>
        <v>136</v>
      </c>
      <c r="H461" s="303">
        <f t="shared" si="548"/>
        <v>391</v>
      </c>
      <c r="I461" s="303">
        <f t="shared" si="551"/>
        <v>391</v>
      </c>
      <c r="J461" s="294"/>
      <c r="K461" s="294"/>
      <c r="L461" s="294"/>
      <c r="M461" s="304"/>
      <c r="N461" s="294"/>
      <c r="O461" s="294"/>
      <c r="P461" s="303">
        <f t="shared" si="549"/>
        <v>391</v>
      </c>
      <c r="Q461" s="294"/>
      <c r="R461" s="305"/>
      <c r="S461" s="304"/>
      <c r="T461" s="303">
        <f t="shared" si="550"/>
        <v>391</v>
      </c>
      <c r="U461" s="304">
        <f>255+62</f>
        <v>317</v>
      </c>
      <c r="V461" s="303">
        <v>74</v>
      </c>
      <c r="W461" s="303">
        <f>Z461+AA461</f>
        <v>0</v>
      </c>
      <c r="X461" s="303"/>
      <c r="Y461" s="303"/>
      <c r="Z461" s="304"/>
      <c r="AA461" s="304"/>
      <c r="AB461" s="304"/>
      <c r="AC461" s="304"/>
      <c r="AD461" s="304"/>
      <c r="AE461" s="304"/>
      <c r="AF461" s="332"/>
      <c r="AG461" s="314">
        <f t="shared" si="477"/>
        <v>0</v>
      </c>
      <c r="AH461" s="696">
        <f t="shared" si="478"/>
        <v>0</v>
      </c>
      <c r="AI461" s="314">
        <f t="shared" si="479"/>
        <v>0</v>
      </c>
      <c r="AJ461" s="314">
        <f t="shared" si="480"/>
        <v>0</v>
      </c>
      <c r="AK461" s="314">
        <f t="shared" si="481"/>
        <v>0</v>
      </c>
      <c r="AL461" s="314">
        <f t="shared" si="482"/>
        <v>0</v>
      </c>
      <c r="AM461" s="314">
        <f t="shared" si="483"/>
        <v>0</v>
      </c>
      <c r="AN461" s="314">
        <f t="shared" si="484"/>
        <v>0</v>
      </c>
      <c r="AO461" s="314">
        <f t="shared" si="485"/>
        <v>0</v>
      </c>
      <c r="AP461" s="314">
        <f t="shared" si="486"/>
        <v>0</v>
      </c>
    </row>
    <row r="462" spans="1:42" ht="55.2" outlineLevel="1">
      <c r="A462" s="583" t="s">
        <v>23</v>
      </c>
      <c r="B462" s="329" t="s">
        <v>1006</v>
      </c>
      <c r="C462" s="332"/>
      <c r="D462" s="304">
        <v>747</v>
      </c>
      <c r="E462" s="304">
        <f t="shared" si="494"/>
        <v>779</v>
      </c>
      <c r="F462" s="304">
        <f t="shared" si="553"/>
        <v>779</v>
      </c>
      <c r="G462" s="304">
        <f t="shared" si="554"/>
        <v>32</v>
      </c>
      <c r="H462" s="303">
        <f t="shared" si="548"/>
        <v>779</v>
      </c>
      <c r="I462" s="303">
        <f t="shared" si="551"/>
        <v>779</v>
      </c>
      <c r="J462" s="311"/>
      <c r="K462" s="311"/>
      <c r="L462" s="311"/>
      <c r="M462" s="303"/>
      <c r="N462" s="311"/>
      <c r="O462" s="311"/>
      <c r="P462" s="303">
        <f>S462+T462</f>
        <v>779</v>
      </c>
      <c r="Q462" s="311"/>
      <c r="R462" s="312"/>
      <c r="S462" s="303"/>
      <c r="T462" s="303">
        <f>U462+V462</f>
        <v>779</v>
      </c>
      <c r="U462" s="303">
        <f>761-14</f>
        <v>747</v>
      </c>
      <c r="V462" s="303">
        <v>32</v>
      </c>
      <c r="W462" s="303"/>
      <c r="X462" s="303"/>
      <c r="Y462" s="303"/>
      <c r="Z462" s="303"/>
      <c r="AA462" s="303"/>
      <c r="AB462" s="303"/>
      <c r="AC462" s="303"/>
      <c r="AD462" s="303"/>
      <c r="AE462" s="303"/>
      <c r="AF462" s="332" t="s">
        <v>1792</v>
      </c>
      <c r="AG462" s="314">
        <f t="shared" si="477"/>
        <v>0</v>
      </c>
      <c r="AH462" s="696">
        <f t="shared" si="478"/>
        <v>0</v>
      </c>
      <c r="AI462" s="314">
        <f t="shared" si="479"/>
        <v>0</v>
      </c>
      <c r="AJ462" s="314">
        <f t="shared" si="480"/>
        <v>0</v>
      </c>
      <c r="AK462" s="314">
        <f t="shared" si="481"/>
        <v>0</v>
      </c>
      <c r="AL462" s="314">
        <f t="shared" si="482"/>
        <v>0</v>
      </c>
      <c r="AM462" s="314">
        <f t="shared" si="483"/>
        <v>0</v>
      </c>
      <c r="AN462" s="314">
        <f t="shared" si="484"/>
        <v>0</v>
      </c>
      <c r="AO462" s="314">
        <f t="shared" si="485"/>
        <v>0</v>
      </c>
      <c r="AP462" s="314">
        <f t="shared" si="486"/>
        <v>0</v>
      </c>
    </row>
    <row r="463" spans="1:42" ht="41.4" outlineLevel="1">
      <c r="A463" s="583" t="s">
        <v>23</v>
      </c>
      <c r="B463" s="324" t="s">
        <v>1007</v>
      </c>
      <c r="C463" s="304"/>
      <c r="D463" s="304">
        <v>1175</v>
      </c>
      <c r="E463" s="304">
        <f t="shared" si="494"/>
        <v>1404</v>
      </c>
      <c r="F463" s="304">
        <f t="shared" si="553"/>
        <v>1404</v>
      </c>
      <c r="G463" s="304">
        <f t="shared" si="554"/>
        <v>229</v>
      </c>
      <c r="H463" s="303">
        <f t="shared" si="548"/>
        <v>1404</v>
      </c>
      <c r="I463" s="303">
        <f t="shared" si="551"/>
        <v>1404</v>
      </c>
      <c r="J463" s="294"/>
      <c r="K463" s="294"/>
      <c r="L463" s="294"/>
      <c r="M463" s="304"/>
      <c r="N463" s="294"/>
      <c r="O463" s="294"/>
      <c r="P463" s="303">
        <f t="shared" ref="P463:P466" si="555">S463+T463</f>
        <v>1404</v>
      </c>
      <c r="Q463" s="294"/>
      <c r="R463" s="305"/>
      <c r="S463" s="304"/>
      <c r="T463" s="303">
        <f t="shared" ref="T463:T466" si="556">U463+V463</f>
        <v>1404</v>
      </c>
      <c r="U463" s="304">
        <f>268+172+32+274+429</f>
        <v>1175</v>
      </c>
      <c r="V463" s="304">
        <v>229</v>
      </c>
      <c r="W463" s="303">
        <f>Z463+AA463</f>
        <v>0</v>
      </c>
      <c r="X463" s="303"/>
      <c r="Y463" s="303"/>
      <c r="Z463" s="304"/>
      <c r="AA463" s="304"/>
      <c r="AB463" s="304"/>
      <c r="AC463" s="304"/>
      <c r="AD463" s="304"/>
      <c r="AE463" s="304"/>
      <c r="AF463" s="317" t="s">
        <v>1793</v>
      </c>
      <c r="AG463" s="314">
        <f t="shared" si="477"/>
        <v>0</v>
      </c>
      <c r="AH463" s="696">
        <f t="shared" si="478"/>
        <v>0</v>
      </c>
      <c r="AI463" s="314">
        <f t="shared" si="479"/>
        <v>0</v>
      </c>
      <c r="AJ463" s="314">
        <f t="shared" si="480"/>
        <v>0</v>
      </c>
      <c r="AK463" s="314">
        <f t="shared" si="481"/>
        <v>0</v>
      </c>
      <c r="AL463" s="314">
        <f t="shared" si="482"/>
        <v>0</v>
      </c>
      <c r="AM463" s="314">
        <f t="shared" si="483"/>
        <v>0</v>
      </c>
      <c r="AN463" s="314">
        <f t="shared" si="484"/>
        <v>0</v>
      </c>
      <c r="AO463" s="314">
        <f t="shared" si="485"/>
        <v>0</v>
      </c>
      <c r="AP463" s="314">
        <f t="shared" si="486"/>
        <v>0</v>
      </c>
    </row>
    <row r="464" spans="1:42" ht="41.4" outlineLevel="1">
      <c r="A464" s="593" t="s">
        <v>23</v>
      </c>
      <c r="B464" s="316" t="s">
        <v>1008</v>
      </c>
      <c r="C464" s="317"/>
      <c r="D464" s="304">
        <v>757</v>
      </c>
      <c r="E464" s="304">
        <f t="shared" si="494"/>
        <v>757</v>
      </c>
      <c r="F464" s="304">
        <f t="shared" si="553"/>
        <v>757</v>
      </c>
      <c r="G464" s="304">
        <f t="shared" si="554"/>
        <v>0</v>
      </c>
      <c r="H464" s="303">
        <f t="shared" si="548"/>
        <v>757</v>
      </c>
      <c r="I464" s="303">
        <f t="shared" si="551"/>
        <v>757</v>
      </c>
      <c r="J464" s="294"/>
      <c r="K464" s="294"/>
      <c r="L464" s="294"/>
      <c r="M464" s="304"/>
      <c r="N464" s="294"/>
      <c r="O464" s="294"/>
      <c r="P464" s="303">
        <f t="shared" si="555"/>
        <v>757</v>
      </c>
      <c r="Q464" s="294"/>
      <c r="R464" s="305"/>
      <c r="S464" s="304"/>
      <c r="T464" s="303">
        <f t="shared" si="556"/>
        <v>757</v>
      </c>
      <c r="U464" s="304">
        <f>399+25+333</f>
        <v>757</v>
      </c>
      <c r="V464" s="304"/>
      <c r="W464" s="303">
        <f>Z464+AA464</f>
        <v>0</v>
      </c>
      <c r="X464" s="303"/>
      <c r="Y464" s="303"/>
      <c r="Z464" s="304"/>
      <c r="AA464" s="304"/>
      <c r="AB464" s="304"/>
      <c r="AC464" s="304"/>
      <c r="AD464" s="304"/>
      <c r="AE464" s="304"/>
      <c r="AF464" s="317" t="s">
        <v>1794</v>
      </c>
      <c r="AG464" s="314">
        <f t="shared" si="477"/>
        <v>0</v>
      </c>
      <c r="AH464" s="696">
        <f t="shared" si="478"/>
        <v>0</v>
      </c>
      <c r="AI464" s="314">
        <f t="shared" si="479"/>
        <v>0</v>
      </c>
      <c r="AJ464" s="314">
        <f t="shared" si="480"/>
        <v>0</v>
      </c>
      <c r="AK464" s="314">
        <f t="shared" si="481"/>
        <v>0</v>
      </c>
      <c r="AL464" s="314">
        <f t="shared" si="482"/>
        <v>0</v>
      </c>
      <c r="AM464" s="314">
        <f t="shared" si="483"/>
        <v>0</v>
      </c>
      <c r="AN464" s="314">
        <f t="shared" si="484"/>
        <v>0</v>
      </c>
      <c r="AO464" s="314">
        <f t="shared" si="485"/>
        <v>0</v>
      </c>
      <c r="AP464" s="314">
        <f t="shared" si="486"/>
        <v>0</v>
      </c>
    </row>
    <row r="465" spans="1:42" outlineLevel="1">
      <c r="A465" s="593" t="s">
        <v>23</v>
      </c>
      <c r="B465" s="329" t="s">
        <v>1009</v>
      </c>
      <c r="C465" s="308"/>
      <c r="D465" s="304">
        <v>424</v>
      </c>
      <c r="E465" s="304">
        <f t="shared" si="494"/>
        <v>553</v>
      </c>
      <c r="F465" s="304">
        <f t="shared" si="553"/>
        <v>553</v>
      </c>
      <c r="G465" s="304">
        <f t="shared" si="554"/>
        <v>129</v>
      </c>
      <c r="H465" s="303">
        <f t="shared" si="548"/>
        <v>553</v>
      </c>
      <c r="I465" s="303">
        <f t="shared" si="551"/>
        <v>553</v>
      </c>
      <c r="J465" s="311"/>
      <c r="K465" s="311"/>
      <c r="L465" s="311"/>
      <c r="M465" s="303"/>
      <c r="N465" s="311"/>
      <c r="O465" s="311"/>
      <c r="P465" s="303">
        <f t="shared" si="555"/>
        <v>553</v>
      </c>
      <c r="Q465" s="311"/>
      <c r="R465" s="312"/>
      <c r="S465" s="303"/>
      <c r="T465" s="303">
        <f t="shared" si="556"/>
        <v>553</v>
      </c>
      <c r="U465" s="303">
        <v>500</v>
      </c>
      <c r="V465" s="303">
        <v>53</v>
      </c>
      <c r="W465" s="303">
        <f>Z465+AA465</f>
        <v>0</v>
      </c>
      <c r="X465" s="303"/>
      <c r="Y465" s="303"/>
      <c r="Z465" s="303">
        <v>0</v>
      </c>
      <c r="AA465" s="303"/>
      <c r="AB465" s="303"/>
      <c r="AC465" s="303"/>
      <c r="AD465" s="303"/>
      <c r="AE465" s="303"/>
      <c r="AF465" s="332"/>
      <c r="AG465" s="314">
        <f t="shared" si="477"/>
        <v>0</v>
      </c>
      <c r="AH465" s="696">
        <f t="shared" si="478"/>
        <v>0</v>
      </c>
      <c r="AI465" s="314">
        <f t="shared" si="479"/>
        <v>0</v>
      </c>
      <c r="AJ465" s="314">
        <f t="shared" si="480"/>
        <v>0</v>
      </c>
      <c r="AK465" s="314">
        <f t="shared" si="481"/>
        <v>0</v>
      </c>
      <c r="AL465" s="314">
        <f t="shared" si="482"/>
        <v>0</v>
      </c>
      <c r="AM465" s="314">
        <f t="shared" si="483"/>
        <v>0</v>
      </c>
      <c r="AN465" s="314">
        <f t="shared" si="484"/>
        <v>0</v>
      </c>
      <c r="AO465" s="314">
        <f t="shared" si="485"/>
        <v>0</v>
      </c>
      <c r="AP465" s="314">
        <f t="shared" si="486"/>
        <v>0</v>
      </c>
    </row>
    <row r="466" spans="1:42" ht="27.6" outlineLevel="1">
      <c r="A466" s="593" t="s">
        <v>23</v>
      </c>
      <c r="B466" s="329" t="s">
        <v>1010</v>
      </c>
      <c r="C466" s="308"/>
      <c r="D466" s="304">
        <v>145</v>
      </c>
      <c r="E466" s="304">
        <f t="shared" si="494"/>
        <v>175</v>
      </c>
      <c r="F466" s="304">
        <f t="shared" si="553"/>
        <v>175</v>
      </c>
      <c r="G466" s="304">
        <f t="shared" si="554"/>
        <v>30</v>
      </c>
      <c r="H466" s="303">
        <f t="shared" si="548"/>
        <v>175</v>
      </c>
      <c r="I466" s="303">
        <f t="shared" si="551"/>
        <v>175</v>
      </c>
      <c r="J466" s="311"/>
      <c r="K466" s="311"/>
      <c r="L466" s="311"/>
      <c r="M466" s="303"/>
      <c r="N466" s="311"/>
      <c r="O466" s="311"/>
      <c r="P466" s="303">
        <f t="shared" si="555"/>
        <v>175</v>
      </c>
      <c r="Q466" s="311"/>
      <c r="R466" s="312"/>
      <c r="S466" s="303"/>
      <c r="T466" s="303">
        <f t="shared" si="556"/>
        <v>175</v>
      </c>
      <c r="U466" s="303">
        <f>134+11</f>
        <v>145</v>
      </c>
      <c r="V466" s="303">
        <v>30</v>
      </c>
      <c r="W466" s="303">
        <f>Z466+AA466</f>
        <v>0</v>
      </c>
      <c r="X466" s="303"/>
      <c r="Y466" s="303"/>
      <c r="Z466" s="303"/>
      <c r="AA466" s="303"/>
      <c r="AB466" s="303"/>
      <c r="AC466" s="303"/>
      <c r="AD466" s="303"/>
      <c r="AE466" s="303"/>
      <c r="AF466" s="332" t="s">
        <v>1795</v>
      </c>
      <c r="AG466" s="314">
        <f t="shared" ref="AG466:AG530" si="557">E466-F466-AC466</f>
        <v>0</v>
      </c>
      <c r="AH466" s="696">
        <f t="shared" ref="AH466:AH530" si="558">F466-H466+AB466</f>
        <v>0</v>
      </c>
      <c r="AI466" s="314">
        <f t="shared" ref="AI466:AI530" si="559">H466-I466-W466</f>
        <v>0</v>
      </c>
      <c r="AJ466" s="314">
        <f t="shared" ref="AJ466:AJ530" si="560">I466-M466-P466</f>
        <v>0</v>
      </c>
      <c r="AK466" s="314">
        <f t="shared" ref="AK466:AK530" si="561">J466-K466-L466</f>
        <v>0</v>
      </c>
      <c r="AL466" s="314">
        <f t="shared" ref="AL466:AL530" si="562">M466-N466-O466</f>
        <v>0</v>
      </c>
      <c r="AM466" s="314">
        <f t="shared" ref="AM466:AM530" si="563">P466-S466-T466</f>
        <v>0</v>
      </c>
      <c r="AN466" s="314">
        <f t="shared" ref="AN466:AN530" si="564">T466-U466-V466</f>
        <v>0</v>
      </c>
      <c r="AO466" s="314">
        <f t="shared" ref="AO466:AO530" si="565">W466-Z466-AA466</f>
        <v>0</v>
      </c>
      <c r="AP466" s="314">
        <f t="shared" ref="AP466:AP530" si="566">AC466+AA466+Z466+V466+U466+S466+O466+N466-AB466-E466</f>
        <v>0</v>
      </c>
    </row>
    <row r="467" spans="1:42" outlineLevel="1" collapsed="1">
      <c r="A467" s="593" t="s">
        <v>23</v>
      </c>
      <c r="B467" s="329" t="s">
        <v>1011</v>
      </c>
      <c r="C467" s="308"/>
      <c r="D467" s="304">
        <v>16</v>
      </c>
      <c r="E467" s="304">
        <f t="shared" si="494"/>
        <v>16</v>
      </c>
      <c r="F467" s="304">
        <f t="shared" si="553"/>
        <v>16</v>
      </c>
      <c r="G467" s="304">
        <f t="shared" si="554"/>
        <v>0</v>
      </c>
      <c r="H467" s="303">
        <f t="shared" si="548"/>
        <v>16</v>
      </c>
      <c r="I467" s="303">
        <f t="shared" si="551"/>
        <v>16</v>
      </c>
      <c r="J467" s="311"/>
      <c r="K467" s="311"/>
      <c r="L467" s="311"/>
      <c r="M467" s="303"/>
      <c r="N467" s="311"/>
      <c r="O467" s="311"/>
      <c r="P467" s="303">
        <f t="shared" si="549"/>
        <v>16</v>
      </c>
      <c r="Q467" s="311"/>
      <c r="R467" s="312"/>
      <c r="S467" s="303"/>
      <c r="T467" s="303">
        <f t="shared" si="550"/>
        <v>16</v>
      </c>
      <c r="U467" s="303">
        <f>19-3</f>
        <v>16</v>
      </c>
      <c r="V467" s="303"/>
      <c r="W467" s="303"/>
      <c r="X467" s="303"/>
      <c r="Y467" s="303"/>
      <c r="Z467" s="303"/>
      <c r="AA467" s="303"/>
      <c r="AB467" s="303"/>
      <c r="AC467" s="303"/>
      <c r="AD467" s="303"/>
      <c r="AE467" s="303"/>
      <c r="AF467" s="332"/>
      <c r="AG467" s="314">
        <f t="shared" si="557"/>
        <v>0</v>
      </c>
      <c r="AH467" s="696">
        <f t="shared" si="558"/>
        <v>0</v>
      </c>
      <c r="AI467" s="314">
        <f t="shared" si="559"/>
        <v>0</v>
      </c>
      <c r="AJ467" s="314">
        <f t="shared" si="560"/>
        <v>0</v>
      </c>
      <c r="AK467" s="314">
        <f t="shared" si="561"/>
        <v>0</v>
      </c>
      <c r="AL467" s="314">
        <f t="shared" si="562"/>
        <v>0</v>
      </c>
      <c r="AM467" s="314">
        <f t="shared" si="563"/>
        <v>0</v>
      </c>
      <c r="AN467" s="314">
        <f t="shared" si="564"/>
        <v>0</v>
      </c>
      <c r="AO467" s="314">
        <f t="shared" si="565"/>
        <v>0</v>
      </c>
      <c r="AP467" s="314">
        <f t="shared" si="566"/>
        <v>0</v>
      </c>
    </row>
    <row r="468" spans="1:42" outlineLevel="1">
      <c r="A468" s="593" t="s">
        <v>23</v>
      </c>
      <c r="B468" s="329" t="s">
        <v>1012</v>
      </c>
      <c r="C468" s="308"/>
      <c r="D468" s="304">
        <v>78</v>
      </c>
      <c r="E468" s="304">
        <f t="shared" si="494"/>
        <v>86</v>
      </c>
      <c r="F468" s="304">
        <f>F469</f>
        <v>86</v>
      </c>
      <c r="G468" s="304">
        <f>G469</f>
        <v>8</v>
      </c>
      <c r="H468" s="304">
        <f t="shared" ref="H468:T468" si="567">H469</f>
        <v>86</v>
      </c>
      <c r="I468" s="304">
        <f t="shared" si="567"/>
        <v>86</v>
      </c>
      <c r="J468" s="304">
        <f t="shared" si="567"/>
        <v>0</v>
      </c>
      <c r="K468" s="304">
        <f t="shared" si="567"/>
        <v>0</v>
      </c>
      <c r="L468" s="304">
        <f t="shared" si="567"/>
        <v>0</v>
      </c>
      <c r="M468" s="304">
        <f t="shared" si="567"/>
        <v>0</v>
      </c>
      <c r="N468" s="304">
        <f t="shared" si="567"/>
        <v>0</v>
      </c>
      <c r="O468" s="304">
        <f t="shared" si="567"/>
        <v>0</v>
      </c>
      <c r="P468" s="304">
        <f t="shared" si="567"/>
        <v>86</v>
      </c>
      <c r="Q468" s="304">
        <f t="shared" si="567"/>
        <v>0</v>
      </c>
      <c r="R468" s="304">
        <f t="shared" si="567"/>
        <v>0</v>
      </c>
      <c r="S468" s="304">
        <f t="shared" si="567"/>
        <v>0</v>
      </c>
      <c r="T468" s="304">
        <f t="shared" si="567"/>
        <v>86</v>
      </c>
      <c r="U468" s="304">
        <f>U469</f>
        <v>78</v>
      </c>
      <c r="V468" s="304">
        <f>V469</f>
        <v>8</v>
      </c>
      <c r="W468" s="303"/>
      <c r="X468" s="303"/>
      <c r="Y468" s="303"/>
      <c r="Z468" s="303"/>
      <c r="AA468" s="303"/>
      <c r="AB468" s="303"/>
      <c r="AC468" s="303"/>
      <c r="AD468" s="303"/>
      <c r="AE468" s="303"/>
      <c r="AF468" s="332" t="s">
        <v>1796</v>
      </c>
      <c r="AG468" s="314">
        <f t="shared" si="557"/>
        <v>0</v>
      </c>
      <c r="AH468" s="696">
        <f t="shared" si="558"/>
        <v>0</v>
      </c>
      <c r="AI468" s="314">
        <f t="shared" si="559"/>
        <v>0</v>
      </c>
      <c r="AJ468" s="314">
        <f t="shared" si="560"/>
        <v>0</v>
      </c>
      <c r="AK468" s="314">
        <f t="shared" si="561"/>
        <v>0</v>
      </c>
      <c r="AL468" s="314">
        <f t="shared" si="562"/>
        <v>0</v>
      </c>
      <c r="AM468" s="314">
        <f t="shared" si="563"/>
        <v>0</v>
      </c>
      <c r="AN468" s="314">
        <f t="shared" si="564"/>
        <v>0</v>
      </c>
      <c r="AO468" s="314">
        <f t="shared" si="565"/>
        <v>0</v>
      </c>
      <c r="AP468" s="314">
        <f t="shared" si="566"/>
        <v>0</v>
      </c>
    </row>
    <row r="469" spans="1:42" ht="27.6" hidden="1" outlineLevel="3">
      <c r="A469" s="593" t="s">
        <v>281</v>
      </c>
      <c r="B469" s="329" t="s">
        <v>1622</v>
      </c>
      <c r="C469" s="308"/>
      <c r="D469" s="304">
        <v>78</v>
      </c>
      <c r="E469" s="304">
        <f t="shared" si="494"/>
        <v>86</v>
      </c>
      <c r="F469" s="304">
        <f t="shared" ref="F469:F480" si="568">H469-AB469</f>
        <v>86</v>
      </c>
      <c r="G469" s="304">
        <f t="shared" ref="G469:G490" si="569">F469-D469</f>
        <v>8</v>
      </c>
      <c r="H469" s="303">
        <f t="shared" si="548"/>
        <v>86</v>
      </c>
      <c r="I469" s="303">
        <f t="shared" si="551"/>
        <v>86</v>
      </c>
      <c r="J469" s="311"/>
      <c r="K469" s="311"/>
      <c r="L469" s="311"/>
      <c r="M469" s="303"/>
      <c r="N469" s="311"/>
      <c r="O469" s="311"/>
      <c r="P469" s="303">
        <f t="shared" si="549"/>
        <v>86</v>
      </c>
      <c r="Q469" s="311"/>
      <c r="R469" s="312"/>
      <c r="S469" s="303"/>
      <c r="T469" s="303">
        <f t="shared" ref="T469:T480" si="570">U469+V469</f>
        <v>86</v>
      </c>
      <c r="U469" s="303">
        <v>78</v>
      </c>
      <c r="V469" s="303">
        <v>8</v>
      </c>
      <c r="W469" s="303"/>
      <c r="X469" s="303"/>
      <c r="Y469" s="303"/>
      <c r="Z469" s="303"/>
      <c r="AA469" s="303"/>
      <c r="AB469" s="303"/>
      <c r="AC469" s="303"/>
      <c r="AD469" s="303"/>
      <c r="AE469" s="303"/>
      <c r="AF469" s="332"/>
      <c r="AG469" s="314">
        <f t="shared" si="557"/>
        <v>0</v>
      </c>
      <c r="AH469" s="696">
        <f t="shared" si="558"/>
        <v>0</v>
      </c>
      <c r="AI469" s="314">
        <f t="shared" si="559"/>
        <v>0</v>
      </c>
      <c r="AJ469" s="314">
        <f t="shared" si="560"/>
        <v>0</v>
      </c>
      <c r="AK469" s="314">
        <f t="shared" si="561"/>
        <v>0</v>
      </c>
      <c r="AL469" s="314">
        <f t="shared" si="562"/>
        <v>0</v>
      </c>
      <c r="AM469" s="314">
        <f t="shared" si="563"/>
        <v>0</v>
      </c>
      <c r="AN469" s="314">
        <f t="shared" si="564"/>
        <v>0</v>
      </c>
      <c r="AO469" s="314">
        <f t="shared" si="565"/>
        <v>0</v>
      </c>
      <c r="AP469" s="314">
        <f t="shared" si="566"/>
        <v>0</v>
      </c>
    </row>
    <row r="470" spans="1:42" ht="55.2" outlineLevel="1" collapsed="1">
      <c r="A470" s="593" t="s">
        <v>23</v>
      </c>
      <c r="B470" s="329" t="s">
        <v>1482</v>
      </c>
      <c r="C470" s="308"/>
      <c r="D470" s="304">
        <v>800</v>
      </c>
      <c r="E470" s="304">
        <f t="shared" si="494"/>
        <v>800</v>
      </c>
      <c r="F470" s="304">
        <f t="shared" si="568"/>
        <v>800</v>
      </c>
      <c r="G470" s="304">
        <f t="shared" si="569"/>
        <v>0</v>
      </c>
      <c r="H470" s="303">
        <f t="shared" si="548"/>
        <v>800</v>
      </c>
      <c r="I470" s="303">
        <f t="shared" si="551"/>
        <v>800</v>
      </c>
      <c r="J470" s="311"/>
      <c r="K470" s="311"/>
      <c r="L470" s="311"/>
      <c r="M470" s="303"/>
      <c r="N470" s="311"/>
      <c r="O470" s="311"/>
      <c r="P470" s="303">
        <f t="shared" si="549"/>
        <v>800</v>
      </c>
      <c r="Q470" s="311"/>
      <c r="R470" s="312"/>
      <c r="S470" s="303"/>
      <c r="T470" s="303">
        <f t="shared" si="570"/>
        <v>800</v>
      </c>
      <c r="U470" s="303">
        <f>900-100</f>
        <v>800</v>
      </c>
      <c r="V470" s="303"/>
      <c r="W470" s="303"/>
      <c r="X470" s="303"/>
      <c r="Y470" s="303"/>
      <c r="Z470" s="303"/>
      <c r="AA470" s="303"/>
      <c r="AB470" s="303"/>
      <c r="AC470" s="303"/>
      <c r="AD470" s="303"/>
      <c r="AE470" s="303"/>
      <c r="AF470" s="332" t="s">
        <v>1797</v>
      </c>
      <c r="AG470" s="314">
        <f t="shared" si="557"/>
        <v>0</v>
      </c>
      <c r="AH470" s="696">
        <f t="shared" si="558"/>
        <v>0</v>
      </c>
      <c r="AI470" s="314">
        <f t="shared" si="559"/>
        <v>0</v>
      </c>
      <c r="AJ470" s="314">
        <f t="shared" si="560"/>
        <v>0</v>
      </c>
      <c r="AK470" s="314">
        <f t="shared" si="561"/>
        <v>0</v>
      </c>
      <c r="AL470" s="314">
        <f t="shared" si="562"/>
        <v>0</v>
      </c>
      <c r="AM470" s="314">
        <f t="shared" si="563"/>
        <v>0</v>
      </c>
      <c r="AN470" s="314">
        <f t="shared" si="564"/>
        <v>0</v>
      </c>
      <c r="AO470" s="314">
        <f t="shared" si="565"/>
        <v>0</v>
      </c>
      <c r="AP470" s="314">
        <f t="shared" si="566"/>
        <v>0</v>
      </c>
    </row>
    <row r="471" spans="1:42" ht="41.4" outlineLevel="1">
      <c r="A471" s="593" t="s">
        <v>23</v>
      </c>
      <c r="B471" s="329" t="s">
        <v>2147</v>
      </c>
      <c r="C471" s="308"/>
      <c r="D471" s="304">
        <v>143</v>
      </c>
      <c r="E471" s="304">
        <f t="shared" si="494"/>
        <v>450</v>
      </c>
      <c r="F471" s="304">
        <f t="shared" si="568"/>
        <v>450</v>
      </c>
      <c r="G471" s="304">
        <f t="shared" si="569"/>
        <v>307</v>
      </c>
      <c r="H471" s="303">
        <f t="shared" si="548"/>
        <v>450</v>
      </c>
      <c r="I471" s="303">
        <f t="shared" si="551"/>
        <v>450</v>
      </c>
      <c r="J471" s="311"/>
      <c r="K471" s="311"/>
      <c r="L471" s="311"/>
      <c r="M471" s="303"/>
      <c r="N471" s="311"/>
      <c r="O471" s="311"/>
      <c r="P471" s="303">
        <f t="shared" si="549"/>
        <v>450</v>
      </c>
      <c r="Q471" s="311"/>
      <c r="R471" s="312"/>
      <c r="S471" s="303"/>
      <c r="T471" s="303">
        <f t="shared" si="570"/>
        <v>450</v>
      </c>
      <c r="U471" s="303">
        <v>200</v>
      </c>
      <c r="V471" s="303">
        <v>250</v>
      </c>
      <c r="W471" s="303"/>
      <c r="X471" s="303"/>
      <c r="Y471" s="303"/>
      <c r="Z471" s="303"/>
      <c r="AA471" s="303"/>
      <c r="AB471" s="303"/>
      <c r="AC471" s="303"/>
      <c r="AD471" s="303"/>
      <c r="AE471" s="303"/>
      <c r="AF471" s="332" t="s">
        <v>2320</v>
      </c>
      <c r="AG471" s="314">
        <f t="shared" si="557"/>
        <v>0</v>
      </c>
      <c r="AH471" s="696">
        <f t="shared" si="558"/>
        <v>0</v>
      </c>
      <c r="AI471" s="314">
        <f t="shared" si="559"/>
        <v>0</v>
      </c>
      <c r="AJ471" s="314">
        <f t="shared" si="560"/>
        <v>0</v>
      </c>
      <c r="AK471" s="314">
        <f t="shared" si="561"/>
        <v>0</v>
      </c>
      <c r="AL471" s="314">
        <f t="shared" si="562"/>
        <v>0</v>
      </c>
      <c r="AM471" s="314">
        <f t="shared" si="563"/>
        <v>0</v>
      </c>
      <c r="AN471" s="314">
        <f t="shared" si="564"/>
        <v>0</v>
      </c>
      <c r="AO471" s="314">
        <f t="shared" si="565"/>
        <v>0</v>
      </c>
      <c r="AP471" s="314">
        <f t="shared" si="566"/>
        <v>0</v>
      </c>
    </row>
    <row r="472" spans="1:42" ht="27.6" outlineLevel="1">
      <c r="A472" s="593" t="s">
        <v>23</v>
      </c>
      <c r="B472" s="329" t="s">
        <v>1623</v>
      </c>
      <c r="C472" s="308"/>
      <c r="D472" s="304">
        <v>217</v>
      </c>
      <c r="E472" s="304">
        <f t="shared" si="494"/>
        <v>276</v>
      </c>
      <c r="F472" s="304">
        <f t="shared" si="568"/>
        <v>276</v>
      </c>
      <c r="G472" s="304">
        <f t="shared" si="569"/>
        <v>59</v>
      </c>
      <c r="H472" s="303">
        <f t="shared" si="548"/>
        <v>276</v>
      </c>
      <c r="I472" s="303">
        <f t="shared" si="551"/>
        <v>276</v>
      </c>
      <c r="J472" s="311"/>
      <c r="K472" s="311"/>
      <c r="L472" s="311"/>
      <c r="M472" s="303"/>
      <c r="N472" s="311"/>
      <c r="O472" s="311"/>
      <c r="P472" s="303">
        <f t="shared" si="549"/>
        <v>276</v>
      </c>
      <c r="Q472" s="311"/>
      <c r="R472" s="312"/>
      <c r="S472" s="303"/>
      <c r="T472" s="303">
        <f t="shared" si="570"/>
        <v>276</v>
      </c>
      <c r="U472" s="303">
        <v>217</v>
      </c>
      <c r="V472" s="303">
        <v>59</v>
      </c>
      <c r="W472" s="303"/>
      <c r="X472" s="303"/>
      <c r="Y472" s="303"/>
      <c r="Z472" s="303"/>
      <c r="AA472" s="303"/>
      <c r="AB472" s="303"/>
      <c r="AC472" s="303"/>
      <c r="AD472" s="303"/>
      <c r="AE472" s="303"/>
      <c r="AF472" s="332" t="s">
        <v>1798</v>
      </c>
      <c r="AG472" s="314">
        <f t="shared" si="557"/>
        <v>0</v>
      </c>
      <c r="AH472" s="696">
        <f t="shared" si="558"/>
        <v>0</v>
      </c>
      <c r="AI472" s="314">
        <f t="shared" si="559"/>
        <v>0</v>
      </c>
      <c r="AJ472" s="314">
        <f t="shared" si="560"/>
        <v>0</v>
      </c>
      <c r="AK472" s="314">
        <f t="shared" si="561"/>
        <v>0</v>
      </c>
      <c r="AL472" s="314">
        <f t="shared" si="562"/>
        <v>0</v>
      </c>
      <c r="AM472" s="314">
        <f t="shared" si="563"/>
        <v>0</v>
      </c>
      <c r="AN472" s="314">
        <f t="shared" si="564"/>
        <v>0</v>
      </c>
      <c r="AO472" s="314">
        <f t="shared" si="565"/>
        <v>0</v>
      </c>
      <c r="AP472" s="314">
        <f t="shared" si="566"/>
        <v>0</v>
      </c>
    </row>
    <row r="473" spans="1:42" ht="69" outlineLevel="1">
      <c r="A473" s="593" t="s">
        <v>23</v>
      </c>
      <c r="B473" s="329" t="s">
        <v>1751</v>
      </c>
      <c r="C473" s="308"/>
      <c r="D473" s="304">
        <v>98</v>
      </c>
      <c r="E473" s="304">
        <f t="shared" si="494"/>
        <v>187</v>
      </c>
      <c r="F473" s="304">
        <f t="shared" si="568"/>
        <v>187</v>
      </c>
      <c r="G473" s="304">
        <f t="shared" si="569"/>
        <v>89</v>
      </c>
      <c r="H473" s="303">
        <f t="shared" si="548"/>
        <v>187</v>
      </c>
      <c r="I473" s="303">
        <f t="shared" si="551"/>
        <v>187</v>
      </c>
      <c r="J473" s="311"/>
      <c r="K473" s="311"/>
      <c r="L473" s="311"/>
      <c r="M473" s="303"/>
      <c r="N473" s="311"/>
      <c r="O473" s="311"/>
      <c r="P473" s="303">
        <f t="shared" si="549"/>
        <v>187</v>
      </c>
      <c r="Q473" s="311"/>
      <c r="R473" s="312"/>
      <c r="S473" s="303"/>
      <c r="T473" s="303">
        <f t="shared" si="570"/>
        <v>187</v>
      </c>
      <c r="U473" s="303">
        <v>98</v>
      </c>
      <c r="V473" s="303">
        <v>89</v>
      </c>
      <c r="W473" s="303"/>
      <c r="X473" s="303"/>
      <c r="Y473" s="303"/>
      <c r="Z473" s="303"/>
      <c r="AA473" s="303"/>
      <c r="AB473" s="303"/>
      <c r="AC473" s="303"/>
      <c r="AD473" s="303"/>
      <c r="AE473" s="303"/>
      <c r="AF473" s="332" t="s">
        <v>1799</v>
      </c>
      <c r="AG473" s="314">
        <f t="shared" si="557"/>
        <v>0</v>
      </c>
      <c r="AH473" s="696">
        <f t="shared" si="558"/>
        <v>0</v>
      </c>
      <c r="AI473" s="314">
        <f t="shared" si="559"/>
        <v>0</v>
      </c>
      <c r="AJ473" s="314">
        <f t="shared" si="560"/>
        <v>0</v>
      </c>
      <c r="AK473" s="314">
        <f t="shared" si="561"/>
        <v>0</v>
      </c>
      <c r="AL473" s="314">
        <f t="shared" si="562"/>
        <v>0</v>
      </c>
      <c r="AM473" s="314">
        <f t="shared" si="563"/>
        <v>0</v>
      </c>
      <c r="AN473" s="314">
        <f t="shared" si="564"/>
        <v>0</v>
      </c>
      <c r="AO473" s="314">
        <f t="shared" si="565"/>
        <v>0</v>
      </c>
      <c r="AP473" s="314">
        <f t="shared" si="566"/>
        <v>0</v>
      </c>
    </row>
    <row r="474" spans="1:42" ht="27.6" outlineLevel="1">
      <c r="A474" s="593" t="s">
        <v>23</v>
      </c>
      <c r="B474" s="329" t="s">
        <v>1624</v>
      </c>
      <c r="C474" s="308"/>
      <c r="D474" s="304">
        <v>210</v>
      </c>
      <c r="E474" s="304">
        <f t="shared" si="494"/>
        <v>210</v>
      </c>
      <c r="F474" s="304">
        <f t="shared" si="568"/>
        <v>210</v>
      </c>
      <c r="G474" s="304">
        <f t="shared" si="569"/>
        <v>0</v>
      </c>
      <c r="H474" s="303">
        <f t="shared" si="548"/>
        <v>210</v>
      </c>
      <c r="I474" s="303">
        <f t="shared" si="551"/>
        <v>210</v>
      </c>
      <c r="J474" s="311"/>
      <c r="K474" s="311"/>
      <c r="L474" s="311"/>
      <c r="M474" s="303"/>
      <c r="N474" s="311"/>
      <c r="O474" s="311"/>
      <c r="P474" s="303">
        <f t="shared" si="549"/>
        <v>210</v>
      </c>
      <c r="Q474" s="311"/>
      <c r="R474" s="312"/>
      <c r="S474" s="303"/>
      <c r="T474" s="303">
        <f t="shared" si="570"/>
        <v>210</v>
      </c>
      <c r="U474" s="303">
        <v>210</v>
      </c>
      <c r="V474" s="303"/>
      <c r="W474" s="303"/>
      <c r="X474" s="303"/>
      <c r="Y474" s="303"/>
      <c r="Z474" s="303"/>
      <c r="AA474" s="303"/>
      <c r="AB474" s="303"/>
      <c r="AC474" s="303"/>
      <c r="AD474" s="303"/>
      <c r="AE474" s="303"/>
      <c r="AF474" s="332"/>
      <c r="AG474" s="314">
        <f t="shared" si="557"/>
        <v>0</v>
      </c>
      <c r="AH474" s="696">
        <f t="shared" si="558"/>
        <v>0</v>
      </c>
      <c r="AI474" s="314">
        <f t="shared" si="559"/>
        <v>0</v>
      </c>
      <c r="AJ474" s="314">
        <f t="shared" si="560"/>
        <v>0</v>
      </c>
      <c r="AK474" s="314">
        <f t="shared" si="561"/>
        <v>0</v>
      </c>
      <c r="AL474" s="314">
        <f t="shared" si="562"/>
        <v>0</v>
      </c>
      <c r="AM474" s="314">
        <f t="shared" si="563"/>
        <v>0</v>
      </c>
      <c r="AN474" s="314">
        <f t="shared" si="564"/>
        <v>0</v>
      </c>
      <c r="AO474" s="314">
        <f t="shared" si="565"/>
        <v>0</v>
      </c>
      <c r="AP474" s="314">
        <f t="shared" si="566"/>
        <v>0</v>
      </c>
    </row>
    <row r="475" spans="1:42" ht="41.4" outlineLevel="1">
      <c r="A475" s="593" t="s">
        <v>23</v>
      </c>
      <c r="B475" s="329" t="s">
        <v>1752</v>
      </c>
      <c r="C475" s="308"/>
      <c r="D475" s="304">
        <v>10</v>
      </c>
      <c r="E475" s="304">
        <f t="shared" si="494"/>
        <v>10</v>
      </c>
      <c r="F475" s="304">
        <f t="shared" si="568"/>
        <v>10</v>
      </c>
      <c r="G475" s="304">
        <f t="shared" si="569"/>
        <v>0</v>
      </c>
      <c r="H475" s="303">
        <f t="shared" si="548"/>
        <v>10</v>
      </c>
      <c r="I475" s="303">
        <f t="shared" si="551"/>
        <v>10</v>
      </c>
      <c r="J475" s="311"/>
      <c r="K475" s="311"/>
      <c r="L475" s="311"/>
      <c r="M475" s="303"/>
      <c r="N475" s="311"/>
      <c r="O475" s="311"/>
      <c r="P475" s="303">
        <f t="shared" si="549"/>
        <v>10</v>
      </c>
      <c r="Q475" s="311"/>
      <c r="R475" s="312"/>
      <c r="S475" s="303"/>
      <c r="T475" s="303">
        <f t="shared" si="570"/>
        <v>10</v>
      </c>
      <c r="U475" s="303">
        <v>10</v>
      </c>
      <c r="V475" s="303"/>
      <c r="W475" s="303"/>
      <c r="X475" s="303"/>
      <c r="Y475" s="303"/>
      <c r="Z475" s="303"/>
      <c r="AA475" s="303"/>
      <c r="AB475" s="303"/>
      <c r="AC475" s="303"/>
      <c r="AD475" s="303"/>
      <c r="AE475" s="303"/>
      <c r="AF475" s="332"/>
      <c r="AG475" s="314">
        <f t="shared" si="557"/>
        <v>0</v>
      </c>
      <c r="AH475" s="696">
        <f t="shared" si="558"/>
        <v>0</v>
      </c>
      <c r="AI475" s="314">
        <f t="shared" si="559"/>
        <v>0</v>
      </c>
      <c r="AJ475" s="314">
        <f t="shared" si="560"/>
        <v>0</v>
      </c>
      <c r="AK475" s="314">
        <f t="shared" si="561"/>
        <v>0</v>
      </c>
      <c r="AL475" s="314">
        <f t="shared" si="562"/>
        <v>0</v>
      </c>
      <c r="AM475" s="314">
        <f t="shared" si="563"/>
        <v>0</v>
      </c>
      <c r="AN475" s="314">
        <f t="shared" si="564"/>
        <v>0</v>
      </c>
      <c r="AO475" s="314">
        <f t="shared" si="565"/>
        <v>0</v>
      </c>
      <c r="AP475" s="314">
        <f t="shared" si="566"/>
        <v>0</v>
      </c>
    </row>
    <row r="476" spans="1:42" hidden="1" outlineLevel="3">
      <c r="A476" s="583" t="s">
        <v>23</v>
      </c>
      <c r="B476" s="316" t="s">
        <v>1748</v>
      </c>
      <c r="C476" s="317"/>
      <c r="D476" s="304">
        <v>90</v>
      </c>
      <c r="E476" s="304">
        <f>F476+AC476</f>
        <v>0</v>
      </c>
      <c r="F476" s="304">
        <f t="shared" si="568"/>
        <v>0</v>
      </c>
      <c r="G476" s="304">
        <f t="shared" si="569"/>
        <v>-90</v>
      </c>
      <c r="H476" s="303">
        <f t="shared" si="548"/>
        <v>0</v>
      </c>
      <c r="I476" s="303">
        <f>M476+P476</f>
        <v>0</v>
      </c>
      <c r="J476" s="330"/>
      <c r="K476" s="330"/>
      <c r="L476" s="330"/>
      <c r="M476" s="317"/>
      <c r="N476" s="330"/>
      <c r="O476" s="330"/>
      <c r="P476" s="303">
        <f t="shared" si="549"/>
        <v>0</v>
      </c>
      <c r="Q476" s="330"/>
      <c r="R476" s="331"/>
      <c r="S476" s="317"/>
      <c r="T476" s="303">
        <f t="shared" si="570"/>
        <v>0</v>
      </c>
      <c r="U476" s="317"/>
      <c r="V476" s="317"/>
      <c r="W476" s="303"/>
      <c r="X476" s="303"/>
      <c r="Y476" s="303"/>
      <c r="Z476" s="317"/>
      <c r="AA476" s="317"/>
      <c r="AB476" s="304"/>
      <c r="AC476" s="304"/>
      <c r="AD476" s="304"/>
      <c r="AE476" s="304"/>
      <c r="AF476" s="317"/>
      <c r="AG476" s="314">
        <f t="shared" si="557"/>
        <v>0</v>
      </c>
      <c r="AH476" s="696">
        <f t="shared" si="558"/>
        <v>0</v>
      </c>
      <c r="AI476" s="314">
        <f t="shared" si="559"/>
        <v>0</v>
      </c>
      <c r="AJ476" s="314">
        <f t="shared" si="560"/>
        <v>0</v>
      </c>
      <c r="AK476" s="314">
        <f t="shared" si="561"/>
        <v>0</v>
      </c>
      <c r="AL476" s="314">
        <f t="shared" si="562"/>
        <v>0</v>
      </c>
      <c r="AM476" s="314">
        <f t="shared" si="563"/>
        <v>0</v>
      </c>
      <c r="AN476" s="314">
        <f t="shared" si="564"/>
        <v>0</v>
      </c>
      <c r="AO476" s="314">
        <f t="shared" si="565"/>
        <v>0</v>
      </c>
      <c r="AP476" s="314">
        <f t="shared" si="566"/>
        <v>0</v>
      </c>
    </row>
    <row r="477" spans="1:42" ht="41.4" hidden="1" outlineLevel="3">
      <c r="A477" s="593" t="s">
        <v>23</v>
      </c>
      <c r="B477" s="329" t="s">
        <v>1693</v>
      </c>
      <c r="C477" s="308"/>
      <c r="D477" s="304">
        <v>282</v>
      </c>
      <c r="E477" s="304">
        <f t="shared" ref="E477:E543" si="571">F477+AC477</f>
        <v>0</v>
      </c>
      <c r="F477" s="304">
        <f t="shared" si="568"/>
        <v>0</v>
      </c>
      <c r="G477" s="304">
        <f t="shared" si="569"/>
        <v>-282</v>
      </c>
      <c r="H477" s="303">
        <f t="shared" si="548"/>
        <v>0</v>
      </c>
      <c r="I477" s="303">
        <f t="shared" ref="I477:I478" si="572">M477+P477</f>
        <v>0</v>
      </c>
      <c r="J477" s="311"/>
      <c r="K477" s="311"/>
      <c r="L477" s="311"/>
      <c r="M477" s="303"/>
      <c r="N477" s="311"/>
      <c r="O477" s="311"/>
      <c r="P477" s="303">
        <f t="shared" si="549"/>
        <v>0</v>
      </c>
      <c r="Q477" s="311"/>
      <c r="R477" s="312"/>
      <c r="S477" s="303"/>
      <c r="T477" s="303">
        <f t="shared" si="570"/>
        <v>0</v>
      </c>
      <c r="U477" s="303"/>
      <c r="V477" s="303"/>
      <c r="W477" s="303"/>
      <c r="X477" s="303"/>
      <c r="Y477" s="303"/>
      <c r="Z477" s="303"/>
      <c r="AA477" s="303"/>
      <c r="AB477" s="303"/>
      <c r="AC477" s="303"/>
      <c r="AD477" s="303"/>
      <c r="AE477" s="303"/>
      <c r="AF477" s="332"/>
      <c r="AG477" s="314">
        <f t="shared" si="557"/>
        <v>0</v>
      </c>
      <c r="AH477" s="696">
        <f t="shared" si="558"/>
        <v>0</v>
      </c>
      <c r="AI477" s="314">
        <f t="shared" si="559"/>
        <v>0</v>
      </c>
      <c r="AJ477" s="314">
        <f t="shared" si="560"/>
        <v>0</v>
      </c>
      <c r="AK477" s="314">
        <f t="shared" si="561"/>
        <v>0</v>
      </c>
      <c r="AL477" s="314">
        <f t="shared" si="562"/>
        <v>0</v>
      </c>
      <c r="AM477" s="314">
        <f t="shared" si="563"/>
        <v>0</v>
      </c>
      <c r="AN477" s="314">
        <f t="shared" si="564"/>
        <v>0</v>
      </c>
      <c r="AO477" s="314">
        <f t="shared" si="565"/>
        <v>0</v>
      </c>
      <c r="AP477" s="314">
        <f t="shared" si="566"/>
        <v>0</v>
      </c>
    </row>
    <row r="478" spans="1:42" ht="27.6" hidden="1" outlineLevel="3" collapsed="1">
      <c r="A478" s="593" t="s">
        <v>23</v>
      </c>
      <c r="B478" s="329" t="s">
        <v>2188</v>
      </c>
      <c r="C478" s="308"/>
      <c r="D478" s="304"/>
      <c r="E478" s="304">
        <f t="shared" si="571"/>
        <v>0</v>
      </c>
      <c r="F478" s="304">
        <f t="shared" si="568"/>
        <v>0</v>
      </c>
      <c r="G478" s="304">
        <f t="shared" si="569"/>
        <v>0</v>
      </c>
      <c r="H478" s="303">
        <f t="shared" si="548"/>
        <v>0</v>
      </c>
      <c r="I478" s="303">
        <f t="shared" si="572"/>
        <v>0</v>
      </c>
      <c r="J478" s="311"/>
      <c r="K478" s="311"/>
      <c r="L478" s="311"/>
      <c r="M478" s="303"/>
      <c r="N478" s="311"/>
      <c r="O478" s="311"/>
      <c r="P478" s="303">
        <f t="shared" si="549"/>
        <v>0</v>
      </c>
      <c r="Q478" s="311"/>
      <c r="R478" s="312"/>
      <c r="S478" s="303"/>
      <c r="T478" s="303">
        <f t="shared" si="570"/>
        <v>0</v>
      </c>
      <c r="U478" s="303"/>
      <c r="V478" s="303">
        <v>0</v>
      </c>
      <c r="W478" s="303"/>
      <c r="X478" s="303"/>
      <c r="Y478" s="303"/>
      <c r="Z478" s="303"/>
      <c r="AA478" s="303"/>
      <c r="AB478" s="303"/>
      <c r="AC478" s="303"/>
      <c r="AD478" s="303"/>
      <c r="AE478" s="303"/>
      <c r="AF478" s="332" t="s">
        <v>2536</v>
      </c>
      <c r="AG478" s="314"/>
      <c r="AH478" s="696"/>
      <c r="AI478" s="314"/>
      <c r="AJ478" s="314"/>
      <c r="AK478" s="314"/>
      <c r="AL478" s="314"/>
      <c r="AM478" s="314"/>
      <c r="AN478" s="314"/>
      <c r="AO478" s="314"/>
      <c r="AP478" s="314"/>
    </row>
    <row r="479" spans="1:42" ht="110.4">
      <c r="A479" s="593" t="s">
        <v>49</v>
      </c>
      <c r="B479" s="316" t="s">
        <v>1013</v>
      </c>
      <c r="C479" s="302"/>
      <c r="D479" s="304">
        <v>5850</v>
      </c>
      <c r="E479" s="304">
        <f t="shared" si="571"/>
        <v>7482</v>
      </c>
      <c r="F479" s="304">
        <f t="shared" si="568"/>
        <v>7482</v>
      </c>
      <c r="G479" s="304">
        <f t="shared" si="569"/>
        <v>1632</v>
      </c>
      <c r="H479" s="303">
        <f t="shared" si="548"/>
        <v>7482</v>
      </c>
      <c r="I479" s="303">
        <f t="shared" si="551"/>
        <v>7482</v>
      </c>
      <c r="J479" s="311"/>
      <c r="K479" s="311"/>
      <c r="L479" s="311"/>
      <c r="M479" s="303"/>
      <c r="N479" s="311"/>
      <c r="O479" s="311"/>
      <c r="P479" s="303">
        <f t="shared" si="549"/>
        <v>7482</v>
      </c>
      <c r="Q479" s="311"/>
      <c r="R479" s="312"/>
      <c r="S479" s="303"/>
      <c r="T479" s="303">
        <f t="shared" si="570"/>
        <v>7482</v>
      </c>
      <c r="U479" s="303">
        <v>5850</v>
      </c>
      <c r="V479" s="303">
        <v>1632</v>
      </c>
      <c r="W479" s="303">
        <f t="shared" ref="W479:W480" si="573">Z479+AA479</f>
        <v>0</v>
      </c>
      <c r="X479" s="303"/>
      <c r="Y479" s="303"/>
      <c r="Z479" s="303"/>
      <c r="AA479" s="303"/>
      <c r="AB479" s="304"/>
      <c r="AC479" s="304"/>
      <c r="AD479" s="304">
        <v>748</v>
      </c>
      <c r="AE479" s="303">
        <f>E479-AD479</f>
        <v>6734</v>
      </c>
      <c r="AF479" s="1263" t="s">
        <v>2555</v>
      </c>
      <c r="AG479" s="314">
        <f t="shared" si="557"/>
        <v>0</v>
      </c>
      <c r="AH479" s="696">
        <f t="shared" si="558"/>
        <v>0</v>
      </c>
      <c r="AI479" s="314">
        <f t="shared" si="559"/>
        <v>0</v>
      </c>
      <c r="AJ479" s="314">
        <f t="shared" si="560"/>
        <v>0</v>
      </c>
      <c r="AK479" s="314">
        <f t="shared" si="561"/>
        <v>0</v>
      </c>
      <c r="AL479" s="314">
        <f t="shared" si="562"/>
        <v>0</v>
      </c>
      <c r="AM479" s="314">
        <f t="shared" si="563"/>
        <v>0</v>
      </c>
      <c r="AN479" s="314">
        <f t="shared" si="564"/>
        <v>0</v>
      </c>
      <c r="AO479" s="314">
        <f t="shared" si="565"/>
        <v>0</v>
      </c>
      <c r="AP479" s="314">
        <f t="shared" si="566"/>
        <v>0</v>
      </c>
    </row>
    <row r="480" spans="1:42">
      <c r="A480" s="593" t="s">
        <v>732</v>
      </c>
      <c r="B480" s="316" t="s">
        <v>1014</v>
      </c>
      <c r="C480" s="302"/>
      <c r="D480" s="304">
        <v>1681</v>
      </c>
      <c r="E480" s="304">
        <f t="shared" si="571"/>
        <v>1841</v>
      </c>
      <c r="F480" s="304">
        <f t="shared" si="568"/>
        <v>1841</v>
      </c>
      <c r="G480" s="304">
        <f t="shared" si="569"/>
        <v>160</v>
      </c>
      <c r="H480" s="303">
        <f t="shared" si="548"/>
        <v>1841</v>
      </c>
      <c r="I480" s="303">
        <f t="shared" si="551"/>
        <v>1841</v>
      </c>
      <c r="J480" s="311"/>
      <c r="K480" s="311"/>
      <c r="L480" s="311"/>
      <c r="M480" s="303"/>
      <c r="N480" s="311"/>
      <c r="O480" s="311"/>
      <c r="P480" s="303">
        <f t="shared" si="549"/>
        <v>1841</v>
      </c>
      <c r="Q480" s="311"/>
      <c r="R480" s="312"/>
      <c r="S480" s="303"/>
      <c r="T480" s="303">
        <f t="shared" si="570"/>
        <v>1841</v>
      </c>
      <c r="U480" s="303">
        <f>ROUND((F443+F452+F479+F481+F489+F491)/98%*2%,0)</f>
        <v>1841</v>
      </c>
      <c r="V480" s="303"/>
      <c r="W480" s="303">
        <f t="shared" si="573"/>
        <v>0</v>
      </c>
      <c r="X480" s="303"/>
      <c r="Y480" s="303"/>
      <c r="Z480" s="303"/>
      <c r="AA480" s="303"/>
      <c r="AB480" s="304"/>
      <c r="AC480" s="304"/>
      <c r="AD480" s="304">
        <v>184</v>
      </c>
      <c r="AE480" s="303">
        <f>E480-AD480</f>
        <v>1657</v>
      </c>
      <c r="AF480" s="317" t="s">
        <v>1015</v>
      </c>
      <c r="AG480" s="314">
        <f t="shared" si="557"/>
        <v>0</v>
      </c>
      <c r="AH480" s="696">
        <f t="shared" si="558"/>
        <v>0</v>
      </c>
      <c r="AI480" s="314">
        <f t="shared" si="559"/>
        <v>0</v>
      </c>
      <c r="AJ480" s="314">
        <f t="shared" si="560"/>
        <v>0</v>
      </c>
      <c r="AK480" s="314">
        <f t="shared" si="561"/>
        <v>0</v>
      </c>
      <c r="AL480" s="314">
        <f t="shared" si="562"/>
        <v>0</v>
      </c>
      <c r="AM480" s="314">
        <f t="shared" si="563"/>
        <v>0</v>
      </c>
      <c r="AN480" s="314">
        <f t="shared" si="564"/>
        <v>0</v>
      </c>
      <c r="AO480" s="314">
        <f t="shared" si="565"/>
        <v>0</v>
      </c>
      <c r="AP480" s="314">
        <f t="shared" si="566"/>
        <v>0</v>
      </c>
    </row>
    <row r="481" spans="1:42" s="314" customFormat="1">
      <c r="A481" s="592" t="s">
        <v>1016</v>
      </c>
      <c r="B481" s="320" t="s">
        <v>1017</v>
      </c>
      <c r="C481" s="298"/>
      <c r="D481" s="299">
        <f>D482+D483</f>
        <v>20614</v>
      </c>
      <c r="E481" s="299">
        <f>E482+E483+E488</f>
        <v>21713</v>
      </c>
      <c r="F481" s="299">
        <f t="shared" ref="F481:AC481" si="574">F482+F483+F488</f>
        <v>21184</v>
      </c>
      <c r="G481" s="299">
        <f t="shared" si="574"/>
        <v>570</v>
      </c>
      <c r="H481" s="299">
        <f t="shared" si="574"/>
        <v>21404</v>
      </c>
      <c r="I481" s="299">
        <f t="shared" si="574"/>
        <v>3239</v>
      </c>
      <c r="J481" s="299">
        <f t="shared" si="574"/>
        <v>24</v>
      </c>
      <c r="K481" s="299">
        <f t="shared" si="574"/>
        <v>24</v>
      </c>
      <c r="L481" s="299">
        <f t="shared" si="574"/>
        <v>0</v>
      </c>
      <c r="M481" s="299">
        <f t="shared" si="574"/>
        <v>2543</v>
      </c>
      <c r="N481" s="299">
        <f t="shared" si="574"/>
        <v>2543</v>
      </c>
      <c r="O481" s="299">
        <f t="shared" si="574"/>
        <v>0</v>
      </c>
      <c r="P481" s="299">
        <f t="shared" si="574"/>
        <v>696</v>
      </c>
      <c r="Q481" s="299">
        <f t="shared" si="574"/>
        <v>29</v>
      </c>
      <c r="R481" s="299">
        <f t="shared" si="574"/>
        <v>1</v>
      </c>
      <c r="S481" s="299">
        <f t="shared" si="574"/>
        <v>696</v>
      </c>
      <c r="T481" s="299">
        <f t="shared" si="574"/>
        <v>0</v>
      </c>
      <c r="U481" s="299">
        <f t="shared" si="574"/>
        <v>0</v>
      </c>
      <c r="V481" s="299">
        <f t="shared" si="574"/>
        <v>0</v>
      </c>
      <c r="W481" s="299">
        <f t="shared" si="574"/>
        <v>18165</v>
      </c>
      <c r="X481" s="299">
        <f t="shared" si="574"/>
        <v>0</v>
      </c>
      <c r="Y481" s="299">
        <f t="shared" si="574"/>
        <v>0</v>
      </c>
      <c r="Z481" s="299">
        <f t="shared" si="574"/>
        <v>16984</v>
      </c>
      <c r="AA481" s="299">
        <f t="shared" si="574"/>
        <v>1181</v>
      </c>
      <c r="AB481" s="299">
        <f t="shared" si="574"/>
        <v>220</v>
      </c>
      <c r="AC481" s="299">
        <f t="shared" si="574"/>
        <v>529</v>
      </c>
      <c r="AD481" s="299">
        <f t="shared" ref="AD481" si="575">AD482+AD483</f>
        <v>48</v>
      </c>
      <c r="AE481" s="299">
        <f>AE482+AE483+AE488</f>
        <v>21665</v>
      </c>
      <c r="AF481" s="321"/>
      <c r="AG481" s="314">
        <f t="shared" si="557"/>
        <v>0</v>
      </c>
      <c r="AH481" s="696">
        <f t="shared" si="558"/>
        <v>0</v>
      </c>
      <c r="AI481" s="314">
        <f t="shared" si="559"/>
        <v>0</v>
      </c>
      <c r="AJ481" s="314">
        <f t="shared" si="560"/>
        <v>0</v>
      </c>
      <c r="AK481" s="314">
        <f t="shared" si="561"/>
        <v>0</v>
      </c>
      <c r="AL481" s="314">
        <f t="shared" si="562"/>
        <v>0</v>
      </c>
      <c r="AM481" s="314">
        <f t="shared" si="563"/>
        <v>0</v>
      </c>
      <c r="AN481" s="314">
        <f t="shared" si="564"/>
        <v>0</v>
      </c>
      <c r="AO481" s="314">
        <f t="shared" si="565"/>
        <v>0</v>
      </c>
      <c r="AP481" s="314">
        <f t="shared" si="566"/>
        <v>0</v>
      </c>
    </row>
    <row r="482" spans="1:42">
      <c r="A482" s="583" t="s">
        <v>23</v>
      </c>
      <c r="B482" s="329" t="s">
        <v>1018</v>
      </c>
      <c r="C482" s="302" t="s">
        <v>756</v>
      </c>
      <c r="D482" s="304">
        <v>3650</v>
      </c>
      <c r="E482" s="304">
        <f t="shared" si="571"/>
        <v>3548</v>
      </c>
      <c r="F482" s="304">
        <f t="shared" ref="F482:F488" si="576">H482-AB482</f>
        <v>3019</v>
      </c>
      <c r="G482" s="304">
        <f t="shared" si="569"/>
        <v>-631</v>
      </c>
      <c r="H482" s="303">
        <f t="shared" ref="H482:H488" si="577">I482+W482</f>
        <v>3239</v>
      </c>
      <c r="I482" s="303">
        <f>M482+P482</f>
        <v>3239</v>
      </c>
      <c r="J482" s="311">
        <v>24</v>
      </c>
      <c r="K482" s="311">
        <v>24</v>
      </c>
      <c r="L482" s="311">
        <f>J482-K482</f>
        <v>0</v>
      </c>
      <c r="M482" s="303">
        <f>N482+O482</f>
        <v>2543</v>
      </c>
      <c r="N482" s="311">
        <v>2543</v>
      </c>
      <c r="O482" s="311">
        <v>0</v>
      </c>
      <c r="P482" s="303">
        <f>S482+T482</f>
        <v>696</v>
      </c>
      <c r="Q482" s="294">
        <v>29</v>
      </c>
      <c r="R482" s="305">
        <v>1</v>
      </c>
      <c r="S482" s="303">
        <f t="shared" ref="S482" si="578">ROUND(J482*Q482*R482,0)</f>
        <v>696</v>
      </c>
      <c r="T482" s="303">
        <f>U482+V482</f>
        <v>0</v>
      </c>
      <c r="U482" s="303"/>
      <c r="V482" s="303"/>
      <c r="W482" s="303">
        <f>Z482+AA482</f>
        <v>0</v>
      </c>
      <c r="X482" s="303"/>
      <c r="Y482" s="303"/>
      <c r="Z482" s="303"/>
      <c r="AA482" s="303"/>
      <c r="AB482" s="304">
        <v>220</v>
      </c>
      <c r="AC482" s="304">
        <v>529</v>
      </c>
      <c r="AD482" s="304">
        <v>48</v>
      </c>
      <c r="AE482" s="303">
        <f>E482-AD482</f>
        <v>3500</v>
      </c>
      <c r="AF482" s="332"/>
      <c r="AG482" s="314">
        <f t="shared" si="557"/>
        <v>0</v>
      </c>
      <c r="AH482" s="696">
        <f t="shared" si="558"/>
        <v>0</v>
      </c>
      <c r="AI482" s="314">
        <f t="shared" si="559"/>
        <v>0</v>
      </c>
      <c r="AJ482" s="314">
        <f t="shared" si="560"/>
        <v>0</v>
      </c>
      <c r="AK482" s="314">
        <f t="shared" si="561"/>
        <v>0</v>
      </c>
      <c r="AL482" s="314">
        <f t="shared" si="562"/>
        <v>0</v>
      </c>
      <c r="AM482" s="314">
        <f t="shared" si="563"/>
        <v>0</v>
      </c>
      <c r="AN482" s="314">
        <f t="shared" si="564"/>
        <v>0</v>
      </c>
      <c r="AO482" s="314">
        <f t="shared" si="565"/>
        <v>0</v>
      </c>
      <c r="AP482" s="314">
        <f t="shared" si="566"/>
        <v>0</v>
      </c>
    </row>
    <row r="483" spans="1:42">
      <c r="A483" s="583" t="s">
        <v>23</v>
      </c>
      <c r="B483" s="316" t="s">
        <v>1019</v>
      </c>
      <c r="C483" s="302" t="s">
        <v>743</v>
      </c>
      <c r="D483" s="304">
        <v>16964</v>
      </c>
      <c r="E483" s="304">
        <f t="shared" si="571"/>
        <v>18145</v>
      </c>
      <c r="F483" s="304">
        <f t="shared" si="576"/>
        <v>18145</v>
      </c>
      <c r="G483" s="304">
        <f t="shared" si="569"/>
        <v>1181</v>
      </c>
      <c r="H483" s="303">
        <f t="shared" si="577"/>
        <v>18145</v>
      </c>
      <c r="I483" s="303">
        <f>M483+P483</f>
        <v>0</v>
      </c>
      <c r="J483" s="311"/>
      <c r="K483" s="311"/>
      <c r="L483" s="311"/>
      <c r="M483" s="303"/>
      <c r="N483" s="311"/>
      <c r="O483" s="311"/>
      <c r="P483" s="303">
        <f>S483+T483</f>
        <v>0</v>
      </c>
      <c r="Q483" s="311"/>
      <c r="R483" s="312"/>
      <c r="S483" s="303"/>
      <c r="T483" s="303">
        <f>U483+V483</f>
        <v>0</v>
      </c>
      <c r="U483" s="303"/>
      <c r="V483" s="303"/>
      <c r="W483" s="303">
        <f>Z483+AA483</f>
        <v>18145</v>
      </c>
      <c r="X483" s="303"/>
      <c r="Y483" s="303"/>
      <c r="Z483" s="303">
        <v>16964</v>
      </c>
      <c r="AA483" s="303">
        <f>AA484+AA485</f>
        <v>1181</v>
      </c>
      <c r="AB483" s="304"/>
      <c r="AC483" s="304"/>
      <c r="AD483" s="304">
        <v>0</v>
      </c>
      <c r="AE483" s="303">
        <f>E483-AD483</f>
        <v>18145</v>
      </c>
      <c r="AF483" s="317"/>
      <c r="AG483" s="314">
        <f t="shared" si="557"/>
        <v>0</v>
      </c>
      <c r="AH483" s="696">
        <f t="shared" si="558"/>
        <v>0</v>
      </c>
      <c r="AI483" s="314">
        <f t="shared" si="559"/>
        <v>0</v>
      </c>
      <c r="AJ483" s="314">
        <f t="shared" si="560"/>
        <v>0</v>
      </c>
      <c r="AK483" s="314">
        <f t="shared" si="561"/>
        <v>0</v>
      </c>
      <c r="AL483" s="314">
        <f t="shared" si="562"/>
        <v>0</v>
      </c>
      <c r="AM483" s="314">
        <f t="shared" si="563"/>
        <v>0</v>
      </c>
      <c r="AN483" s="314">
        <f t="shared" si="564"/>
        <v>0</v>
      </c>
      <c r="AO483" s="314">
        <f t="shared" si="565"/>
        <v>0</v>
      </c>
      <c r="AP483" s="314">
        <f t="shared" si="566"/>
        <v>0</v>
      </c>
    </row>
    <row r="484" spans="1:42" ht="82.8" outlineLevel="1">
      <c r="A484" s="583" t="s">
        <v>281</v>
      </c>
      <c r="B484" s="316" t="s">
        <v>2148</v>
      </c>
      <c r="C484" s="302"/>
      <c r="D484" s="304">
        <v>9890</v>
      </c>
      <c r="E484" s="304">
        <f t="shared" si="571"/>
        <v>10659</v>
      </c>
      <c r="F484" s="304">
        <f t="shared" si="576"/>
        <v>10659</v>
      </c>
      <c r="G484" s="304">
        <f t="shared" si="569"/>
        <v>769</v>
      </c>
      <c r="H484" s="303">
        <f t="shared" si="577"/>
        <v>10659</v>
      </c>
      <c r="I484" s="303">
        <f t="shared" ref="I484:I488" si="579">M484+P484</f>
        <v>0</v>
      </c>
      <c r="J484" s="311"/>
      <c r="K484" s="311"/>
      <c r="L484" s="311"/>
      <c r="M484" s="303"/>
      <c r="N484" s="311"/>
      <c r="O484" s="311"/>
      <c r="P484" s="303">
        <f t="shared" ref="P484:P488" si="580">S484+T484</f>
        <v>0</v>
      </c>
      <c r="Q484" s="311"/>
      <c r="R484" s="312"/>
      <c r="S484" s="303"/>
      <c r="T484" s="303">
        <f t="shared" ref="T484:T488" si="581">U484+V484</f>
        <v>0</v>
      </c>
      <c r="U484" s="303"/>
      <c r="V484" s="303"/>
      <c r="W484" s="303">
        <f t="shared" ref="W484:W488" si="582">Z484+AA484</f>
        <v>10659</v>
      </c>
      <c r="X484" s="303"/>
      <c r="Y484" s="303"/>
      <c r="Z484" s="303">
        <f>8263+1627</f>
        <v>9890</v>
      </c>
      <c r="AA484" s="303">
        <v>769</v>
      </c>
      <c r="AB484" s="304"/>
      <c r="AC484" s="304"/>
      <c r="AD484" s="304"/>
      <c r="AE484" s="303"/>
      <c r="AF484" s="317"/>
      <c r="AG484" s="314">
        <f t="shared" si="557"/>
        <v>0</v>
      </c>
      <c r="AH484" s="696">
        <f t="shared" si="558"/>
        <v>0</v>
      </c>
      <c r="AI484" s="314">
        <f t="shared" si="559"/>
        <v>0</v>
      </c>
      <c r="AJ484" s="314">
        <f t="shared" si="560"/>
        <v>0</v>
      </c>
      <c r="AK484" s="314">
        <f t="shared" si="561"/>
        <v>0</v>
      </c>
      <c r="AL484" s="314">
        <f t="shared" si="562"/>
        <v>0</v>
      </c>
      <c r="AM484" s="314">
        <f t="shared" si="563"/>
        <v>0</v>
      </c>
      <c r="AN484" s="314">
        <f t="shared" si="564"/>
        <v>0</v>
      </c>
      <c r="AO484" s="314">
        <f t="shared" si="565"/>
        <v>0</v>
      </c>
      <c r="AP484" s="314">
        <f t="shared" si="566"/>
        <v>0</v>
      </c>
    </row>
    <row r="485" spans="1:42" ht="27.6" outlineLevel="1">
      <c r="A485" s="583" t="s">
        <v>281</v>
      </c>
      <c r="B485" s="316" t="s">
        <v>2149</v>
      </c>
      <c r="C485" s="302"/>
      <c r="D485" s="304">
        <v>6783</v>
      </c>
      <c r="E485" s="304">
        <f t="shared" si="571"/>
        <v>7195</v>
      </c>
      <c r="F485" s="304">
        <f t="shared" si="576"/>
        <v>7195</v>
      </c>
      <c r="G485" s="304">
        <f t="shared" si="569"/>
        <v>412</v>
      </c>
      <c r="H485" s="303">
        <f t="shared" si="577"/>
        <v>7195</v>
      </c>
      <c r="I485" s="303">
        <f t="shared" si="579"/>
        <v>0</v>
      </c>
      <c r="J485" s="311"/>
      <c r="K485" s="311"/>
      <c r="L485" s="311"/>
      <c r="M485" s="303"/>
      <c r="N485" s="311"/>
      <c r="O485" s="311"/>
      <c r="P485" s="303">
        <f t="shared" si="580"/>
        <v>0</v>
      </c>
      <c r="Q485" s="311"/>
      <c r="R485" s="312"/>
      <c r="S485" s="303"/>
      <c r="T485" s="303">
        <f t="shared" si="581"/>
        <v>0</v>
      </c>
      <c r="U485" s="303"/>
      <c r="V485" s="303"/>
      <c r="W485" s="303">
        <f t="shared" si="582"/>
        <v>7195</v>
      </c>
      <c r="X485" s="303"/>
      <c r="Y485" s="303"/>
      <c r="Z485" s="303">
        <v>6783</v>
      </c>
      <c r="AA485" s="303">
        <v>412</v>
      </c>
      <c r="AB485" s="304"/>
      <c r="AC485" s="304"/>
      <c r="AD485" s="304"/>
      <c r="AE485" s="303"/>
      <c r="AF485" s="317"/>
      <c r="AG485" s="314">
        <f t="shared" si="557"/>
        <v>0</v>
      </c>
      <c r="AH485" s="696">
        <f t="shared" si="558"/>
        <v>0</v>
      </c>
      <c r="AI485" s="314">
        <f t="shared" si="559"/>
        <v>0</v>
      </c>
      <c r="AJ485" s="314">
        <f t="shared" si="560"/>
        <v>0</v>
      </c>
      <c r="AK485" s="314">
        <f t="shared" si="561"/>
        <v>0</v>
      </c>
      <c r="AL485" s="314">
        <f t="shared" si="562"/>
        <v>0</v>
      </c>
      <c r="AM485" s="314">
        <f t="shared" si="563"/>
        <v>0</v>
      </c>
      <c r="AN485" s="314">
        <f t="shared" si="564"/>
        <v>0</v>
      </c>
      <c r="AO485" s="314">
        <f t="shared" si="565"/>
        <v>0</v>
      </c>
      <c r="AP485" s="314">
        <f t="shared" si="566"/>
        <v>0</v>
      </c>
    </row>
    <row r="486" spans="1:42" ht="55.2" outlineLevel="1">
      <c r="A486" s="583" t="s">
        <v>281</v>
      </c>
      <c r="B486" s="316" t="s">
        <v>1680</v>
      </c>
      <c r="C486" s="302"/>
      <c r="D486" s="304">
        <v>191</v>
      </c>
      <c r="E486" s="304">
        <f t="shared" si="571"/>
        <v>191</v>
      </c>
      <c r="F486" s="304">
        <f t="shared" si="576"/>
        <v>191</v>
      </c>
      <c r="G486" s="304">
        <f t="shared" si="569"/>
        <v>0</v>
      </c>
      <c r="H486" s="303">
        <f t="shared" si="577"/>
        <v>191</v>
      </c>
      <c r="I486" s="303">
        <f t="shared" si="579"/>
        <v>0</v>
      </c>
      <c r="J486" s="311"/>
      <c r="K486" s="311"/>
      <c r="L486" s="311"/>
      <c r="M486" s="303"/>
      <c r="N486" s="311"/>
      <c r="O486" s="311"/>
      <c r="P486" s="303">
        <f t="shared" si="580"/>
        <v>0</v>
      </c>
      <c r="Q486" s="311"/>
      <c r="R486" s="312"/>
      <c r="S486" s="303"/>
      <c r="T486" s="303">
        <f t="shared" si="581"/>
        <v>0</v>
      </c>
      <c r="U486" s="303"/>
      <c r="V486" s="303"/>
      <c r="W486" s="303">
        <f t="shared" si="582"/>
        <v>191</v>
      </c>
      <c r="X486" s="303"/>
      <c r="Y486" s="303"/>
      <c r="Z486" s="303">
        <v>191</v>
      </c>
      <c r="AA486" s="303"/>
      <c r="AB486" s="304"/>
      <c r="AC486" s="304"/>
      <c r="AD486" s="304"/>
      <c r="AE486" s="303"/>
      <c r="AF486" s="317"/>
      <c r="AG486" s="314">
        <f t="shared" si="557"/>
        <v>0</v>
      </c>
      <c r="AH486" s="696">
        <f t="shared" si="558"/>
        <v>0</v>
      </c>
      <c r="AI486" s="314">
        <f t="shared" si="559"/>
        <v>0</v>
      </c>
      <c r="AJ486" s="314">
        <f t="shared" si="560"/>
        <v>0</v>
      </c>
      <c r="AK486" s="314">
        <f t="shared" si="561"/>
        <v>0</v>
      </c>
      <c r="AL486" s="314">
        <f t="shared" si="562"/>
        <v>0</v>
      </c>
      <c r="AM486" s="314">
        <f t="shared" si="563"/>
        <v>0</v>
      </c>
      <c r="AN486" s="314">
        <f t="shared" si="564"/>
        <v>0</v>
      </c>
      <c r="AO486" s="314">
        <f t="shared" si="565"/>
        <v>0</v>
      </c>
      <c r="AP486" s="314">
        <f t="shared" si="566"/>
        <v>0</v>
      </c>
    </row>
    <row r="487" spans="1:42" outlineLevel="1">
      <c r="A487" s="583" t="s">
        <v>281</v>
      </c>
      <c r="B487" s="316" t="s">
        <v>1727</v>
      </c>
      <c r="C487" s="302"/>
      <c r="D487" s="304">
        <v>100</v>
      </c>
      <c r="E487" s="304">
        <f t="shared" si="571"/>
        <v>100</v>
      </c>
      <c r="F487" s="304">
        <f t="shared" si="576"/>
        <v>100</v>
      </c>
      <c r="G487" s="304">
        <f t="shared" si="569"/>
        <v>0</v>
      </c>
      <c r="H487" s="303">
        <f t="shared" si="577"/>
        <v>100</v>
      </c>
      <c r="I487" s="303">
        <f t="shared" si="579"/>
        <v>0</v>
      </c>
      <c r="J487" s="311"/>
      <c r="K487" s="311"/>
      <c r="L487" s="311"/>
      <c r="M487" s="303"/>
      <c r="N487" s="311"/>
      <c r="O487" s="311"/>
      <c r="P487" s="303">
        <f t="shared" si="580"/>
        <v>0</v>
      </c>
      <c r="Q487" s="311"/>
      <c r="R487" s="312"/>
      <c r="S487" s="303"/>
      <c r="T487" s="303">
        <f t="shared" si="581"/>
        <v>0</v>
      </c>
      <c r="U487" s="303"/>
      <c r="V487" s="303"/>
      <c r="W487" s="303">
        <f t="shared" si="582"/>
        <v>100</v>
      </c>
      <c r="X487" s="303"/>
      <c r="Y487" s="303"/>
      <c r="Z487" s="303">
        <v>100</v>
      </c>
      <c r="AA487" s="303"/>
      <c r="AB487" s="304"/>
      <c r="AC487" s="304"/>
      <c r="AD487" s="304"/>
      <c r="AE487" s="303"/>
      <c r="AF487" s="317"/>
      <c r="AG487" s="314">
        <f t="shared" si="557"/>
        <v>0</v>
      </c>
      <c r="AH487" s="696">
        <f t="shared" si="558"/>
        <v>0</v>
      </c>
      <c r="AI487" s="314">
        <f t="shared" si="559"/>
        <v>0</v>
      </c>
      <c r="AJ487" s="314">
        <f t="shared" si="560"/>
        <v>0</v>
      </c>
      <c r="AK487" s="314">
        <f t="shared" si="561"/>
        <v>0</v>
      </c>
      <c r="AL487" s="314">
        <f t="shared" si="562"/>
        <v>0</v>
      </c>
      <c r="AM487" s="314">
        <f t="shared" si="563"/>
        <v>0</v>
      </c>
      <c r="AN487" s="314">
        <f t="shared" si="564"/>
        <v>0</v>
      </c>
      <c r="AO487" s="314">
        <f t="shared" si="565"/>
        <v>0</v>
      </c>
      <c r="AP487" s="314">
        <f t="shared" si="566"/>
        <v>0</v>
      </c>
    </row>
    <row r="488" spans="1:42" ht="41.4" outlineLevel="1">
      <c r="A488" s="583" t="s">
        <v>23</v>
      </c>
      <c r="B488" s="316" t="s">
        <v>2150</v>
      </c>
      <c r="C488" s="302">
        <v>340</v>
      </c>
      <c r="D488" s="304"/>
      <c r="E488" s="304">
        <f t="shared" si="571"/>
        <v>20</v>
      </c>
      <c r="F488" s="304">
        <f t="shared" si="576"/>
        <v>20</v>
      </c>
      <c r="G488" s="304">
        <f t="shared" si="569"/>
        <v>20</v>
      </c>
      <c r="H488" s="303">
        <f t="shared" si="577"/>
        <v>20</v>
      </c>
      <c r="I488" s="303">
        <f t="shared" si="579"/>
        <v>0</v>
      </c>
      <c r="J488" s="311"/>
      <c r="K488" s="311"/>
      <c r="L488" s="311"/>
      <c r="M488" s="303"/>
      <c r="N488" s="311"/>
      <c r="O488" s="311"/>
      <c r="P488" s="303">
        <f t="shared" si="580"/>
        <v>0</v>
      </c>
      <c r="Q488" s="311"/>
      <c r="R488" s="312"/>
      <c r="S488" s="303"/>
      <c r="T488" s="303">
        <f t="shared" si="581"/>
        <v>0</v>
      </c>
      <c r="U488" s="303"/>
      <c r="V488" s="303"/>
      <c r="W488" s="303">
        <f t="shared" si="582"/>
        <v>20</v>
      </c>
      <c r="X488" s="303"/>
      <c r="Y488" s="303"/>
      <c r="Z488" s="303">
        <v>20</v>
      </c>
      <c r="AA488" s="303"/>
      <c r="AB488" s="304"/>
      <c r="AC488" s="304"/>
      <c r="AD488" s="304"/>
      <c r="AE488" s="303">
        <f>E488-AD488</f>
        <v>20</v>
      </c>
      <c r="AF488" s="317" t="s">
        <v>2151</v>
      </c>
      <c r="AG488" s="314">
        <f t="shared" si="557"/>
        <v>0</v>
      </c>
      <c r="AH488" s="696">
        <f t="shared" si="558"/>
        <v>0</v>
      </c>
      <c r="AI488" s="314">
        <f t="shared" si="559"/>
        <v>0</v>
      </c>
      <c r="AJ488" s="314">
        <f t="shared" si="560"/>
        <v>0</v>
      </c>
      <c r="AK488" s="314">
        <f t="shared" si="561"/>
        <v>0</v>
      </c>
      <c r="AL488" s="314">
        <f t="shared" si="562"/>
        <v>0</v>
      </c>
      <c r="AM488" s="314">
        <f t="shared" si="563"/>
        <v>0</v>
      </c>
      <c r="AN488" s="314">
        <f t="shared" si="564"/>
        <v>0</v>
      </c>
      <c r="AO488" s="314">
        <f t="shared" si="565"/>
        <v>0</v>
      </c>
      <c r="AP488" s="314">
        <f t="shared" si="566"/>
        <v>0</v>
      </c>
    </row>
    <row r="489" spans="1:42" s="314" customFormat="1">
      <c r="A489" s="591" t="s">
        <v>1020</v>
      </c>
      <c r="B489" s="320" t="s">
        <v>1021</v>
      </c>
      <c r="C489" s="298" t="s">
        <v>728</v>
      </c>
      <c r="D489" s="299">
        <v>850</v>
      </c>
      <c r="E489" s="299">
        <f>E490</f>
        <v>700</v>
      </c>
      <c r="F489" s="299">
        <f>F490</f>
        <v>700</v>
      </c>
      <c r="G489" s="299">
        <f t="shared" si="569"/>
        <v>-150</v>
      </c>
      <c r="H489" s="299">
        <f t="shared" ref="H489:T489" si="583">H490</f>
        <v>700</v>
      </c>
      <c r="I489" s="299">
        <f t="shared" si="583"/>
        <v>0</v>
      </c>
      <c r="J489" s="318">
        <f t="shared" si="583"/>
        <v>0</v>
      </c>
      <c r="K489" s="318">
        <f t="shared" si="583"/>
        <v>0</v>
      </c>
      <c r="L489" s="318">
        <f t="shared" si="583"/>
        <v>0</v>
      </c>
      <c r="M489" s="299">
        <f t="shared" si="583"/>
        <v>0</v>
      </c>
      <c r="N489" s="318">
        <f t="shared" si="583"/>
        <v>0</v>
      </c>
      <c r="O489" s="318">
        <f t="shared" si="583"/>
        <v>0</v>
      </c>
      <c r="P489" s="299">
        <f t="shared" si="583"/>
        <v>0</v>
      </c>
      <c r="Q489" s="318">
        <f t="shared" si="583"/>
        <v>0</v>
      </c>
      <c r="R489" s="318">
        <f t="shared" si="583"/>
        <v>0</v>
      </c>
      <c r="S489" s="299">
        <f t="shared" si="583"/>
        <v>0</v>
      </c>
      <c r="T489" s="299">
        <f t="shared" si="583"/>
        <v>0</v>
      </c>
      <c r="U489" s="299">
        <v>0</v>
      </c>
      <c r="V489" s="299">
        <f>V490</f>
        <v>0</v>
      </c>
      <c r="W489" s="299">
        <f>W490</f>
        <v>700</v>
      </c>
      <c r="X489" s="318"/>
      <c r="Y489" s="318"/>
      <c r="Z489" s="299">
        <f t="shared" ref="Z489:AE489" si="584">Z490</f>
        <v>700</v>
      </c>
      <c r="AA489" s="299">
        <f>AA490</f>
        <v>0</v>
      </c>
      <c r="AB489" s="299">
        <f>AB490</f>
        <v>0</v>
      </c>
      <c r="AC489" s="299">
        <f t="shared" si="584"/>
        <v>0</v>
      </c>
      <c r="AD489" s="299">
        <f t="shared" si="584"/>
        <v>70</v>
      </c>
      <c r="AE489" s="299">
        <f t="shared" si="584"/>
        <v>630</v>
      </c>
      <c r="AF489" s="321"/>
      <c r="AG489" s="314">
        <f t="shared" si="557"/>
        <v>0</v>
      </c>
      <c r="AH489" s="696">
        <f t="shared" si="558"/>
        <v>0</v>
      </c>
      <c r="AI489" s="314">
        <f t="shared" si="559"/>
        <v>0</v>
      </c>
      <c r="AJ489" s="314">
        <f t="shared" si="560"/>
        <v>0</v>
      </c>
      <c r="AK489" s="314">
        <f t="shared" si="561"/>
        <v>0</v>
      </c>
      <c r="AL489" s="314">
        <f t="shared" si="562"/>
        <v>0</v>
      </c>
      <c r="AM489" s="314">
        <f t="shared" si="563"/>
        <v>0</v>
      </c>
      <c r="AN489" s="314">
        <f t="shared" si="564"/>
        <v>0</v>
      </c>
      <c r="AO489" s="314">
        <f t="shared" si="565"/>
        <v>0</v>
      </c>
      <c r="AP489" s="314">
        <f t="shared" si="566"/>
        <v>0</v>
      </c>
    </row>
    <row r="490" spans="1:42" ht="69" outlineLevel="1">
      <c r="A490" s="583" t="s">
        <v>23</v>
      </c>
      <c r="B490" s="316" t="s">
        <v>1890</v>
      </c>
      <c r="C490" s="302"/>
      <c r="D490" s="304">
        <v>850</v>
      </c>
      <c r="E490" s="304">
        <f t="shared" si="571"/>
        <v>700</v>
      </c>
      <c r="F490" s="304">
        <f>H490-AB490</f>
        <v>700</v>
      </c>
      <c r="G490" s="304">
        <f t="shared" si="569"/>
        <v>-150</v>
      </c>
      <c r="H490" s="303">
        <f t="shared" ref="H490" si="585">I490+W490</f>
        <v>700</v>
      </c>
      <c r="I490" s="303">
        <f>M490+P490</f>
        <v>0</v>
      </c>
      <c r="J490" s="311"/>
      <c r="K490" s="311"/>
      <c r="L490" s="311"/>
      <c r="M490" s="303"/>
      <c r="N490" s="311"/>
      <c r="O490" s="311"/>
      <c r="P490" s="303">
        <f>S490+T490</f>
        <v>0</v>
      </c>
      <c r="Q490" s="311"/>
      <c r="R490" s="312"/>
      <c r="S490" s="303"/>
      <c r="T490" s="303"/>
      <c r="U490" s="303"/>
      <c r="V490" s="303"/>
      <c r="W490" s="303">
        <f>Z490+AA490</f>
        <v>700</v>
      </c>
      <c r="X490" s="303"/>
      <c r="Y490" s="303"/>
      <c r="Z490" s="303">
        <v>700</v>
      </c>
      <c r="AA490" s="303"/>
      <c r="AB490" s="304"/>
      <c r="AC490" s="304"/>
      <c r="AD490" s="304">
        <v>70</v>
      </c>
      <c r="AE490" s="303">
        <f>E490-AD490</f>
        <v>630</v>
      </c>
      <c r="AF490" s="317"/>
      <c r="AG490" s="314">
        <f t="shared" si="557"/>
        <v>0</v>
      </c>
      <c r="AH490" s="696">
        <f t="shared" si="558"/>
        <v>0</v>
      </c>
      <c r="AI490" s="314">
        <f t="shared" si="559"/>
        <v>0</v>
      </c>
      <c r="AJ490" s="314">
        <f t="shared" si="560"/>
        <v>0</v>
      </c>
      <c r="AK490" s="314">
        <f t="shared" si="561"/>
        <v>0</v>
      </c>
      <c r="AL490" s="314">
        <f t="shared" si="562"/>
        <v>0</v>
      </c>
      <c r="AM490" s="314">
        <f t="shared" si="563"/>
        <v>0</v>
      </c>
      <c r="AN490" s="314">
        <f t="shared" si="564"/>
        <v>0</v>
      </c>
      <c r="AO490" s="314">
        <f t="shared" si="565"/>
        <v>0</v>
      </c>
      <c r="AP490" s="314">
        <f t="shared" si="566"/>
        <v>0</v>
      </c>
    </row>
    <row r="491" spans="1:42" s="333" customFormat="1">
      <c r="A491" s="592" t="s">
        <v>1625</v>
      </c>
      <c r="B491" s="320" t="s">
        <v>907</v>
      </c>
      <c r="C491" s="298" t="s">
        <v>739</v>
      </c>
      <c r="D491" s="299">
        <f t="shared" ref="D491" si="586">D492+D494</f>
        <v>4584</v>
      </c>
      <c r="E491" s="299">
        <f>E492+E494</f>
        <v>4040</v>
      </c>
      <c r="F491" s="299">
        <f>F492+F494</f>
        <v>4040</v>
      </c>
      <c r="G491" s="299">
        <f>G492+G494</f>
        <v>-544</v>
      </c>
      <c r="H491" s="299">
        <f t="shared" ref="H491:AE491" si="587">H492+H494</f>
        <v>4040</v>
      </c>
      <c r="I491" s="299">
        <f t="shared" si="587"/>
        <v>0</v>
      </c>
      <c r="J491" s="299">
        <f t="shared" si="587"/>
        <v>0</v>
      </c>
      <c r="K491" s="299">
        <f t="shared" si="587"/>
        <v>0</v>
      </c>
      <c r="L491" s="299">
        <f t="shared" si="587"/>
        <v>0</v>
      </c>
      <c r="M491" s="299">
        <f t="shared" si="587"/>
        <v>0</v>
      </c>
      <c r="N491" s="299">
        <f t="shared" si="587"/>
        <v>0</v>
      </c>
      <c r="O491" s="299">
        <f t="shared" si="587"/>
        <v>0</v>
      </c>
      <c r="P491" s="299">
        <f t="shared" si="587"/>
        <v>0</v>
      </c>
      <c r="Q491" s="299"/>
      <c r="R491" s="299"/>
      <c r="S491" s="299">
        <f t="shared" si="587"/>
        <v>0</v>
      </c>
      <c r="T491" s="299">
        <f t="shared" si="587"/>
        <v>0</v>
      </c>
      <c r="U491" s="299">
        <f t="shared" si="587"/>
        <v>0</v>
      </c>
      <c r="V491" s="299">
        <f t="shared" si="587"/>
        <v>0</v>
      </c>
      <c r="W491" s="299">
        <f t="shared" si="587"/>
        <v>4040</v>
      </c>
      <c r="X491" s="299">
        <f t="shared" si="587"/>
        <v>0</v>
      </c>
      <c r="Y491" s="299">
        <f t="shared" si="587"/>
        <v>0</v>
      </c>
      <c r="Z491" s="299">
        <f t="shared" si="587"/>
        <v>3729</v>
      </c>
      <c r="AA491" s="299">
        <f t="shared" si="587"/>
        <v>311</v>
      </c>
      <c r="AB491" s="299">
        <f t="shared" si="587"/>
        <v>0</v>
      </c>
      <c r="AC491" s="299">
        <f t="shared" si="587"/>
        <v>0</v>
      </c>
      <c r="AD491" s="299">
        <f t="shared" si="587"/>
        <v>26</v>
      </c>
      <c r="AE491" s="299">
        <f t="shared" si="587"/>
        <v>4014</v>
      </c>
      <c r="AF491" s="321"/>
      <c r="AG491" s="314">
        <f t="shared" si="557"/>
        <v>0</v>
      </c>
      <c r="AH491" s="696">
        <f t="shared" si="558"/>
        <v>0</v>
      </c>
      <c r="AI491" s="314">
        <f t="shared" si="559"/>
        <v>0</v>
      </c>
      <c r="AJ491" s="314">
        <f t="shared" si="560"/>
        <v>0</v>
      </c>
      <c r="AK491" s="314">
        <f t="shared" si="561"/>
        <v>0</v>
      </c>
      <c r="AL491" s="314">
        <f t="shared" si="562"/>
        <v>0</v>
      </c>
      <c r="AM491" s="314">
        <f t="shared" si="563"/>
        <v>0</v>
      </c>
      <c r="AN491" s="314">
        <f t="shared" si="564"/>
        <v>0</v>
      </c>
      <c r="AO491" s="314">
        <f t="shared" si="565"/>
        <v>0</v>
      </c>
      <c r="AP491" s="314">
        <f t="shared" si="566"/>
        <v>0</v>
      </c>
    </row>
    <row r="492" spans="1:42" hidden="1" outlineLevel="3">
      <c r="A492" s="593" t="s">
        <v>45</v>
      </c>
      <c r="B492" s="316" t="s">
        <v>846</v>
      </c>
      <c r="C492" s="304"/>
      <c r="D492" s="304">
        <f t="shared" ref="D492:AE492" si="588">D493</f>
        <v>855</v>
      </c>
      <c r="E492" s="304">
        <f>E493</f>
        <v>0</v>
      </c>
      <c r="F492" s="304">
        <f>F493</f>
        <v>0</v>
      </c>
      <c r="G492" s="304">
        <f>G493</f>
        <v>-855</v>
      </c>
      <c r="H492" s="304">
        <f t="shared" si="588"/>
        <v>0</v>
      </c>
      <c r="I492" s="304">
        <f t="shared" si="588"/>
        <v>0</v>
      </c>
      <c r="J492" s="304">
        <f t="shared" si="588"/>
        <v>0</v>
      </c>
      <c r="K492" s="304">
        <f t="shared" si="588"/>
        <v>0</v>
      </c>
      <c r="L492" s="304">
        <f t="shared" si="588"/>
        <v>0</v>
      </c>
      <c r="M492" s="304">
        <f t="shared" si="588"/>
        <v>0</v>
      </c>
      <c r="N492" s="304">
        <f t="shared" si="588"/>
        <v>0</v>
      </c>
      <c r="O492" s="304">
        <f t="shared" si="588"/>
        <v>0</v>
      </c>
      <c r="P492" s="304">
        <f t="shared" si="588"/>
        <v>0</v>
      </c>
      <c r="Q492" s="304"/>
      <c r="R492" s="304"/>
      <c r="S492" s="304">
        <f t="shared" si="588"/>
        <v>0</v>
      </c>
      <c r="T492" s="304">
        <f t="shared" si="588"/>
        <v>0</v>
      </c>
      <c r="U492" s="304">
        <f t="shared" si="588"/>
        <v>0</v>
      </c>
      <c r="V492" s="304">
        <f t="shared" si="588"/>
        <v>0</v>
      </c>
      <c r="W492" s="304">
        <f t="shared" si="588"/>
        <v>0</v>
      </c>
      <c r="X492" s="304">
        <f t="shared" si="588"/>
        <v>0</v>
      </c>
      <c r="Y492" s="304">
        <f t="shared" si="588"/>
        <v>0</v>
      </c>
      <c r="Z492" s="304">
        <f t="shared" si="588"/>
        <v>0</v>
      </c>
      <c r="AA492" s="304">
        <f t="shared" si="588"/>
        <v>0</v>
      </c>
      <c r="AB492" s="304">
        <f t="shared" si="588"/>
        <v>0</v>
      </c>
      <c r="AC492" s="304">
        <f t="shared" si="588"/>
        <v>0</v>
      </c>
      <c r="AD492" s="304">
        <f t="shared" si="588"/>
        <v>0</v>
      </c>
      <c r="AE492" s="304">
        <f t="shared" si="588"/>
        <v>0</v>
      </c>
      <c r="AF492" s="317"/>
      <c r="AG492" s="314">
        <f t="shared" si="557"/>
        <v>0</v>
      </c>
      <c r="AH492" s="696">
        <f t="shared" si="558"/>
        <v>0</v>
      </c>
      <c r="AI492" s="314">
        <f t="shared" si="559"/>
        <v>0</v>
      </c>
      <c r="AJ492" s="314">
        <f t="shared" si="560"/>
        <v>0</v>
      </c>
      <c r="AK492" s="314">
        <f t="shared" si="561"/>
        <v>0</v>
      </c>
      <c r="AL492" s="314">
        <f t="shared" si="562"/>
        <v>0</v>
      </c>
      <c r="AM492" s="314">
        <f t="shared" si="563"/>
        <v>0</v>
      </c>
      <c r="AN492" s="314">
        <f t="shared" si="564"/>
        <v>0</v>
      </c>
      <c r="AO492" s="314">
        <f t="shared" si="565"/>
        <v>0</v>
      </c>
      <c r="AP492" s="314">
        <f t="shared" si="566"/>
        <v>0</v>
      </c>
    </row>
    <row r="493" spans="1:42" hidden="1" outlineLevel="3">
      <c r="A493" s="593" t="s">
        <v>23</v>
      </c>
      <c r="B493" s="316" t="s">
        <v>1084</v>
      </c>
      <c r="C493" s="304"/>
      <c r="D493" s="304">
        <v>855</v>
      </c>
      <c r="E493" s="304">
        <f t="shared" si="571"/>
        <v>0</v>
      </c>
      <c r="F493" s="304">
        <f t="shared" ref="F493:F498" si="589">H493-AB493</f>
        <v>0</v>
      </c>
      <c r="G493" s="304">
        <f t="shared" ref="G493:G500" si="590">F493-D493</f>
        <v>-855</v>
      </c>
      <c r="H493" s="303">
        <f>I493+W493</f>
        <v>0</v>
      </c>
      <c r="I493" s="303">
        <f>M493+P493</f>
        <v>0</v>
      </c>
      <c r="J493" s="294">
        <v>0</v>
      </c>
      <c r="K493" s="294">
        <v>0</v>
      </c>
      <c r="L493" s="294">
        <f>J493-K493</f>
        <v>0</v>
      </c>
      <c r="M493" s="304">
        <f>N493+O493</f>
        <v>0</v>
      </c>
      <c r="N493" s="294">
        <v>0</v>
      </c>
      <c r="O493" s="294">
        <v>0</v>
      </c>
      <c r="P493" s="303">
        <f>S493+T493</f>
        <v>0</v>
      </c>
      <c r="Q493" s="294">
        <v>31</v>
      </c>
      <c r="R493" s="305">
        <v>1</v>
      </c>
      <c r="S493" s="304">
        <f>ROUND(J493*Q493*R493,0)</f>
        <v>0</v>
      </c>
      <c r="T493" s="303">
        <f>U493+V493</f>
        <v>0</v>
      </c>
      <c r="U493" s="304"/>
      <c r="V493" s="304"/>
      <c r="W493" s="303">
        <f>Z493+AA493</f>
        <v>0</v>
      </c>
      <c r="X493" s="303"/>
      <c r="Y493" s="303"/>
      <c r="Z493" s="304"/>
      <c r="AA493" s="304"/>
      <c r="AB493" s="304"/>
      <c r="AC493" s="304"/>
      <c r="AD493" s="304">
        <v>0</v>
      </c>
      <c r="AE493" s="303">
        <f>E493-AD493</f>
        <v>0</v>
      </c>
      <c r="AF493" s="317" t="s">
        <v>2152</v>
      </c>
      <c r="AG493" s="314">
        <f t="shared" si="557"/>
        <v>0</v>
      </c>
      <c r="AH493" s="696">
        <f t="shared" si="558"/>
        <v>0</v>
      </c>
      <c r="AI493" s="314">
        <f t="shared" si="559"/>
        <v>0</v>
      </c>
      <c r="AJ493" s="314">
        <f t="shared" si="560"/>
        <v>0</v>
      </c>
      <c r="AK493" s="314">
        <f t="shared" si="561"/>
        <v>0</v>
      </c>
      <c r="AL493" s="314">
        <f t="shared" si="562"/>
        <v>0</v>
      </c>
      <c r="AM493" s="314">
        <f t="shared" si="563"/>
        <v>0</v>
      </c>
      <c r="AN493" s="314">
        <f t="shared" si="564"/>
        <v>0</v>
      </c>
      <c r="AO493" s="314">
        <f t="shared" si="565"/>
        <v>0</v>
      </c>
      <c r="AP493" s="314">
        <f t="shared" si="566"/>
        <v>0</v>
      </c>
    </row>
    <row r="494" spans="1:42" ht="27.6" collapsed="1">
      <c r="A494" s="583" t="s">
        <v>45</v>
      </c>
      <c r="B494" s="316" t="s">
        <v>1728</v>
      </c>
      <c r="C494" s="304"/>
      <c r="D494" s="304">
        <v>3729</v>
      </c>
      <c r="E494" s="304">
        <f t="shared" si="571"/>
        <v>4040</v>
      </c>
      <c r="F494" s="304">
        <f t="shared" si="589"/>
        <v>4040</v>
      </c>
      <c r="G494" s="304">
        <f t="shared" si="590"/>
        <v>311</v>
      </c>
      <c r="H494" s="303">
        <f>I494+W494</f>
        <v>4040</v>
      </c>
      <c r="I494" s="303">
        <f>M494+P494</f>
        <v>0</v>
      </c>
      <c r="J494" s="311"/>
      <c r="K494" s="311"/>
      <c r="L494" s="311"/>
      <c r="M494" s="303"/>
      <c r="N494" s="311"/>
      <c r="O494" s="311"/>
      <c r="P494" s="303">
        <f>S494+T494</f>
        <v>0</v>
      </c>
      <c r="Q494" s="311"/>
      <c r="R494" s="312"/>
      <c r="S494" s="303"/>
      <c r="T494" s="303">
        <f>U494+V494</f>
        <v>0</v>
      </c>
      <c r="U494" s="303"/>
      <c r="V494" s="303"/>
      <c r="W494" s="303">
        <f>Z494+AA494</f>
        <v>4040</v>
      </c>
      <c r="X494" s="303"/>
      <c r="Y494" s="303"/>
      <c r="Z494" s="303">
        <f>Z495</f>
        <v>3729</v>
      </c>
      <c r="AA494" s="303">
        <f>AA495</f>
        <v>311</v>
      </c>
      <c r="AB494" s="304"/>
      <c r="AC494" s="304"/>
      <c r="AD494" s="304">
        <v>26</v>
      </c>
      <c r="AE494" s="303">
        <f>E494-AD494</f>
        <v>4014</v>
      </c>
      <c r="AF494" s="317"/>
      <c r="AG494" s="314">
        <f t="shared" si="557"/>
        <v>0</v>
      </c>
      <c r="AH494" s="696">
        <f t="shared" si="558"/>
        <v>0</v>
      </c>
      <c r="AI494" s="314">
        <f t="shared" si="559"/>
        <v>0</v>
      </c>
      <c r="AJ494" s="314">
        <f t="shared" si="560"/>
        <v>0</v>
      </c>
      <c r="AK494" s="314">
        <f t="shared" si="561"/>
        <v>0</v>
      </c>
      <c r="AL494" s="314">
        <f t="shared" si="562"/>
        <v>0</v>
      </c>
      <c r="AM494" s="314">
        <f t="shared" si="563"/>
        <v>0</v>
      </c>
      <c r="AN494" s="314">
        <f t="shared" si="564"/>
        <v>0</v>
      </c>
      <c r="AO494" s="314">
        <f t="shared" si="565"/>
        <v>0</v>
      </c>
      <c r="AP494" s="314">
        <f t="shared" si="566"/>
        <v>0</v>
      </c>
    </row>
    <row r="495" spans="1:42" ht="69" outlineLevel="1">
      <c r="A495" s="583" t="s">
        <v>23</v>
      </c>
      <c r="B495" s="316" t="s">
        <v>1484</v>
      </c>
      <c r="C495" s="304"/>
      <c r="D495" s="304">
        <v>3729</v>
      </c>
      <c r="E495" s="304">
        <f t="shared" si="571"/>
        <v>4040</v>
      </c>
      <c r="F495" s="304">
        <f t="shared" si="589"/>
        <v>4040</v>
      </c>
      <c r="G495" s="304">
        <f t="shared" si="590"/>
        <v>311</v>
      </c>
      <c r="H495" s="303">
        <f>I495+W495</f>
        <v>4040</v>
      </c>
      <c r="I495" s="303">
        <f>M495+P495</f>
        <v>0</v>
      </c>
      <c r="J495" s="311"/>
      <c r="K495" s="311"/>
      <c r="L495" s="311"/>
      <c r="M495" s="303"/>
      <c r="N495" s="311"/>
      <c r="O495" s="311"/>
      <c r="P495" s="303"/>
      <c r="Q495" s="311"/>
      <c r="R495" s="312"/>
      <c r="S495" s="303"/>
      <c r="T495" s="303"/>
      <c r="U495" s="303"/>
      <c r="V495" s="303"/>
      <c r="W495" s="303">
        <f>Z495+AA495</f>
        <v>4040</v>
      </c>
      <c r="X495" s="303"/>
      <c r="Y495" s="303"/>
      <c r="Z495" s="303">
        <v>3729</v>
      </c>
      <c r="AA495" s="303">
        <f>AA496+AA497</f>
        <v>311</v>
      </c>
      <c r="AB495" s="304"/>
      <c r="AC495" s="304"/>
      <c r="AD495" s="304"/>
      <c r="AE495" s="304"/>
      <c r="AF495" s="317"/>
      <c r="AG495" s="314">
        <f t="shared" si="557"/>
        <v>0</v>
      </c>
      <c r="AH495" s="696">
        <f t="shared" si="558"/>
        <v>0</v>
      </c>
      <c r="AI495" s="314">
        <f t="shared" si="559"/>
        <v>0</v>
      </c>
      <c r="AJ495" s="314">
        <f t="shared" si="560"/>
        <v>0</v>
      </c>
      <c r="AK495" s="314">
        <f t="shared" si="561"/>
        <v>0</v>
      </c>
      <c r="AL495" s="314">
        <f t="shared" si="562"/>
        <v>0</v>
      </c>
      <c r="AM495" s="314">
        <f t="shared" si="563"/>
        <v>0</v>
      </c>
      <c r="AN495" s="314">
        <f t="shared" si="564"/>
        <v>0</v>
      </c>
      <c r="AO495" s="314">
        <f t="shared" si="565"/>
        <v>0</v>
      </c>
      <c r="AP495" s="314">
        <f t="shared" si="566"/>
        <v>0</v>
      </c>
    </row>
    <row r="496" spans="1:42" ht="27.6" outlineLevel="1">
      <c r="A496" s="583"/>
      <c r="B496" s="316" t="s">
        <v>1729</v>
      </c>
      <c r="C496" s="304"/>
      <c r="D496" s="304">
        <v>3500</v>
      </c>
      <c r="E496" s="304">
        <f t="shared" si="571"/>
        <v>3780</v>
      </c>
      <c r="F496" s="304">
        <f t="shared" si="589"/>
        <v>3780</v>
      </c>
      <c r="G496" s="304">
        <f t="shared" si="590"/>
        <v>280</v>
      </c>
      <c r="H496" s="303">
        <f t="shared" ref="H496:H498" si="591">I496+W496</f>
        <v>3780</v>
      </c>
      <c r="I496" s="303">
        <f t="shared" ref="I496:I498" si="592">M496+P496</f>
        <v>0</v>
      </c>
      <c r="J496" s="311"/>
      <c r="K496" s="311"/>
      <c r="L496" s="311"/>
      <c r="M496" s="303"/>
      <c r="N496" s="311"/>
      <c r="O496" s="311"/>
      <c r="P496" s="303"/>
      <c r="Q496" s="311"/>
      <c r="R496" s="312"/>
      <c r="S496" s="303"/>
      <c r="T496" s="303"/>
      <c r="U496" s="303"/>
      <c r="V496" s="303"/>
      <c r="W496" s="303">
        <f t="shared" ref="W496:W498" si="593">Z496+AA496</f>
        <v>3780</v>
      </c>
      <c r="X496" s="303">
        <f>W496/Y496</f>
        <v>5400</v>
      </c>
      <c r="Y496" s="325">
        <v>0.7</v>
      </c>
      <c r="Z496" s="303">
        <v>3500</v>
      </c>
      <c r="AA496" s="303">
        <v>280</v>
      </c>
      <c r="AB496" s="304"/>
      <c r="AC496" s="304"/>
      <c r="AD496" s="304"/>
      <c r="AE496" s="304"/>
      <c r="AF496" s="317" t="s">
        <v>2153</v>
      </c>
      <c r="AG496" s="314">
        <f t="shared" si="557"/>
        <v>0</v>
      </c>
      <c r="AH496" s="696">
        <f t="shared" si="558"/>
        <v>0</v>
      </c>
      <c r="AI496" s="314">
        <f t="shared" si="559"/>
        <v>0</v>
      </c>
      <c r="AJ496" s="314">
        <f t="shared" si="560"/>
        <v>0</v>
      </c>
      <c r="AK496" s="314">
        <f t="shared" si="561"/>
        <v>0</v>
      </c>
      <c r="AL496" s="314">
        <f t="shared" si="562"/>
        <v>0</v>
      </c>
      <c r="AM496" s="314">
        <f t="shared" si="563"/>
        <v>0</v>
      </c>
      <c r="AN496" s="314">
        <f t="shared" si="564"/>
        <v>0</v>
      </c>
      <c r="AO496" s="314">
        <f t="shared" si="565"/>
        <v>0</v>
      </c>
      <c r="AP496" s="314">
        <f t="shared" si="566"/>
        <v>0</v>
      </c>
    </row>
    <row r="497" spans="1:42" ht="27.6" outlineLevel="1">
      <c r="A497" s="583"/>
      <c r="B497" s="316" t="s">
        <v>1730</v>
      </c>
      <c r="C497" s="304"/>
      <c r="D497" s="304">
        <v>109</v>
      </c>
      <c r="E497" s="304">
        <f t="shared" si="571"/>
        <v>140</v>
      </c>
      <c r="F497" s="304">
        <f t="shared" si="589"/>
        <v>140</v>
      </c>
      <c r="G497" s="304">
        <f t="shared" si="590"/>
        <v>31</v>
      </c>
      <c r="H497" s="303">
        <f t="shared" si="591"/>
        <v>140</v>
      </c>
      <c r="I497" s="303">
        <f t="shared" si="592"/>
        <v>0</v>
      </c>
      <c r="J497" s="311"/>
      <c r="K497" s="311"/>
      <c r="L497" s="311"/>
      <c r="M497" s="303"/>
      <c r="N497" s="311"/>
      <c r="O497" s="311"/>
      <c r="P497" s="303"/>
      <c r="Q497" s="311"/>
      <c r="R497" s="312"/>
      <c r="S497" s="303"/>
      <c r="T497" s="303"/>
      <c r="U497" s="303"/>
      <c r="V497" s="303"/>
      <c r="W497" s="303">
        <f t="shared" si="593"/>
        <v>140</v>
      </c>
      <c r="X497" s="303"/>
      <c r="Y497" s="303"/>
      <c r="Z497" s="303">
        <v>109</v>
      </c>
      <c r="AA497" s="303">
        <v>31</v>
      </c>
      <c r="AB497" s="304"/>
      <c r="AC497" s="304"/>
      <c r="AD497" s="304"/>
      <c r="AE497" s="304"/>
      <c r="AF497" s="317" t="s">
        <v>2537</v>
      </c>
      <c r="AG497" s="314">
        <f t="shared" si="557"/>
        <v>0</v>
      </c>
      <c r="AH497" s="696">
        <f t="shared" si="558"/>
        <v>0</v>
      </c>
      <c r="AI497" s="314">
        <f t="shared" si="559"/>
        <v>0</v>
      </c>
      <c r="AJ497" s="314">
        <f t="shared" si="560"/>
        <v>0</v>
      </c>
      <c r="AK497" s="314">
        <f t="shared" si="561"/>
        <v>0</v>
      </c>
      <c r="AL497" s="314">
        <f t="shared" si="562"/>
        <v>0</v>
      </c>
      <c r="AM497" s="314">
        <f t="shared" si="563"/>
        <v>0</v>
      </c>
      <c r="AN497" s="314">
        <f t="shared" si="564"/>
        <v>0</v>
      </c>
      <c r="AO497" s="314">
        <f t="shared" si="565"/>
        <v>0</v>
      </c>
      <c r="AP497" s="314">
        <f t="shared" si="566"/>
        <v>0</v>
      </c>
    </row>
    <row r="498" spans="1:42" ht="41.4" outlineLevel="1">
      <c r="A498" s="583"/>
      <c r="B498" s="316" t="s">
        <v>1731</v>
      </c>
      <c r="C498" s="304"/>
      <c r="D498" s="304">
        <v>120</v>
      </c>
      <c r="E498" s="304">
        <f t="shared" si="571"/>
        <v>120</v>
      </c>
      <c r="F498" s="304">
        <f t="shared" si="589"/>
        <v>120</v>
      </c>
      <c r="G498" s="304">
        <f t="shared" si="590"/>
        <v>0</v>
      </c>
      <c r="H498" s="303">
        <f t="shared" si="591"/>
        <v>120</v>
      </c>
      <c r="I498" s="303">
        <f t="shared" si="592"/>
        <v>0</v>
      </c>
      <c r="J498" s="311"/>
      <c r="K498" s="311"/>
      <c r="L498" s="311"/>
      <c r="M498" s="303"/>
      <c r="N498" s="311"/>
      <c r="O498" s="311"/>
      <c r="P498" s="303"/>
      <c r="Q498" s="311"/>
      <c r="R498" s="312"/>
      <c r="S498" s="303"/>
      <c r="T498" s="303"/>
      <c r="U498" s="303"/>
      <c r="V498" s="303"/>
      <c r="W498" s="303">
        <f t="shared" si="593"/>
        <v>120</v>
      </c>
      <c r="X498" s="303"/>
      <c r="Y498" s="303"/>
      <c r="Z498" s="303">
        <v>120</v>
      </c>
      <c r="AA498" s="303"/>
      <c r="AB498" s="304"/>
      <c r="AC498" s="304"/>
      <c r="AD498" s="304"/>
      <c r="AE498" s="304"/>
      <c r="AF498" s="317"/>
      <c r="AG498" s="314">
        <f t="shared" si="557"/>
        <v>0</v>
      </c>
      <c r="AH498" s="696">
        <f t="shared" si="558"/>
        <v>0</v>
      </c>
      <c r="AI498" s="314">
        <f t="shared" si="559"/>
        <v>0</v>
      </c>
      <c r="AJ498" s="314">
        <f t="shared" si="560"/>
        <v>0</v>
      </c>
      <c r="AK498" s="314">
        <f t="shared" si="561"/>
        <v>0</v>
      </c>
      <c r="AL498" s="314">
        <f t="shared" si="562"/>
        <v>0</v>
      </c>
      <c r="AM498" s="314">
        <f t="shared" si="563"/>
        <v>0</v>
      </c>
      <c r="AN498" s="314">
        <f t="shared" si="564"/>
        <v>0</v>
      </c>
      <c r="AO498" s="314">
        <f t="shared" si="565"/>
        <v>0</v>
      </c>
      <c r="AP498" s="314">
        <f t="shared" si="566"/>
        <v>0</v>
      </c>
    </row>
    <row r="499" spans="1:42" s="314" customFormat="1">
      <c r="A499" s="592" t="s">
        <v>81</v>
      </c>
      <c r="B499" s="320" t="s">
        <v>1626</v>
      </c>
      <c r="C499" s="297"/>
      <c r="D499" s="299">
        <f>D500+D506</f>
        <v>19451</v>
      </c>
      <c r="E499" s="299">
        <f>E500+E506</f>
        <v>18981</v>
      </c>
      <c r="F499" s="299">
        <f>F500+F506</f>
        <v>18289</v>
      </c>
      <c r="G499" s="299">
        <f t="shared" si="590"/>
        <v>-1162</v>
      </c>
      <c r="H499" s="299">
        <f t="shared" ref="H499:P499" si="594">H500+H506</f>
        <v>18289</v>
      </c>
      <c r="I499" s="299">
        <f t="shared" si="594"/>
        <v>6264</v>
      </c>
      <c r="J499" s="318">
        <f t="shared" si="594"/>
        <v>41</v>
      </c>
      <c r="K499" s="318">
        <f t="shared" si="594"/>
        <v>34</v>
      </c>
      <c r="L499" s="318">
        <f t="shared" si="594"/>
        <v>7</v>
      </c>
      <c r="M499" s="299">
        <f t="shared" si="594"/>
        <v>4262</v>
      </c>
      <c r="N499" s="318">
        <f t="shared" si="594"/>
        <v>3826</v>
      </c>
      <c r="O499" s="318">
        <f t="shared" si="594"/>
        <v>436</v>
      </c>
      <c r="P499" s="299">
        <f t="shared" si="594"/>
        <v>2002</v>
      </c>
      <c r="Q499" s="318"/>
      <c r="R499" s="318"/>
      <c r="S499" s="299">
        <f>S500+S506</f>
        <v>2002</v>
      </c>
      <c r="T499" s="299">
        <f>T500+T506</f>
        <v>0</v>
      </c>
      <c r="U499" s="299">
        <f>U500+U506</f>
        <v>0</v>
      </c>
      <c r="V499" s="299">
        <f>V500+V506</f>
        <v>0</v>
      </c>
      <c r="W499" s="299">
        <f>W500+W506</f>
        <v>12025</v>
      </c>
      <c r="X499" s="299"/>
      <c r="Y499" s="299"/>
      <c r="Z499" s="299">
        <f t="shared" ref="Z499:AE499" si="595">Z500+Z506</f>
        <v>12025</v>
      </c>
      <c r="AA499" s="299">
        <f t="shared" si="595"/>
        <v>0</v>
      </c>
      <c r="AB499" s="299">
        <f t="shared" si="595"/>
        <v>0</v>
      </c>
      <c r="AC499" s="299">
        <f t="shared" si="595"/>
        <v>692</v>
      </c>
      <c r="AD499" s="299">
        <f t="shared" si="595"/>
        <v>1388</v>
      </c>
      <c r="AE499" s="299">
        <f t="shared" si="595"/>
        <v>17593</v>
      </c>
      <c r="AF499" s="321"/>
      <c r="AG499" s="314">
        <f t="shared" si="557"/>
        <v>0</v>
      </c>
      <c r="AH499" s="696">
        <f t="shared" si="558"/>
        <v>0</v>
      </c>
      <c r="AI499" s="314">
        <f t="shared" si="559"/>
        <v>0</v>
      </c>
      <c r="AJ499" s="314">
        <f t="shared" si="560"/>
        <v>0</v>
      </c>
      <c r="AK499" s="314">
        <f t="shared" si="561"/>
        <v>0</v>
      </c>
      <c r="AL499" s="314">
        <f t="shared" si="562"/>
        <v>0</v>
      </c>
      <c r="AM499" s="314">
        <f t="shared" si="563"/>
        <v>0</v>
      </c>
      <c r="AN499" s="314">
        <f t="shared" si="564"/>
        <v>0</v>
      </c>
      <c r="AO499" s="314">
        <f t="shared" si="565"/>
        <v>0</v>
      </c>
      <c r="AP499" s="314">
        <f t="shared" si="566"/>
        <v>0</v>
      </c>
    </row>
    <row r="500" spans="1:42" s="314" customFormat="1">
      <c r="A500" s="592" t="s">
        <v>784</v>
      </c>
      <c r="B500" s="357" t="s">
        <v>826</v>
      </c>
      <c r="C500" s="298" t="s">
        <v>756</v>
      </c>
      <c r="D500" s="299">
        <f>D501+D505+D503</f>
        <v>4972</v>
      </c>
      <c r="E500" s="299">
        <f>E501+E505+E503</f>
        <v>5739</v>
      </c>
      <c r="F500" s="299">
        <f>F501+F505+F503</f>
        <v>5047</v>
      </c>
      <c r="G500" s="299">
        <f t="shared" si="590"/>
        <v>75</v>
      </c>
      <c r="H500" s="299">
        <f t="shared" ref="H500:P500" si="596">H501+H505+H503</f>
        <v>5047</v>
      </c>
      <c r="I500" s="299">
        <f t="shared" si="596"/>
        <v>5047</v>
      </c>
      <c r="J500" s="299">
        <f t="shared" si="596"/>
        <v>30</v>
      </c>
      <c r="K500" s="299">
        <f t="shared" si="596"/>
        <v>25</v>
      </c>
      <c r="L500" s="299">
        <f t="shared" si="596"/>
        <v>5</v>
      </c>
      <c r="M500" s="299">
        <f t="shared" si="596"/>
        <v>3364</v>
      </c>
      <c r="N500" s="299">
        <f t="shared" si="596"/>
        <v>3038</v>
      </c>
      <c r="O500" s="299">
        <f t="shared" si="596"/>
        <v>326</v>
      </c>
      <c r="P500" s="299">
        <f t="shared" si="596"/>
        <v>1683</v>
      </c>
      <c r="Q500" s="299"/>
      <c r="R500" s="299"/>
      <c r="S500" s="299">
        <f>S501+S505+S503</f>
        <v>1683</v>
      </c>
      <c r="T500" s="299">
        <f>T501+T505+T503</f>
        <v>0</v>
      </c>
      <c r="U500" s="299">
        <f>U501+U505+U503</f>
        <v>0</v>
      </c>
      <c r="V500" s="299">
        <f>V501+V505+V503</f>
        <v>0</v>
      </c>
      <c r="W500" s="299">
        <f>W501+W505+W503</f>
        <v>0</v>
      </c>
      <c r="X500" s="299"/>
      <c r="Y500" s="299"/>
      <c r="Z500" s="299">
        <f t="shared" ref="Z500:AE500" si="597">Z501+Z505+Z503</f>
        <v>0</v>
      </c>
      <c r="AA500" s="299">
        <f t="shared" si="597"/>
        <v>0</v>
      </c>
      <c r="AB500" s="299">
        <f t="shared" si="597"/>
        <v>0</v>
      </c>
      <c r="AC500" s="299">
        <f t="shared" si="597"/>
        <v>692</v>
      </c>
      <c r="AD500" s="299">
        <f t="shared" si="597"/>
        <v>153</v>
      </c>
      <c r="AE500" s="299">
        <f t="shared" si="597"/>
        <v>5586</v>
      </c>
      <c r="AF500" s="321"/>
      <c r="AG500" s="314">
        <f t="shared" si="557"/>
        <v>0</v>
      </c>
      <c r="AH500" s="696">
        <f t="shared" si="558"/>
        <v>0</v>
      </c>
      <c r="AI500" s="314">
        <f t="shared" si="559"/>
        <v>0</v>
      </c>
      <c r="AJ500" s="314">
        <f t="shared" si="560"/>
        <v>0</v>
      </c>
      <c r="AK500" s="314">
        <f t="shared" si="561"/>
        <v>0</v>
      </c>
      <c r="AL500" s="314">
        <f t="shared" si="562"/>
        <v>0</v>
      </c>
      <c r="AM500" s="314">
        <f t="shared" si="563"/>
        <v>0</v>
      </c>
      <c r="AN500" s="314">
        <f t="shared" si="564"/>
        <v>0</v>
      </c>
      <c r="AO500" s="314">
        <f t="shared" si="565"/>
        <v>0</v>
      </c>
      <c r="AP500" s="314">
        <f t="shared" si="566"/>
        <v>0</v>
      </c>
    </row>
    <row r="501" spans="1:42">
      <c r="A501" s="583" t="s">
        <v>45</v>
      </c>
      <c r="B501" s="324" t="s">
        <v>862</v>
      </c>
      <c r="C501" s="304"/>
      <c r="D501" s="303">
        <f t="shared" ref="D501:AE501" si="598">D502</f>
        <v>4832</v>
      </c>
      <c r="E501" s="303">
        <f>E502</f>
        <v>5739</v>
      </c>
      <c r="F501" s="303">
        <f>F502</f>
        <v>5047</v>
      </c>
      <c r="G501" s="303">
        <f>G502</f>
        <v>215</v>
      </c>
      <c r="H501" s="303">
        <f t="shared" si="598"/>
        <v>5047</v>
      </c>
      <c r="I501" s="303">
        <f t="shared" si="598"/>
        <v>5047</v>
      </c>
      <c r="J501" s="303">
        <f t="shared" si="598"/>
        <v>30</v>
      </c>
      <c r="K501" s="303">
        <f t="shared" si="598"/>
        <v>25</v>
      </c>
      <c r="L501" s="303">
        <f t="shared" si="598"/>
        <v>5</v>
      </c>
      <c r="M501" s="303">
        <f t="shared" si="598"/>
        <v>3364</v>
      </c>
      <c r="N501" s="303">
        <f t="shared" si="598"/>
        <v>3038</v>
      </c>
      <c r="O501" s="303">
        <f t="shared" si="598"/>
        <v>326</v>
      </c>
      <c r="P501" s="303">
        <f t="shared" si="598"/>
        <v>1683</v>
      </c>
      <c r="Q501" s="303"/>
      <c r="R501" s="303"/>
      <c r="S501" s="303">
        <f t="shared" si="598"/>
        <v>1683</v>
      </c>
      <c r="T501" s="303">
        <f t="shared" si="598"/>
        <v>0</v>
      </c>
      <c r="U501" s="303">
        <f t="shared" si="598"/>
        <v>0</v>
      </c>
      <c r="V501" s="303">
        <f t="shared" si="598"/>
        <v>0</v>
      </c>
      <c r="W501" s="303">
        <f t="shared" si="598"/>
        <v>0</v>
      </c>
      <c r="X501" s="303">
        <f t="shared" si="598"/>
        <v>0</v>
      </c>
      <c r="Y501" s="303">
        <f t="shared" si="598"/>
        <v>0</v>
      </c>
      <c r="Z501" s="303">
        <f t="shared" si="598"/>
        <v>0</v>
      </c>
      <c r="AA501" s="303">
        <f t="shared" si="598"/>
        <v>0</v>
      </c>
      <c r="AB501" s="303">
        <f t="shared" si="598"/>
        <v>0</v>
      </c>
      <c r="AC501" s="303">
        <f t="shared" si="598"/>
        <v>692</v>
      </c>
      <c r="AD501" s="303">
        <f t="shared" si="598"/>
        <v>167</v>
      </c>
      <c r="AE501" s="303">
        <f t="shared" si="598"/>
        <v>5572</v>
      </c>
      <c r="AF501" s="317"/>
      <c r="AG501" s="314">
        <f t="shared" si="557"/>
        <v>0</v>
      </c>
      <c r="AH501" s="696">
        <f t="shared" si="558"/>
        <v>0</v>
      </c>
      <c r="AI501" s="314">
        <f t="shared" si="559"/>
        <v>0</v>
      </c>
      <c r="AJ501" s="314">
        <f t="shared" si="560"/>
        <v>0</v>
      </c>
      <c r="AK501" s="314">
        <f t="shared" si="561"/>
        <v>0</v>
      </c>
      <c r="AL501" s="314">
        <f t="shared" si="562"/>
        <v>0</v>
      </c>
      <c r="AM501" s="314">
        <f t="shared" si="563"/>
        <v>0</v>
      </c>
      <c r="AN501" s="314">
        <f t="shared" si="564"/>
        <v>0</v>
      </c>
      <c r="AO501" s="314">
        <f t="shared" si="565"/>
        <v>0</v>
      </c>
      <c r="AP501" s="314">
        <f t="shared" si="566"/>
        <v>0</v>
      </c>
    </row>
    <row r="502" spans="1:42" outlineLevel="1">
      <c r="A502" s="593" t="s">
        <v>23</v>
      </c>
      <c r="B502" s="324" t="s">
        <v>1626</v>
      </c>
      <c r="C502" s="304"/>
      <c r="D502" s="304">
        <v>4832</v>
      </c>
      <c r="E502" s="304">
        <f t="shared" si="571"/>
        <v>5739</v>
      </c>
      <c r="F502" s="304">
        <f>H502-AB502</f>
        <v>5047</v>
      </c>
      <c r="G502" s="304">
        <f>F502-D502</f>
        <v>215</v>
      </c>
      <c r="H502" s="303">
        <f t="shared" ref="H502" si="599">I502+W502</f>
        <v>5047</v>
      </c>
      <c r="I502" s="303">
        <f>M502+P502</f>
        <v>5047</v>
      </c>
      <c r="J502" s="294">
        <v>30</v>
      </c>
      <c r="K502" s="294">
        <v>25</v>
      </c>
      <c r="L502" s="294">
        <f>J502-K502</f>
        <v>5</v>
      </c>
      <c r="M502" s="304">
        <f>N502+O502</f>
        <v>3364</v>
      </c>
      <c r="N502" s="294">
        <v>3038</v>
      </c>
      <c r="O502" s="294">
        <v>326</v>
      </c>
      <c r="P502" s="303">
        <f>S502+T502</f>
        <v>1683</v>
      </c>
      <c r="Q502" s="294">
        <v>33</v>
      </c>
      <c r="R502" s="305">
        <v>1.7000000000000002</v>
      </c>
      <c r="S502" s="304">
        <f>ROUND(J502*Q502*R502,0)</f>
        <v>1683</v>
      </c>
      <c r="T502" s="303">
        <f>U502+V502</f>
        <v>0</v>
      </c>
      <c r="U502" s="304"/>
      <c r="V502" s="304"/>
      <c r="W502" s="303">
        <f>Z502+AA502</f>
        <v>0</v>
      </c>
      <c r="X502" s="303"/>
      <c r="Y502" s="303"/>
      <c r="Z502" s="304"/>
      <c r="AA502" s="304"/>
      <c r="AB502" s="304"/>
      <c r="AC502" s="304">
        <v>692</v>
      </c>
      <c r="AD502" s="304">
        <v>167</v>
      </c>
      <c r="AE502" s="303">
        <f>E502-AD502</f>
        <v>5572</v>
      </c>
      <c r="AF502" s="317"/>
      <c r="AG502" s="314">
        <f t="shared" si="557"/>
        <v>0</v>
      </c>
      <c r="AH502" s="696">
        <f t="shared" si="558"/>
        <v>0</v>
      </c>
      <c r="AI502" s="314">
        <f t="shared" si="559"/>
        <v>0</v>
      </c>
      <c r="AJ502" s="314">
        <f t="shared" si="560"/>
        <v>0</v>
      </c>
      <c r="AK502" s="314">
        <f t="shared" si="561"/>
        <v>0</v>
      </c>
      <c r="AL502" s="314">
        <f t="shared" si="562"/>
        <v>0</v>
      </c>
      <c r="AM502" s="314">
        <f t="shared" si="563"/>
        <v>0</v>
      </c>
      <c r="AN502" s="314">
        <f t="shared" si="564"/>
        <v>0</v>
      </c>
      <c r="AO502" s="314">
        <f t="shared" si="565"/>
        <v>0</v>
      </c>
      <c r="AP502" s="314">
        <f t="shared" si="566"/>
        <v>0</v>
      </c>
    </row>
    <row r="503" spans="1:42" ht="27.6" hidden="1" outlineLevel="3">
      <c r="A503" s="583" t="s">
        <v>47</v>
      </c>
      <c r="B503" s="324" t="s">
        <v>1521</v>
      </c>
      <c r="C503" s="304"/>
      <c r="D503" s="303">
        <v>140</v>
      </c>
      <c r="E503" s="303">
        <f t="shared" si="571"/>
        <v>0</v>
      </c>
      <c r="F503" s="303">
        <f t="shared" ref="F503" si="600">F504</f>
        <v>0</v>
      </c>
      <c r="G503" s="303">
        <f>F503-D503</f>
        <v>-140</v>
      </c>
      <c r="H503" s="303">
        <f>H504</f>
        <v>0</v>
      </c>
      <c r="I503" s="303">
        <f t="shared" ref="I503:P503" si="601">I504</f>
        <v>0</v>
      </c>
      <c r="J503" s="303">
        <f t="shared" si="601"/>
        <v>0</v>
      </c>
      <c r="K503" s="303">
        <f t="shared" si="601"/>
        <v>0</v>
      </c>
      <c r="L503" s="303">
        <f t="shared" si="601"/>
        <v>0</v>
      </c>
      <c r="M503" s="303">
        <f t="shared" si="601"/>
        <v>0</v>
      </c>
      <c r="N503" s="303">
        <f t="shared" si="601"/>
        <v>0</v>
      </c>
      <c r="O503" s="303">
        <f t="shared" si="601"/>
        <v>0</v>
      </c>
      <c r="P503" s="303">
        <f t="shared" si="601"/>
        <v>0</v>
      </c>
      <c r="Q503" s="303"/>
      <c r="R503" s="303">
        <f t="shared" ref="R503:W503" si="602">R504</f>
        <v>0</v>
      </c>
      <c r="S503" s="303">
        <f t="shared" si="602"/>
        <v>0</v>
      </c>
      <c r="T503" s="303">
        <f t="shared" si="602"/>
        <v>0</v>
      </c>
      <c r="U503" s="303">
        <f t="shared" si="602"/>
        <v>0</v>
      </c>
      <c r="V503" s="303">
        <f t="shared" si="602"/>
        <v>0</v>
      </c>
      <c r="W503" s="303">
        <f t="shared" si="602"/>
        <v>0</v>
      </c>
      <c r="X503" s="303"/>
      <c r="Y503" s="303"/>
      <c r="Z503" s="303">
        <f t="shared" ref="Z503" si="603">Z504</f>
        <v>0</v>
      </c>
      <c r="AA503" s="303">
        <f>AA504</f>
        <v>0</v>
      </c>
      <c r="AB503" s="303">
        <f>AB504</f>
        <v>0</v>
      </c>
      <c r="AC503" s="303">
        <f t="shared" ref="AC503:AE503" si="604">AC504</f>
        <v>0</v>
      </c>
      <c r="AD503" s="303">
        <f t="shared" si="604"/>
        <v>-14</v>
      </c>
      <c r="AE503" s="303">
        <f t="shared" si="604"/>
        <v>14</v>
      </c>
      <c r="AF503" s="317"/>
      <c r="AG503" s="314">
        <f t="shared" si="557"/>
        <v>0</v>
      </c>
      <c r="AH503" s="696">
        <f t="shared" si="558"/>
        <v>0</v>
      </c>
      <c r="AI503" s="314">
        <f t="shared" si="559"/>
        <v>0</v>
      </c>
      <c r="AJ503" s="314">
        <f t="shared" si="560"/>
        <v>0</v>
      </c>
      <c r="AK503" s="314">
        <f t="shared" si="561"/>
        <v>0</v>
      </c>
      <c r="AL503" s="314">
        <f t="shared" si="562"/>
        <v>0</v>
      </c>
      <c r="AM503" s="314">
        <f t="shared" si="563"/>
        <v>0</v>
      </c>
      <c r="AN503" s="314">
        <f t="shared" si="564"/>
        <v>0</v>
      </c>
      <c r="AO503" s="314">
        <f t="shared" si="565"/>
        <v>0</v>
      </c>
      <c r="AP503" s="314">
        <f t="shared" si="566"/>
        <v>0</v>
      </c>
    </row>
    <row r="504" spans="1:42" hidden="1" outlineLevel="3">
      <c r="A504" s="583" t="s">
        <v>23</v>
      </c>
      <c r="B504" s="324" t="s">
        <v>1626</v>
      </c>
      <c r="C504" s="304"/>
      <c r="D504" s="304">
        <v>140</v>
      </c>
      <c r="E504" s="304">
        <f t="shared" si="571"/>
        <v>0</v>
      </c>
      <c r="F504" s="304">
        <f>H504-AB504</f>
        <v>0</v>
      </c>
      <c r="G504" s="304">
        <f>F504-D504</f>
        <v>-140</v>
      </c>
      <c r="H504" s="303">
        <f t="shared" ref="H504" si="605">I504+W504</f>
        <v>0</v>
      </c>
      <c r="I504" s="303">
        <f t="shared" ref="I504" si="606">M504+P504</f>
        <v>0</v>
      </c>
      <c r="J504" s="294"/>
      <c r="K504" s="294">
        <v>0</v>
      </c>
      <c r="L504" s="294"/>
      <c r="M504" s="304">
        <f t="shared" ref="M504" si="607">N504+O504</f>
        <v>0</v>
      </c>
      <c r="N504" s="294"/>
      <c r="O504" s="294"/>
      <c r="P504" s="303">
        <f t="shared" ref="P504" si="608">S504+T504</f>
        <v>0</v>
      </c>
      <c r="Q504" s="311">
        <v>0</v>
      </c>
      <c r="R504" s="305"/>
      <c r="S504" s="304">
        <f>J504*Q504</f>
        <v>0</v>
      </c>
      <c r="T504" s="303">
        <f t="shared" ref="T504" si="609">U504+V504</f>
        <v>0</v>
      </c>
      <c r="U504" s="304"/>
      <c r="V504" s="304"/>
      <c r="W504" s="303">
        <f>Z504+AA504</f>
        <v>0</v>
      </c>
      <c r="X504" s="303"/>
      <c r="Y504" s="303"/>
      <c r="Z504" s="304"/>
      <c r="AA504" s="304"/>
      <c r="AB504" s="304"/>
      <c r="AC504" s="304"/>
      <c r="AD504" s="304">
        <v>-14</v>
      </c>
      <c r="AE504" s="303">
        <f>E504-AD504</f>
        <v>14</v>
      </c>
      <c r="AF504" s="317"/>
      <c r="AG504" s="314">
        <f t="shared" si="557"/>
        <v>0</v>
      </c>
      <c r="AH504" s="696">
        <f t="shared" si="558"/>
        <v>0</v>
      </c>
      <c r="AI504" s="314">
        <f t="shared" si="559"/>
        <v>0</v>
      </c>
      <c r="AJ504" s="314">
        <f t="shared" si="560"/>
        <v>0</v>
      </c>
      <c r="AK504" s="314">
        <f t="shared" si="561"/>
        <v>0</v>
      </c>
      <c r="AL504" s="314">
        <f t="shared" si="562"/>
        <v>0</v>
      </c>
      <c r="AM504" s="314">
        <f t="shared" si="563"/>
        <v>0</v>
      </c>
      <c r="AN504" s="314">
        <f t="shared" si="564"/>
        <v>0</v>
      </c>
      <c r="AO504" s="314">
        <f t="shared" si="565"/>
        <v>0</v>
      </c>
      <c r="AP504" s="314">
        <f t="shared" si="566"/>
        <v>0</v>
      </c>
    </row>
    <row r="505" spans="1:42" ht="27.6" hidden="1" outlineLevel="3">
      <c r="A505" s="583" t="s">
        <v>49</v>
      </c>
      <c r="B505" s="1273" t="s">
        <v>1737</v>
      </c>
      <c r="C505" s="304"/>
      <c r="D505" s="304"/>
      <c r="E505" s="304">
        <f t="shared" si="571"/>
        <v>0</v>
      </c>
      <c r="F505" s="304"/>
      <c r="G505" s="304"/>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303"/>
      <c r="AF505" s="317"/>
      <c r="AG505" s="314">
        <f t="shared" si="557"/>
        <v>0</v>
      </c>
      <c r="AH505" s="696">
        <f t="shared" si="558"/>
        <v>0</v>
      </c>
      <c r="AI505" s="314">
        <f t="shared" si="559"/>
        <v>0</v>
      </c>
      <c r="AJ505" s="314">
        <f t="shared" si="560"/>
        <v>0</v>
      </c>
      <c r="AK505" s="314">
        <f t="shared" si="561"/>
        <v>0</v>
      </c>
      <c r="AL505" s="314">
        <f t="shared" si="562"/>
        <v>0</v>
      </c>
      <c r="AM505" s="314">
        <f t="shared" si="563"/>
        <v>0</v>
      </c>
      <c r="AN505" s="314">
        <f t="shared" si="564"/>
        <v>0</v>
      </c>
      <c r="AO505" s="314">
        <f t="shared" si="565"/>
        <v>0</v>
      </c>
      <c r="AP505" s="314">
        <f t="shared" si="566"/>
        <v>0</v>
      </c>
    </row>
    <row r="506" spans="1:42" s="314" customFormat="1">
      <c r="A506" s="592" t="s">
        <v>785</v>
      </c>
      <c r="B506" s="320" t="s">
        <v>1022</v>
      </c>
      <c r="C506" s="298" t="s">
        <v>724</v>
      </c>
      <c r="D506" s="299">
        <f t="shared" ref="D506" si="610">D507+D509</f>
        <v>14479</v>
      </c>
      <c r="E506" s="299">
        <f>E507+E509</f>
        <v>13242</v>
      </c>
      <c r="F506" s="299">
        <f>F507+F509</f>
        <v>13242</v>
      </c>
      <c r="G506" s="299">
        <f t="shared" ref="G506:G512" si="611">F506-D506</f>
        <v>-1237</v>
      </c>
      <c r="H506" s="299">
        <f t="shared" ref="H506:P506" si="612">H507+H509</f>
        <v>13242</v>
      </c>
      <c r="I506" s="299">
        <f t="shared" si="612"/>
        <v>1217</v>
      </c>
      <c r="J506" s="318">
        <f t="shared" si="612"/>
        <v>11</v>
      </c>
      <c r="K506" s="318">
        <f t="shared" si="612"/>
        <v>9</v>
      </c>
      <c r="L506" s="318">
        <f t="shared" si="612"/>
        <v>2</v>
      </c>
      <c r="M506" s="299">
        <f t="shared" si="612"/>
        <v>898</v>
      </c>
      <c r="N506" s="318">
        <f t="shared" si="612"/>
        <v>788</v>
      </c>
      <c r="O506" s="318">
        <f t="shared" si="612"/>
        <v>110</v>
      </c>
      <c r="P506" s="299">
        <f t="shared" si="612"/>
        <v>319</v>
      </c>
      <c r="Q506" s="318"/>
      <c r="R506" s="318"/>
      <c r="S506" s="299">
        <f t="shared" ref="S506:Z506" si="613">S507+S509</f>
        <v>319</v>
      </c>
      <c r="T506" s="299">
        <f t="shared" si="613"/>
        <v>0</v>
      </c>
      <c r="U506" s="299">
        <f t="shared" si="613"/>
        <v>0</v>
      </c>
      <c r="V506" s="299">
        <f t="shared" si="613"/>
        <v>0</v>
      </c>
      <c r="W506" s="299">
        <f>W507+W509</f>
        <v>12025</v>
      </c>
      <c r="X506" s="299"/>
      <c r="Y506" s="299"/>
      <c r="Z506" s="299">
        <f t="shared" si="613"/>
        <v>12025</v>
      </c>
      <c r="AA506" s="299">
        <f>AA507+AA509</f>
        <v>0</v>
      </c>
      <c r="AB506" s="299">
        <f>AB507+AB509</f>
        <v>0</v>
      </c>
      <c r="AC506" s="299">
        <f t="shared" ref="AC506:AE506" si="614">AC507+AC509</f>
        <v>0</v>
      </c>
      <c r="AD506" s="299">
        <f t="shared" si="614"/>
        <v>1235</v>
      </c>
      <c r="AE506" s="299">
        <f t="shared" si="614"/>
        <v>12007</v>
      </c>
      <c r="AF506" s="321"/>
      <c r="AG506" s="314">
        <f t="shared" si="557"/>
        <v>0</v>
      </c>
      <c r="AH506" s="696">
        <f t="shared" si="558"/>
        <v>0</v>
      </c>
      <c r="AI506" s="314">
        <f t="shared" si="559"/>
        <v>0</v>
      </c>
      <c r="AJ506" s="314">
        <f t="shared" si="560"/>
        <v>0</v>
      </c>
      <c r="AK506" s="314">
        <f t="shared" si="561"/>
        <v>0</v>
      </c>
      <c r="AL506" s="314">
        <f t="shared" si="562"/>
        <v>0</v>
      </c>
      <c r="AM506" s="314">
        <f t="shared" si="563"/>
        <v>0</v>
      </c>
      <c r="AN506" s="314">
        <f t="shared" si="564"/>
        <v>0</v>
      </c>
      <c r="AO506" s="314">
        <f t="shared" si="565"/>
        <v>0</v>
      </c>
      <c r="AP506" s="314">
        <f t="shared" si="566"/>
        <v>0</v>
      </c>
    </row>
    <row r="507" spans="1:42">
      <c r="A507" s="583" t="s">
        <v>45</v>
      </c>
      <c r="B507" s="316" t="s">
        <v>841</v>
      </c>
      <c r="C507" s="304"/>
      <c r="D507" s="303">
        <f t="shared" ref="D507:W507" si="615">D508</f>
        <v>1179</v>
      </c>
      <c r="E507" s="303">
        <f>E508</f>
        <v>1057</v>
      </c>
      <c r="F507" s="303">
        <f>F508</f>
        <v>1057</v>
      </c>
      <c r="G507" s="303">
        <f t="shared" si="611"/>
        <v>-122</v>
      </c>
      <c r="H507" s="303">
        <f t="shared" si="615"/>
        <v>1217</v>
      </c>
      <c r="I507" s="303">
        <f t="shared" si="615"/>
        <v>1217</v>
      </c>
      <c r="J507" s="303">
        <f t="shared" si="615"/>
        <v>11</v>
      </c>
      <c r="K507" s="303">
        <f t="shared" si="615"/>
        <v>9</v>
      </c>
      <c r="L507" s="303">
        <f t="shared" si="615"/>
        <v>2</v>
      </c>
      <c r="M507" s="303">
        <f t="shared" si="615"/>
        <v>898</v>
      </c>
      <c r="N507" s="303">
        <f t="shared" si="615"/>
        <v>788</v>
      </c>
      <c r="O507" s="303">
        <f t="shared" si="615"/>
        <v>110</v>
      </c>
      <c r="P507" s="303">
        <f t="shared" si="615"/>
        <v>319</v>
      </c>
      <c r="Q507" s="303"/>
      <c r="R507" s="303"/>
      <c r="S507" s="303">
        <f t="shared" si="615"/>
        <v>319</v>
      </c>
      <c r="T507" s="303">
        <f t="shared" si="615"/>
        <v>0</v>
      </c>
      <c r="U507" s="303">
        <f t="shared" si="615"/>
        <v>0</v>
      </c>
      <c r="V507" s="303">
        <f t="shared" si="615"/>
        <v>0</v>
      </c>
      <c r="W507" s="303">
        <f t="shared" si="615"/>
        <v>0</v>
      </c>
      <c r="X507" s="303"/>
      <c r="Y507" s="303"/>
      <c r="Z507" s="303">
        <f t="shared" ref="Z507" si="616">Z508</f>
        <v>0</v>
      </c>
      <c r="AA507" s="303">
        <f>AA508</f>
        <v>0</v>
      </c>
      <c r="AB507" s="303">
        <f>AB508</f>
        <v>160</v>
      </c>
      <c r="AC507" s="303">
        <f t="shared" ref="AC507:AE507" si="617">AC508</f>
        <v>0</v>
      </c>
      <c r="AD507" s="303">
        <f t="shared" si="617"/>
        <v>16</v>
      </c>
      <c r="AE507" s="303">
        <f t="shared" si="617"/>
        <v>1041</v>
      </c>
      <c r="AF507" s="317"/>
      <c r="AG507" s="314">
        <f t="shared" si="557"/>
        <v>0</v>
      </c>
      <c r="AH507" s="696">
        <f t="shared" si="558"/>
        <v>0</v>
      </c>
      <c r="AI507" s="314">
        <f t="shared" si="559"/>
        <v>0</v>
      </c>
      <c r="AJ507" s="314">
        <f t="shared" si="560"/>
        <v>0</v>
      </c>
      <c r="AK507" s="314">
        <f t="shared" si="561"/>
        <v>0</v>
      </c>
      <c r="AL507" s="314">
        <f t="shared" si="562"/>
        <v>0</v>
      </c>
      <c r="AM507" s="314">
        <f t="shared" si="563"/>
        <v>0</v>
      </c>
      <c r="AN507" s="314">
        <f t="shared" si="564"/>
        <v>0</v>
      </c>
      <c r="AO507" s="314">
        <f t="shared" si="565"/>
        <v>0</v>
      </c>
      <c r="AP507" s="314">
        <f t="shared" si="566"/>
        <v>0</v>
      </c>
    </row>
    <row r="508" spans="1:42" ht="27.6" outlineLevel="1">
      <c r="A508" s="593" t="s">
        <v>23</v>
      </c>
      <c r="B508" s="316" t="s">
        <v>1023</v>
      </c>
      <c r="C508" s="317"/>
      <c r="D508" s="304">
        <v>1179</v>
      </c>
      <c r="E508" s="304">
        <f t="shared" si="571"/>
        <v>1057</v>
      </c>
      <c r="F508" s="304">
        <f>H508-AB508</f>
        <v>1057</v>
      </c>
      <c r="G508" s="304">
        <f t="shared" si="611"/>
        <v>-122</v>
      </c>
      <c r="H508" s="303">
        <f t="shared" ref="H508:H509" si="618">I508+W508</f>
        <v>1217</v>
      </c>
      <c r="I508" s="303">
        <f>M508+P508</f>
        <v>1217</v>
      </c>
      <c r="J508" s="304">
        <v>11</v>
      </c>
      <c r="K508" s="304">
        <v>9</v>
      </c>
      <c r="L508" s="304">
        <f>J508-K508</f>
        <v>2</v>
      </c>
      <c r="M508" s="304">
        <f>N508+O508</f>
        <v>898</v>
      </c>
      <c r="N508" s="304">
        <v>788</v>
      </c>
      <c r="O508" s="304">
        <v>110</v>
      </c>
      <c r="P508" s="303">
        <f>S508+T508</f>
        <v>319</v>
      </c>
      <c r="Q508" s="294">
        <v>29</v>
      </c>
      <c r="R508" s="304">
        <v>1</v>
      </c>
      <c r="S508" s="304">
        <f>ROUND(J508*Q508*R508,0)</f>
        <v>319</v>
      </c>
      <c r="T508" s="303">
        <f>U508+V508</f>
        <v>0</v>
      </c>
      <c r="U508" s="304"/>
      <c r="V508" s="304"/>
      <c r="W508" s="303">
        <f>Z508+AA508</f>
        <v>0</v>
      </c>
      <c r="X508" s="303"/>
      <c r="Y508" s="303"/>
      <c r="Z508" s="304"/>
      <c r="AA508" s="304"/>
      <c r="AB508" s="304">
        <v>160</v>
      </c>
      <c r="AC508" s="304">
        <v>0</v>
      </c>
      <c r="AD508" s="304">
        <v>16</v>
      </c>
      <c r="AE508" s="303">
        <f>E508-AD508</f>
        <v>1041</v>
      </c>
      <c r="AF508" s="317"/>
      <c r="AG508" s="314">
        <f t="shared" si="557"/>
        <v>0</v>
      </c>
      <c r="AH508" s="696">
        <f t="shared" si="558"/>
        <v>0</v>
      </c>
      <c r="AI508" s="314">
        <f t="shared" si="559"/>
        <v>0</v>
      </c>
      <c r="AJ508" s="314">
        <f t="shared" si="560"/>
        <v>0</v>
      </c>
      <c r="AK508" s="314">
        <f t="shared" si="561"/>
        <v>0</v>
      </c>
      <c r="AL508" s="314">
        <f t="shared" si="562"/>
        <v>0</v>
      </c>
      <c r="AM508" s="314">
        <f t="shared" si="563"/>
        <v>0</v>
      </c>
      <c r="AN508" s="314">
        <f t="shared" si="564"/>
        <v>0</v>
      </c>
      <c r="AO508" s="314">
        <f t="shared" si="565"/>
        <v>0</v>
      </c>
      <c r="AP508" s="314">
        <f t="shared" si="566"/>
        <v>0</v>
      </c>
    </row>
    <row r="509" spans="1:42">
      <c r="A509" s="583" t="s">
        <v>47</v>
      </c>
      <c r="B509" s="316" t="s">
        <v>844</v>
      </c>
      <c r="C509" s="304"/>
      <c r="D509" s="304">
        <v>13300</v>
      </c>
      <c r="E509" s="304">
        <f t="shared" si="571"/>
        <v>12185</v>
      </c>
      <c r="F509" s="304">
        <f>H509-AB509</f>
        <v>12185</v>
      </c>
      <c r="G509" s="304">
        <f t="shared" si="611"/>
        <v>-1115</v>
      </c>
      <c r="H509" s="303">
        <f t="shared" si="618"/>
        <v>12025</v>
      </c>
      <c r="I509" s="303">
        <f>M509+P509</f>
        <v>0</v>
      </c>
      <c r="J509" s="311"/>
      <c r="K509" s="311"/>
      <c r="L509" s="311"/>
      <c r="M509" s="303"/>
      <c r="N509" s="311"/>
      <c r="O509" s="311"/>
      <c r="P509" s="303">
        <f>S509+T509</f>
        <v>0</v>
      </c>
      <c r="Q509" s="311"/>
      <c r="R509" s="312"/>
      <c r="S509" s="304"/>
      <c r="T509" s="303">
        <f>U509+V509</f>
        <v>0</v>
      </c>
      <c r="U509" s="304"/>
      <c r="V509" s="304"/>
      <c r="W509" s="303">
        <f>Z509+AA509</f>
        <v>12025</v>
      </c>
      <c r="X509" s="303"/>
      <c r="Y509" s="303"/>
      <c r="Z509" s="304">
        <f>13837-F507-F978+AB509</f>
        <v>12025</v>
      </c>
      <c r="AA509" s="304"/>
      <c r="AB509" s="304">
        <f>-AB508</f>
        <v>-160</v>
      </c>
      <c r="AC509" s="304"/>
      <c r="AD509" s="304">
        <v>1219</v>
      </c>
      <c r="AE509" s="303">
        <f>E509-AD509</f>
        <v>10966</v>
      </c>
      <c r="AF509" s="317"/>
      <c r="AG509" s="314">
        <f t="shared" si="557"/>
        <v>0</v>
      </c>
      <c r="AH509" s="696">
        <f t="shared" si="558"/>
        <v>0</v>
      </c>
      <c r="AI509" s="314">
        <f t="shared" si="559"/>
        <v>0</v>
      </c>
      <c r="AJ509" s="314">
        <f t="shared" si="560"/>
        <v>0</v>
      </c>
      <c r="AK509" s="314">
        <f t="shared" si="561"/>
        <v>0</v>
      </c>
      <c r="AL509" s="314">
        <f t="shared" si="562"/>
        <v>0</v>
      </c>
      <c r="AM509" s="314">
        <f t="shared" si="563"/>
        <v>0</v>
      </c>
      <c r="AN509" s="314">
        <f t="shared" si="564"/>
        <v>0</v>
      </c>
      <c r="AO509" s="314">
        <f t="shared" si="565"/>
        <v>0</v>
      </c>
      <c r="AP509" s="314">
        <f t="shared" si="566"/>
        <v>0</v>
      </c>
    </row>
    <row r="510" spans="1:42" s="314" customFormat="1">
      <c r="A510" s="592" t="s">
        <v>82</v>
      </c>
      <c r="B510" s="320" t="s">
        <v>1024</v>
      </c>
      <c r="C510" s="297"/>
      <c r="D510" s="299">
        <f>D511+D520+D531</f>
        <v>11248</v>
      </c>
      <c r="E510" s="299">
        <f>E511+E520+E531</f>
        <v>11203</v>
      </c>
      <c r="F510" s="299">
        <f>F511+F520+F531</f>
        <v>10410</v>
      </c>
      <c r="G510" s="299">
        <f t="shared" si="611"/>
        <v>-838</v>
      </c>
      <c r="H510" s="299">
        <f t="shared" ref="H510:P510" si="619">H511+H520+H531</f>
        <v>10410</v>
      </c>
      <c r="I510" s="299">
        <f t="shared" si="619"/>
        <v>8713</v>
      </c>
      <c r="J510" s="318">
        <f t="shared" si="619"/>
        <v>37</v>
      </c>
      <c r="K510" s="318">
        <f t="shared" si="619"/>
        <v>33</v>
      </c>
      <c r="L510" s="318">
        <f t="shared" si="619"/>
        <v>4</v>
      </c>
      <c r="M510" s="299">
        <f t="shared" si="619"/>
        <v>3809</v>
      </c>
      <c r="N510" s="318">
        <f t="shared" si="619"/>
        <v>3498</v>
      </c>
      <c r="O510" s="318">
        <f t="shared" si="619"/>
        <v>311</v>
      </c>
      <c r="P510" s="299">
        <f t="shared" si="619"/>
        <v>4904</v>
      </c>
      <c r="Q510" s="318"/>
      <c r="R510" s="318"/>
      <c r="S510" s="299">
        <f>S511+S520+S531</f>
        <v>2211</v>
      </c>
      <c r="T510" s="299">
        <f>T511+T520+T531</f>
        <v>2693</v>
      </c>
      <c r="U510" s="299">
        <f>U511+U520+U531</f>
        <v>1900</v>
      </c>
      <c r="V510" s="299">
        <f>V511+V520+V531</f>
        <v>793</v>
      </c>
      <c r="W510" s="299">
        <f>W511+W520+W531</f>
        <v>1697</v>
      </c>
      <c r="X510" s="318"/>
      <c r="Y510" s="318"/>
      <c r="Z510" s="299">
        <f t="shared" ref="Z510:AE510" si="620">Z511+Z520+Z531</f>
        <v>1302</v>
      </c>
      <c r="AA510" s="299">
        <f t="shared" si="620"/>
        <v>395</v>
      </c>
      <c r="AB510" s="299">
        <f t="shared" si="620"/>
        <v>0</v>
      </c>
      <c r="AC510" s="299">
        <f t="shared" si="620"/>
        <v>793</v>
      </c>
      <c r="AD510" s="299">
        <f t="shared" si="620"/>
        <v>660</v>
      </c>
      <c r="AE510" s="299">
        <f t="shared" si="620"/>
        <v>10543</v>
      </c>
      <c r="AF510" s="321"/>
      <c r="AG510" s="314">
        <f t="shared" si="557"/>
        <v>0</v>
      </c>
      <c r="AH510" s="696">
        <f t="shared" si="558"/>
        <v>0</v>
      </c>
      <c r="AI510" s="314">
        <f t="shared" si="559"/>
        <v>0</v>
      </c>
      <c r="AJ510" s="314">
        <f t="shared" si="560"/>
        <v>0</v>
      </c>
      <c r="AK510" s="314">
        <f t="shared" si="561"/>
        <v>0</v>
      </c>
      <c r="AL510" s="314">
        <f t="shared" si="562"/>
        <v>0</v>
      </c>
      <c r="AM510" s="314">
        <f t="shared" si="563"/>
        <v>0</v>
      </c>
      <c r="AN510" s="314">
        <f t="shared" si="564"/>
        <v>0</v>
      </c>
      <c r="AO510" s="314">
        <f t="shared" si="565"/>
        <v>0</v>
      </c>
      <c r="AP510" s="314">
        <f t="shared" si="566"/>
        <v>0</v>
      </c>
    </row>
    <row r="511" spans="1:42" s="314" customFormat="1">
      <c r="A511" s="592" t="s">
        <v>1025</v>
      </c>
      <c r="B511" s="357" t="s">
        <v>826</v>
      </c>
      <c r="C511" s="298" t="s">
        <v>756</v>
      </c>
      <c r="D511" s="299">
        <f t="shared" ref="D511" si="621">D512+D513</f>
        <v>7043</v>
      </c>
      <c r="E511" s="299">
        <f>E512+E513</f>
        <v>7102</v>
      </c>
      <c r="F511" s="299">
        <f>F512+F513</f>
        <v>6642</v>
      </c>
      <c r="G511" s="299">
        <f t="shared" si="611"/>
        <v>-401</v>
      </c>
      <c r="H511" s="299">
        <f>H512+H513</f>
        <v>6642</v>
      </c>
      <c r="I511" s="299">
        <f t="shared" ref="I511:P511" si="622">I512+I513</f>
        <v>6642</v>
      </c>
      <c r="J511" s="318">
        <f t="shared" si="622"/>
        <v>21</v>
      </c>
      <c r="K511" s="318">
        <f t="shared" si="622"/>
        <v>17</v>
      </c>
      <c r="L511" s="318">
        <f t="shared" si="622"/>
        <v>4</v>
      </c>
      <c r="M511" s="299">
        <f t="shared" si="622"/>
        <v>2210</v>
      </c>
      <c r="N511" s="318">
        <f t="shared" si="622"/>
        <v>1899</v>
      </c>
      <c r="O511" s="318">
        <f t="shared" si="622"/>
        <v>311</v>
      </c>
      <c r="P511" s="299">
        <f t="shared" si="622"/>
        <v>4432</v>
      </c>
      <c r="Q511" s="318"/>
      <c r="R511" s="318"/>
      <c r="S511" s="299">
        <f>S512+S513</f>
        <v>1739</v>
      </c>
      <c r="T511" s="299">
        <f>T512+T513</f>
        <v>2693</v>
      </c>
      <c r="U511" s="299">
        <f>U512+U513</f>
        <v>1900</v>
      </c>
      <c r="V511" s="299">
        <f>V512+V513</f>
        <v>793</v>
      </c>
      <c r="W511" s="299">
        <f>W512+W513</f>
        <v>0</v>
      </c>
      <c r="X511" s="299"/>
      <c r="Y511" s="299"/>
      <c r="Z511" s="299"/>
      <c r="AA511" s="299">
        <f>AA512+AA513</f>
        <v>0</v>
      </c>
      <c r="AB511" s="299">
        <f>AB512+AB513</f>
        <v>0</v>
      </c>
      <c r="AC511" s="299">
        <f t="shared" ref="AC511:AE511" si="623">AC512+AC513</f>
        <v>460</v>
      </c>
      <c r="AD511" s="299">
        <f t="shared" si="623"/>
        <v>443</v>
      </c>
      <c r="AE511" s="299">
        <f t="shared" si="623"/>
        <v>6659</v>
      </c>
      <c r="AF511" s="321"/>
      <c r="AG511" s="314">
        <f t="shared" si="557"/>
        <v>0</v>
      </c>
      <c r="AH511" s="696">
        <f t="shared" si="558"/>
        <v>0</v>
      </c>
      <c r="AI511" s="314">
        <f t="shared" si="559"/>
        <v>0</v>
      </c>
      <c r="AJ511" s="314">
        <f t="shared" si="560"/>
        <v>0</v>
      </c>
      <c r="AK511" s="314">
        <f t="shared" si="561"/>
        <v>0</v>
      </c>
      <c r="AL511" s="314">
        <f t="shared" si="562"/>
        <v>0</v>
      </c>
      <c r="AM511" s="314">
        <f t="shared" si="563"/>
        <v>0</v>
      </c>
      <c r="AN511" s="314">
        <f t="shared" si="564"/>
        <v>0</v>
      </c>
      <c r="AO511" s="314">
        <f t="shared" si="565"/>
        <v>0</v>
      </c>
      <c r="AP511" s="314">
        <f t="shared" si="566"/>
        <v>0</v>
      </c>
    </row>
    <row r="512" spans="1:42">
      <c r="A512" s="583" t="s">
        <v>45</v>
      </c>
      <c r="B512" s="324" t="s">
        <v>862</v>
      </c>
      <c r="C512" s="304"/>
      <c r="D512" s="304">
        <v>5143</v>
      </c>
      <c r="E512" s="304">
        <f t="shared" si="571"/>
        <v>4409</v>
      </c>
      <c r="F512" s="304">
        <f>H512-AB512</f>
        <v>3949</v>
      </c>
      <c r="G512" s="304">
        <f t="shared" si="611"/>
        <v>-1194</v>
      </c>
      <c r="H512" s="303">
        <f t="shared" ref="H512" si="624">I512+W512</f>
        <v>3949</v>
      </c>
      <c r="I512" s="303">
        <f>M512+P512</f>
        <v>3949</v>
      </c>
      <c r="J512" s="311">
        <v>21</v>
      </c>
      <c r="K512" s="311">
        <v>17</v>
      </c>
      <c r="L512" s="294">
        <f>J512-K512</f>
        <v>4</v>
      </c>
      <c r="M512" s="304">
        <f>N512+O512</f>
        <v>2210</v>
      </c>
      <c r="N512" s="311">
        <v>1899</v>
      </c>
      <c r="O512" s="311">
        <v>311</v>
      </c>
      <c r="P512" s="303">
        <f>S512+T512</f>
        <v>1739</v>
      </c>
      <c r="Q512" s="294">
        <v>36</v>
      </c>
      <c r="R512" s="312">
        <v>2.2999999999999998</v>
      </c>
      <c r="S512" s="304">
        <f>ROUND(J512*Q512*R512,0)</f>
        <v>1739</v>
      </c>
      <c r="T512" s="303">
        <f>U512+V512</f>
        <v>0</v>
      </c>
      <c r="U512" s="303"/>
      <c r="V512" s="303"/>
      <c r="W512" s="303">
        <f>Z512+AA512</f>
        <v>0</v>
      </c>
      <c r="X512" s="303"/>
      <c r="Y512" s="303"/>
      <c r="Z512" s="303"/>
      <c r="AA512" s="303"/>
      <c r="AB512" s="304"/>
      <c r="AC512" s="304">
        <v>460</v>
      </c>
      <c r="AD512" s="304">
        <v>174</v>
      </c>
      <c r="AE512" s="303">
        <f>E512-AD512</f>
        <v>4235</v>
      </c>
      <c r="AF512" s="317"/>
      <c r="AG512" s="314">
        <f t="shared" si="557"/>
        <v>0</v>
      </c>
      <c r="AH512" s="696">
        <f t="shared" si="558"/>
        <v>0</v>
      </c>
      <c r="AI512" s="314">
        <f t="shared" si="559"/>
        <v>0</v>
      </c>
      <c r="AJ512" s="314">
        <f t="shared" si="560"/>
        <v>0</v>
      </c>
      <c r="AK512" s="314">
        <f t="shared" si="561"/>
        <v>0</v>
      </c>
      <c r="AL512" s="314">
        <f t="shared" si="562"/>
        <v>0</v>
      </c>
      <c r="AM512" s="314">
        <f t="shared" si="563"/>
        <v>0</v>
      </c>
      <c r="AN512" s="314">
        <f t="shared" si="564"/>
        <v>0</v>
      </c>
      <c r="AO512" s="314">
        <f t="shared" si="565"/>
        <v>0</v>
      </c>
      <c r="AP512" s="314">
        <f t="shared" si="566"/>
        <v>0</v>
      </c>
    </row>
    <row r="513" spans="1:42" ht="27.6">
      <c r="A513" s="583" t="s">
        <v>47</v>
      </c>
      <c r="B513" s="1273" t="s">
        <v>1737</v>
      </c>
      <c r="C513" s="304"/>
      <c r="D513" s="303">
        <v>1900</v>
      </c>
      <c r="E513" s="303">
        <f t="shared" si="571"/>
        <v>2693</v>
      </c>
      <c r="F513" s="303">
        <f t="shared" ref="F513:AB513" si="625">F514+F517+F519</f>
        <v>2693</v>
      </c>
      <c r="G513" s="303">
        <f t="shared" si="625"/>
        <v>793</v>
      </c>
      <c r="H513" s="303">
        <f t="shared" si="625"/>
        <v>2693</v>
      </c>
      <c r="I513" s="303">
        <f t="shared" si="625"/>
        <v>2693</v>
      </c>
      <c r="J513" s="303">
        <f t="shared" si="625"/>
        <v>0</v>
      </c>
      <c r="K513" s="303">
        <f t="shared" si="625"/>
        <v>0</v>
      </c>
      <c r="L513" s="303">
        <f t="shared" si="625"/>
        <v>0</v>
      </c>
      <c r="M513" s="303">
        <f t="shared" si="625"/>
        <v>0</v>
      </c>
      <c r="N513" s="303">
        <f t="shared" si="625"/>
        <v>0</v>
      </c>
      <c r="O513" s="303">
        <f t="shared" si="625"/>
        <v>0</v>
      </c>
      <c r="P513" s="303">
        <f t="shared" si="625"/>
        <v>2693</v>
      </c>
      <c r="Q513" s="303">
        <f t="shared" si="625"/>
        <v>0</v>
      </c>
      <c r="R513" s="303">
        <f t="shared" si="625"/>
        <v>0</v>
      </c>
      <c r="S513" s="303">
        <f t="shared" si="625"/>
        <v>0</v>
      </c>
      <c r="T513" s="303">
        <f t="shared" si="625"/>
        <v>2693</v>
      </c>
      <c r="U513" s="303">
        <f t="shared" si="625"/>
        <v>1900</v>
      </c>
      <c r="V513" s="303">
        <f t="shared" si="625"/>
        <v>793</v>
      </c>
      <c r="W513" s="303">
        <f t="shared" si="625"/>
        <v>0</v>
      </c>
      <c r="X513" s="303">
        <f t="shared" si="625"/>
        <v>0</v>
      </c>
      <c r="Y513" s="303">
        <f t="shared" si="625"/>
        <v>0</v>
      </c>
      <c r="Z513" s="303">
        <f t="shared" si="625"/>
        <v>0</v>
      </c>
      <c r="AA513" s="303">
        <f t="shared" si="625"/>
        <v>0</v>
      </c>
      <c r="AB513" s="303">
        <f t="shared" si="625"/>
        <v>0</v>
      </c>
      <c r="AC513" s="303"/>
      <c r="AD513" s="303">
        <v>269</v>
      </c>
      <c r="AE513" s="303">
        <f>E513-AD513</f>
        <v>2424</v>
      </c>
      <c r="AF513" s="317"/>
      <c r="AG513" s="314">
        <f t="shared" si="557"/>
        <v>0</v>
      </c>
      <c r="AH513" s="696">
        <f t="shared" si="558"/>
        <v>0</v>
      </c>
      <c r="AI513" s="314">
        <f t="shared" si="559"/>
        <v>0</v>
      </c>
      <c r="AJ513" s="314">
        <f t="shared" si="560"/>
        <v>0</v>
      </c>
      <c r="AK513" s="314">
        <f t="shared" si="561"/>
        <v>0</v>
      </c>
      <c r="AL513" s="314">
        <f t="shared" si="562"/>
        <v>0</v>
      </c>
      <c r="AM513" s="314">
        <f t="shared" si="563"/>
        <v>0</v>
      </c>
      <c r="AN513" s="314">
        <f t="shared" si="564"/>
        <v>0</v>
      </c>
      <c r="AO513" s="314">
        <f t="shared" si="565"/>
        <v>0</v>
      </c>
      <c r="AP513" s="314">
        <f t="shared" si="566"/>
        <v>0</v>
      </c>
    </row>
    <row r="514" spans="1:42" outlineLevel="1" collapsed="1">
      <c r="A514" s="593" t="s">
        <v>23</v>
      </c>
      <c r="B514" s="324" t="s">
        <v>1026</v>
      </c>
      <c r="C514" s="304"/>
      <c r="D514" s="304">
        <v>311</v>
      </c>
      <c r="E514" s="304">
        <f t="shared" si="571"/>
        <v>931</v>
      </c>
      <c r="F514" s="304">
        <f>H514-AB514</f>
        <v>931</v>
      </c>
      <c r="G514" s="304">
        <f t="shared" ref="G514:G524" si="626">F514-D514</f>
        <v>620</v>
      </c>
      <c r="H514" s="303">
        <f t="shared" ref="H514" si="627">I514+W514</f>
        <v>931</v>
      </c>
      <c r="I514" s="303">
        <f t="shared" ref="I514" si="628">M514+P514</f>
        <v>931</v>
      </c>
      <c r="J514" s="294"/>
      <c r="K514" s="294"/>
      <c r="L514" s="294"/>
      <c r="M514" s="304"/>
      <c r="N514" s="294"/>
      <c r="O514" s="294"/>
      <c r="P514" s="303">
        <f t="shared" ref="P514" si="629">S514+T514</f>
        <v>931</v>
      </c>
      <c r="Q514" s="294"/>
      <c r="R514" s="305"/>
      <c r="S514" s="304"/>
      <c r="T514" s="303">
        <f>U514+V514</f>
        <v>931</v>
      </c>
      <c r="U514" s="304">
        <v>311</v>
      </c>
      <c r="V514" s="304">
        <f>SUM(V515:V516)</f>
        <v>620</v>
      </c>
      <c r="W514" s="303">
        <f>Z514+AA514</f>
        <v>0</v>
      </c>
      <c r="X514" s="303"/>
      <c r="Y514" s="303"/>
      <c r="Z514" s="304"/>
      <c r="AA514" s="304"/>
      <c r="AB514" s="304"/>
      <c r="AC514" s="304"/>
      <c r="AD514" s="304"/>
      <c r="AE514" s="304"/>
      <c r="AF514" s="317"/>
      <c r="AG514" s="314">
        <f t="shared" si="557"/>
        <v>0</v>
      </c>
      <c r="AH514" s="696">
        <f t="shared" si="558"/>
        <v>0</v>
      </c>
      <c r="AI514" s="314">
        <f t="shared" si="559"/>
        <v>0</v>
      </c>
      <c r="AJ514" s="314">
        <f t="shared" si="560"/>
        <v>0</v>
      </c>
      <c r="AK514" s="314">
        <f t="shared" si="561"/>
        <v>0</v>
      </c>
      <c r="AL514" s="314">
        <f t="shared" si="562"/>
        <v>0</v>
      </c>
      <c r="AM514" s="314">
        <f t="shared" si="563"/>
        <v>0</v>
      </c>
      <c r="AN514" s="314">
        <f t="shared" si="564"/>
        <v>0</v>
      </c>
      <c r="AO514" s="314">
        <f t="shared" si="565"/>
        <v>0</v>
      </c>
      <c r="AP514" s="314">
        <f t="shared" si="566"/>
        <v>0</v>
      </c>
    </row>
    <row r="515" spans="1:42" ht="82.8" outlineLevel="1">
      <c r="A515" s="593"/>
      <c r="B515" s="866" t="s">
        <v>2154</v>
      </c>
      <c r="C515" s="334"/>
      <c r="D515" s="304"/>
      <c r="E515" s="304">
        <f t="shared" si="571"/>
        <v>70</v>
      </c>
      <c r="F515" s="304">
        <f>H515-AB515</f>
        <v>70</v>
      </c>
      <c r="G515" s="304">
        <f t="shared" si="626"/>
        <v>70</v>
      </c>
      <c r="H515" s="303">
        <f>I515+W515</f>
        <v>70</v>
      </c>
      <c r="I515" s="303">
        <f>M515+P515</f>
        <v>70</v>
      </c>
      <c r="J515" s="294"/>
      <c r="K515" s="294"/>
      <c r="L515" s="294"/>
      <c r="M515" s="304"/>
      <c r="N515" s="294"/>
      <c r="O515" s="294"/>
      <c r="P515" s="303">
        <f>S515+T515</f>
        <v>70</v>
      </c>
      <c r="Q515" s="294"/>
      <c r="R515" s="305"/>
      <c r="S515" s="304"/>
      <c r="T515" s="303">
        <f>U515+V515</f>
        <v>70</v>
      </c>
      <c r="U515" s="304"/>
      <c r="V515" s="304">
        <v>70</v>
      </c>
      <c r="W515" s="304"/>
      <c r="X515" s="304"/>
      <c r="Y515" s="304"/>
      <c r="Z515" s="304"/>
      <c r="AA515" s="304"/>
      <c r="AB515" s="304"/>
      <c r="AC515" s="304"/>
      <c r="AD515" s="304"/>
      <c r="AE515" s="304"/>
      <c r="AF515" s="1644" t="s">
        <v>2321</v>
      </c>
      <c r="AG515" s="314">
        <f t="shared" si="557"/>
        <v>0</v>
      </c>
      <c r="AH515" s="696">
        <f t="shared" si="558"/>
        <v>0</v>
      </c>
      <c r="AI515" s="314">
        <f t="shared" si="559"/>
        <v>0</v>
      </c>
      <c r="AJ515" s="314">
        <f t="shared" si="560"/>
        <v>0</v>
      </c>
      <c r="AK515" s="314">
        <f t="shared" si="561"/>
        <v>0</v>
      </c>
      <c r="AL515" s="314">
        <f t="shared" si="562"/>
        <v>0</v>
      </c>
      <c r="AM515" s="314">
        <f t="shared" si="563"/>
        <v>0</v>
      </c>
      <c r="AN515" s="314">
        <f t="shared" si="564"/>
        <v>0</v>
      </c>
      <c r="AO515" s="314">
        <f t="shared" si="565"/>
        <v>0</v>
      </c>
      <c r="AP515" s="314">
        <f t="shared" si="566"/>
        <v>0</v>
      </c>
    </row>
    <row r="516" spans="1:42" ht="41.4" outlineLevel="1">
      <c r="A516" s="593"/>
      <c r="B516" s="866" t="s">
        <v>2155</v>
      </c>
      <c r="C516" s="334"/>
      <c r="D516" s="304"/>
      <c r="E516" s="304">
        <f t="shared" si="571"/>
        <v>550</v>
      </c>
      <c r="F516" s="304">
        <f t="shared" ref="F516" si="630">H516-AB516</f>
        <v>550</v>
      </c>
      <c r="G516" s="304">
        <f t="shared" si="626"/>
        <v>550</v>
      </c>
      <c r="H516" s="303">
        <f t="shared" ref="H516:H519" si="631">I516+W516</f>
        <v>550</v>
      </c>
      <c r="I516" s="303">
        <f t="shared" ref="I516" si="632">M516+P516</f>
        <v>550</v>
      </c>
      <c r="J516" s="294"/>
      <c r="K516" s="294"/>
      <c r="L516" s="294"/>
      <c r="M516" s="304"/>
      <c r="N516" s="294"/>
      <c r="O516" s="294"/>
      <c r="P516" s="303">
        <f t="shared" ref="P516" si="633">S516+T516</f>
        <v>550</v>
      </c>
      <c r="Q516" s="294"/>
      <c r="R516" s="305"/>
      <c r="S516" s="304"/>
      <c r="T516" s="303">
        <f t="shared" ref="T516" si="634">U516+V516</f>
        <v>550</v>
      </c>
      <c r="U516" s="304"/>
      <c r="V516" s="304">
        <v>550</v>
      </c>
      <c r="W516" s="304"/>
      <c r="X516" s="304"/>
      <c r="Y516" s="304"/>
      <c r="Z516" s="304"/>
      <c r="AA516" s="304"/>
      <c r="AB516" s="304"/>
      <c r="AC516" s="304"/>
      <c r="AD516" s="304"/>
      <c r="AE516" s="304"/>
      <c r="AF516" s="1645"/>
      <c r="AG516" s="314">
        <f t="shared" si="557"/>
        <v>0</v>
      </c>
      <c r="AH516" s="696">
        <f t="shared" si="558"/>
        <v>0</v>
      </c>
      <c r="AI516" s="314">
        <f t="shared" si="559"/>
        <v>0</v>
      </c>
      <c r="AJ516" s="314">
        <f t="shared" si="560"/>
        <v>0</v>
      </c>
      <c r="AK516" s="314">
        <f t="shared" si="561"/>
        <v>0</v>
      </c>
      <c r="AL516" s="314">
        <f t="shared" si="562"/>
        <v>0</v>
      </c>
      <c r="AM516" s="314">
        <f t="shared" si="563"/>
        <v>0</v>
      </c>
      <c r="AN516" s="314">
        <f t="shared" si="564"/>
        <v>0</v>
      </c>
      <c r="AO516" s="314">
        <f t="shared" si="565"/>
        <v>0</v>
      </c>
      <c r="AP516" s="314">
        <f t="shared" si="566"/>
        <v>0</v>
      </c>
    </row>
    <row r="517" spans="1:42" ht="110.4" outlineLevel="1">
      <c r="A517" s="593" t="s">
        <v>23</v>
      </c>
      <c r="B517" s="1116" t="s">
        <v>2460</v>
      </c>
      <c r="C517" s="334"/>
      <c r="D517" s="304">
        <f>1464+125</f>
        <v>1589</v>
      </c>
      <c r="E517" s="304">
        <f t="shared" si="571"/>
        <v>1762</v>
      </c>
      <c r="F517" s="304">
        <f>H517-AB517</f>
        <v>1762</v>
      </c>
      <c r="G517" s="304">
        <f t="shared" si="626"/>
        <v>173</v>
      </c>
      <c r="H517" s="303">
        <f t="shared" si="631"/>
        <v>1762</v>
      </c>
      <c r="I517" s="303">
        <f>M517+P517</f>
        <v>1762</v>
      </c>
      <c r="J517" s="294"/>
      <c r="K517" s="294"/>
      <c r="L517" s="294"/>
      <c r="M517" s="304"/>
      <c r="N517" s="294"/>
      <c r="O517" s="294"/>
      <c r="P517" s="303">
        <f>S517+T517</f>
        <v>1762</v>
      </c>
      <c r="Q517" s="294"/>
      <c r="R517" s="305"/>
      <c r="S517" s="304"/>
      <c r="T517" s="303">
        <f>U517+V517</f>
        <v>1762</v>
      </c>
      <c r="U517" s="304">
        <f>1464+125</f>
        <v>1589</v>
      </c>
      <c r="V517" s="304">
        <v>173</v>
      </c>
      <c r="W517" s="304"/>
      <c r="X517" s="304"/>
      <c r="Y517" s="304"/>
      <c r="Z517" s="304"/>
      <c r="AA517" s="304"/>
      <c r="AB517" s="304"/>
      <c r="AC517" s="304"/>
      <c r="AD517" s="304"/>
      <c r="AE517" s="304"/>
      <c r="AF517" s="1646"/>
      <c r="AG517" s="314">
        <f t="shared" si="557"/>
        <v>0</v>
      </c>
      <c r="AH517" s="696">
        <f t="shared" si="558"/>
        <v>0</v>
      </c>
      <c r="AI517" s="314">
        <f t="shared" si="559"/>
        <v>0</v>
      </c>
      <c r="AJ517" s="314">
        <f t="shared" si="560"/>
        <v>0</v>
      </c>
      <c r="AK517" s="314">
        <f t="shared" si="561"/>
        <v>0</v>
      </c>
      <c r="AL517" s="314">
        <f t="shared" si="562"/>
        <v>0</v>
      </c>
      <c r="AM517" s="314">
        <f t="shared" si="563"/>
        <v>0</v>
      </c>
      <c r="AN517" s="314">
        <f t="shared" si="564"/>
        <v>0</v>
      </c>
      <c r="AO517" s="314">
        <f t="shared" si="565"/>
        <v>0</v>
      </c>
      <c r="AP517" s="314">
        <f t="shared" si="566"/>
        <v>0</v>
      </c>
    </row>
    <row r="518" spans="1:42" ht="110.4" outlineLevel="1">
      <c r="A518" s="593"/>
      <c r="B518" s="1275" t="s">
        <v>2156</v>
      </c>
      <c r="C518" s="334"/>
      <c r="D518" s="304"/>
      <c r="E518" s="304">
        <f t="shared" si="571"/>
        <v>173</v>
      </c>
      <c r="F518" s="304">
        <f t="shared" ref="F518" si="635">H518-AB518</f>
        <v>173</v>
      </c>
      <c r="G518" s="304">
        <f t="shared" si="626"/>
        <v>173</v>
      </c>
      <c r="H518" s="303">
        <f t="shared" si="631"/>
        <v>173</v>
      </c>
      <c r="I518" s="303">
        <f t="shared" ref="I518:I519" si="636">M518+P518</f>
        <v>173</v>
      </c>
      <c r="J518" s="294"/>
      <c r="K518" s="294"/>
      <c r="L518" s="294"/>
      <c r="M518" s="304"/>
      <c r="N518" s="294"/>
      <c r="O518" s="294"/>
      <c r="P518" s="303">
        <f t="shared" ref="P518:P519" si="637">S518+T518</f>
        <v>173</v>
      </c>
      <c r="Q518" s="294"/>
      <c r="R518" s="305"/>
      <c r="S518" s="304"/>
      <c r="T518" s="303">
        <f t="shared" ref="T518:T519" si="638">U518+V518</f>
        <v>173</v>
      </c>
      <c r="U518" s="304"/>
      <c r="V518" s="304">
        <f>V517</f>
        <v>173</v>
      </c>
      <c r="W518" s="304"/>
      <c r="X518" s="304"/>
      <c r="Y518" s="304"/>
      <c r="Z518" s="304"/>
      <c r="AA518" s="304"/>
      <c r="AB518" s="304"/>
      <c r="AC518" s="304"/>
      <c r="AD518" s="304"/>
      <c r="AE518" s="304"/>
      <c r="AF518" s="1317"/>
      <c r="AG518" s="314">
        <f t="shared" si="557"/>
        <v>0</v>
      </c>
      <c r="AH518" s="696">
        <f t="shared" si="558"/>
        <v>0</v>
      </c>
      <c r="AI518" s="314">
        <f t="shared" si="559"/>
        <v>0</v>
      </c>
      <c r="AJ518" s="314">
        <f t="shared" si="560"/>
        <v>0</v>
      </c>
      <c r="AK518" s="314">
        <f t="shared" si="561"/>
        <v>0</v>
      </c>
      <c r="AL518" s="314">
        <f t="shared" si="562"/>
        <v>0</v>
      </c>
      <c r="AM518" s="314">
        <f t="shared" si="563"/>
        <v>0</v>
      </c>
      <c r="AN518" s="314">
        <f t="shared" si="564"/>
        <v>0</v>
      </c>
      <c r="AO518" s="314">
        <f t="shared" si="565"/>
        <v>0</v>
      </c>
      <c r="AP518" s="314">
        <f t="shared" si="566"/>
        <v>0</v>
      </c>
    </row>
    <row r="519" spans="1:42" ht="27.6" hidden="1" outlineLevel="3">
      <c r="A519" s="593" t="s">
        <v>23</v>
      </c>
      <c r="B519" s="866" t="s">
        <v>2157</v>
      </c>
      <c r="C519" s="334"/>
      <c r="D519" s="304">
        <f>125-125</f>
        <v>0</v>
      </c>
      <c r="E519" s="304">
        <f t="shared" si="571"/>
        <v>0</v>
      </c>
      <c r="F519" s="304">
        <f>H519-AB519</f>
        <v>0</v>
      </c>
      <c r="G519" s="304">
        <f t="shared" si="626"/>
        <v>0</v>
      </c>
      <c r="H519" s="303">
        <f t="shared" si="631"/>
        <v>0</v>
      </c>
      <c r="I519" s="303">
        <f t="shared" si="636"/>
        <v>0</v>
      </c>
      <c r="J519" s="294"/>
      <c r="K519" s="294"/>
      <c r="L519" s="294"/>
      <c r="M519" s="304"/>
      <c r="N519" s="294"/>
      <c r="O519" s="294"/>
      <c r="P519" s="303">
        <f t="shared" si="637"/>
        <v>0</v>
      </c>
      <c r="Q519" s="294"/>
      <c r="R519" s="305"/>
      <c r="S519" s="304"/>
      <c r="T519" s="303">
        <f t="shared" si="638"/>
        <v>0</v>
      </c>
      <c r="U519" s="304">
        <f>125-125</f>
        <v>0</v>
      </c>
      <c r="V519" s="304"/>
      <c r="W519" s="304"/>
      <c r="X519" s="304"/>
      <c r="Y519" s="304"/>
      <c r="Z519" s="304"/>
      <c r="AA519" s="304"/>
      <c r="AB519" s="304"/>
      <c r="AC519" s="304"/>
      <c r="AD519" s="304"/>
      <c r="AE519" s="304"/>
      <c r="AF519" s="334"/>
      <c r="AG519" s="314">
        <f t="shared" si="557"/>
        <v>0</v>
      </c>
      <c r="AH519" s="696">
        <f t="shared" si="558"/>
        <v>0</v>
      </c>
      <c r="AI519" s="314">
        <f t="shared" si="559"/>
        <v>0</v>
      </c>
      <c r="AJ519" s="314">
        <f t="shared" si="560"/>
        <v>0</v>
      </c>
      <c r="AK519" s="314">
        <f t="shared" si="561"/>
        <v>0</v>
      </c>
      <c r="AL519" s="314">
        <f t="shared" si="562"/>
        <v>0</v>
      </c>
      <c r="AM519" s="314">
        <f t="shared" si="563"/>
        <v>0</v>
      </c>
      <c r="AN519" s="314">
        <f t="shared" si="564"/>
        <v>0</v>
      </c>
      <c r="AO519" s="314">
        <f t="shared" si="565"/>
        <v>0</v>
      </c>
      <c r="AP519" s="314">
        <f t="shared" si="566"/>
        <v>0</v>
      </c>
    </row>
    <row r="520" spans="1:42" s="314" customFormat="1">
      <c r="A520" s="592" t="s">
        <v>1027</v>
      </c>
      <c r="B520" s="598" t="s">
        <v>1028</v>
      </c>
      <c r="C520" s="298" t="s">
        <v>743</v>
      </c>
      <c r="D520" s="299">
        <f t="shared" ref="D520" si="639">D521+D523</f>
        <v>3065</v>
      </c>
      <c r="E520" s="299">
        <f>E521+E523</f>
        <v>2851</v>
      </c>
      <c r="F520" s="299">
        <f>F521+F523</f>
        <v>2615</v>
      </c>
      <c r="G520" s="299">
        <f t="shared" si="626"/>
        <v>-450</v>
      </c>
      <c r="H520" s="299">
        <f>H521+H523</f>
        <v>2615</v>
      </c>
      <c r="I520" s="299">
        <f t="shared" ref="I520:Z520" si="640">I521+I523</f>
        <v>1481</v>
      </c>
      <c r="J520" s="318">
        <f t="shared" si="640"/>
        <v>12</v>
      </c>
      <c r="K520" s="318">
        <f t="shared" si="640"/>
        <v>12</v>
      </c>
      <c r="L520" s="318">
        <f t="shared" si="640"/>
        <v>0</v>
      </c>
      <c r="M520" s="299">
        <f t="shared" si="640"/>
        <v>1133</v>
      </c>
      <c r="N520" s="318">
        <f t="shared" si="640"/>
        <v>1133</v>
      </c>
      <c r="O520" s="318">
        <f t="shared" si="640"/>
        <v>0</v>
      </c>
      <c r="P520" s="299">
        <f>P521+P523</f>
        <v>348</v>
      </c>
      <c r="Q520" s="318"/>
      <c r="R520" s="318"/>
      <c r="S520" s="299">
        <f t="shared" si="640"/>
        <v>348</v>
      </c>
      <c r="T520" s="299">
        <f t="shared" si="640"/>
        <v>0</v>
      </c>
      <c r="U520" s="299">
        <f t="shared" si="640"/>
        <v>0</v>
      </c>
      <c r="V520" s="299">
        <f>V521+V523</f>
        <v>0</v>
      </c>
      <c r="W520" s="299">
        <f>W521+W523</f>
        <v>1134</v>
      </c>
      <c r="X520" s="299"/>
      <c r="Y520" s="299"/>
      <c r="Z520" s="299">
        <f t="shared" si="640"/>
        <v>739</v>
      </c>
      <c r="AA520" s="299">
        <f>AA521+AA523</f>
        <v>395</v>
      </c>
      <c r="AB520" s="299">
        <f>AB521+AB523</f>
        <v>0</v>
      </c>
      <c r="AC520" s="299">
        <f t="shared" ref="AC520:AE520" si="641">AC521+AC523</f>
        <v>236</v>
      </c>
      <c r="AD520" s="299">
        <f t="shared" si="641"/>
        <v>148</v>
      </c>
      <c r="AE520" s="299">
        <f t="shared" si="641"/>
        <v>2703</v>
      </c>
      <c r="AF520" s="590"/>
      <c r="AG520" s="314">
        <f t="shared" si="557"/>
        <v>0</v>
      </c>
      <c r="AH520" s="696">
        <f t="shared" si="558"/>
        <v>0</v>
      </c>
      <c r="AI520" s="314">
        <f t="shared" si="559"/>
        <v>0</v>
      </c>
      <c r="AJ520" s="314">
        <f t="shared" si="560"/>
        <v>0</v>
      </c>
      <c r="AK520" s="314">
        <f t="shared" si="561"/>
        <v>0</v>
      </c>
      <c r="AL520" s="314">
        <f t="shared" si="562"/>
        <v>0</v>
      </c>
      <c r="AM520" s="314">
        <f t="shared" si="563"/>
        <v>0</v>
      </c>
      <c r="AN520" s="314">
        <f t="shared" si="564"/>
        <v>0</v>
      </c>
      <c r="AO520" s="314">
        <f t="shared" si="565"/>
        <v>0</v>
      </c>
      <c r="AP520" s="314">
        <f t="shared" si="566"/>
        <v>0</v>
      </c>
    </row>
    <row r="521" spans="1:42">
      <c r="A521" s="583" t="s">
        <v>45</v>
      </c>
      <c r="B521" s="316" t="s">
        <v>841</v>
      </c>
      <c r="C521" s="304"/>
      <c r="D521" s="303">
        <f t="shared" ref="D521" si="642">D522</f>
        <v>1834</v>
      </c>
      <c r="E521" s="303">
        <f>E522</f>
        <v>1717</v>
      </c>
      <c r="F521" s="303">
        <f>F522</f>
        <v>1481</v>
      </c>
      <c r="G521" s="303">
        <f t="shared" si="626"/>
        <v>-353</v>
      </c>
      <c r="H521" s="303">
        <f>H522</f>
        <v>1481</v>
      </c>
      <c r="I521" s="303">
        <f t="shared" ref="I521:S521" si="643">I522</f>
        <v>1481</v>
      </c>
      <c r="J521" s="311">
        <f t="shared" si="643"/>
        <v>12</v>
      </c>
      <c r="K521" s="311">
        <f t="shared" si="643"/>
        <v>12</v>
      </c>
      <c r="L521" s="311">
        <f t="shared" si="643"/>
        <v>0</v>
      </c>
      <c r="M521" s="303">
        <f t="shared" si="643"/>
        <v>1133</v>
      </c>
      <c r="N521" s="311">
        <f t="shared" si="643"/>
        <v>1133</v>
      </c>
      <c r="O521" s="311">
        <f t="shared" si="643"/>
        <v>0</v>
      </c>
      <c r="P521" s="303">
        <f>P522</f>
        <v>348</v>
      </c>
      <c r="Q521" s="311"/>
      <c r="R521" s="311"/>
      <c r="S521" s="303">
        <f t="shared" si="643"/>
        <v>348</v>
      </c>
      <c r="T521" s="303">
        <f>T522</f>
        <v>0</v>
      </c>
      <c r="U521" s="303"/>
      <c r="V521" s="303"/>
      <c r="W521" s="303">
        <f>W522</f>
        <v>0</v>
      </c>
      <c r="X521" s="303"/>
      <c r="Y521" s="303"/>
      <c r="Z521" s="303">
        <f t="shared" ref="Z521:AE521" si="644">Z522</f>
        <v>0</v>
      </c>
      <c r="AA521" s="303">
        <f>AA522</f>
        <v>0</v>
      </c>
      <c r="AB521" s="303">
        <f>AB522</f>
        <v>0</v>
      </c>
      <c r="AC521" s="303">
        <f t="shared" si="644"/>
        <v>236</v>
      </c>
      <c r="AD521" s="303">
        <f t="shared" si="644"/>
        <v>35</v>
      </c>
      <c r="AE521" s="303">
        <f t="shared" si="644"/>
        <v>1682</v>
      </c>
      <c r="AF521" s="317"/>
      <c r="AG521" s="314">
        <f t="shared" si="557"/>
        <v>0</v>
      </c>
      <c r="AH521" s="696">
        <f t="shared" si="558"/>
        <v>0</v>
      </c>
      <c r="AI521" s="314">
        <f t="shared" si="559"/>
        <v>0</v>
      </c>
      <c r="AJ521" s="314">
        <f t="shared" si="560"/>
        <v>0</v>
      </c>
      <c r="AK521" s="314">
        <f t="shared" si="561"/>
        <v>0</v>
      </c>
      <c r="AL521" s="314">
        <f t="shared" si="562"/>
        <v>0</v>
      </c>
      <c r="AM521" s="314">
        <f t="shared" si="563"/>
        <v>0</v>
      </c>
      <c r="AN521" s="314">
        <f t="shared" si="564"/>
        <v>0</v>
      </c>
      <c r="AO521" s="314">
        <f t="shared" si="565"/>
        <v>0</v>
      </c>
      <c r="AP521" s="314">
        <f t="shared" si="566"/>
        <v>0</v>
      </c>
    </row>
    <row r="522" spans="1:42" outlineLevel="1">
      <c r="A522" s="593" t="s">
        <v>23</v>
      </c>
      <c r="B522" s="316" t="s">
        <v>1029</v>
      </c>
      <c r="C522" s="317"/>
      <c r="D522" s="304">
        <v>1834</v>
      </c>
      <c r="E522" s="304">
        <f t="shared" si="571"/>
        <v>1717</v>
      </c>
      <c r="F522" s="304">
        <f>H522-AB522</f>
        <v>1481</v>
      </c>
      <c r="G522" s="304">
        <f t="shared" si="626"/>
        <v>-353</v>
      </c>
      <c r="H522" s="303">
        <f t="shared" ref="H522:H538" si="645">I522+W522</f>
        <v>1481</v>
      </c>
      <c r="I522" s="303">
        <f>M522+P522</f>
        <v>1481</v>
      </c>
      <c r="J522" s="311">
        <v>12</v>
      </c>
      <c r="K522" s="311">
        <v>12</v>
      </c>
      <c r="L522" s="294">
        <f>J522-K522</f>
        <v>0</v>
      </c>
      <c r="M522" s="304">
        <f>N522+O522</f>
        <v>1133</v>
      </c>
      <c r="N522" s="294">
        <v>1133</v>
      </c>
      <c r="O522" s="294">
        <v>0</v>
      </c>
      <c r="P522" s="303">
        <f>S522+T522</f>
        <v>348</v>
      </c>
      <c r="Q522" s="294">
        <v>29</v>
      </c>
      <c r="R522" s="312">
        <v>1</v>
      </c>
      <c r="S522" s="304">
        <f>ROUND(J522*Q522*R522,0)</f>
        <v>348</v>
      </c>
      <c r="T522" s="303">
        <f>U522+V522</f>
        <v>0</v>
      </c>
      <c r="U522" s="304"/>
      <c r="V522" s="304"/>
      <c r="W522" s="303">
        <f>Z522+AA522</f>
        <v>0</v>
      </c>
      <c r="X522" s="303"/>
      <c r="Y522" s="303"/>
      <c r="Z522" s="304"/>
      <c r="AA522" s="304"/>
      <c r="AB522" s="304"/>
      <c r="AC522" s="304">
        <v>236</v>
      </c>
      <c r="AD522" s="304">
        <v>35</v>
      </c>
      <c r="AE522" s="303">
        <f>E522-AD522</f>
        <v>1682</v>
      </c>
      <c r="AF522" s="317"/>
      <c r="AG522" s="314">
        <f t="shared" si="557"/>
        <v>0</v>
      </c>
      <c r="AH522" s="696">
        <f t="shared" si="558"/>
        <v>0</v>
      </c>
      <c r="AI522" s="314">
        <f t="shared" si="559"/>
        <v>0</v>
      </c>
      <c r="AJ522" s="314">
        <f t="shared" si="560"/>
        <v>0</v>
      </c>
      <c r="AK522" s="314">
        <f t="shared" si="561"/>
        <v>0</v>
      </c>
      <c r="AL522" s="314">
        <f t="shared" si="562"/>
        <v>0</v>
      </c>
      <c r="AM522" s="314">
        <f t="shared" si="563"/>
        <v>0</v>
      </c>
      <c r="AN522" s="314">
        <f t="shared" si="564"/>
        <v>0</v>
      </c>
      <c r="AO522" s="314">
        <f t="shared" si="565"/>
        <v>0</v>
      </c>
      <c r="AP522" s="314">
        <f t="shared" si="566"/>
        <v>0</v>
      </c>
    </row>
    <row r="523" spans="1:42">
      <c r="A523" s="583" t="s">
        <v>47</v>
      </c>
      <c r="B523" s="316" t="s">
        <v>844</v>
      </c>
      <c r="C523" s="317"/>
      <c r="D523" s="304">
        <v>1231</v>
      </c>
      <c r="E523" s="304">
        <f t="shared" si="571"/>
        <v>1134</v>
      </c>
      <c r="F523" s="304">
        <f>H523-AB523</f>
        <v>1134</v>
      </c>
      <c r="G523" s="304">
        <f t="shared" si="626"/>
        <v>-97</v>
      </c>
      <c r="H523" s="303">
        <f t="shared" si="645"/>
        <v>1134</v>
      </c>
      <c r="I523" s="303">
        <f>M523+P523</f>
        <v>0</v>
      </c>
      <c r="J523" s="311"/>
      <c r="K523" s="311"/>
      <c r="L523" s="311"/>
      <c r="M523" s="303"/>
      <c r="N523" s="311"/>
      <c r="O523" s="311"/>
      <c r="P523" s="303">
        <f>S523+T523</f>
        <v>0</v>
      </c>
      <c r="Q523" s="311"/>
      <c r="R523" s="312"/>
      <c r="S523" s="304"/>
      <c r="T523" s="303"/>
      <c r="U523" s="304"/>
      <c r="V523" s="304"/>
      <c r="W523" s="303">
        <f>Z523+AA523</f>
        <v>1134</v>
      </c>
      <c r="X523" s="303"/>
      <c r="Y523" s="303"/>
      <c r="Z523" s="304">
        <f>1065-326</f>
        <v>739</v>
      </c>
      <c r="AA523" s="304">
        <f>AA524</f>
        <v>395</v>
      </c>
      <c r="AB523" s="304"/>
      <c r="AC523" s="304"/>
      <c r="AD523" s="304">
        <v>113</v>
      </c>
      <c r="AE523" s="303">
        <f>E523-AD523</f>
        <v>1021</v>
      </c>
      <c r="AF523" s="317"/>
      <c r="AG523" s="314">
        <f t="shared" si="557"/>
        <v>0</v>
      </c>
      <c r="AH523" s="696">
        <f t="shared" si="558"/>
        <v>0</v>
      </c>
      <c r="AI523" s="314">
        <f t="shared" si="559"/>
        <v>0</v>
      </c>
      <c r="AJ523" s="314">
        <f t="shared" si="560"/>
        <v>0</v>
      </c>
      <c r="AK523" s="314">
        <f t="shared" si="561"/>
        <v>0</v>
      </c>
      <c r="AL523" s="314">
        <f t="shared" si="562"/>
        <v>0</v>
      </c>
      <c r="AM523" s="314">
        <f t="shared" si="563"/>
        <v>0</v>
      </c>
      <c r="AN523" s="314">
        <f t="shared" si="564"/>
        <v>0</v>
      </c>
      <c r="AO523" s="314">
        <f t="shared" si="565"/>
        <v>0</v>
      </c>
      <c r="AP523" s="314">
        <f t="shared" si="566"/>
        <v>0</v>
      </c>
    </row>
    <row r="524" spans="1:42" ht="69" outlineLevel="1">
      <c r="A524" s="593"/>
      <c r="B524" s="866" t="s">
        <v>2158</v>
      </c>
      <c r="C524" s="334"/>
      <c r="D524" s="304"/>
      <c r="E524" s="304">
        <f>F524+AC524</f>
        <v>395</v>
      </c>
      <c r="F524" s="304">
        <f t="shared" ref="F524" si="646">H524-AB524</f>
        <v>395</v>
      </c>
      <c r="G524" s="304">
        <f t="shared" si="626"/>
        <v>395</v>
      </c>
      <c r="H524" s="303">
        <f t="shared" si="645"/>
        <v>395</v>
      </c>
      <c r="I524" s="303">
        <f t="shared" ref="I524" si="647">M524+P524</f>
        <v>0</v>
      </c>
      <c r="J524" s="294"/>
      <c r="K524" s="294"/>
      <c r="L524" s="294"/>
      <c r="M524" s="304"/>
      <c r="N524" s="294"/>
      <c r="O524" s="294"/>
      <c r="P524" s="303">
        <f t="shared" ref="P524" si="648">S524+T524</f>
        <v>0</v>
      </c>
      <c r="Q524" s="294"/>
      <c r="R524" s="305"/>
      <c r="S524" s="304"/>
      <c r="T524" s="303">
        <f t="shared" ref="T524" si="649">U524+V524</f>
        <v>0</v>
      </c>
      <c r="U524" s="304"/>
      <c r="V524" s="304">
        <v>0</v>
      </c>
      <c r="W524" s="303">
        <f>Z524+AA524</f>
        <v>395</v>
      </c>
      <c r="X524" s="304"/>
      <c r="Y524" s="304"/>
      <c r="Z524" s="304"/>
      <c r="AA524" s="304">
        <v>395</v>
      </c>
      <c r="AB524" s="304"/>
      <c r="AC524" s="304"/>
      <c r="AD524" s="304"/>
      <c r="AE524" s="304"/>
      <c r="AF524" s="1315" t="s">
        <v>2321</v>
      </c>
      <c r="AG524" s="314">
        <f t="shared" si="557"/>
        <v>0</v>
      </c>
      <c r="AH524" s="696">
        <f t="shared" si="558"/>
        <v>0</v>
      </c>
      <c r="AI524" s="314">
        <f t="shared" si="559"/>
        <v>0</v>
      </c>
      <c r="AJ524" s="314">
        <f t="shared" si="560"/>
        <v>0</v>
      </c>
      <c r="AK524" s="314">
        <f t="shared" si="561"/>
        <v>0</v>
      </c>
      <c r="AL524" s="314">
        <f t="shared" si="562"/>
        <v>0</v>
      </c>
      <c r="AM524" s="314">
        <f t="shared" si="563"/>
        <v>0</v>
      </c>
      <c r="AN524" s="314">
        <f t="shared" si="564"/>
        <v>0</v>
      </c>
      <c r="AO524" s="314">
        <f t="shared" si="565"/>
        <v>0</v>
      </c>
      <c r="AP524" s="314">
        <f t="shared" si="566"/>
        <v>0</v>
      </c>
    </row>
    <row r="525" spans="1:42" ht="69" hidden="1" outlineLevel="3">
      <c r="A525" s="583"/>
      <c r="B525" s="316" t="s">
        <v>2159</v>
      </c>
      <c r="C525" s="317"/>
      <c r="D525" s="304">
        <v>231</v>
      </c>
      <c r="E525" s="304">
        <f t="shared" si="571"/>
        <v>0</v>
      </c>
      <c r="F525" s="304">
        <f>F526+F527+F528</f>
        <v>0</v>
      </c>
      <c r="G525" s="304">
        <f>G526+G527+G528</f>
        <v>-231</v>
      </c>
      <c r="H525" s="304">
        <f t="shared" ref="H525:Z525" si="650">H526+H527+H528</f>
        <v>0</v>
      </c>
      <c r="I525" s="304">
        <f t="shared" si="650"/>
        <v>0</v>
      </c>
      <c r="J525" s="304">
        <f t="shared" si="650"/>
        <v>0</v>
      </c>
      <c r="K525" s="304">
        <f t="shared" si="650"/>
        <v>0</v>
      </c>
      <c r="L525" s="304">
        <f t="shared" si="650"/>
        <v>0</v>
      </c>
      <c r="M525" s="304">
        <f t="shared" si="650"/>
        <v>0</v>
      </c>
      <c r="N525" s="304">
        <f t="shared" si="650"/>
        <v>0</v>
      </c>
      <c r="O525" s="304">
        <f t="shared" si="650"/>
        <v>0</v>
      </c>
      <c r="P525" s="304">
        <f t="shared" si="650"/>
        <v>0</v>
      </c>
      <c r="Q525" s="304">
        <f t="shared" si="650"/>
        <v>0</v>
      </c>
      <c r="R525" s="304">
        <f t="shared" si="650"/>
        <v>0</v>
      </c>
      <c r="S525" s="304">
        <f t="shared" si="650"/>
        <v>0</v>
      </c>
      <c r="T525" s="304">
        <f t="shared" si="650"/>
        <v>0</v>
      </c>
      <c r="U525" s="304">
        <f t="shared" si="650"/>
        <v>0</v>
      </c>
      <c r="V525" s="304">
        <f t="shared" si="650"/>
        <v>0</v>
      </c>
      <c r="W525" s="304">
        <f t="shared" si="650"/>
        <v>0</v>
      </c>
      <c r="X525" s="304">
        <f t="shared" si="650"/>
        <v>0</v>
      </c>
      <c r="Y525" s="304">
        <f t="shared" si="650"/>
        <v>0</v>
      </c>
      <c r="Z525" s="304">
        <f t="shared" si="650"/>
        <v>0</v>
      </c>
      <c r="AA525" s="304"/>
      <c r="AB525" s="304"/>
      <c r="AC525" s="304"/>
      <c r="AD525" s="304"/>
      <c r="AE525" s="303"/>
      <c r="AF525" s="317"/>
      <c r="AG525" s="314">
        <f t="shared" si="557"/>
        <v>0</v>
      </c>
      <c r="AH525" s="696">
        <f t="shared" si="558"/>
        <v>0</v>
      </c>
      <c r="AI525" s="314">
        <f t="shared" si="559"/>
        <v>0</v>
      </c>
      <c r="AJ525" s="314">
        <f t="shared" si="560"/>
        <v>0</v>
      </c>
      <c r="AK525" s="314">
        <f t="shared" si="561"/>
        <v>0</v>
      </c>
      <c r="AL525" s="314">
        <f t="shared" si="562"/>
        <v>0</v>
      </c>
      <c r="AM525" s="314">
        <f t="shared" si="563"/>
        <v>0</v>
      </c>
      <c r="AN525" s="314">
        <f t="shared" si="564"/>
        <v>0</v>
      </c>
      <c r="AO525" s="314">
        <f t="shared" si="565"/>
        <v>0</v>
      </c>
      <c r="AP525" s="314">
        <f t="shared" si="566"/>
        <v>0</v>
      </c>
    </row>
    <row r="526" spans="1:42" ht="27.6" hidden="1" outlineLevel="3">
      <c r="A526" s="583"/>
      <c r="B526" s="316" t="s">
        <v>1897</v>
      </c>
      <c r="C526" s="317"/>
      <c r="D526" s="304">
        <v>115</v>
      </c>
      <c r="E526" s="304">
        <f t="shared" si="571"/>
        <v>0</v>
      </c>
      <c r="F526" s="304">
        <f>H526-AB526</f>
        <v>0</v>
      </c>
      <c r="G526" s="304">
        <f>F526-D526</f>
        <v>-115</v>
      </c>
      <c r="H526" s="303">
        <f t="shared" ref="H526:H530" si="651">I526+W526</f>
        <v>0</v>
      </c>
      <c r="I526" s="303">
        <f t="shared" ref="I526:I530" si="652">M526+P526</f>
        <v>0</v>
      </c>
      <c r="J526" s="311"/>
      <c r="K526" s="311"/>
      <c r="L526" s="311"/>
      <c r="M526" s="303"/>
      <c r="N526" s="311"/>
      <c r="O526" s="311"/>
      <c r="P526" s="303">
        <f t="shared" ref="P526:P530" si="653">S526+T526</f>
        <v>0</v>
      </c>
      <c r="Q526" s="311"/>
      <c r="R526" s="312"/>
      <c r="S526" s="304"/>
      <c r="T526" s="303"/>
      <c r="U526" s="304"/>
      <c r="V526" s="304"/>
      <c r="W526" s="303">
        <f t="shared" ref="W526:W530" si="654">Z526+AA526</f>
        <v>0</v>
      </c>
      <c r="X526" s="303"/>
      <c r="Y526" s="303"/>
      <c r="Z526" s="304"/>
      <c r="AA526" s="304"/>
      <c r="AB526" s="304"/>
      <c r="AC526" s="304"/>
      <c r="AD526" s="304"/>
      <c r="AE526" s="303"/>
      <c r="AF526" s="1642"/>
      <c r="AG526" s="314">
        <f t="shared" si="557"/>
        <v>0</v>
      </c>
      <c r="AH526" s="696">
        <f t="shared" si="558"/>
        <v>0</v>
      </c>
      <c r="AI526" s="314">
        <f t="shared" si="559"/>
        <v>0</v>
      </c>
      <c r="AJ526" s="314">
        <f t="shared" si="560"/>
        <v>0</v>
      </c>
      <c r="AK526" s="314">
        <f t="shared" si="561"/>
        <v>0</v>
      </c>
      <c r="AL526" s="314">
        <f t="shared" si="562"/>
        <v>0</v>
      </c>
      <c r="AM526" s="314">
        <f t="shared" si="563"/>
        <v>0</v>
      </c>
      <c r="AN526" s="314">
        <f t="shared" si="564"/>
        <v>0</v>
      </c>
      <c r="AO526" s="314">
        <f t="shared" si="565"/>
        <v>0</v>
      </c>
      <c r="AP526" s="314">
        <f t="shared" si="566"/>
        <v>0</v>
      </c>
    </row>
    <row r="527" spans="1:42" ht="27.6" hidden="1" outlineLevel="3">
      <c r="A527" s="583"/>
      <c r="B527" s="316" t="s">
        <v>2160</v>
      </c>
      <c r="C527" s="317"/>
      <c r="D527" s="304">
        <v>76</v>
      </c>
      <c r="E527" s="304">
        <f t="shared" si="571"/>
        <v>0</v>
      </c>
      <c r="F527" s="304">
        <f>H527-AB527</f>
        <v>0</v>
      </c>
      <c r="G527" s="304">
        <f>F527-D527</f>
        <v>-76</v>
      </c>
      <c r="H527" s="303">
        <f t="shared" si="651"/>
        <v>0</v>
      </c>
      <c r="I527" s="303">
        <f t="shared" si="652"/>
        <v>0</v>
      </c>
      <c r="J527" s="311"/>
      <c r="K527" s="311"/>
      <c r="L527" s="311"/>
      <c r="M527" s="303"/>
      <c r="N527" s="311"/>
      <c r="O527" s="311"/>
      <c r="P527" s="303">
        <f t="shared" si="653"/>
        <v>0</v>
      </c>
      <c r="Q527" s="311"/>
      <c r="R527" s="312"/>
      <c r="S527" s="304"/>
      <c r="T527" s="303"/>
      <c r="U527" s="304"/>
      <c r="V527" s="304"/>
      <c r="W527" s="303">
        <f t="shared" si="654"/>
        <v>0</v>
      </c>
      <c r="X527" s="303"/>
      <c r="Y527" s="303"/>
      <c r="Z527" s="304"/>
      <c r="AA527" s="304"/>
      <c r="AB527" s="304"/>
      <c r="AC527" s="304"/>
      <c r="AD527" s="304"/>
      <c r="AE527" s="303"/>
      <c r="AF527" s="1643"/>
      <c r="AG527" s="314">
        <f t="shared" si="557"/>
        <v>0</v>
      </c>
      <c r="AH527" s="696">
        <f t="shared" si="558"/>
        <v>0</v>
      </c>
      <c r="AI527" s="314">
        <f t="shared" si="559"/>
        <v>0</v>
      </c>
      <c r="AJ527" s="314">
        <f t="shared" si="560"/>
        <v>0</v>
      </c>
      <c r="AK527" s="314">
        <f t="shared" si="561"/>
        <v>0</v>
      </c>
      <c r="AL527" s="314">
        <f t="shared" si="562"/>
        <v>0</v>
      </c>
      <c r="AM527" s="314">
        <f t="shared" si="563"/>
        <v>0</v>
      </c>
      <c r="AN527" s="314">
        <f t="shared" si="564"/>
        <v>0</v>
      </c>
      <c r="AO527" s="314">
        <f t="shared" si="565"/>
        <v>0</v>
      </c>
      <c r="AP527" s="314">
        <f t="shared" si="566"/>
        <v>0</v>
      </c>
    </row>
    <row r="528" spans="1:42" ht="27.6" hidden="1" outlineLevel="3">
      <c r="A528" s="583"/>
      <c r="B528" s="316" t="s">
        <v>1898</v>
      </c>
      <c r="C528" s="317"/>
      <c r="D528" s="304">
        <v>40</v>
      </c>
      <c r="E528" s="304">
        <f t="shared" si="571"/>
        <v>0</v>
      </c>
      <c r="F528" s="304">
        <f>H528-AB528</f>
        <v>0</v>
      </c>
      <c r="G528" s="304">
        <f>F528-D528</f>
        <v>-40</v>
      </c>
      <c r="H528" s="303">
        <f t="shared" si="651"/>
        <v>0</v>
      </c>
      <c r="I528" s="303">
        <f t="shared" si="652"/>
        <v>0</v>
      </c>
      <c r="J528" s="311"/>
      <c r="K528" s="311"/>
      <c r="L528" s="311"/>
      <c r="M528" s="303"/>
      <c r="N528" s="311"/>
      <c r="O528" s="311"/>
      <c r="P528" s="303">
        <f t="shared" si="653"/>
        <v>0</v>
      </c>
      <c r="Q528" s="311"/>
      <c r="R528" s="312"/>
      <c r="S528" s="304"/>
      <c r="T528" s="303"/>
      <c r="U528" s="304"/>
      <c r="V528" s="304"/>
      <c r="W528" s="303">
        <f t="shared" si="654"/>
        <v>0</v>
      </c>
      <c r="X528" s="303"/>
      <c r="Y528" s="303"/>
      <c r="Z528" s="304"/>
      <c r="AA528" s="304"/>
      <c r="AB528" s="304"/>
      <c r="AC528" s="304"/>
      <c r="AD528" s="304"/>
      <c r="AE528" s="303"/>
      <c r="AF528" s="1263"/>
      <c r="AG528" s="314">
        <f t="shared" si="557"/>
        <v>0</v>
      </c>
      <c r="AH528" s="696">
        <f t="shared" si="558"/>
        <v>0</v>
      </c>
      <c r="AI528" s="314">
        <f t="shared" si="559"/>
        <v>0</v>
      </c>
      <c r="AJ528" s="314">
        <f t="shared" si="560"/>
        <v>0</v>
      </c>
      <c r="AK528" s="314">
        <f t="shared" si="561"/>
        <v>0</v>
      </c>
      <c r="AL528" s="314">
        <f t="shared" si="562"/>
        <v>0</v>
      </c>
      <c r="AM528" s="314">
        <f t="shared" si="563"/>
        <v>0</v>
      </c>
      <c r="AN528" s="314">
        <f t="shared" si="564"/>
        <v>0</v>
      </c>
      <c r="AO528" s="314">
        <f t="shared" si="565"/>
        <v>0</v>
      </c>
      <c r="AP528" s="314">
        <f t="shared" si="566"/>
        <v>0</v>
      </c>
    </row>
    <row r="529" spans="1:42" hidden="1" outlineLevel="3">
      <c r="A529" s="583"/>
      <c r="B529" s="316" t="s">
        <v>1899</v>
      </c>
      <c r="C529" s="317"/>
      <c r="D529" s="304">
        <v>220</v>
      </c>
      <c r="E529" s="304">
        <f t="shared" si="571"/>
        <v>0</v>
      </c>
      <c r="F529" s="304">
        <f>H529-AB529</f>
        <v>0</v>
      </c>
      <c r="G529" s="304">
        <f>F529-D529</f>
        <v>-220</v>
      </c>
      <c r="H529" s="303">
        <f t="shared" si="651"/>
        <v>0</v>
      </c>
      <c r="I529" s="303">
        <f t="shared" si="652"/>
        <v>0</v>
      </c>
      <c r="J529" s="311"/>
      <c r="K529" s="311"/>
      <c r="L529" s="311"/>
      <c r="M529" s="303"/>
      <c r="N529" s="311"/>
      <c r="O529" s="311"/>
      <c r="P529" s="303">
        <f t="shared" si="653"/>
        <v>0</v>
      </c>
      <c r="Q529" s="311"/>
      <c r="R529" s="312"/>
      <c r="S529" s="304"/>
      <c r="T529" s="303"/>
      <c r="U529" s="304"/>
      <c r="V529" s="304"/>
      <c r="W529" s="303">
        <f t="shared" si="654"/>
        <v>0</v>
      </c>
      <c r="X529" s="303"/>
      <c r="Y529" s="303"/>
      <c r="Z529" s="304"/>
      <c r="AA529" s="304"/>
      <c r="AB529" s="304"/>
      <c r="AC529" s="304"/>
      <c r="AD529" s="304"/>
      <c r="AE529" s="303"/>
      <c r="AF529" s="317"/>
      <c r="AG529" s="314">
        <f t="shared" si="557"/>
        <v>0</v>
      </c>
      <c r="AH529" s="696">
        <f t="shared" si="558"/>
        <v>0</v>
      </c>
      <c r="AI529" s="314">
        <f t="shared" si="559"/>
        <v>0</v>
      </c>
      <c r="AJ529" s="314">
        <f t="shared" si="560"/>
        <v>0</v>
      </c>
      <c r="AK529" s="314">
        <f t="shared" si="561"/>
        <v>0</v>
      </c>
      <c r="AL529" s="314">
        <f t="shared" si="562"/>
        <v>0</v>
      </c>
      <c r="AM529" s="314">
        <f t="shared" si="563"/>
        <v>0</v>
      </c>
      <c r="AN529" s="314">
        <f t="shared" si="564"/>
        <v>0</v>
      </c>
      <c r="AO529" s="314">
        <f t="shared" si="565"/>
        <v>0</v>
      </c>
      <c r="AP529" s="314">
        <f t="shared" si="566"/>
        <v>0</v>
      </c>
    </row>
    <row r="530" spans="1:42" hidden="1" outlineLevel="3">
      <c r="A530" s="583"/>
      <c r="B530" s="316" t="s">
        <v>1900</v>
      </c>
      <c r="C530" s="317"/>
      <c r="D530" s="304">
        <v>41</v>
      </c>
      <c r="E530" s="304">
        <f t="shared" si="571"/>
        <v>0</v>
      </c>
      <c r="F530" s="304">
        <f>H530-AB530</f>
        <v>0</v>
      </c>
      <c r="G530" s="304">
        <f>F530-D530</f>
        <v>-41</v>
      </c>
      <c r="H530" s="303">
        <f t="shared" si="651"/>
        <v>0</v>
      </c>
      <c r="I530" s="303">
        <f t="shared" si="652"/>
        <v>0</v>
      </c>
      <c r="J530" s="311"/>
      <c r="K530" s="311"/>
      <c r="L530" s="311"/>
      <c r="M530" s="303"/>
      <c r="N530" s="311"/>
      <c r="O530" s="311"/>
      <c r="P530" s="303">
        <f t="shared" si="653"/>
        <v>0</v>
      </c>
      <c r="Q530" s="311"/>
      <c r="R530" s="312"/>
      <c r="S530" s="304"/>
      <c r="T530" s="303"/>
      <c r="U530" s="304"/>
      <c r="V530" s="304"/>
      <c r="W530" s="303">
        <f t="shared" si="654"/>
        <v>0</v>
      </c>
      <c r="X530" s="303"/>
      <c r="Y530" s="303"/>
      <c r="Z530" s="304"/>
      <c r="AA530" s="304"/>
      <c r="AB530" s="304"/>
      <c r="AC530" s="304"/>
      <c r="AD530" s="304"/>
      <c r="AE530" s="303"/>
      <c r="AF530" s="317"/>
      <c r="AG530" s="314">
        <f t="shared" si="557"/>
        <v>0</v>
      </c>
      <c r="AH530" s="696">
        <f t="shared" si="558"/>
        <v>0</v>
      </c>
      <c r="AI530" s="314">
        <f t="shared" si="559"/>
        <v>0</v>
      </c>
      <c r="AJ530" s="314">
        <f t="shared" si="560"/>
        <v>0</v>
      </c>
      <c r="AK530" s="314">
        <f t="shared" si="561"/>
        <v>0</v>
      </c>
      <c r="AL530" s="314">
        <f t="shared" si="562"/>
        <v>0</v>
      </c>
      <c r="AM530" s="314">
        <f t="shared" si="563"/>
        <v>0</v>
      </c>
      <c r="AN530" s="314">
        <f t="shared" si="564"/>
        <v>0</v>
      </c>
      <c r="AO530" s="314">
        <f t="shared" si="565"/>
        <v>0</v>
      </c>
      <c r="AP530" s="314">
        <f t="shared" si="566"/>
        <v>0</v>
      </c>
    </row>
    <row r="531" spans="1:42" s="314" customFormat="1">
      <c r="A531" s="591" t="s">
        <v>1030</v>
      </c>
      <c r="B531" s="320" t="s">
        <v>1021</v>
      </c>
      <c r="C531" s="315" t="s">
        <v>728</v>
      </c>
      <c r="D531" s="299">
        <f t="shared" ref="D531:H531" si="655">D532+D536</f>
        <v>1140</v>
      </c>
      <c r="E531" s="299">
        <f>E532+E536</f>
        <v>1250</v>
      </c>
      <c r="F531" s="299">
        <f>F532+F536</f>
        <v>1153</v>
      </c>
      <c r="G531" s="299">
        <f>G532+G536</f>
        <v>13</v>
      </c>
      <c r="H531" s="299">
        <f t="shared" si="655"/>
        <v>1153</v>
      </c>
      <c r="I531" s="299">
        <f>I532+I536</f>
        <v>590</v>
      </c>
      <c r="J531" s="299">
        <f t="shared" ref="J531:AE531" si="656">J532+J536</f>
        <v>4</v>
      </c>
      <c r="K531" s="299">
        <f t="shared" si="656"/>
        <v>4</v>
      </c>
      <c r="L531" s="299">
        <f t="shared" si="656"/>
        <v>0</v>
      </c>
      <c r="M531" s="299">
        <f t="shared" si="656"/>
        <v>466</v>
      </c>
      <c r="N531" s="299">
        <f t="shared" si="656"/>
        <v>466</v>
      </c>
      <c r="O531" s="299">
        <f t="shared" si="656"/>
        <v>0</v>
      </c>
      <c r="P531" s="299">
        <f t="shared" si="656"/>
        <v>124</v>
      </c>
      <c r="Q531" s="299">
        <f t="shared" si="656"/>
        <v>0</v>
      </c>
      <c r="R531" s="299">
        <f t="shared" si="656"/>
        <v>0</v>
      </c>
      <c r="S531" s="299">
        <f t="shared" si="656"/>
        <v>124</v>
      </c>
      <c r="T531" s="299">
        <f t="shared" si="656"/>
        <v>0</v>
      </c>
      <c r="U531" s="299">
        <f t="shared" si="656"/>
        <v>0</v>
      </c>
      <c r="V531" s="299">
        <f t="shared" si="656"/>
        <v>0</v>
      </c>
      <c r="W531" s="299">
        <f t="shared" si="656"/>
        <v>563</v>
      </c>
      <c r="X531" s="299">
        <f t="shared" si="656"/>
        <v>0</v>
      </c>
      <c r="Y531" s="299">
        <f t="shared" si="656"/>
        <v>0</v>
      </c>
      <c r="Z531" s="299">
        <f t="shared" si="656"/>
        <v>563</v>
      </c>
      <c r="AA531" s="299">
        <f t="shared" si="656"/>
        <v>0</v>
      </c>
      <c r="AB531" s="299">
        <f t="shared" si="656"/>
        <v>0</v>
      </c>
      <c r="AC531" s="299">
        <f t="shared" si="656"/>
        <v>97</v>
      </c>
      <c r="AD531" s="299">
        <f t="shared" si="656"/>
        <v>69</v>
      </c>
      <c r="AE531" s="299">
        <f t="shared" si="656"/>
        <v>1181</v>
      </c>
      <c r="AF531" s="321"/>
      <c r="AG531" s="314">
        <f t="shared" ref="AG531:AG595" si="657">E531-F531-AC531</f>
        <v>0</v>
      </c>
      <c r="AH531" s="696">
        <f t="shared" ref="AH531:AH595" si="658">F531-H531+AB531</f>
        <v>0</v>
      </c>
      <c r="AI531" s="314">
        <f t="shared" ref="AI531:AI595" si="659">H531-I531-W531</f>
        <v>0</v>
      </c>
      <c r="AJ531" s="314">
        <f t="shared" ref="AJ531:AJ595" si="660">I531-M531-P531</f>
        <v>0</v>
      </c>
      <c r="AK531" s="314">
        <f t="shared" ref="AK531:AK595" si="661">J531-K531-L531</f>
        <v>0</v>
      </c>
      <c r="AL531" s="314">
        <f t="shared" ref="AL531:AL595" si="662">M531-N531-O531</f>
        <v>0</v>
      </c>
      <c r="AM531" s="314">
        <f t="shared" ref="AM531:AM595" si="663">P531-S531-T531</f>
        <v>0</v>
      </c>
      <c r="AN531" s="314">
        <f t="shared" ref="AN531:AN595" si="664">T531-U531-V531</f>
        <v>0</v>
      </c>
      <c r="AO531" s="314">
        <f t="shared" ref="AO531:AO595" si="665">W531-Z531-AA531</f>
        <v>0</v>
      </c>
      <c r="AP531" s="314">
        <f t="shared" ref="AP531:AP595" si="666">AC531+AA531+Z531+V531+U531+S531+O531+N531-AB531-E531</f>
        <v>0</v>
      </c>
    </row>
    <row r="532" spans="1:42" outlineLevel="1">
      <c r="A532" s="583" t="s">
        <v>23</v>
      </c>
      <c r="B532" s="316" t="s">
        <v>1031</v>
      </c>
      <c r="C532" s="317"/>
      <c r="D532" s="304">
        <v>786</v>
      </c>
      <c r="E532" s="304">
        <f t="shared" si="571"/>
        <v>836</v>
      </c>
      <c r="F532" s="304">
        <f t="shared" ref="F532:F538" si="667">H532-AB532</f>
        <v>792</v>
      </c>
      <c r="G532" s="304">
        <f t="shared" ref="G532:G542" si="668">F532-D532</f>
        <v>6</v>
      </c>
      <c r="H532" s="303">
        <f t="shared" si="645"/>
        <v>792</v>
      </c>
      <c r="I532" s="303">
        <f t="shared" ref="I532:Z532" si="669">I533+I534</f>
        <v>273</v>
      </c>
      <c r="J532" s="303">
        <f t="shared" si="669"/>
        <v>2</v>
      </c>
      <c r="K532" s="303">
        <f t="shared" si="669"/>
        <v>2</v>
      </c>
      <c r="L532" s="303">
        <f t="shared" si="669"/>
        <v>0</v>
      </c>
      <c r="M532" s="303">
        <f t="shared" si="669"/>
        <v>211</v>
      </c>
      <c r="N532" s="303">
        <f t="shared" si="669"/>
        <v>211</v>
      </c>
      <c r="O532" s="303">
        <f t="shared" si="669"/>
        <v>0</v>
      </c>
      <c r="P532" s="303">
        <f t="shared" si="669"/>
        <v>62</v>
      </c>
      <c r="Q532" s="303"/>
      <c r="R532" s="303"/>
      <c r="S532" s="303">
        <f t="shared" si="669"/>
        <v>62</v>
      </c>
      <c r="T532" s="303">
        <f t="shared" si="669"/>
        <v>0</v>
      </c>
      <c r="U532" s="303">
        <f t="shared" si="669"/>
        <v>0</v>
      </c>
      <c r="V532" s="303">
        <f t="shared" si="669"/>
        <v>0</v>
      </c>
      <c r="W532" s="303">
        <f>W533+W534</f>
        <v>519</v>
      </c>
      <c r="X532" s="303"/>
      <c r="Y532" s="303"/>
      <c r="Z532" s="303">
        <f t="shared" si="669"/>
        <v>519</v>
      </c>
      <c r="AA532" s="303">
        <f>AA533+AA534</f>
        <v>0</v>
      </c>
      <c r="AB532" s="303">
        <f>AB533+AB534</f>
        <v>0</v>
      </c>
      <c r="AC532" s="304">
        <f>AC533+AC534</f>
        <v>44</v>
      </c>
      <c r="AD532" s="304">
        <v>58</v>
      </c>
      <c r="AE532" s="303">
        <f>E532-AD532</f>
        <v>778</v>
      </c>
      <c r="AF532" s="317"/>
      <c r="AG532" s="314">
        <f t="shared" si="657"/>
        <v>0</v>
      </c>
      <c r="AH532" s="696">
        <f t="shared" si="658"/>
        <v>0</v>
      </c>
      <c r="AI532" s="314">
        <f t="shared" si="659"/>
        <v>0</v>
      </c>
      <c r="AJ532" s="314">
        <f t="shared" si="660"/>
        <v>0</v>
      </c>
      <c r="AK532" s="314">
        <f t="shared" si="661"/>
        <v>0</v>
      </c>
      <c r="AL532" s="314">
        <f t="shared" si="662"/>
        <v>0</v>
      </c>
      <c r="AM532" s="314">
        <f t="shared" si="663"/>
        <v>0</v>
      </c>
      <c r="AN532" s="314">
        <f t="shared" si="664"/>
        <v>0</v>
      </c>
      <c r="AO532" s="314">
        <f t="shared" si="665"/>
        <v>0</v>
      </c>
      <c r="AP532" s="314">
        <f t="shared" si="666"/>
        <v>0</v>
      </c>
    </row>
    <row r="533" spans="1:42" outlineLevel="1">
      <c r="A533" s="583" t="s">
        <v>281</v>
      </c>
      <c r="B533" s="316" t="s">
        <v>846</v>
      </c>
      <c r="C533" s="317"/>
      <c r="D533" s="304">
        <v>267</v>
      </c>
      <c r="E533" s="304">
        <f t="shared" si="571"/>
        <v>317</v>
      </c>
      <c r="F533" s="304">
        <f t="shared" si="667"/>
        <v>273</v>
      </c>
      <c r="G533" s="304">
        <f t="shared" si="668"/>
        <v>6</v>
      </c>
      <c r="H533" s="303">
        <f t="shared" si="645"/>
        <v>273</v>
      </c>
      <c r="I533" s="303">
        <f>M533+P533</f>
        <v>273</v>
      </c>
      <c r="J533" s="311">
        <v>2</v>
      </c>
      <c r="K533" s="311">
        <v>2</v>
      </c>
      <c r="L533" s="294">
        <f>J533-K533</f>
        <v>0</v>
      </c>
      <c r="M533" s="304">
        <f>N533+O533</f>
        <v>211</v>
      </c>
      <c r="N533" s="294">
        <v>211</v>
      </c>
      <c r="O533" s="294">
        <v>0</v>
      </c>
      <c r="P533" s="303">
        <f>S533+T533</f>
        <v>62</v>
      </c>
      <c r="Q533" s="294">
        <v>31</v>
      </c>
      <c r="R533" s="312">
        <v>1</v>
      </c>
      <c r="S533" s="304">
        <f>ROUND(J533*Q533*R533,0)</f>
        <v>62</v>
      </c>
      <c r="T533" s="303">
        <f>U533+V533</f>
        <v>0</v>
      </c>
      <c r="U533" s="304"/>
      <c r="V533" s="304"/>
      <c r="W533" s="303">
        <f>Z533+AA533</f>
        <v>0</v>
      </c>
      <c r="X533" s="303"/>
      <c r="Y533" s="303"/>
      <c r="Z533" s="304"/>
      <c r="AA533" s="304"/>
      <c r="AB533" s="304"/>
      <c r="AC533" s="304">
        <v>44</v>
      </c>
      <c r="AD533" s="304"/>
      <c r="AE533" s="303"/>
      <c r="AF533" s="317"/>
      <c r="AG533" s="314">
        <f t="shared" si="657"/>
        <v>0</v>
      </c>
      <c r="AH533" s="696">
        <f t="shared" si="658"/>
        <v>0</v>
      </c>
      <c r="AI533" s="314">
        <f t="shared" si="659"/>
        <v>0</v>
      </c>
      <c r="AJ533" s="314">
        <f t="shared" si="660"/>
        <v>0</v>
      </c>
      <c r="AK533" s="314">
        <f t="shared" si="661"/>
        <v>0</v>
      </c>
      <c r="AL533" s="314">
        <f t="shared" si="662"/>
        <v>0</v>
      </c>
      <c r="AM533" s="314">
        <f t="shared" si="663"/>
        <v>0</v>
      </c>
      <c r="AN533" s="314">
        <f t="shared" si="664"/>
        <v>0</v>
      </c>
      <c r="AO533" s="314">
        <f t="shared" si="665"/>
        <v>0</v>
      </c>
      <c r="AP533" s="314">
        <f t="shared" si="666"/>
        <v>0</v>
      </c>
    </row>
    <row r="534" spans="1:42" outlineLevel="1">
      <c r="A534" s="583" t="s">
        <v>281</v>
      </c>
      <c r="B534" s="316" t="s">
        <v>1032</v>
      </c>
      <c r="C534" s="317"/>
      <c r="D534" s="304">
        <v>519</v>
      </c>
      <c r="E534" s="304">
        <f t="shared" si="571"/>
        <v>519</v>
      </c>
      <c r="F534" s="304">
        <f t="shared" si="667"/>
        <v>519</v>
      </c>
      <c r="G534" s="304">
        <f t="shared" si="668"/>
        <v>0</v>
      </c>
      <c r="H534" s="303">
        <f t="shared" si="645"/>
        <v>519</v>
      </c>
      <c r="I534" s="303">
        <f>M534+P534</f>
        <v>0</v>
      </c>
      <c r="J534" s="311"/>
      <c r="K534" s="311"/>
      <c r="L534" s="311"/>
      <c r="M534" s="303"/>
      <c r="N534" s="311"/>
      <c r="O534" s="311"/>
      <c r="P534" s="303"/>
      <c r="Q534" s="311"/>
      <c r="R534" s="312"/>
      <c r="S534" s="304"/>
      <c r="T534" s="303"/>
      <c r="U534" s="304"/>
      <c r="V534" s="304"/>
      <c r="W534" s="303">
        <f>Z534+AA534</f>
        <v>519</v>
      </c>
      <c r="X534" s="303"/>
      <c r="Y534" s="303"/>
      <c r="Z534" s="304">
        <v>519</v>
      </c>
      <c r="AA534" s="304">
        <f>AA535</f>
        <v>0</v>
      </c>
      <c r="AB534" s="304"/>
      <c r="AC534" s="304"/>
      <c r="AD534" s="304"/>
      <c r="AE534" s="303"/>
      <c r="AF534" s="317"/>
      <c r="AG534" s="314">
        <f t="shared" si="657"/>
        <v>0</v>
      </c>
      <c r="AH534" s="696">
        <f t="shared" si="658"/>
        <v>0</v>
      </c>
      <c r="AI534" s="314">
        <f t="shared" si="659"/>
        <v>0</v>
      </c>
      <c r="AJ534" s="314">
        <f t="shared" si="660"/>
        <v>0</v>
      </c>
      <c r="AK534" s="314">
        <f t="shared" si="661"/>
        <v>0</v>
      </c>
      <c r="AL534" s="314">
        <f t="shared" si="662"/>
        <v>0</v>
      </c>
      <c r="AM534" s="314">
        <f t="shared" si="663"/>
        <v>0</v>
      </c>
      <c r="AN534" s="314">
        <f t="shared" si="664"/>
        <v>0</v>
      </c>
      <c r="AO534" s="314">
        <f t="shared" si="665"/>
        <v>0</v>
      </c>
      <c r="AP534" s="314">
        <f t="shared" si="666"/>
        <v>0</v>
      </c>
    </row>
    <row r="535" spans="1:42" ht="69" outlineLevel="1">
      <c r="A535" s="583"/>
      <c r="B535" s="316" t="s">
        <v>2161</v>
      </c>
      <c r="C535" s="317"/>
      <c r="D535" s="304">
        <v>65</v>
      </c>
      <c r="E535" s="304">
        <f t="shared" si="571"/>
        <v>65</v>
      </c>
      <c r="F535" s="304">
        <f t="shared" si="667"/>
        <v>65</v>
      </c>
      <c r="G535" s="304">
        <f t="shared" si="668"/>
        <v>0</v>
      </c>
      <c r="H535" s="303">
        <f t="shared" si="645"/>
        <v>65</v>
      </c>
      <c r="I535" s="303">
        <f>M535+P535</f>
        <v>0</v>
      </c>
      <c r="J535" s="311"/>
      <c r="K535" s="311"/>
      <c r="L535" s="311"/>
      <c r="M535" s="303"/>
      <c r="N535" s="311"/>
      <c r="O535" s="311"/>
      <c r="P535" s="303"/>
      <c r="Q535" s="311"/>
      <c r="R535" s="312"/>
      <c r="S535" s="304"/>
      <c r="T535" s="303"/>
      <c r="U535" s="304"/>
      <c r="V535" s="304"/>
      <c r="W535" s="303">
        <f>Z535+AA535</f>
        <v>65</v>
      </c>
      <c r="X535" s="303"/>
      <c r="Y535" s="303"/>
      <c r="Z535" s="304">
        <v>65</v>
      </c>
      <c r="AA535" s="304"/>
      <c r="AB535" s="304"/>
      <c r="AC535" s="304"/>
      <c r="AD535" s="304"/>
      <c r="AE535" s="303"/>
      <c r="AF535" s="317"/>
      <c r="AG535" s="314">
        <f t="shared" si="657"/>
        <v>0</v>
      </c>
      <c r="AH535" s="696">
        <f t="shared" si="658"/>
        <v>0</v>
      </c>
      <c r="AI535" s="314">
        <f t="shared" si="659"/>
        <v>0</v>
      </c>
      <c r="AJ535" s="314">
        <f t="shared" si="660"/>
        <v>0</v>
      </c>
      <c r="AK535" s="314">
        <f t="shared" si="661"/>
        <v>0</v>
      </c>
      <c r="AL535" s="314">
        <f t="shared" si="662"/>
        <v>0</v>
      </c>
      <c r="AM535" s="314">
        <f t="shared" si="663"/>
        <v>0</v>
      </c>
      <c r="AN535" s="314">
        <f t="shared" si="664"/>
        <v>0</v>
      </c>
      <c r="AO535" s="314">
        <f t="shared" si="665"/>
        <v>0</v>
      </c>
      <c r="AP535" s="314">
        <f t="shared" si="666"/>
        <v>0</v>
      </c>
    </row>
    <row r="536" spans="1:42" ht="27.6" outlineLevel="1">
      <c r="A536" s="583" t="s">
        <v>23</v>
      </c>
      <c r="B536" s="316" t="s">
        <v>1033</v>
      </c>
      <c r="C536" s="317"/>
      <c r="D536" s="304">
        <v>354</v>
      </c>
      <c r="E536" s="304">
        <f t="shared" si="571"/>
        <v>414</v>
      </c>
      <c r="F536" s="304">
        <f t="shared" si="667"/>
        <v>361</v>
      </c>
      <c r="G536" s="304">
        <f t="shared" si="668"/>
        <v>7</v>
      </c>
      <c r="H536" s="303">
        <f t="shared" si="645"/>
        <v>361</v>
      </c>
      <c r="I536" s="303">
        <f t="shared" ref="I536:P536" si="670">I537+I538</f>
        <v>317</v>
      </c>
      <c r="J536" s="303">
        <f t="shared" si="670"/>
        <v>2</v>
      </c>
      <c r="K536" s="303">
        <f t="shared" si="670"/>
        <v>2</v>
      </c>
      <c r="L536" s="303">
        <f t="shared" si="670"/>
        <v>0</v>
      </c>
      <c r="M536" s="303">
        <f t="shared" si="670"/>
        <v>255</v>
      </c>
      <c r="N536" s="303">
        <f t="shared" si="670"/>
        <v>255</v>
      </c>
      <c r="O536" s="303">
        <f t="shared" si="670"/>
        <v>0</v>
      </c>
      <c r="P536" s="303">
        <f t="shared" si="670"/>
        <v>62</v>
      </c>
      <c r="Q536" s="303"/>
      <c r="R536" s="303"/>
      <c r="S536" s="303">
        <f t="shared" ref="S536:W536" si="671">S537+S538</f>
        <v>62</v>
      </c>
      <c r="T536" s="303">
        <f t="shared" si="671"/>
        <v>0</v>
      </c>
      <c r="U536" s="303">
        <f t="shared" si="671"/>
        <v>0</v>
      </c>
      <c r="V536" s="303">
        <f t="shared" si="671"/>
        <v>0</v>
      </c>
      <c r="W536" s="303">
        <f t="shared" si="671"/>
        <v>44</v>
      </c>
      <c r="X536" s="303"/>
      <c r="Y536" s="303"/>
      <c r="Z536" s="303">
        <f t="shared" ref="Z536" si="672">Z537+Z538</f>
        <v>44</v>
      </c>
      <c r="AA536" s="303">
        <f>AA537+AA538</f>
        <v>0</v>
      </c>
      <c r="AB536" s="304"/>
      <c r="AC536" s="304">
        <f>AC537+AC538</f>
        <v>53</v>
      </c>
      <c r="AD536" s="304">
        <v>11</v>
      </c>
      <c r="AE536" s="303">
        <f>E536-AD536</f>
        <v>403</v>
      </c>
      <c r="AF536" s="317"/>
      <c r="AG536" s="314">
        <f t="shared" si="657"/>
        <v>0</v>
      </c>
      <c r="AH536" s="696">
        <f t="shared" si="658"/>
        <v>0</v>
      </c>
      <c r="AI536" s="314">
        <f t="shared" si="659"/>
        <v>0</v>
      </c>
      <c r="AJ536" s="314">
        <f t="shared" si="660"/>
        <v>0</v>
      </c>
      <c r="AK536" s="314">
        <f t="shared" si="661"/>
        <v>0</v>
      </c>
      <c r="AL536" s="314">
        <f t="shared" si="662"/>
        <v>0</v>
      </c>
      <c r="AM536" s="314">
        <f t="shared" si="663"/>
        <v>0</v>
      </c>
      <c r="AN536" s="314">
        <f t="shared" si="664"/>
        <v>0</v>
      </c>
      <c r="AO536" s="314">
        <f t="shared" si="665"/>
        <v>0</v>
      </c>
      <c r="AP536" s="314">
        <f t="shared" si="666"/>
        <v>0</v>
      </c>
    </row>
    <row r="537" spans="1:42" outlineLevel="1">
      <c r="A537" s="583" t="s">
        <v>281</v>
      </c>
      <c r="B537" s="316" t="s">
        <v>846</v>
      </c>
      <c r="C537" s="317"/>
      <c r="D537" s="304">
        <v>310</v>
      </c>
      <c r="E537" s="304">
        <f t="shared" si="571"/>
        <v>370</v>
      </c>
      <c r="F537" s="304">
        <f t="shared" si="667"/>
        <v>317</v>
      </c>
      <c r="G537" s="304">
        <f t="shared" si="668"/>
        <v>7</v>
      </c>
      <c r="H537" s="303">
        <f t="shared" si="645"/>
        <v>317</v>
      </c>
      <c r="I537" s="303">
        <f>M537+P537</f>
        <v>317</v>
      </c>
      <c r="J537" s="311">
        <v>2</v>
      </c>
      <c r="K537" s="311">
        <v>2</v>
      </c>
      <c r="L537" s="294">
        <f>J537-K537</f>
        <v>0</v>
      </c>
      <c r="M537" s="304">
        <f>N537+O537</f>
        <v>255</v>
      </c>
      <c r="N537" s="294">
        <v>255</v>
      </c>
      <c r="O537" s="294">
        <v>0</v>
      </c>
      <c r="P537" s="303">
        <f>S537+T537</f>
        <v>62</v>
      </c>
      <c r="Q537" s="294">
        <v>31</v>
      </c>
      <c r="R537" s="312">
        <v>1</v>
      </c>
      <c r="S537" s="304">
        <f>ROUND(J537*Q537*R537,0)</f>
        <v>62</v>
      </c>
      <c r="T537" s="303">
        <f>U537+V537</f>
        <v>0</v>
      </c>
      <c r="U537" s="304"/>
      <c r="V537" s="304"/>
      <c r="W537" s="303">
        <f>Z537+AA537</f>
        <v>0</v>
      </c>
      <c r="X537" s="303"/>
      <c r="Y537" s="303"/>
      <c r="Z537" s="304"/>
      <c r="AA537" s="304"/>
      <c r="AB537" s="304"/>
      <c r="AC537" s="304">
        <v>53</v>
      </c>
      <c r="AD537" s="304"/>
      <c r="AE537" s="303"/>
      <c r="AF537" s="317"/>
      <c r="AG537" s="314">
        <f t="shared" si="657"/>
        <v>0</v>
      </c>
      <c r="AH537" s="696">
        <f t="shared" si="658"/>
        <v>0</v>
      </c>
      <c r="AI537" s="314">
        <f t="shared" si="659"/>
        <v>0</v>
      </c>
      <c r="AJ537" s="314">
        <f t="shared" si="660"/>
        <v>0</v>
      </c>
      <c r="AK537" s="314">
        <f t="shared" si="661"/>
        <v>0</v>
      </c>
      <c r="AL537" s="314">
        <f t="shared" si="662"/>
        <v>0</v>
      </c>
      <c r="AM537" s="314">
        <f t="shared" si="663"/>
        <v>0</v>
      </c>
      <c r="AN537" s="314">
        <f t="shared" si="664"/>
        <v>0</v>
      </c>
      <c r="AO537" s="314">
        <f t="shared" si="665"/>
        <v>0</v>
      </c>
      <c r="AP537" s="314">
        <f t="shared" si="666"/>
        <v>0</v>
      </c>
    </row>
    <row r="538" spans="1:42" outlineLevel="1">
      <c r="A538" s="583" t="s">
        <v>281</v>
      </c>
      <c r="B538" s="316" t="s">
        <v>1032</v>
      </c>
      <c r="C538" s="317"/>
      <c r="D538" s="304">
        <v>44</v>
      </c>
      <c r="E538" s="304">
        <f t="shared" si="571"/>
        <v>44</v>
      </c>
      <c r="F538" s="304">
        <f t="shared" si="667"/>
        <v>44</v>
      </c>
      <c r="G538" s="304">
        <f t="shared" si="668"/>
        <v>0</v>
      </c>
      <c r="H538" s="303">
        <f t="shared" si="645"/>
        <v>44</v>
      </c>
      <c r="I538" s="303">
        <f>M538+P538</f>
        <v>0</v>
      </c>
      <c r="J538" s="311"/>
      <c r="K538" s="311"/>
      <c r="L538" s="311"/>
      <c r="M538" s="303"/>
      <c r="N538" s="311"/>
      <c r="O538" s="311"/>
      <c r="P538" s="303"/>
      <c r="Q538" s="311"/>
      <c r="R538" s="312"/>
      <c r="S538" s="304"/>
      <c r="T538" s="303"/>
      <c r="U538" s="304"/>
      <c r="V538" s="304"/>
      <c r="W538" s="303">
        <f>Z538+AA538</f>
        <v>44</v>
      </c>
      <c r="X538" s="303"/>
      <c r="Y538" s="303"/>
      <c r="Z538" s="304">
        <v>44</v>
      </c>
      <c r="AA538" s="304"/>
      <c r="AB538" s="304"/>
      <c r="AC538" s="304"/>
      <c r="AD538" s="304"/>
      <c r="AE538" s="303"/>
      <c r="AF538" s="317"/>
      <c r="AG538" s="314">
        <f t="shared" si="657"/>
        <v>0</v>
      </c>
      <c r="AH538" s="696">
        <f t="shared" si="658"/>
        <v>0</v>
      </c>
      <c r="AI538" s="314">
        <f t="shared" si="659"/>
        <v>0</v>
      </c>
      <c r="AJ538" s="314">
        <f t="shared" si="660"/>
        <v>0</v>
      </c>
      <c r="AK538" s="314">
        <f t="shared" si="661"/>
        <v>0</v>
      </c>
      <c r="AL538" s="314">
        <f t="shared" si="662"/>
        <v>0</v>
      </c>
      <c r="AM538" s="314">
        <f t="shared" si="663"/>
        <v>0</v>
      </c>
      <c r="AN538" s="314">
        <f t="shared" si="664"/>
        <v>0</v>
      </c>
      <c r="AO538" s="314">
        <f t="shared" si="665"/>
        <v>0</v>
      </c>
      <c r="AP538" s="314">
        <f t="shared" si="666"/>
        <v>0</v>
      </c>
    </row>
    <row r="539" spans="1:42" s="314" customFormat="1">
      <c r="A539" s="592" t="s">
        <v>421</v>
      </c>
      <c r="B539" s="320" t="s">
        <v>1034</v>
      </c>
      <c r="C539" s="297"/>
      <c r="D539" s="297">
        <f>D540+D544</f>
        <v>20736</v>
      </c>
      <c r="E539" s="297">
        <f>E540+E544</f>
        <v>22979</v>
      </c>
      <c r="F539" s="297">
        <f>F540+F544</f>
        <v>22487</v>
      </c>
      <c r="G539" s="297">
        <f t="shared" si="668"/>
        <v>1751</v>
      </c>
      <c r="H539" s="297">
        <f>H540+H544</f>
        <v>22514</v>
      </c>
      <c r="I539" s="297">
        <f t="shared" ref="I539:P539" si="673">I540+I544</f>
        <v>4196</v>
      </c>
      <c r="J539" s="297">
        <f t="shared" si="673"/>
        <v>25</v>
      </c>
      <c r="K539" s="297">
        <f t="shared" si="673"/>
        <v>21</v>
      </c>
      <c r="L539" s="297">
        <f t="shared" si="673"/>
        <v>4</v>
      </c>
      <c r="M539" s="297">
        <f t="shared" si="673"/>
        <v>2757</v>
      </c>
      <c r="N539" s="297">
        <f t="shared" si="673"/>
        <v>2506</v>
      </c>
      <c r="O539" s="297">
        <f t="shared" si="673"/>
        <v>251</v>
      </c>
      <c r="P539" s="297">
        <f t="shared" si="673"/>
        <v>1439</v>
      </c>
      <c r="Q539" s="297"/>
      <c r="R539" s="297"/>
      <c r="S539" s="297">
        <f>S540+S544</f>
        <v>1439</v>
      </c>
      <c r="T539" s="297">
        <f>T540+T544</f>
        <v>0</v>
      </c>
      <c r="U539" s="297">
        <f>U540+U544</f>
        <v>0</v>
      </c>
      <c r="V539" s="297">
        <f>V540+V544</f>
        <v>0</v>
      </c>
      <c r="W539" s="297">
        <f>W540+W544</f>
        <v>18318</v>
      </c>
      <c r="X539" s="297"/>
      <c r="Y539" s="297"/>
      <c r="Z539" s="297">
        <f t="shared" ref="Z539:AE539" si="674">Z540+Z544</f>
        <v>16697</v>
      </c>
      <c r="AA539" s="297">
        <f t="shared" si="674"/>
        <v>1621</v>
      </c>
      <c r="AB539" s="297">
        <f t="shared" si="674"/>
        <v>27</v>
      </c>
      <c r="AC539" s="297">
        <f t="shared" si="674"/>
        <v>492</v>
      </c>
      <c r="AD539" s="297">
        <f t="shared" si="674"/>
        <v>919</v>
      </c>
      <c r="AE539" s="297">
        <f t="shared" si="674"/>
        <v>22060</v>
      </c>
      <c r="AF539" s="321"/>
      <c r="AG539" s="314">
        <f t="shared" si="657"/>
        <v>0</v>
      </c>
      <c r="AH539" s="696">
        <f t="shared" si="658"/>
        <v>0</v>
      </c>
      <c r="AI539" s="314">
        <f t="shared" si="659"/>
        <v>0</v>
      </c>
      <c r="AJ539" s="314">
        <f t="shared" si="660"/>
        <v>0</v>
      </c>
      <c r="AK539" s="314">
        <f t="shared" si="661"/>
        <v>0</v>
      </c>
      <c r="AL539" s="314">
        <f t="shared" si="662"/>
        <v>0</v>
      </c>
      <c r="AM539" s="314">
        <f t="shared" si="663"/>
        <v>0</v>
      </c>
      <c r="AN539" s="314">
        <f t="shared" si="664"/>
        <v>0</v>
      </c>
      <c r="AO539" s="314">
        <f t="shared" si="665"/>
        <v>0</v>
      </c>
      <c r="AP539" s="314">
        <f t="shared" si="666"/>
        <v>0</v>
      </c>
    </row>
    <row r="540" spans="1:42" s="314" customFormat="1">
      <c r="A540" s="592" t="s">
        <v>424</v>
      </c>
      <c r="B540" s="357" t="s">
        <v>826</v>
      </c>
      <c r="C540" s="298" t="s">
        <v>756</v>
      </c>
      <c r="D540" s="299">
        <f t="shared" ref="D540" si="675">D541+D543+D542</f>
        <v>3671</v>
      </c>
      <c r="E540" s="299">
        <f>E541+E543+E542</f>
        <v>4349</v>
      </c>
      <c r="F540" s="299">
        <f>F541+F543+F542</f>
        <v>3865</v>
      </c>
      <c r="G540" s="299">
        <f t="shared" si="668"/>
        <v>194</v>
      </c>
      <c r="H540" s="299">
        <f>H541+H543+H542</f>
        <v>3865</v>
      </c>
      <c r="I540" s="299">
        <f t="shared" ref="I540:Z540" si="676">I541+I543+I542</f>
        <v>3865</v>
      </c>
      <c r="J540" s="299">
        <f t="shared" si="676"/>
        <v>22</v>
      </c>
      <c r="K540" s="299">
        <f t="shared" si="676"/>
        <v>19</v>
      </c>
      <c r="L540" s="299">
        <f t="shared" si="676"/>
        <v>3</v>
      </c>
      <c r="M540" s="299">
        <f t="shared" si="676"/>
        <v>2519</v>
      </c>
      <c r="N540" s="299">
        <f t="shared" si="676"/>
        <v>2323</v>
      </c>
      <c r="O540" s="299">
        <f t="shared" si="676"/>
        <v>196</v>
      </c>
      <c r="P540" s="299">
        <f t="shared" si="676"/>
        <v>1346</v>
      </c>
      <c r="Q540" s="299"/>
      <c r="R540" s="299"/>
      <c r="S540" s="299">
        <f t="shared" si="676"/>
        <v>1346</v>
      </c>
      <c r="T540" s="299">
        <f t="shared" si="676"/>
        <v>0</v>
      </c>
      <c r="U540" s="299">
        <f t="shared" si="676"/>
        <v>0</v>
      </c>
      <c r="V540" s="299">
        <f t="shared" si="676"/>
        <v>0</v>
      </c>
      <c r="W540" s="299">
        <f>W541+W543+W542</f>
        <v>0</v>
      </c>
      <c r="X540" s="299"/>
      <c r="Y540" s="299"/>
      <c r="Z540" s="299">
        <f t="shared" si="676"/>
        <v>0</v>
      </c>
      <c r="AA540" s="299">
        <f>AA541+AA543+AA542</f>
        <v>0</v>
      </c>
      <c r="AB540" s="299">
        <f>AB541+AB543+AB542</f>
        <v>0</v>
      </c>
      <c r="AC540" s="299">
        <f t="shared" ref="AC540:AE540" si="677">AC541+AC543+AC542</f>
        <v>484</v>
      </c>
      <c r="AD540" s="299">
        <f t="shared" si="677"/>
        <v>135</v>
      </c>
      <c r="AE540" s="299">
        <f t="shared" si="677"/>
        <v>4214</v>
      </c>
      <c r="AF540" s="321"/>
      <c r="AG540" s="314">
        <f t="shared" si="657"/>
        <v>0</v>
      </c>
      <c r="AH540" s="696">
        <f t="shared" si="658"/>
        <v>0</v>
      </c>
      <c r="AI540" s="314">
        <f t="shared" si="659"/>
        <v>0</v>
      </c>
      <c r="AJ540" s="314">
        <f t="shared" si="660"/>
        <v>0</v>
      </c>
      <c r="AK540" s="314">
        <f t="shared" si="661"/>
        <v>0</v>
      </c>
      <c r="AL540" s="314">
        <f t="shared" si="662"/>
        <v>0</v>
      </c>
      <c r="AM540" s="314">
        <f t="shared" si="663"/>
        <v>0</v>
      </c>
      <c r="AN540" s="314">
        <f t="shared" si="664"/>
        <v>0</v>
      </c>
      <c r="AO540" s="314">
        <f t="shared" si="665"/>
        <v>0</v>
      </c>
      <c r="AP540" s="314">
        <f t="shared" si="666"/>
        <v>0</v>
      </c>
    </row>
    <row r="541" spans="1:42">
      <c r="A541" s="583" t="s">
        <v>45</v>
      </c>
      <c r="B541" s="324" t="s">
        <v>862</v>
      </c>
      <c r="C541" s="304"/>
      <c r="D541" s="304">
        <v>3531</v>
      </c>
      <c r="E541" s="304">
        <f t="shared" si="571"/>
        <v>4349</v>
      </c>
      <c r="F541" s="304">
        <f>H541-AB541</f>
        <v>3865</v>
      </c>
      <c r="G541" s="304">
        <f t="shared" si="668"/>
        <v>334</v>
      </c>
      <c r="H541" s="303">
        <f t="shared" ref="H541:H542" si="678">I541+W541</f>
        <v>3865</v>
      </c>
      <c r="I541" s="303">
        <f>M541+P541</f>
        <v>3865</v>
      </c>
      <c r="J541" s="311">
        <v>22</v>
      </c>
      <c r="K541" s="311">
        <v>19</v>
      </c>
      <c r="L541" s="311">
        <f>J541-K541</f>
        <v>3</v>
      </c>
      <c r="M541" s="303">
        <f>N541+O541</f>
        <v>2519</v>
      </c>
      <c r="N541" s="311">
        <v>2323</v>
      </c>
      <c r="O541" s="311">
        <v>196</v>
      </c>
      <c r="P541" s="303">
        <f>S541+T541</f>
        <v>1346</v>
      </c>
      <c r="Q541" s="294">
        <v>36</v>
      </c>
      <c r="R541" s="312">
        <v>1.7000000000000002</v>
      </c>
      <c r="S541" s="303">
        <f>ROUND(J541*Q541*R541,0)</f>
        <v>1346</v>
      </c>
      <c r="T541" s="303">
        <f>U541+V541</f>
        <v>0</v>
      </c>
      <c r="U541" s="303"/>
      <c r="V541" s="303"/>
      <c r="W541" s="303">
        <f>Z541+AA541</f>
        <v>0</v>
      </c>
      <c r="X541" s="303"/>
      <c r="Y541" s="303"/>
      <c r="Z541" s="303"/>
      <c r="AA541" s="303"/>
      <c r="AB541" s="304"/>
      <c r="AC541" s="304">
        <v>484</v>
      </c>
      <c r="AD541" s="304">
        <v>135</v>
      </c>
      <c r="AE541" s="303">
        <f>E541-AD541</f>
        <v>4214</v>
      </c>
      <c r="AF541" s="317"/>
      <c r="AG541" s="314">
        <f t="shared" si="657"/>
        <v>0</v>
      </c>
      <c r="AH541" s="696">
        <f t="shared" si="658"/>
        <v>0</v>
      </c>
      <c r="AI541" s="314">
        <f t="shared" si="659"/>
        <v>0</v>
      </c>
      <c r="AJ541" s="314">
        <f t="shared" si="660"/>
        <v>0</v>
      </c>
      <c r="AK541" s="314">
        <f t="shared" si="661"/>
        <v>0</v>
      </c>
      <c r="AL541" s="314">
        <f t="shared" si="662"/>
        <v>0</v>
      </c>
      <c r="AM541" s="314">
        <f t="shared" si="663"/>
        <v>0</v>
      </c>
      <c r="AN541" s="314">
        <f t="shared" si="664"/>
        <v>0</v>
      </c>
      <c r="AO541" s="314">
        <f t="shared" si="665"/>
        <v>0</v>
      </c>
      <c r="AP541" s="314">
        <f t="shared" si="666"/>
        <v>0</v>
      </c>
    </row>
    <row r="542" spans="1:42" ht="27.6" hidden="1" outlineLevel="3">
      <c r="A542" s="583" t="s">
        <v>47</v>
      </c>
      <c r="B542" s="324" t="s">
        <v>1521</v>
      </c>
      <c r="C542" s="304"/>
      <c r="D542" s="304">
        <v>140</v>
      </c>
      <c r="E542" s="304">
        <f t="shared" si="571"/>
        <v>0</v>
      </c>
      <c r="F542" s="304">
        <f>H542-AB542</f>
        <v>0</v>
      </c>
      <c r="G542" s="304">
        <f t="shared" si="668"/>
        <v>-140</v>
      </c>
      <c r="H542" s="303">
        <f t="shared" si="678"/>
        <v>0</v>
      </c>
      <c r="I542" s="303">
        <f t="shared" ref="I542" si="679">M542+P542</f>
        <v>0</v>
      </c>
      <c r="J542" s="294"/>
      <c r="K542" s="294">
        <v>0</v>
      </c>
      <c r="L542" s="294"/>
      <c r="M542" s="304">
        <f t="shared" ref="M542" si="680">N542+O542</f>
        <v>0</v>
      </c>
      <c r="N542" s="294"/>
      <c r="O542" s="294"/>
      <c r="P542" s="303">
        <f t="shared" ref="P542" si="681">S542+T542</f>
        <v>0</v>
      </c>
      <c r="Q542" s="311">
        <v>0</v>
      </c>
      <c r="R542" s="305"/>
      <c r="S542" s="304">
        <f>J542*Q542</f>
        <v>0</v>
      </c>
      <c r="T542" s="303">
        <f t="shared" ref="T542" si="682">U542+V542</f>
        <v>0</v>
      </c>
      <c r="U542" s="304"/>
      <c r="V542" s="304"/>
      <c r="W542" s="303">
        <f>Z542+AA542</f>
        <v>0</v>
      </c>
      <c r="X542" s="303"/>
      <c r="Y542" s="303"/>
      <c r="Z542" s="304"/>
      <c r="AA542" s="304"/>
      <c r="AB542" s="304"/>
      <c r="AC542" s="304"/>
      <c r="AD542" s="304">
        <v>0</v>
      </c>
      <c r="AE542" s="303">
        <f>E542-AD542</f>
        <v>0</v>
      </c>
      <c r="AF542" s="317"/>
      <c r="AG542" s="314">
        <f t="shared" si="657"/>
        <v>0</v>
      </c>
      <c r="AH542" s="696">
        <f t="shared" si="658"/>
        <v>0</v>
      </c>
      <c r="AI542" s="314">
        <f t="shared" si="659"/>
        <v>0</v>
      </c>
      <c r="AJ542" s="314">
        <f t="shared" si="660"/>
        <v>0</v>
      </c>
      <c r="AK542" s="314">
        <f t="shared" si="661"/>
        <v>0</v>
      </c>
      <c r="AL542" s="314">
        <f t="shared" si="662"/>
        <v>0</v>
      </c>
      <c r="AM542" s="314">
        <f t="shared" si="663"/>
        <v>0</v>
      </c>
      <c r="AN542" s="314">
        <f t="shared" si="664"/>
        <v>0</v>
      </c>
      <c r="AO542" s="314">
        <f t="shared" si="665"/>
        <v>0</v>
      </c>
      <c r="AP542" s="314">
        <f t="shared" si="666"/>
        <v>0</v>
      </c>
    </row>
    <row r="543" spans="1:42" ht="27.6" hidden="1" outlineLevel="3">
      <c r="A543" s="583" t="s">
        <v>49</v>
      </c>
      <c r="B543" s="1273" t="s">
        <v>1737</v>
      </c>
      <c r="C543" s="304"/>
      <c r="D543" s="303">
        <v>0</v>
      </c>
      <c r="E543" s="303">
        <f t="shared" si="571"/>
        <v>0</v>
      </c>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4"/>
      <c r="AD543" s="304"/>
      <c r="AE543" s="303"/>
      <c r="AF543" s="317"/>
      <c r="AG543" s="314">
        <f t="shared" si="657"/>
        <v>0</v>
      </c>
      <c r="AH543" s="696">
        <f t="shared" si="658"/>
        <v>0</v>
      </c>
      <c r="AI543" s="314">
        <f t="shared" si="659"/>
        <v>0</v>
      </c>
      <c r="AJ543" s="314">
        <f t="shared" si="660"/>
        <v>0</v>
      </c>
      <c r="AK543" s="314">
        <f t="shared" si="661"/>
        <v>0</v>
      </c>
      <c r="AL543" s="314">
        <f t="shared" si="662"/>
        <v>0</v>
      </c>
      <c r="AM543" s="314">
        <f t="shared" si="663"/>
        <v>0</v>
      </c>
      <c r="AN543" s="314">
        <f t="shared" si="664"/>
        <v>0</v>
      </c>
      <c r="AO543" s="314">
        <f t="shared" si="665"/>
        <v>0</v>
      </c>
      <c r="AP543" s="314">
        <f t="shared" si="666"/>
        <v>0</v>
      </c>
    </row>
    <row r="544" spans="1:42" s="333" customFormat="1" collapsed="1">
      <c r="A544" s="592" t="s">
        <v>430</v>
      </c>
      <c r="B544" s="320" t="s">
        <v>1021</v>
      </c>
      <c r="C544" s="298" t="s">
        <v>728</v>
      </c>
      <c r="D544" s="299">
        <f t="shared" ref="D544" si="683">D545+D547</f>
        <v>17065</v>
      </c>
      <c r="E544" s="299">
        <f>E545+E547</f>
        <v>18630</v>
      </c>
      <c r="F544" s="299">
        <f>F545+F547</f>
        <v>18622</v>
      </c>
      <c r="G544" s="299">
        <f>F544-D544</f>
        <v>1557</v>
      </c>
      <c r="H544" s="299">
        <f>H545+H547</f>
        <v>18649</v>
      </c>
      <c r="I544" s="299">
        <f t="shared" ref="I544:V544" si="684">I545+I547</f>
        <v>331</v>
      </c>
      <c r="J544" s="299">
        <f t="shared" si="684"/>
        <v>3</v>
      </c>
      <c r="K544" s="299">
        <f t="shared" si="684"/>
        <v>2</v>
      </c>
      <c r="L544" s="299">
        <f t="shared" si="684"/>
        <v>1</v>
      </c>
      <c r="M544" s="299">
        <f t="shared" si="684"/>
        <v>238</v>
      </c>
      <c r="N544" s="299">
        <f t="shared" si="684"/>
        <v>183</v>
      </c>
      <c r="O544" s="299">
        <f t="shared" si="684"/>
        <v>55</v>
      </c>
      <c r="P544" s="299">
        <f t="shared" si="684"/>
        <v>93</v>
      </c>
      <c r="Q544" s="299"/>
      <c r="R544" s="299">
        <f t="shared" si="684"/>
        <v>0</v>
      </c>
      <c r="S544" s="299">
        <f t="shared" si="684"/>
        <v>93</v>
      </c>
      <c r="T544" s="299">
        <f t="shared" si="684"/>
        <v>0</v>
      </c>
      <c r="U544" s="299">
        <f t="shared" si="684"/>
        <v>0</v>
      </c>
      <c r="V544" s="299">
        <f t="shared" si="684"/>
        <v>0</v>
      </c>
      <c r="W544" s="299">
        <f>W545+W547</f>
        <v>18318</v>
      </c>
      <c r="X544" s="299"/>
      <c r="Y544" s="299"/>
      <c r="Z544" s="299">
        <f>Z545+Z547</f>
        <v>16697</v>
      </c>
      <c r="AA544" s="299">
        <f>AA545+AA547</f>
        <v>1621</v>
      </c>
      <c r="AB544" s="299">
        <f>AB545+AB547</f>
        <v>27</v>
      </c>
      <c r="AC544" s="299">
        <f t="shared" ref="AC544:AE544" si="685">AC545+AC547</f>
        <v>8</v>
      </c>
      <c r="AD544" s="299">
        <f t="shared" si="685"/>
        <v>784</v>
      </c>
      <c r="AE544" s="299">
        <f t="shared" si="685"/>
        <v>17846</v>
      </c>
      <c r="AF544" s="321"/>
      <c r="AG544" s="314">
        <f t="shared" si="657"/>
        <v>0</v>
      </c>
      <c r="AH544" s="696">
        <f t="shared" si="658"/>
        <v>0</v>
      </c>
      <c r="AI544" s="314">
        <f t="shared" si="659"/>
        <v>0</v>
      </c>
      <c r="AJ544" s="314">
        <f t="shared" si="660"/>
        <v>0</v>
      </c>
      <c r="AK544" s="314">
        <f t="shared" si="661"/>
        <v>0</v>
      </c>
      <c r="AL544" s="314">
        <f t="shared" si="662"/>
        <v>0</v>
      </c>
      <c r="AM544" s="314">
        <f t="shared" si="663"/>
        <v>0</v>
      </c>
      <c r="AN544" s="314">
        <f t="shared" si="664"/>
        <v>0</v>
      </c>
      <c r="AO544" s="314">
        <f t="shared" si="665"/>
        <v>0</v>
      </c>
      <c r="AP544" s="314">
        <f t="shared" si="666"/>
        <v>0</v>
      </c>
    </row>
    <row r="545" spans="1:42">
      <c r="A545" s="583" t="s">
        <v>45</v>
      </c>
      <c r="B545" s="316" t="s">
        <v>841</v>
      </c>
      <c r="C545" s="304"/>
      <c r="D545" s="303">
        <f t="shared" ref="D545:H545" si="686">D546</f>
        <v>368</v>
      </c>
      <c r="E545" s="303">
        <f>E546</f>
        <v>312</v>
      </c>
      <c r="F545" s="303">
        <f>F546</f>
        <v>304</v>
      </c>
      <c r="G545" s="303">
        <f>F545-D545</f>
        <v>-64</v>
      </c>
      <c r="H545" s="303">
        <f t="shared" si="686"/>
        <v>331</v>
      </c>
      <c r="I545" s="303">
        <f>M545+P545</f>
        <v>331</v>
      </c>
      <c r="J545" s="311">
        <f t="shared" ref="J545:O545" si="687">J546</f>
        <v>3</v>
      </c>
      <c r="K545" s="311">
        <f t="shared" si="687"/>
        <v>2</v>
      </c>
      <c r="L545" s="311">
        <f t="shared" si="687"/>
        <v>1</v>
      </c>
      <c r="M545" s="303">
        <f t="shared" si="687"/>
        <v>238</v>
      </c>
      <c r="N545" s="311">
        <f t="shared" si="687"/>
        <v>183</v>
      </c>
      <c r="O545" s="311">
        <f t="shared" si="687"/>
        <v>55</v>
      </c>
      <c r="P545" s="303">
        <f t="shared" ref="P545:P547" si="688">S545+T545</f>
        <v>93</v>
      </c>
      <c r="Q545" s="311"/>
      <c r="R545" s="311"/>
      <c r="S545" s="303">
        <f>S546</f>
        <v>93</v>
      </c>
      <c r="T545" s="303">
        <f t="shared" ref="T545:AE545" si="689">T546</f>
        <v>0</v>
      </c>
      <c r="U545" s="303">
        <f t="shared" si="689"/>
        <v>0</v>
      </c>
      <c r="V545" s="303">
        <f t="shared" si="689"/>
        <v>0</v>
      </c>
      <c r="W545" s="303">
        <f>W546</f>
        <v>0</v>
      </c>
      <c r="X545" s="303"/>
      <c r="Y545" s="303"/>
      <c r="Z545" s="303">
        <f t="shared" si="689"/>
        <v>0</v>
      </c>
      <c r="AA545" s="303">
        <f>AA546</f>
        <v>0</v>
      </c>
      <c r="AB545" s="303">
        <f>AB546</f>
        <v>27</v>
      </c>
      <c r="AC545" s="303">
        <f t="shared" si="689"/>
        <v>8</v>
      </c>
      <c r="AD545" s="303">
        <f t="shared" si="689"/>
        <v>7</v>
      </c>
      <c r="AE545" s="303">
        <f t="shared" si="689"/>
        <v>305</v>
      </c>
      <c r="AF545" s="317"/>
      <c r="AG545" s="314">
        <f t="shared" si="657"/>
        <v>0</v>
      </c>
      <c r="AH545" s="696">
        <f t="shared" si="658"/>
        <v>0</v>
      </c>
      <c r="AI545" s="314">
        <f t="shared" si="659"/>
        <v>0</v>
      </c>
      <c r="AJ545" s="314">
        <f t="shared" si="660"/>
        <v>0</v>
      </c>
      <c r="AK545" s="314">
        <f t="shared" si="661"/>
        <v>0</v>
      </c>
      <c r="AL545" s="314">
        <f t="shared" si="662"/>
        <v>0</v>
      </c>
      <c r="AM545" s="314">
        <f t="shared" si="663"/>
        <v>0</v>
      </c>
      <c r="AN545" s="314">
        <f t="shared" si="664"/>
        <v>0</v>
      </c>
      <c r="AO545" s="314">
        <f t="shared" si="665"/>
        <v>0</v>
      </c>
      <c r="AP545" s="314">
        <f t="shared" si="666"/>
        <v>0</v>
      </c>
    </row>
    <row r="546" spans="1:42" outlineLevel="1">
      <c r="A546" s="583" t="s">
        <v>23</v>
      </c>
      <c r="B546" s="316" t="s">
        <v>1035</v>
      </c>
      <c r="C546" s="317"/>
      <c r="D546" s="304">
        <v>368</v>
      </c>
      <c r="E546" s="304">
        <f t="shared" ref="E546:E575" si="690">F546+AC546</f>
        <v>312</v>
      </c>
      <c r="F546" s="304">
        <f>H546-AB546</f>
        <v>304</v>
      </c>
      <c r="G546" s="304">
        <f>F546-D546</f>
        <v>-64</v>
      </c>
      <c r="H546" s="303">
        <f t="shared" ref="H546" si="691">I546+W546</f>
        <v>331</v>
      </c>
      <c r="I546" s="303">
        <f>M546+P546</f>
        <v>331</v>
      </c>
      <c r="J546" s="311">
        <v>3</v>
      </c>
      <c r="K546" s="311">
        <v>2</v>
      </c>
      <c r="L546" s="294">
        <f>J546-K546</f>
        <v>1</v>
      </c>
      <c r="M546" s="304">
        <f>N546+O546</f>
        <v>238</v>
      </c>
      <c r="N546" s="294">
        <v>183</v>
      </c>
      <c r="O546" s="294">
        <v>55</v>
      </c>
      <c r="P546" s="303">
        <f t="shared" si="688"/>
        <v>93</v>
      </c>
      <c r="Q546" s="294">
        <v>31</v>
      </c>
      <c r="R546" s="312">
        <v>1</v>
      </c>
      <c r="S546" s="303">
        <f>ROUND(J546*Q546*R546,0)</f>
        <v>93</v>
      </c>
      <c r="T546" s="303">
        <f>U546+V546</f>
        <v>0</v>
      </c>
      <c r="U546" s="304"/>
      <c r="V546" s="304"/>
      <c r="W546" s="303">
        <f>Z546+AA546</f>
        <v>0</v>
      </c>
      <c r="X546" s="303"/>
      <c r="Y546" s="303"/>
      <c r="Z546" s="304"/>
      <c r="AA546" s="304"/>
      <c r="AB546" s="304">
        <v>27</v>
      </c>
      <c r="AC546" s="304">
        <v>8</v>
      </c>
      <c r="AD546" s="304">
        <v>7</v>
      </c>
      <c r="AE546" s="303">
        <f>E546-AD546</f>
        <v>305</v>
      </c>
      <c r="AF546" s="317"/>
      <c r="AG546" s="314">
        <f t="shared" si="657"/>
        <v>0</v>
      </c>
      <c r="AH546" s="696">
        <f t="shared" si="658"/>
        <v>0</v>
      </c>
      <c r="AI546" s="314">
        <f t="shared" si="659"/>
        <v>0</v>
      </c>
      <c r="AJ546" s="314">
        <f t="shared" si="660"/>
        <v>0</v>
      </c>
      <c r="AK546" s="314">
        <f t="shared" si="661"/>
        <v>0</v>
      </c>
      <c r="AL546" s="314">
        <f t="shared" si="662"/>
        <v>0</v>
      </c>
      <c r="AM546" s="314">
        <f t="shared" si="663"/>
        <v>0</v>
      </c>
      <c r="AN546" s="314">
        <f t="shared" si="664"/>
        <v>0</v>
      </c>
      <c r="AO546" s="314">
        <f t="shared" si="665"/>
        <v>0</v>
      </c>
      <c r="AP546" s="314">
        <f t="shared" si="666"/>
        <v>0</v>
      </c>
    </row>
    <row r="547" spans="1:42">
      <c r="A547" s="583" t="s">
        <v>47</v>
      </c>
      <c r="B547" s="316" t="s">
        <v>854</v>
      </c>
      <c r="C547" s="302"/>
      <c r="D547" s="304">
        <v>16697</v>
      </c>
      <c r="E547" s="304">
        <f>F547+AC547</f>
        <v>18318</v>
      </c>
      <c r="F547" s="304">
        <f>H547-AB547</f>
        <v>18318</v>
      </c>
      <c r="G547" s="304">
        <f>F547-D547</f>
        <v>1621</v>
      </c>
      <c r="H547" s="303">
        <f>I547+W547</f>
        <v>18318</v>
      </c>
      <c r="I547" s="303">
        <f t="shared" ref="I547" si="692">M547+P547</f>
        <v>0</v>
      </c>
      <c r="J547" s="311"/>
      <c r="K547" s="311"/>
      <c r="L547" s="311"/>
      <c r="M547" s="303"/>
      <c r="N547" s="311"/>
      <c r="O547" s="311"/>
      <c r="P547" s="303">
        <f t="shared" si="688"/>
        <v>0</v>
      </c>
      <c r="Q547" s="311"/>
      <c r="R547" s="312"/>
      <c r="S547" s="304"/>
      <c r="T547" s="303">
        <f t="shared" ref="T547" si="693">U547+V547</f>
        <v>0</v>
      </c>
      <c r="U547" s="304"/>
      <c r="V547" s="304"/>
      <c r="W547" s="303">
        <f>Z547+AA547</f>
        <v>18318</v>
      </c>
      <c r="X547" s="303"/>
      <c r="Y547" s="303"/>
      <c r="Z547" s="303">
        <f>Z548+Z556+Z557+Z558+Z559+Z562+Z563+Z564+Z565+Z566+Z567+Z568+Z569</f>
        <v>16697</v>
      </c>
      <c r="AA547" s="303">
        <f>AA548+AA564+AA568+AA570+AA571+AA572+AA573+AA574+AA566+AA575+AA558</f>
        <v>1621</v>
      </c>
      <c r="AB547" s="303"/>
      <c r="AC547" s="303"/>
      <c r="AD547" s="303">
        <v>777</v>
      </c>
      <c r="AE547" s="303">
        <f>E547-AD547</f>
        <v>17541</v>
      </c>
      <c r="AF547" s="317"/>
      <c r="AG547" s="314">
        <f t="shared" si="657"/>
        <v>0</v>
      </c>
      <c r="AH547" s="696">
        <f t="shared" si="658"/>
        <v>0</v>
      </c>
      <c r="AI547" s="314">
        <f t="shared" si="659"/>
        <v>0</v>
      </c>
      <c r="AJ547" s="314">
        <f t="shared" si="660"/>
        <v>0</v>
      </c>
      <c r="AK547" s="314">
        <f t="shared" si="661"/>
        <v>0</v>
      </c>
      <c r="AL547" s="314">
        <f t="shared" si="662"/>
        <v>0</v>
      </c>
      <c r="AM547" s="314">
        <f t="shared" si="663"/>
        <v>0</v>
      </c>
      <c r="AN547" s="314">
        <f t="shared" si="664"/>
        <v>0</v>
      </c>
      <c r="AO547" s="314">
        <f t="shared" si="665"/>
        <v>0</v>
      </c>
      <c r="AP547" s="314">
        <f t="shared" si="666"/>
        <v>0</v>
      </c>
    </row>
    <row r="548" spans="1:42" ht="151.80000000000001" outlineLevel="1">
      <c r="A548" s="583" t="s">
        <v>23</v>
      </c>
      <c r="B548" s="1273" t="s">
        <v>1483</v>
      </c>
      <c r="C548" s="302"/>
      <c r="D548" s="303">
        <v>936</v>
      </c>
      <c r="E548" s="303">
        <f t="shared" si="690"/>
        <v>1031</v>
      </c>
      <c r="F548" s="303">
        <f>SUM(F549:F555)</f>
        <v>1031</v>
      </c>
      <c r="G548" s="303">
        <f>SUM(G549:G555)</f>
        <v>95</v>
      </c>
      <c r="H548" s="303">
        <f t="shared" ref="H548:AB548" si="694">SUM(H549:H555)</f>
        <v>1031</v>
      </c>
      <c r="I548" s="303">
        <f t="shared" si="694"/>
        <v>0</v>
      </c>
      <c r="J548" s="303">
        <f t="shared" si="694"/>
        <v>0</v>
      </c>
      <c r="K548" s="303">
        <f t="shared" si="694"/>
        <v>0</v>
      </c>
      <c r="L548" s="303">
        <f t="shared" si="694"/>
        <v>0</v>
      </c>
      <c r="M548" s="303">
        <f t="shared" si="694"/>
        <v>0</v>
      </c>
      <c r="N548" s="303">
        <f t="shared" si="694"/>
        <v>0</v>
      </c>
      <c r="O548" s="303">
        <f t="shared" si="694"/>
        <v>0</v>
      </c>
      <c r="P548" s="303">
        <f t="shared" si="694"/>
        <v>0</v>
      </c>
      <c r="Q548" s="303">
        <f t="shared" si="694"/>
        <v>0</v>
      </c>
      <c r="R548" s="303">
        <f t="shared" si="694"/>
        <v>0</v>
      </c>
      <c r="S548" s="303">
        <f t="shared" si="694"/>
        <v>0</v>
      </c>
      <c r="T548" s="303">
        <f t="shared" si="694"/>
        <v>0</v>
      </c>
      <c r="U548" s="303">
        <f t="shared" si="694"/>
        <v>0</v>
      </c>
      <c r="V548" s="303">
        <f t="shared" si="694"/>
        <v>0</v>
      </c>
      <c r="W548" s="303">
        <f t="shared" si="694"/>
        <v>1031</v>
      </c>
      <c r="X548" s="303">
        <f t="shared" si="694"/>
        <v>0</v>
      </c>
      <c r="Y548" s="303">
        <f t="shared" si="694"/>
        <v>0</v>
      </c>
      <c r="Z548" s="303">
        <f t="shared" si="694"/>
        <v>936</v>
      </c>
      <c r="AA548" s="303">
        <f t="shared" si="694"/>
        <v>95</v>
      </c>
      <c r="AB548" s="303">
        <f t="shared" si="694"/>
        <v>0</v>
      </c>
      <c r="AC548" s="303"/>
      <c r="AD548" s="303"/>
      <c r="AE548" s="303"/>
      <c r="AF548" s="1293"/>
      <c r="AG548" s="314">
        <f t="shared" si="657"/>
        <v>0</v>
      </c>
      <c r="AH548" s="696">
        <f t="shared" si="658"/>
        <v>0</v>
      </c>
      <c r="AI548" s="314">
        <f t="shared" si="659"/>
        <v>0</v>
      </c>
      <c r="AJ548" s="314">
        <f t="shared" si="660"/>
        <v>0</v>
      </c>
      <c r="AK548" s="314">
        <f t="shared" si="661"/>
        <v>0</v>
      </c>
      <c r="AL548" s="314">
        <f t="shared" si="662"/>
        <v>0</v>
      </c>
      <c r="AM548" s="314">
        <f t="shared" si="663"/>
        <v>0</v>
      </c>
      <c r="AN548" s="314">
        <f t="shared" si="664"/>
        <v>0</v>
      </c>
      <c r="AO548" s="314">
        <f t="shared" si="665"/>
        <v>0</v>
      </c>
      <c r="AP548" s="314">
        <f t="shared" si="666"/>
        <v>0</v>
      </c>
    </row>
    <row r="549" spans="1:42" ht="55.2" outlineLevel="2">
      <c r="A549" s="596" t="s">
        <v>281</v>
      </c>
      <c r="B549" s="316" t="s">
        <v>1434</v>
      </c>
      <c r="C549" s="302"/>
      <c r="D549" s="304">
        <v>280</v>
      </c>
      <c r="E549" s="304">
        <f t="shared" si="690"/>
        <v>280</v>
      </c>
      <c r="F549" s="304">
        <f t="shared" ref="F549:F575" si="695">H549-AB549</f>
        <v>280</v>
      </c>
      <c r="G549" s="304">
        <f t="shared" ref="G549:G579" si="696">F549-D549</f>
        <v>0</v>
      </c>
      <c r="H549" s="303">
        <f t="shared" ref="H549:H568" si="697">I549+W549</f>
        <v>280</v>
      </c>
      <c r="I549" s="303">
        <f>M549+P549</f>
        <v>0</v>
      </c>
      <c r="J549" s="311"/>
      <c r="K549" s="311"/>
      <c r="L549" s="311"/>
      <c r="M549" s="303"/>
      <c r="N549" s="311"/>
      <c r="O549" s="311"/>
      <c r="P549" s="303">
        <f t="shared" ref="P549:P550" si="698">S549+T549</f>
        <v>0</v>
      </c>
      <c r="Q549" s="311"/>
      <c r="R549" s="312"/>
      <c r="S549" s="304"/>
      <c r="T549" s="303">
        <f>U549+V549</f>
        <v>0</v>
      </c>
      <c r="U549" s="304"/>
      <c r="V549" s="304"/>
      <c r="W549" s="303">
        <f t="shared" ref="W549:W568" si="699">Z549+AA549</f>
        <v>280</v>
      </c>
      <c r="X549" s="303"/>
      <c r="Y549" s="303"/>
      <c r="Z549" s="303">
        <f>224+56</f>
        <v>280</v>
      </c>
      <c r="AA549" s="303"/>
      <c r="AB549" s="303"/>
      <c r="AC549" s="303"/>
      <c r="AD549" s="303"/>
      <c r="AE549" s="303"/>
      <c r="AF549" s="317" t="s">
        <v>1753</v>
      </c>
      <c r="AG549" s="314">
        <f t="shared" si="657"/>
        <v>0</v>
      </c>
      <c r="AH549" s="696">
        <f t="shared" si="658"/>
        <v>0</v>
      </c>
      <c r="AI549" s="314">
        <f t="shared" si="659"/>
        <v>0</v>
      </c>
      <c r="AJ549" s="314">
        <f t="shared" si="660"/>
        <v>0</v>
      </c>
      <c r="AK549" s="314">
        <f t="shared" si="661"/>
        <v>0</v>
      </c>
      <c r="AL549" s="314">
        <f t="shared" si="662"/>
        <v>0</v>
      </c>
      <c r="AM549" s="314">
        <f t="shared" si="663"/>
        <v>0</v>
      </c>
      <c r="AN549" s="314">
        <f t="shared" si="664"/>
        <v>0</v>
      </c>
      <c r="AO549" s="314">
        <f t="shared" si="665"/>
        <v>0</v>
      </c>
      <c r="AP549" s="314">
        <f t="shared" si="666"/>
        <v>0</v>
      </c>
    </row>
    <row r="550" spans="1:42" ht="27.6" outlineLevel="2">
      <c r="A550" s="596" t="s">
        <v>281</v>
      </c>
      <c r="B550" s="316" t="s">
        <v>1036</v>
      </c>
      <c r="C550" s="304"/>
      <c r="D550" s="304">
        <v>195</v>
      </c>
      <c r="E550" s="304">
        <f t="shared" si="690"/>
        <v>195</v>
      </c>
      <c r="F550" s="304">
        <f t="shared" si="695"/>
        <v>195</v>
      </c>
      <c r="G550" s="304">
        <f t="shared" si="696"/>
        <v>0</v>
      </c>
      <c r="H550" s="303">
        <f t="shared" si="697"/>
        <v>195</v>
      </c>
      <c r="I550" s="303">
        <f>M550+P550</f>
        <v>0</v>
      </c>
      <c r="J550" s="311"/>
      <c r="K550" s="311"/>
      <c r="L550" s="311"/>
      <c r="M550" s="303"/>
      <c r="N550" s="311"/>
      <c r="O550" s="311"/>
      <c r="P550" s="303">
        <f t="shared" si="698"/>
        <v>0</v>
      </c>
      <c r="Q550" s="311"/>
      <c r="R550" s="312"/>
      <c r="S550" s="304"/>
      <c r="T550" s="303">
        <f>U550+V550</f>
        <v>0</v>
      </c>
      <c r="U550" s="304"/>
      <c r="V550" s="304"/>
      <c r="W550" s="303">
        <f t="shared" si="699"/>
        <v>195</v>
      </c>
      <c r="X550" s="303"/>
      <c r="Y550" s="303"/>
      <c r="Z550" s="304">
        <f>156+39</f>
        <v>195</v>
      </c>
      <c r="AA550" s="304"/>
      <c r="AB550" s="304"/>
      <c r="AC550" s="304"/>
      <c r="AD550" s="304"/>
      <c r="AE550" s="304"/>
      <c r="AF550" s="317" t="s">
        <v>1754</v>
      </c>
      <c r="AG550" s="314">
        <f t="shared" si="657"/>
        <v>0</v>
      </c>
      <c r="AH550" s="696">
        <f t="shared" si="658"/>
        <v>0</v>
      </c>
      <c r="AI550" s="314">
        <f t="shared" si="659"/>
        <v>0</v>
      </c>
      <c r="AJ550" s="314">
        <f t="shared" si="660"/>
        <v>0</v>
      </c>
      <c r="AK550" s="314">
        <f t="shared" si="661"/>
        <v>0</v>
      </c>
      <c r="AL550" s="314">
        <f t="shared" si="662"/>
        <v>0</v>
      </c>
      <c r="AM550" s="314">
        <f t="shared" si="663"/>
        <v>0</v>
      </c>
      <c r="AN550" s="314">
        <f t="shared" si="664"/>
        <v>0</v>
      </c>
      <c r="AO550" s="314">
        <f t="shared" si="665"/>
        <v>0</v>
      </c>
      <c r="AP550" s="314">
        <f t="shared" si="666"/>
        <v>0</v>
      </c>
    </row>
    <row r="551" spans="1:42" ht="82.8" outlineLevel="2">
      <c r="A551" s="596" t="s">
        <v>281</v>
      </c>
      <c r="B551" s="316" t="s">
        <v>1627</v>
      </c>
      <c r="C551" s="304"/>
      <c r="D551" s="304">
        <v>160</v>
      </c>
      <c r="E551" s="304">
        <f t="shared" si="690"/>
        <v>160</v>
      </c>
      <c r="F551" s="304">
        <f t="shared" si="695"/>
        <v>160</v>
      </c>
      <c r="G551" s="304">
        <f t="shared" si="696"/>
        <v>0</v>
      </c>
      <c r="H551" s="303">
        <f t="shared" si="697"/>
        <v>160</v>
      </c>
      <c r="I551" s="303"/>
      <c r="J551" s="311"/>
      <c r="K551" s="311"/>
      <c r="L551" s="311"/>
      <c r="M551" s="303"/>
      <c r="N551" s="311"/>
      <c r="O551" s="311"/>
      <c r="P551" s="303"/>
      <c r="Q551" s="311"/>
      <c r="R551" s="312"/>
      <c r="S551" s="304"/>
      <c r="T551" s="303"/>
      <c r="U551" s="304"/>
      <c r="V551" s="304"/>
      <c r="W551" s="303">
        <f t="shared" si="699"/>
        <v>160</v>
      </c>
      <c r="X551" s="303"/>
      <c r="Y551" s="303"/>
      <c r="Z551" s="304">
        <v>160</v>
      </c>
      <c r="AA551" s="304"/>
      <c r="AB551" s="304"/>
      <c r="AC551" s="304"/>
      <c r="AD551" s="304"/>
      <c r="AE551" s="304"/>
      <c r="AF551" s="317" t="s">
        <v>1755</v>
      </c>
      <c r="AG551" s="314">
        <f t="shared" si="657"/>
        <v>0</v>
      </c>
      <c r="AH551" s="696">
        <f t="shared" si="658"/>
        <v>0</v>
      </c>
      <c r="AI551" s="314">
        <f t="shared" si="659"/>
        <v>0</v>
      </c>
      <c r="AJ551" s="314">
        <f t="shared" si="660"/>
        <v>0</v>
      </c>
      <c r="AK551" s="314">
        <f t="shared" si="661"/>
        <v>0</v>
      </c>
      <c r="AL551" s="314">
        <f t="shared" si="662"/>
        <v>0</v>
      </c>
      <c r="AM551" s="314">
        <f t="shared" si="663"/>
        <v>0</v>
      </c>
      <c r="AN551" s="314">
        <f t="shared" si="664"/>
        <v>0</v>
      </c>
      <c r="AO551" s="314">
        <f t="shared" si="665"/>
        <v>0</v>
      </c>
      <c r="AP551" s="314">
        <f t="shared" si="666"/>
        <v>0</v>
      </c>
    </row>
    <row r="552" spans="1:42" ht="27.6" outlineLevel="2">
      <c r="A552" s="597" t="s">
        <v>281</v>
      </c>
      <c r="B552" s="316" t="s">
        <v>1037</v>
      </c>
      <c r="C552" s="304"/>
      <c r="D552" s="304">
        <v>100</v>
      </c>
      <c r="E552" s="304">
        <f t="shared" si="690"/>
        <v>150</v>
      </c>
      <c r="F552" s="304">
        <f t="shared" si="695"/>
        <v>150</v>
      </c>
      <c r="G552" s="304">
        <f t="shared" si="696"/>
        <v>50</v>
      </c>
      <c r="H552" s="303">
        <f t="shared" si="697"/>
        <v>150</v>
      </c>
      <c r="I552" s="303"/>
      <c r="J552" s="311"/>
      <c r="K552" s="311"/>
      <c r="L552" s="311"/>
      <c r="M552" s="303"/>
      <c r="N552" s="311"/>
      <c r="O552" s="311"/>
      <c r="P552" s="303"/>
      <c r="Q552" s="311"/>
      <c r="R552" s="312"/>
      <c r="S552" s="304"/>
      <c r="T552" s="303"/>
      <c r="U552" s="304"/>
      <c r="V552" s="304"/>
      <c r="W552" s="303">
        <f t="shared" si="699"/>
        <v>150</v>
      </c>
      <c r="X552" s="303"/>
      <c r="Y552" s="303"/>
      <c r="Z552" s="304">
        <f>89+11</f>
        <v>100</v>
      </c>
      <c r="AA552" s="304">
        <v>50</v>
      </c>
      <c r="AB552" s="304"/>
      <c r="AC552" s="304"/>
      <c r="AD552" s="304"/>
      <c r="AE552" s="304"/>
      <c r="AF552" s="317" t="s">
        <v>2322</v>
      </c>
      <c r="AG552" s="314">
        <f t="shared" si="657"/>
        <v>0</v>
      </c>
      <c r="AH552" s="696">
        <f t="shared" si="658"/>
        <v>0</v>
      </c>
      <c r="AI552" s="314">
        <f t="shared" si="659"/>
        <v>0</v>
      </c>
      <c r="AJ552" s="314">
        <f t="shared" si="660"/>
        <v>0</v>
      </c>
      <c r="AK552" s="314">
        <f t="shared" si="661"/>
        <v>0</v>
      </c>
      <c r="AL552" s="314">
        <f t="shared" si="662"/>
        <v>0</v>
      </c>
      <c r="AM552" s="314">
        <f t="shared" si="663"/>
        <v>0</v>
      </c>
      <c r="AN552" s="314">
        <f t="shared" si="664"/>
        <v>0</v>
      </c>
      <c r="AO552" s="314">
        <f t="shared" si="665"/>
        <v>0</v>
      </c>
      <c r="AP552" s="314">
        <f t="shared" si="666"/>
        <v>0</v>
      </c>
    </row>
    <row r="553" spans="1:42" outlineLevel="2">
      <c r="A553" s="596" t="s">
        <v>281</v>
      </c>
      <c r="B553" s="316" t="s">
        <v>1038</v>
      </c>
      <c r="C553" s="304"/>
      <c r="D553" s="304">
        <v>101</v>
      </c>
      <c r="E553" s="304">
        <f t="shared" si="690"/>
        <v>101</v>
      </c>
      <c r="F553" s="304">
        <f t="shared" si="695"/>
        <v>101</v>
      </c>
      <c r="G553" s="304">
        <f t="shared" si="696"/>
        <v>0</v>
      </c>
      <c r="H553" s="303">
        <f t="shared" si="697"/>
        <v>101</v>
      </c>
      <c r="I553" s="303"/>
      <c r="J553" s="311"/>
      <c r="K553" s="311"/>
      <c r="L553" s="311"/>
      <c r="M553" s="303"/>
      <c r="N553" s="311"/>
      <c r="O553" s="311"/>
      <c r="P553" s="303"/>
      <c r="Q553" s="311"/>
      <c r="R553" s="312"/>
      <c r="S553" s="303"/>
      <c r="T553" s="303"/>
      <c r="U553" s="303"/>
      <c r="V553" s="303"/>
      <c r="W553" s="303">
        <f t="shared" si="699"/>
        <v>101</v>
      </c>
      <c r="X553" s="303"/>
      <c r="Y553" s="303"/>
      <c r="Z553" s="303">
        <v>101</v>
      </c>
      <c r="AA553" s="303"/>
      <c r="AB553" s="304"/>
      <c r="AC553" s="304"/>
      <c r="AD553" s="304"/>
      <c r="AE553" s="304"/>
      <c r="AF553" s="317" t="s">
        <v>2162</v>
      </c>
      <c r="AG553" s="314">
        <f t="shared" si="657"/>
        <v>0</v>
      </c>
      <c r="AH553" s="696">
        <f t="shared" si="658"/>
        <v>0</v>
      </c>
      <c r="AI553" s="314">
        <f t="shared" si="659"/>
        <v>0</v>
      </c>
      <c r="AJ553" s="314">
        <f t="shared" si="660"/>
        <v>0</v>
      </c>
      <c r="AK553" s="314">
        <f t="shared" si="661"/>
        <v>0</v>
      </c>
      <c r="AL553" s="314">
        <f t="shared" si="662"/>
        <v>0</v>
      </c>
      <c r="AM553" s="314">
        <f t="shared" si="663"/>
        <v>0</v>
      </c>
      <c r="AN553" s="314">
        <f t="shared" si="664"/>
        <v>0</v>
      </c>
      <c r="AO553" s="314">
        <f t="shared" si="665"/>
        <v>0</v>
      </c>
      <c r="AP553" s="314">
        <f t="shared" si="666"/>
        <v>0</v>
      </c>
    </row>
    <row r="554" spans="1:42" ht="55.2" outlineLevel="2">
      <c r="A554" s="596" t="s">
        <v>281</v>
      </c>
      <c r="B554" s="1273" t="s">
        <v>1039</v>
      </c>
      <c r="C554" s="304"/>
      <c r="D554" s="304">
        <v>20</v>
      </c>
      <c r="E554" s="304">
        <f t="shared" si="690"/>
        <v>20</v>
      </c>
      <c r="F554" s="304">
        <f t="shared" si="695"/>
        <v>20</v>
      </c>
      <c r="G554" s="304">
        <f t="shared" si="696"/>
        <v>0</v>
      </c>
      <c r="H554" s="303">
        <f t="shared" si="697"/>
        <v>20</v>
      </c>
      <c r="I554" s="303"/>
      <c r="J554" s="311"/>
      <c r="K554" s="311"/>
      <c r="L554" s="311"/>
      <c r="M554" s="303"/>
      <c r="N554" s="311"/>
      <c r="O554" s="311"/>
      <c r="P554" s="303"/>
      <c r="Q554" s="311"/>
      <c r="R554" s="312"/>
      <c r="S554" s="303"/>
      <c r="T554" s="303"/>
      <c r="U554" s="303"/>
      <c r="V554" s="303"/>
      <c r="W554" s="303">
        <f t="shared" si="699"/>
        <v>20</v>
      </c>
      <c r="X554" s="303"/>
      <c r="Y554" s="303"/>
      <c r="Z554" s="303">
        <f>18+2</f>
        <v>20</v>
      </c>
      <c r="AA554" s="303"/>
      <c r="AB554" s="304"/>
      <c r="AC554" s="304"/>
      <c r="AD554" s="304"/>
      <c r="AE554" s="304"/>
      <c r="AF554" s="1293" t="s">
        <v>1756</v>
      </c>
      <c r="AG554" s="314">
        <f t="shared" si="657"/>
        <v>0</v>
      </c>
      <c r="AH554" s="696">
        <f t="shared" si="658"/>
        <v>0</v>
      </c>
      <c r="AI554" s="314">
        <f t="shared" si="659"/>
        <v>0</v>
      </c>
      <c r="AJ554" s="314">
        <f t="shared" si="660"/>
        <v>0</v>
      </c>
      <c r="AK554" s="314">
        <f t="shared" si="661"/>
        <v>0</v>
      </c>
      <c r="AL554" s="314">
        <f t="shared" si="662"/>
        <v>0</v>
      </c>
      <c r="AM554" s="314">
        <f t="shared" si="663"/>
        <v>0</v>
      </c>
      <c r="AN554" s="314">
        <f t="shared" si="664"/>
        <v>0</v>
      </c>
      <c r="AO554" s="314">
        <f t="shared" si="665"/>
        <v>0</v>
      </c>
      <c r="AP554" s="314">
        <f t="shared" si="666"/>
        <v>0</v>
      </c>
    </row>
    <row r="555" spans="1:42" ht="41.4" outlineLevel="2">
      <c r="A555" s="596" t="s">
        <v>281</v>
      </c>
      <c r="B555" s="1273" t="s">
        <v>2163</v>
      </c>
      <c r="C555" s="304"/>
      <c r="D555" s="304">
        <v>80</v>
      </c>
      <c r="E555" s="304">
        <f t="shared" si="690"/>
        <v>125</v>
      </c>
      <c r="F555" s="304">
        <f t="shared" si="695"/>
        <v>125</v>
      </c>
      <c r="G555" s="304">
        <f t="shared" si="696"/>
        <v>45</v>
      </c>
      <c r="H555" s="303">
        <f t="shared" si="697"/>
        <v>125</v>
      </c>
      <c r="I555" s="303"/>
      <c r="J555" s="311"/>
      <c r="K555" s="311"/>
      <c r="L555" s="311"/>
      <c r="M555" s="303"/>
      <c r="N555" s="311"/>
      <c r="O555" s="311"/>
      <c r="P555" s="303"/>
      <c r="Q555" s="311"/>
      <c r="R555" s="312"/>
      <c r="S555" s="303"/>
      <c r="T555" s="303"/>
      <c r="U555" s="303"/>
      <c r="V555" s="303"/>
      <c r="W555" s="303">
        <f t="shared" si="699"/>
        <v>125</v>
      </c>
      <c r="X555" s="303"/>
      <c r="Y555" s="303"/>
      <c r="Z555" s="303">
        <v>80</v>
      </c>
      <c r="AA555" s="303">
        <v>45</v>
      </c>
      <c r="AB555" s="304"/>
      <c r="AC555" s="304"/>
      <c r="AD555" s="304"/>
      <c r="AE555" s="304"/>
      <c r="AF555" s="1293" t="s">
        <v>2323</v>
      </c>
      <c r="AG555" s="314">
        <f t="shared" si="657"/>
        <v>0</v>
      </c>
      <c r="AH555" s="696">
        <f t="shared" si="658"/>
        <v>0</v>
      </c>
      <c r="AI555" s="314">
        <f t="shared" si="659"/>
        <v>0</v>
      </c>
      <c r="AJ555" s="314">
        <f t="shared" si="660"/>
        <v>0</v>
      </c>
      <c r="AK555" s="314">
        <f t="shared" si="661"/>
        <v>0</v>
      </c>
      <c r="AL555" s="314">
        <f t="shared" si="662"/>
        <v>0</v>
      </c>
      <c r="AM555" s="314">
        <f t="shared" si="663"/>
        <v>0</v>
      </c>
      <c r="AN555" s="314">
        <f t="shared" si="664"/>
        <v>0</v>
      </c>
      <c r="AO555" s="314">
        <f t="shared" si="665"/>
        <v>0</v>
      </c>
      <c r="AP555" s="314">
        <f t="shared" si="666"/>
        <v>0</v>
      </c>
    </row>
    <row r="556" spans="1:42" ht="27.6" outlineLevel="1">
      <c r="A556" s="596" t="s">
        <v>23</v>
      </c>
      <c r="B556" s="1273" t="s">
        <v>1040</v>
      </c>
      <c r="C556" s="304"/>
      <c r="D556" s="304">
        <v>1517</v>
      </c>
      <c r="E556" s="304">
        <f t="shared" si="690"/>
        <v>1517</v>
      </c>
      <c r="F556" s="304">
        <f t="shared" si="695"/>
        <v>1517</v>
      </c>
      <c r="G556" s="304">
        <f t="shared" si="696"/>
        <v>0</v>
      </c>
      <c r="H556" s="303">
        <f t="shared" si="697"/>
        <v>1517</v>
      </c>
      <c r="I556" s="303"/>
      <c r="J556" s="311"/>
      <c r="K556" s="311"/>
      <c r="L556" s="311"/>
      <c r="M556" s="303"/>
      <c r="N556" s="311"/>
      <c r="O556" s="311"/>
      <c r="P556" s="303"/>
      <c r="Q556" s="311"/>
      <c r="R556" s="312"/>
      <c r="S556" s="303"/>
      <c r="T556" s="303"/>
      <c r="U556" s="303"/>
      <c r="V556" s="303"/>
      <c r="W556" s="303">
        <f t="shared" si="699"/>
        <v>1517</v>
      </c>
      <c r="X556" s="303"/>
      <c r="Y556" s="303"/>
      <c r="Z556" s="303">
        <v>1517</v>
      </c>
      <c r="AA556" s="303"/>
      <c r="AB556" s="304"/>
      <c r="AC556" s="304"/>
      <c r="AD556" s="304"/>
      <c r="AE556" s="304"/>
      <c r="AF556" s="1293" t="s">
        <v>1757</v>
      </c>
      <c r="AG556" s="314">
        <f t="shared" si="657"/>
        <v>0</v>
      </c>
      <c r="AH556" s="696">
        <f t="shared" si="658"/>
        <v>0</v>
      </c>
      <c r="AI556" s="314">
        <f t="shared" si="659"/>
        <v>0</v>
      </c>
      <c r="AJ556" s="314">
        <f t="shared" si="660"/>
        <v>0</v>
      </c>
      <c r="AK556" s="314">
        <f t="shared" si="661"/>
        <v>0</v>
      </c>
      <c r="AL556" s="314">
        <f t="shared" si="662"/>
        <v>0</v>
      </c>
      <c r="AM556" s="314">
        <f t="shared" si="663"/>
        <v>0</v>
      </c>
      <c r="AN556" s="314">
        <f t="shared" si="664"/>
        <v>0</v>
      </c>
      <c r="AO556" s="314">
        <f t="shared" si="665"/>
        <v>0</v>
      </c>
      <c r="AP556" s="314">
        <f t="shared" si="666"/>
        <v>0</v>
      </c>
    </row>
    <row r="557" spans="1:42" ht="27.6" outlineLevel="1">
      <c r="A557" s="596" t="s">
        <v>23</v>
      </c>
      <c r="B557" s="1273" t="s">
        <v>1041</v>
      </c>
      <c r="C557" s="304"/>
      <c r="D557" s="304">
        <v>2217</v>
      </c>
      <c r="E557" s="304">
        <f t="shared" si="690"/>
        <v>2217</v>
      </c>
      <c r="F557" s="304">
        <f t="shared" si="695"/>
        <v>2217</v>
      </c>
      <c r="G557" s="304">
        <f t="shared" si="696"/>
        <v>0</v>
      </c>
      <c r="H557" s="303">
        <f t="shared" si="697"/>
        <v>2217</v>
      </c>
      <c r="I557" s="303"/>
      <c r="J557" s="311"/>
      <c r="K557" s="311"/>
      <c r="L557" s="311"/>
      <c r="M557" s="303"/>
      <c r="N557" s="311"/>
      <c r="O557" s="311"/>
      <c r="P557" s="303"/>
      <c r="Q557" s="311"/>
      <c r="R557" s="312"/>
      <c r="S557" s="303"/>
      <c r="T557" s="303"/>
      <c r="U557" s="303"/>
      <c r="V557" s="303"/>
      <c r="W557" s="303">
        <f t="shared" si="699"/>
        <v>2217</v>
      </c>
      <c r="X557" s="303"/>
      <c r="Y557" s="303"/>
      <c r="Z557" s="303">
        <f>1774+443</f>
        <v>2217</v>
      </c>
      <c r="AA557" s="303"/>
      <c r="AB557" s="304"/>
      <c r="AC557" s="304"/>
      <c r="AD557" s="304"/>
      <c r="AE557" s="304"/>
      <c r="AF557" s="1293" t="s">
        <v>1758</v>
      </c>
      <c r="AG557" s="314">
        <f t="shared" si="657"/>
        <v>0</v>
      </c>
      <c r="AH557" s="696">
        <f t="shared" si="658"/>
        <v>0</v>
      </c>
      <c r="AI557" s="314">
        <f t="shared" si="659"/>
        <v>0</v>
      </c>
      <c r="AJ557" s="314">
        <f t="shared" si="660"/>
        <v>0</v>
      </c>
      <c r="AK557" s="314">
        <f t="shared" si="661"/>
        <v>0</v>
      </c>
      <c r="AL557" s="314">
        <f t="shared" si="662"/>
        <v>0</v>
      </c>
      <c r="AM557" s="314">
        <f t="shared" si="663"/>
        <v>0</v>
      </c>
      <c r="AN557" s="314">
        <f t="shared" si="664"/>
        <v>0</v>
      </c>
      <c r="AO557" s="314">
        <f t="shared" si="665"/>
        <v>0</v>
      </c>
      <c r="AP557" s="314">
        <f t="shared" si="666"/>
        <v>0</v>
      </c>
    </row>
    <row r="558" spans="1:42" ht="55.2" outlineLevel="1">
      <c r="A558" s="596" t="s">
        <v>23</v>
      </c>
      <c r="B558" s="1273" t="s">
        <v>1435</v>
      </c>
      <c r="C558" s="304"/>
      <c r="D558" s="304">
        <v>3032</v>
      </c>
      <c r="E558" s="304">
        <f t="shared" si="690"/>
        <v>3121</v>
      </c>
      <c r="F558" s="304">
        <f t="shared" si="695"/>
        <v>3121</v>
      </c>
      <c r="G558" s="304">
        <f t="shared" si="696"/>
        <v>89</v>
      </c>
      <c r="H558" s="303">
        <f t="shared" si="697"/>
        <v>3121</v>
      </c>
      <c r="I558" s="303"/>
      <c r="J558" s="311"/>
      <c r="K558" s="311"/>
      <c r="L558" s="311"/>
      <c r="M558" s="303"/>
      <c r="N558" s="311"/>
      <c r="O558" s="311"/>
      <c r="P558" s="303"/>
      <c r="Q558" s="311"/>
      <c r="R558" s="312"/>
      <c r="S558" s="303"/>
      <c r="T558" s="303"/>
      <c r="U558" s="303"/>
      <c r="V558" s="303"/>
      <c r="W558" s="303">
        <f t="shared" si="699"/>
        <v>3121</v>
      </c>
      <c r="X558" s="303"/>
      <c r="Y558" s="303"/>
      <c r="Z558" s="303">
        <v>3032</v>
      </c>
      <c r="AA558" s="303">
        <v>89</v>
      </c>
      <c r="AB558" s="304"/>
      <c r="AC558" s="304"/>
      <c r="AD558" s="304"/>
      <c r="AE558" s="304"/>
      <c r="AF558" s="1293" t="s">
        <v>2514</v>
      </c>
      <c r="AG558" s="314">
        <f t="shared" si="657"/>
        <v>0</v>
      </c>
      <c r="AH558" s="696">
        <f t="shared" si="658"/>
        <v>0</v>
      </c>
      <c r="AI558" s="314">
        <f t="shared" si="659"/>
        <v>0</v>
      </c>
      <c r="AJ558" s="314">
        <f t="shared" si="660"/>
        <v>0</v>
      </c>
      <c r="AK558" s="314">
        <f t="shared" si="661"/>
        <v>0</v>
      </c>
      <c r="AL558" s="314">
        <f t="shared" si="662"/>
        <v>0</v>
      </c>
      <c r="AM558" s="314">
        <f t="shared" si="663"/>
        <v>0</v>
      </c>
      <c r="AN558" s="314">
        <f t="shared" si="664"/>
        <v>0</v>
      </c>
      <c r="AO558" s="314">
        <f t="shared" si="665"/>
        <v>0</v>
      </c>
      <c r="AP558" s="314">
        <f t="shared" si="666"/>
        <v>0</v>
      </c>
    </row>
    <row r="559" spans="1:42" ht="41.4" outlineLevel="1">
      <c r="A559" s="596" t="s">
        <v>23</v>
      </c>
      <c r="B559" s="1273" t="s">
        <v>1042</v>
      </c>
      <c r="C559" s="304"/>
      <c r="D559" s="304">
        <v>4500</v>
      </c>
      <c r="E559" s="304">
        <f t="shared" si="690"/>
        <v>4500</v>
      </c>
      <c r="F559" s="304">
        <f t="shared" si="695"/>
        <v>4500</v>
      </c>
      <c r="G559" s="304">
        <f t="shared" si="696"/>
        <v>0</v>
      </c>
      <c r="H559" s="303">
        <f t="shared" si="697"/>
        <v>4500</v>
      </c>
      <c r="I559" s="303"/>
      <c r="J559" s="311"/>
      <c r="K559" s="311"/>
      <c r="L559" s="311"/>
      <c r="M559" s="303"/>
      <c r="N559" s="311"/>
      <c r="O559" s="311"/>
      <c r="P559" s="303"/>
      <c r="Q559" s="311"/>
      <c r="R559" s="312"/>
      <c r="S559" s="303"/>
      <c r="T559" s="303"/>
      <c r="U559" s="303"/>
      <c r="V559" s="303"/>
      <c r="W559" s="303">
        <f t="shared" si="699"/>
        <v>4500</v>
      </c>
      <c r="X559" s="303"/>
      <c r="Y559" s="303"/>
      <c r="Z559" s="303">
        <v>4500</v>
      </c>
      <c r="AA559" s="303"/>
      <c r="AB559" s="304"/>
      <c r="AC559" s="304"/>
      <c r="AD559" s="304"/>
      <c r="AE559" s="304"/>
      <c r="AF559" s="1293" t="s">
        <v>1759</v>
      </c>
      <c r="AG559" s="314">
        <f t="shared" si="657"/>
        <v>0</v>
      </c>
      <c r="AH559" s="696">
        <f t="shared" si="658"/>
        <v>0</v>
      </c>
      <c r="AI559" s="314">
        <f t="shared" si="659"/>
        <v>0</v>
      </c>
      <c r="AJ559" s="314">
        <f t="shared" si="660"/>
        <v>0</v>
      </c>
      <c r="AK559" s="314">
        <f t="shared" si="661"/>
        <v>0</v>
      </c>
      <c r="AL559" s="314">
        <f t="shared" si="662"/>
        <v>0</v>
      </c>
      <c r="AM559" s="314">
        <f t="shared" si="663"/>
        <v>0</v>
      </c>
      <c r="AN559" s="314">
        <f t="shared" si="664"/>
        <v>0</v>
      </c>
      <c r="AO559" s="314">
        <f t="shared" si="665"/>
        <v>0</v>
      </c>
      <c r="AP559" s="314">
        <f t="shared" si="666"/>
        <v>0</v>
      </c>
    </row>
    <row r="560" spans="1:42" ht="27.6" hidden="1" outlineLevel="3">
      <c r="A560" s="596" t="s">
        <v>281</v>
      </c>
      <c r="B560" s="1273" t="s">
        <v>1436</v>
      </c>
      <c r="C560" s="304"/>
      <c r="D560" s="304">
        <v>4500</v>
      </c>
      <c r="E560" s="304">
        <f t="shared" si="690"/>
        <v>4500</v>
      </c>
      <c r="F560" s="304">
        <f t="shared" si="695"/>
        <v>4500</v>
      </c>
      <c r="G560" s="304">
        <f t="shared" si="696"/>
        <v>0</v>
      </c>
      <c r="H560" s="303">
        <f t="shared" si="697"/>
        <v>4500</v>
      </c>
      <c r="I560" s="303"/>
      <c r="J560" s="311"/>
      <c r="K560" s="311"/>
      <c r="L560" s="311"/>
      <c r="M560" s="303"/>
      <c r="N560" s="311"/>
      <c r="O560" s="311"/>
      <c r="P560" s="303"/>
      <c r="Q560" s="311"/>
      <c r="R560" s="312"/>
      <c r="S560" s="303"/>
      <c r="T560" s="303"/>
      <c r="U560" s="303"/>
      <c r="V560" s="303"/>
      <c r="W560" s="303">
        <f t="shared" si="699"/>
        <v>4500</v>
      </c>
      <c r="X560" s="303"/>
      <c r="Y560" s="303"/>
      <c r="Z560" s="303">
        <v>4500</v>
      </c>
      <c r="AA560" s="303"/>
      <c r="AB560" s="304"/>
      <c r="AC560" s="304"/>
      <c r="AD560" s="304"/>
      <c r="AE560" s="304"/>
      <c r="AF560" s="1293"/>
      <c r="AG560" s="314">
        <f t="shared" si="657"/>
        <v>0</v>
      </c>
      <c r="AH560" s="696">
        <f t="shared" si="658"/>
        <v>0</v>
      </c>
      <c r="AI560" s="314">
        <f t="shared" si="659"/>
        <v>0</v>
      </c>
      <c r="AJ560" s="314">
        <f t="shared" si="660"/>
        <v>0</v>
      </c>
      <c r="AK560" s="314">
        <f t="shared" si="661"/>
        <v>0</v>
      </c>
      <c r="AL560" s="314">
        <f t="shared" si="662"/>
        <v>0</v>
      </c>
      <c r="AM560" s="314">
        <f t="shared" si="663"/>
        <v>0</v>
      </c>
      <c r="AN560" s="314">
        <f t="shared" si="664"/>
        <v>0</v>
      </c>
      <c r="AO560" s="314">
        <f t="shared" si="665"/>
        <v>0</v>
      </c>
      <c r="AP560" s="314">
        <f t="shared" si="666"/>
        <v>0</v>
      </c>
    </row>
    <row r="561" spans="1:42" hidden="1" outlineLevel="3">
      <c r="A561" s="596" t="s">
        <v>281</v>
      </c>
      <c r="B561" s="1273" t="s">
        <v>1043</v>
      </c>
      <c r="C561" s="304"/>
      <c r="D561" s="304">
        <v>0</v>
      </c>
      <c r="E561" s="304">
        <f t="shared" si="690"/>
        <v>0</v>
      </c>
      <c r="F561" s="304">
        <f t="shared" si="695"/>
        <v>0</v>
      </c>
      <c r="G561" s="304">
        <f t="shared" si="696"/>
        <v>0</v>
      </c>
      <c r="H561" s="303">
        <f t="shared" si="697"/>
        <v>0</v>
      </c>
      <c r="I561" s="303"/>
      <c r="J561" s="311"/>
      <c r="K561" s="311"/>
      <c r="L561" s="311"/>
      <c r="M561" s="303"/>
      <c r="N561" s="311"/>
      <c r="O561" s="311"/>
      <c r="P561" s="303"/>
      <c r="Q561" s="311"/>
      <c r="R561" s="312"/>
      <c r="S561" s="303"/>
      <c r="T561" s="303"/>
      <c r="U561" s="303"/>
      <c r="V561" s="303"/>
      <c r="W561" s="303">
        <f t="shared" si="699"/>
        <v>0</v>
      </c>
      <c r="X561" s="303"/>
      <c r="Y561" s="303"/>
      <c r="Z561" s="303"/>
      <c r="AA561" s="303"/>
      <c r="AB561" s="304"/>
      <c r="AC561" s="304"/>
      <c r="AD561" s="304"/>
      <c r="AE561" s="304"/>
      <c r="AF561" s="1293"/>
      <c r="AG561" s="314">
        <f t="shared" si="657"/>
        <v>0</v>
      </c>
      <c r="AH561" s="696">
        <f t="shared" si="658"/>
        <v>0</v>
      </c>
      <c r="AI561" s="314">
        <f t="shared" si="659"/>
        <v>0</v>
      </c>
      <c r="AJ561" s="314">
        <f t="shared" si="660"/>
        <v>0</v>
      </c>
      <c r="AK561" s="314">
        <f t="shared" si="661"/>
        <v>0</v>
      </c>
      <c r="AL561" s="314">
        <f t="shared" si="662"/>
        <v>0</v>
      </c>
      <c r="AM561" s="314">
        <f t="shared" si="663"/>
        <v>0</v>
      </c>
      <c r="AN561" s="314">
        <f t="shared" si="664"/>
        <v>0</v>
      </c>
      <c r="AO561" s="314">
        <f t="shared" si="665"/>
        <v>0</v>
      </c>
      <c r="AP561" s="314">
        <f t="shared" si="666"/>
        <v>0</v>
      </c>
    </row>
    <row r="562" spans="1:42" ht="27.6" outlineLevel="1" collapsed="1">
      <c r="A562" s="596" t="s">
        <v>23</v>
      </c>
      <c r="B562" s="1273" t="s">
        <v>1044</v>
      </c>
      <c r="C562" s="304"/>
      <c r="D562" s="304">
        <v>1000</v>
      </c>
      <c r="E562" s="304">
        <f t="shared" si="690"/>
        <v>1000</v>
      </c>
      <c r="F562" s="304">
        <f t="shared" si="695"/>
        <v>1000</v>
      </c>
      <c r="G562" s="304">
        <f t="shared" si="696"/>
        <v>0</v>
      </c>
      <c r="H562" s="303">
        <f t="shared" si="697"/>
        <v>1000</v>
      </c>
      <c r="I562" s="303"/>
      <c r="J562" s="311"/>
      <c r="K562" s="311"/>
      <c r="L562" s="311"/>
      <c r="M562" s="303"/>
      <c r="N562" s="311"/>
      <c r="O562" s="311"/>
      <c r="P562" s="303"/>
      <c r="Q562" s="311"/>
      <c r="R562" s="312"/>
      <c r="S562" s="303"/>
      <c r="T562" s="303"/>
      <c r="U562" s="303"/>
      <c r="V562" s="303"/>
      <c r="W562" s="303">
        <f t="shared" si="699"/>
        <v>1000</v>
      </c>
      <c r="X562" s="303"/>
      <c r="Y562" s="303"/>
      <c r="Z562" s="303">
        <v>1000</v>
      </c>
      <c r="AA562" s="303"/>
      <c r="AB562" s="304"/>
      <c r="AC562" s="304"/>
      <c r="AD562" s="304"/>
      <c r="AE562" s="304"/>
      <c r="AF562" s="1293" t="s">
        <v>1760</v>
      </c>
      <c r="AG562" s="314">
        <f t="shared" si="657"/>
        <v>0</v>
      </c>
      <c r="AH562" s="696">
        <f t="shared" si="658"/>
        <v>0</v>
      </c>
      <c r="AI562" s="314">
        <f t="shared" si="659"/>
        <v>0</v>
      </c>
      <c r="AJ562" s="314">
        <f t="shared" si="660"/>
        <v>0</v>
      </c>
      <c r="AK562" s="314">
        <f t="shared" si="661"/>
        <v>0</v>
      </c>
      <c r="AL562" s="314">
        <f t="shared" si="662"/>
        <v>0</v>
      </c>
      <c r="AM562" s="314">
        <f t="shared" si="663"/>
        <v>0</v>
      </c>
      <c r="AN562" s="314">
        <f t="shared" si="664"/>
        <v>0</v>
      </c>
      <c r="AO562" s="314">
        <f t="shared" si="665"/>
        <v>0</v>
      </c>
      <c r="AP562" s="314">
        <f t="shared" si="666"/>
        <v>0</v>
      </c>
    </row>
    <row r="563" spans="1:42" ht="55.2" outlineLevel="1">
      <c r="A563" s="596" t="s">
        <v>23</v>
      </c>
      <c r="B563" s="1273" t="s">
        <v>2164</v>
      </c>
      <c r="C563" s="304"/>
      <c r="D563" s="304">
        <v>203</v>
      </c>
      <c r="E563" s="304">
        <f t="shared" si="690"/>
        <v>203</v>
      </c>
      <c r="F563" s="304">
        <f t="shared" si="695"/>
        <v>203</v>
      </c>
      <c r="G563" s="304">
        <f t="shared" si="696"/>
        <v>0</v>
      </c>
      <c r="H563" s="303">
        <f t="shared" si="697"/>
        <v>203</v>
      </c>
      <c r="I563" s="303"/>
      <c r="J563" s="311"/>
      <c r="K563" s="311"/>
      <c r="L563" s="311"/>
      <c r="M563" s="303"/>
      <c r="N563" s="311"/>
      <c r="O563" s="311"/>
      <c r="P563" s="303"/>
      <c r="Q563" s="311"/>
      <c r="R563" s="312"/>
      <c r="S563" s="303"/>
      <c r="T563" s="303"/>
      <c r="U563" s="303"/>
      <c r="V563" s="303"/>
      <c r="W563" s="303">
        <f t="shared" si="699"/>
        <v>203</v>
      </c>
      <c r="X563" s="303"/>
      <c r="Y563" s="303"/>
      <c r="Z563" s="303">
        <v>203</v>
      </c>
      <c r="AA563" s="303"/>
      <c r="AB563" s="304"/>
      <c r="AC563" s="304"/>
      <c r="AD563" s="304"/>
      <c r="AE563" s="304"/>
      <c r="AF563" s="1293" t="s">
        <v>1761</v>
      </c>
      <c r="AG563" s="314">
        <f t="shared" si="657"/>
        <v>0</v>
      </c>
      <c r="AH563" s="696">
        <f t="shared" si="658"/>
        <v>0</v>
      </c>
      <c r="AI563" s="314">
        <f t="shared" si="659"/>
        <v>0</v>
      </c>
      <c r="AJ563" s="314">
        <f t="shared" si="660"/>
        <v>0</v>
      </c>
      <c r="AK563" s="314">
        <f t="shared" si="661"/>
        <v>0</v>
      </c>
      <c r="AL563" s="314">
        <f t="shared" si="662"/>
        <v>0</v>
      </c>
      <c r="AM563" s="314">
        <f t="shared" si="663"/>
        <v>0</v>
      </c>
      <c r="AN563" s="314">
        <f t="shared" si="664"/>
        <v>0</v>
      </c>
      <c r="AO563" s="314">
        <f t="shared" si="665"/>
        <v>0</v>
      </c>
      <c r="AP563" s="314">
        <f t="shared" si="666"/>
        <v>0</v>
      </c>
    </row>
    <row r="564" spans="1:42" outlineLevel="1">
      <c r="A564" s="596" t="s">
        <v>23</v>
      </c>
      <c r="B564" s="1273" t="s">
        <v>1628</v>
      </c>
      <c r="C564" s="304"/>
      <c r="D564" s="304">
        <v>2453</v>
      </c>
      <c r="E564" s="304">
        <f t="shared" si="690"/>
        <v>2500</v>
      </c>
      <c r="F564" s="304">
        <f t="shared" si="695"/>
        <v>2500</v>
      </c>
      <c r="G564" s="304">
        <f t="shared" si="696"/>
        <v>47</v>
      </c>
      <c r="H564" s="303">
        <f t="shared" si="697"/>
        <v>2500</v>
      </c>
      <c r="I564" s="303"/>
      <c r="J564" s="311"/>
      <c r="K564" s="311"/>
      <c r="L564" s="311"/>
      <c r="M564" s="303"/>
      <c r="N564" s="311"/>
      <c r="O564" s="311"/>
      <c r="P564" s="303"/>
      <c r="Q564" s="311"/>
      <c r="R564" s="312"/>
      <c r="S564" s="303"/>
      <c r="T564" s="303"/>
      <c r="U564" s="303"/>
      <c r="V564" s="303"/>
      <c r="W564" s="303">
        <f t="shared" si="699"/>
        <v>2500</v>
      </c>
      <c r="X564" s="303"/>
      <c r="Y564" s="303"/>
      <c r="Z564" s="303">
        <v>2453</v>
      </c>
      <c r="AA564" s="303">
        <v>47</v>
      </c>
      <c r="AB564" s="304"/>
      <c r="AC564" s="304"/>
      <c r="AD564" s="304"/>
      <c r="AE564" s="304"/>
      <c r="AF564" s="1293" t="s">
        <v>2556</v>
      </c>
      <c r="AG564" s="314">
        <f t="shared" si="657"/>
        <v>0</v>
      </c>
      <c r="AH564" s="696">
        <f t="shared" si="658"/>
        <v>0</v>
      </c>
      <c r="AI564" s="314">
        <f t="shared" si="659"/>
        <v>0</v>
      </c>
      <c r="AJ564" s="314">
        <f t="shared" si="660"/>
        <v>0</v>
      </c>
      <c r="AK564" s="314">
        <f t="shared" si="661"/>
        <v>0</v>
      </c>
      <c r="AL564" s="314">
        <f t="shared" si="662"/>
        <v>0</v>
      </c>
      <c r="AM564" s="314">
        <f t="shared" si="663"/>
        <v>0</v>
      </c>
      <c r="AN564" s="314">
        <f t="shared" si="664"/>
        <v>0</v>
      </c>
      <c r="AO564" s="314">
        <f t="shared" si="665"/>
        <v>0</v>
      </c>
      <c r="AP564" s="314">
        <f t="shared" si="666"/>
        <v>0</v>
      </c>
    </row>
    <row r="565" spans="1:42" ht="41.4" outlineLevel="1">
      <c r="A565" s="596" t="s">
        <v>23</v>
      </c>
      <c r="B565" s="1273" t="s">
        <v>1629</v>
      </c>
      <c r="C565" s="304"/>
      <c r="D565" s="304">
        <v>100</v>
      </c>
      <c r="E565" s="304">
        <f t="shared" si="690"/>
        <v>100</v>
      </c>
      <c r="F565" s="304">
        <f t="shared" si="695"/>
        <v>100</v>
      </c>
      <c r="G565" s="304">
        <f t="shared" si="696"/>
        <v>0</v>
      </c>
      <c r="H565" s="303">
        <f t="shared" si="697"/>
        <v>100</v>
      </c>
      <c r="I565" s="303"/>
      <c r="J565" s="311"/>
      <c r="K565" s="311"/>
      <c r="L565" s="311"/>
      <c r="M565" s="303"/>
      <c r="N565" s="311"/>
      <c r="O565" s="311"/>
      <c r="P565" s="303"/>
      <c r="Q565" s="311"/>
      <c r="R565" s="312"/>
      <c r="S565" s="303"/>
      <c r="T565" s="303"/>
      <c r="U565" s="303"/>
      <c r="V565" s="303"/>
      <c r="W565" s="303">
        <f t="shared" si="699"/>
        <v>100</v>
      </c>
      <c r="X565" s="303"/>
      <c r="Y565" s="303"/>
      <c r="Z565" s="303">
        <v>100</v>
      </c>
      <c r="AA565" s="303"/>
      <c r="AB565" s="304"/>
      <c r="AC565" s="304"/>
      <c r="AD565" s="304"/>
      <c r="AE565" s="304"/>
      <c r="AF565" s="1293"/>
      <c r="AG565" s="314">
        <f t="shared" si="657"/>
        <v>0</v>
      </c>
      <c r="AH565" s="696">
        <f t="shared" si="658"/>
        <v>0</v>
      </c>
      <c r="AI565" s="314">
        <f t="shared" si="659"/>
        <v>0</v>
      </c>
      <c r="AJ565" s="314">
        <f t="shared" si="660"/>
        <v>0</v>
      </c>
      <c r="AK565" s="314">
        <f t="shared" si="661"/>
        <v>0</v>
      </c>
      <c r="AL565" s="314">
        <f t="shared" si="662"/>
        <v>0</v>
      </c>
      <c r="AM565" s="314">
        <f t="shared" si="663"/>
        <v>0</v>
      </c>
      <c r="AN565" s="314">
        <f t="shared" si="664"/>
        <v>0</v>
      </c>
      <c r="AO565" s="314">
        <f t="shared" si="665"/>
        <v>0</v>
      </c>
      <c r="AP565" s="314">
        <f t="shared" si="666"/>
        <v>0</v>
      </c>
    </row>
    <row r="566" spans="1:42" ht="69" outlineLevel="1">
      <c r="A566" s="596" t="s">
        <v>23</v>
      </c>
      <c r="B566" s="1273" t="s">
        <v>1630</v>
      </c>
      <c r="C566" s="304"/>
      <c r="D566" s="304">
        <v>165</v>
      </c>
      <c r="E566" s="304">
        <f t="shared" si="690"/>
        <v>176</v>
      </c>
      <c r="F566" s="304">
        <f t="shared" si="695"/>
        <v>176</v>
      </c>
      <c r="G566" s="304">
        <f t="shared" si="696"/>
        <v>11</v>
      </c>
      <c r="H566" s="303">
        <f t="shared" si="697"/>
        <v>176</v>
      </c>
      <c r="I566" s="303"/>
      <c r="J566" s="311"/>
      <c r="K566" s="311"/>
      <c r="L566" s="311"/>
      <c r="M566" s="303"/>
      <c r="N566" s="311"/>
      <c r="O566" s="311"/>
      <c r="P566" s="303"/>
      <c r="Q566" s="311"/>
      <c r="R566" s="312"/>
      <c r="S566" s="303"/>
      <c r="T566" s="303"/>
      <c r="U566" s="303"/>
      <c r="V566" s="303"/>
      <c r="W566" s="303">
        <f t="shared" si="699"/>
        <v>176</v>
      </c>
      <c r="X566" s="303"/>
      <c r="Y566" s="303"/>
      <c r="Z566" s="303">
        <v>165</v>
      </c>
      <c r="AA566" s="303">
        <v>11</v>
      </c>
      <c r="AB566" s="304"/>
      <c r="AC566" s="304"/>
      <c r="AD566" s="304"/>
      <c r="AE566" s="304"/>
      <c r="AF566" s="1293" t="s">
        <v>2324</v>
      </c>
      <c r="AG566" s="314">
        <f t="shared" si="657"/>
        <v>0</v>
      </c>
      <c r="AH566" s="696">
        <f t="shared" si="658"/>
        <v>0</v>
      </c>
      <c r="AI566" s="314">
        <f t="shared" si="659"/>
        <v>0</v>
      </c>
      <c r="AJ566" s="314">
        <f t="shared" si="660"/>
        <v>0</v>
      </c>
      <c r="AK566" s="314">
        <f t="shared" si="661"/>
        <v>0</v>
      </c>
      <c r="AL566" s="314">
        <f t="shared" si="662"/>
        <v>0</v>
      </c>
      <c r="AM566" s="314">
        <f t="shared" si="663"/>
        <v>0</v>
      </c>
      <c r="AN566" s="314">
        <f t="shared" si="664"/>
        <v>0</v>
      </c>
      <c r="AO566" s="314">
        <f t="shared" si="665"/>
        <v>0</v>
      </c>
      <c r="AP566" s="314">
        <f t="shared" si="666"/>
        <v>0</v>
      </c>
    </row>
    <row r="567" spans="1:42" ht="27.6" hidden="1" outlineLevel="3">
      <c r="A567" s="596" t="s">
        <v>23</v>
      </c>
      <c r="B567" s="1273" t="s">
        <v>1631</v>
      </c>
      <c r="C567" s="304"/>
      <c r="D567" s="304">
        <v>80</v>
      </c>
      <c r="E567" s="304">
        <f t="shared" si="690"/>
        <v>0</v>
      </c>
      <c r="F567" s="304">
        <f t="shared" si="695"/>
        <v>0</v>
      </c>
      <c r="G567" s="304">
        <f t="shared" si="696"/>
        <v>-80</v>
      </c>
      <c r="H567" s="303">
        <f t="shared" si="697"/>
        <v>0</v>
      </c>
      <c r="I567" s="303"/>
      <c r="J567" s="311"/>
      <c r="K567" s="311"/>
      <c r="L567" s="311"/>
      <c r="M567" s="303"/>
      <c r="N567" s="311"/>
      <c r="O567" s="311"/>
      <c r="P567" s="303"/>
      <c r="Q567" s="311"/>
      <c r="R567" s="312"/>
      <c r="S567" s="303"/>
      <c r="T567" s="303"/>
      <c r="U567" s="303"/>
      <c r="V567" s="303"/>
      <c r="W567" s="303">
        <f t="shared" si="699"/>
        <v>0</v>
      </c>
      <c r="X567" s="303"/>
      <c r="Y567" s="303"/>
      <c r="Z567" s="303">
        <v>0</v>
      </c>
      <c r="AA567" s="303"/>
      <c r="AB567" s="304"/>
      <c r="AC567" s="304"/>
      <c r="AD567" s="304"/>
      <c r="AE567" s="304"/>
      <c r="AF567" s="1293"/>
      <c r="AG567" s="314">
        <f t="shared" si="657"/>
        <v>0</v>
      </c>
      <c r="AH567" s="696">
        <f t="shared" si="658"/>
        <v>0</v>
      </c>
      <c r="AI567" s="314">
        <f t="shared" si="659"/>
        <v>0</v>
      </c>
      <c r="AJ567" s="314">
        <f t="shared" si="660"/>
        <v>0</v>
      </c>
      <c r="AK567" s="314">
        <f t="shared" si="661"/>
        <v>0</v>
      </c>
      <c r="AL567" s="314">
        <f t="shared" si="662"/>
        <v>0</v>
      </c>
      <c r="AM567" s="314">
        <f t="shared" si="663"/>
        <v>0</v>
      </c>
      <c r="AN567" s="314">
        <f t="shared" si="664"/>
        <v>0</v>
      </c>
      <c r="AO567" s="314">
        <f t="shared" si="665"/>
        <v>0</v>
      </c>
      <c r="AP567" s="314">
        <f t="shared" si="666"/>
        <v>0</v>
      </c>
    </row>
    <row r="568" spans="1:42" ht="41.4" outlineLevel="1" collapsed="1">
      <c r="A568" s="596" t="s">
        <v>23</v>
      </c>
      <c r="B568" s="1273" t="s">
        <v>2165</v>
      </c>
      <c r="C568" s="304"/>
      <c r="D568" s="304">
        <v>398</v>
      </c>
      <c r="E568" s="304">
        <f t="shared" si="690"/>
        <v>740</v>
      </c>
      <c r="F568" s="304">
        <f t="shared" si="695"/>
        <v>740</v>
      </c>
      <c r="G568" s="304">
        <f t="shared" si="696"/>
        <v>342</v>
      </c>
      <c r="H568" s="303">
        <f t="shared" si="697"/>
        <v>740</v>
      </c>
      <c r="I568" s="303"/>
      <c r="J568" s="311"/>
      <c r="K568" s="311"/>
      <c r="L568" s="311"/>
      <c r="M568" s="303"/>
      <c r="N568" s="311"/>
      <c r="O568" s="311"/>
      <c r="P568" s="303"/>
      <c r="Q568" s="311"/>
      <c r="R568" s="312"/>
      <c r="S568" s="303"/>
      <c r="T568" s="303"/>
      <c r="U568" s="303"/>
      <c r="V568" s="303"/>
      <c r="W568" s="303">
        <f t="shared" si="699"/>
        <v>740</v>
      </c>
      <c r="X568" s="303"/>
      <c r="Y568" s="303"/>
      <c r="Z568" s="303">
        <v>478</v>
      </c>
      <c r="AA568" s="303">
        <v>262</v>
      </c>
      <c r="AB568" s="304"/>
      <c r="AC568" s="304"/>
      <c r="AD568" s="304"/>
      <c r="AE568" s="304"/>
      <c r="AF568" s="1293" t="s">
        <v>2325</v>
      </c>
      <c r="AG568" s="314">
        <f t="shared" si="657"/>
        <v>0</v>
      </c>
      <c r="AH568" s="696">
        <f t="shared" si="658"/>
        <v>0</v>
      </c>
      <c r="AI568" s="314">
        <f t="shared" si="659"/>
        <v>0</v>
      </c>
      <c r="AJ568" s="314">
        <f t="shared" si="660"/>
        <v>0</v>
      </c>
      <c r="AK568" s="314">
        <f t="shared" si="661"/>
        <v>0</v>
      </c>
      <c r="AL568" s="314">
        <f t="shared" si="662"/>
        <v>0</v>
      </c>
      <c r="AM568" s="314">
        <f t="shared" si="663"/>
        <v>0</v>
      </c>
      <c r="AN568" s="314">
        <f t="shared" si="664"/>
        <v>0</v>
      </c>
      <c r="AO568" s="314">
        <f t="shared" si="665"/>
        <v>0</v>
      </c>
      <c r="AP568" s="314">
        <f t="shared" si="666"/>
        <v>0</v>
      </c>
    </row>
    <row r="569" spans="1:42" ht="55.2" outlineLevel="1">
      <c r="A569" s="596" t="s">
        <v>23</v>
      </c>
      <c r="B569" s="1273" t="s">
        <v>1632</v>
      </c>
      <c r="C569" s="304"/>
      <c r="D569" s="304">
        <v>96</v>
      </c>
      <c r="E569" s="304">
        <f t="shared" si="690"/>
        <v>96</v>
      </c>
      <c r="F569" s="304">
        <f t="shared" si="695"/>
        <v>96</v>
      </c>
      <c r="G569" s="304">
        <f t="shared" si="696"/>
        <v>0</v>
      </c>
      <c r="H569" s="303">
        <f>I569+W569</f>
        <v>96</v>
      </c>
      <c r="I569" s="303"/>
      <c r="J569" s="311"/>
      <c r="K569" s="311"/>
      <c r="L569" s="311"/>
      <c r="M569" s="303"/>
      <c r="N569" s="311"/>
      <c r="O569" s="311"/>
      <c r="P569" s="303"/>
      <c r="Q569" s="311"/>
      <c r="R569" s="312"/>
      <c r="S569" s="303"/>
      <c r="T569" s="303"/>
      <c r="U569" s="303"/>
      <c r="V569" s="303"/>
      <c r="W569" s="303">
        <f>Z569+AA569</f>
        <v>96</v>
      </c>
      <c r="X569" s="303"/>
      <c r="Y569" s="303"/>
      <c r="Z569" s="303">
        <v>96</v>
      </c>
      <c r="AA569" s="303"/>
      <c r="AB569" s="304"/>
      <c r="AC569" s="304"/>
      <c r="AD569" s="304"/>
      <c r="AE569" s="304"/>
      <c r="AF569" s="1293"/>
      <c r="AG569" s="314">
        <f t="shared" si="657"/>
        <v>0</v>
      </c>
      <c r="AH569" s="696">
        <f t="shared" si="658"/>
        <v>0</v>
      </c>
      <c r="AI569" s="314">
        <f t="shared" si="659"/>
        <v>0</v>
      </c>
      <c r="AJ569" s="314">
        <f t="shared" si="660"/>
        <v>0</v>
      </c>
      <c r="AK569" s="314">
        <f t="shared" si="661"/>
        <v>0</v>
      </c>
      <c r="AL569" s="314">
        <f t="shared" si="662"/>
        <v>0</v>
      </c>
      <c r="AM569" s="314">
        <f t="shared" si="663"/>
        <v>0</v>
      </c>
      <c r="AN569" s="314">
        <f t="shared" si="664"/>
        <v>0</v>
      </c>
      <c r="AO569" s="314">
        <f t="shared" si="665"/>
        <v>0</v>
      </c>
      <c r="AP569" s="314">
        <f t="shared" si="666"/>
        <v>0</v>
      </c>
    </row>
    <row r="570" spans="1:42" ht="55.2" outlineLevel="1">
      <c r="A570" s="596" t="s">
        <v>23</v>
      </c>
      <c r="B570" s="1273" t="s">
        <v>2166</v>
      </c>
      <c r="C570" s="304"/>
      <c r="D570" s="304"/>
      <c r="E570" s="304">
        <f t="shared" si="690"/>
        <v>104</v>
      </c>
      <c r="F570" s="304">
        <f t="shared" si="695"/>
        <v>104</v>
      </c>
      <c r="G570" s="304">
        <f t="shared" si="696"/>
        <v>104</v>
      </c>
      <c r="H570" s="303">
        <f t="shared" ref="H570:H575" si="700">I570+W570</f>
        <v>104</v>
      </c>
      <c r="I570" s="303"/>
      <c r="J570" s="311"/>
      <c r="K570" s="311"/>
      <c r="L570" s="311"/>
      <c r="M570" s="303"/>
      <c r="N570" s="311"/>
      <c r="O570" s="311"/>
      <c r="P570" s="303"/>
      <c r="Q570" s="311"/>
      <c r="R570" s="312"/>
      <c r="S570" s="303"/>
      <c r="T570" s="303"/>
      <c r="U570" s="303"/>
      <c r="V570" s="303"/>
      <c r="W570" s="303">
        <f t="shared" ref="W570:W575" si="701">Z570+AA570</f>
        <v>104</v>
      </c>
      <c r="X570" s="303"/>
      <c r="Y570" s="303"/>
      <c r="Z570" s="303"/>
      <c r="AA570" s="303">
        <v>104</v>
      </c>
      <c r="AB570" s="304"/>
      <c r="AC570" s="304"/>
      <c r="AD570" s="304"/>
      <c r="AE570" s="304"/>
      <c r="AF570" s="1293" t="s">
        <v>2326</v>
      </c>
      <c r="AG570" s="314">
        <f t="shared" si="657"/>
        <v>0</v>
      </c>
      <c r="AH570" s="696">
        <f t="shared" si="658"/>
        <v>0</v>
      </c>
      <c r="AI570" s="314">
        <f t="shared" si="659"/>
        <v>0</v>
      </c>
      <c r="AJ570" s="314">
        <f t="shared" si="660"/>
        <v>0</v>
      </c>
      <c r="AK570" s="314">
        <f t="shared" si="661"/>
        <v>0</v>
      </c>
      <c r="AL570" s="314">
        <f t="shared" si="662"/>
        <v>0</v>
      </c>
      <c r="AM570" s="314">
        <f t="shared" si="663"/>
        <v>0</v>
      </c>
      <c r="AN570" s="314">
        <f t="shared" si="664"/>
        <v>0</v>
      </c>
      <c r="AO570" s="314">
        <f t="shared" si="665"/>
        <v>0</v>
      </c>
      <c r="AP570" s="314">
        <f t="shared" si="666"/>
        <v>0</v>
      </c>
    </row>
    <row r="571" spans="1:42" ht="96.6" outlineLevel="1">
      <c r="A571" s="596" t="s">
        <v>23</v>
      </c>
      <c r="B571" s="1273" t="s">
        <v>2167</v>
      </c>
      <c r="C571" s="304"/>
      <c r="D571" s="304"/>
      <c r="E571" s="304">
        <f t="shared" si="690"/>
        <v>150</v>
      </c>
      <c r="F571" s="304">
        <f t="shared" si="695"/>
        <v>150</v>
      </c>
      <c r="G571" s="304">
        <f t="shared" si="696"/>
        <v>150</v>
      </c>
      <c r="H571" s="303">
        <f t="shared" si="700"/>
        <v>150</v>
      </c>
      <c r="I571" s="303"/>
      <c r="J571" s="311"/>
      <c r="K571" s="311"/>
      <c r="L571" s="311"/>
      <c r="M571" s="303"/>
      <c r="N571" s="311"/>
      <c r="O571" s="311"/>
      <c r="P571" s="303"/>
      <c r="Q571" s="311"/>
      <c r="R571" s="312"/>
      <c r="S571" s="303"/>
      <c r="T571" s="303"/>
      <c r="U571" s="303"/>
      <c r="V571" s="303"/>
      <c r="W571" s="303">
        <f t="shared" si="701"/>
        <v>150</v>
      </c>
      <c r="X571" s="303"/>
      <c r="Y571" s="303"/>
      <c r="Z571" s="303"/>
      <c r="AA571" s="303">
        <v>150</v>
      </c>
      <c r="AB571" s="304"/>
      <c r="AC571" s="304"/>
      <c r="AD571" s="304"/>
      <c r="AE571" s="304"/>
      <c r="AF571" s="1293" t="s">
        <v>2327</v>
      </c>
      <c r="AG571" s="314">
        <f t="shared" si="657"/>
        <v>0</v>
      </c>
      <c r="AH571" s="696">
        <f t="shared" si="658"/>
        <v>0</v>
      </c>
      <c r="AI571" s="314">
        <f t="shared" si="659"/>
        <v>0</v>
      </c>
      <c r="AJ571" s="314">
        <f t="shared" si="660"/>
        <v>0</v>
      </c>
      <c r="AK571" s="314">
        <f t="shared" si="661"/>
        <v>0</v>
      </c>
      <c r="AL571" s="314">
        <f t="shared" si="662"/>
        <v>0</v>
      </c>
      <c r="AM571" s="314">
        <f t="shared" si="663"/>
        <v>0</v>
      </c>
      <c r="AN571" s="314">
        <f t="shared" si="664"/>
        <v>0</v>
      </c>
      <c r="AO571" s="314">
        <f t="shared" si="665"/>
        <v>0</v>
      </c>
      <c r="AP571" s="314">
        <f t="shared" si="666"/>
        <v>0</v>
      </c>
    </row>
    <row r="572" spans="1:42" outlineLevel="1">
      <c r="A572" s="596" t="s">
        <v>23</v>
      </c>
      <c r="B572" s="1273" t="s">
        <v>2168</v>
      </c>
      <c r="C572" s="304"/>
      <c r="D572" s="304"/>
      <c r="E572" s="304">
        <f t="shared" si="690"/>
        <v>358</v>
      </c>
      <c r="F572" s="304">
        <f t="shared" si="695"/>
        <v>358</v>
      </c>
      <c r="G572" s="304">
        <f t="shared" si="696"/>
        <v>358</v>
      </c>
      <c r="H572" s="303">
        <f t="shared" si="700"/>
        <v>358</v>
      </c>
      <c r="I572" s="303"/>
      <c r="J572" s="311"/>
      <c r="K572" s="311"/>
      <c r="L572" s="311"/>
      <c r="M572" s="303"/>
      <c r="N572" s="311"/>
      <c r="O572" s="311"/>
      <c r="P572" s="303"/>
      <c r="Q572" s="311"/>
      <c r="R572" s="312"/>
      <c r="S572" s="303"/>
      <c r="T572" s="303"/>
      <c r="U572" s="303"/>
      <c r="V572" s="303"/>
      <c r="W572" s="303">
        <f t="shared" si="701"/>
        <v>358</v>
      </c>
      <c r="X572" s="303"/>
      <c r="Y572" s="303"/>
      <c r="Z572" s="303"/>
      <c r="AA572" s="303">
        <v>358</v>
      </c>
      <c r="AB572" s="304"/>
      <c r="AC572" s="304"/>
      <c r="AD572" s="304"/>
      <c r="AE572" s="304"/>
      <c r="AF572" s="1293"/>
      <c r="AG572" s="314">
        <f t="shared" si="657"/>
        <v>0</v>
      </c>
      <c r="AH572" s="696">
        <f t="shared" si="658"/>
        <v>0</v>
      </c>
      <c r="AI572" s="314">
        <f t="shared" si="659"/>
        <v>0</v>
      </c>
      <c r="AJ572" s="314">
        <f t="shared" si="660"/>
        <v>0</v>
      </c>
      <c r="AK572" s="314">
        <f t="shared" si="661"/>
        <v>0</v>
      </c>
      <c r="AL572" s="314">
        <f t="shared" si="662"/>
        <v>0</v>
      </c>
      <c r="AM572" s="314">
        <f t="shared" si="663"/>
        <v>0</v>
      </c>
      <c r="AN572" s="314">
        <f t="shared" si="664"/>
        <v>0</v>
      </c>
      <c r="AO572" s="314">
        <f t="shared" si="665"/>
        <v>0</v>
      </c>
      <c r="AP572" s="314">
        <f t="shared" si="666"/>
        <v>0</v>
      </c>
    </row>
    <row r="573" spans="1:42" ht="41.4" outlineLevel="1">
      <c r="A573" s="596" t="s">
        <v>23</v>
      </c>
      <c r="B573" s="1273" t="s">
        <v>2169</v>
      </c>
      <c r="C573" s="304"/>
      <c r="D573" s="304"/>
      <c r="E573" s="304">
        <f t="shared" si="690"/>
        <v>75</v>
      </c>
      <c r="F573" s="304">
        <f t="shared" si="695"/>
        <v>75</v>
      </c>
      <c r="G573" s="304">
        <f t="shared" si="696"/>
        <v>75</v>
      </c>
      <c r="H573" s="303">
        <f t="shared" si="700"/>
        <v>75</v>
      </c>
      <c r="I573" s="303"/>
      <c r="J573" s="311"/>
      <c r="K573" s="311"/>
      <c r="L573" s="311"/>
      <c r="M573" s="303"/>
      <c r="N573" s="311"/>
      <c r="O573" s="311"/>
      <c r="P573" s="303"/>
      <c r="Q573" s="311"/>
      <c r="R573" s="312"/>
      <c r="S573" s="303"/>
      <c r="T573" s="303"/>
      <c r="U573" s="303"/>
      <c r="V573" s="303"/>
      <c r="W573" s="303">
        <f t="shared" si="701"/>
        <v>75</v>
      </c>
      <c r="X573" s="303"/>
      <c r="Y573" s="303"/>
      <c r="Z573" s="303"/>
      <c r="AA573" s="303">
        <v>75</v>
      </c>
      <c r="AB573" s="304"/>
      <c r="AC573" s="304"/>
      <c r="AD573" s="304"/>
      <c r="AE573" s="304"/>
      <c r="AF573" s="1293"/>
      <c r="AG573" s="314">
        <f t="shared" si="657"/>
        <v>0</v>
      </c>
      <c r="AH573" s="696">
        <f t="shared" si="658"/>
        <v>0</v>
      </c>
      <c r="AI573" s="314">
        <f t="shared" si="659"/>
        <v>0</v>
      </c>
      <c r="AJ573" s="314">
        <f t="shared" si="660"/>
        <v>0</v>
      </c>
      <c r="AK573" s="314">
        <f t="shared" si="661"/>
        <v>0</v>
      </c>
      <c r="AL573" s="314">
        <f t="shared" si="662"/>
        <v>0</v>
      </c>
      <c r="AM573" s="314">
        <f t="shared" si="663"/>
        <v>0</v>
      </c>
      <c r="AN573" s="314">
        <f t="shared" si="664"/>
        <v>0</v>
      </c>
      <c r="AO573" s="314">
        <f t="shared" si="665"/>
        <v>0</v>
      </c>
      <c r="AP573" s="314">
        <f t="shared" si="666"/>
        <v>0</v>
      </c>
    </row>
    <row r="574" spans="1:42" ht="55.2" hidden="1" outlineLevel="3">
      <c r="A574" s="596" t="s">
        <v>23</v>
      </c>
      <c r="B574" s="1273" t="s">
        <v>1435</v>
      </c>
      <c r="C574" s="304"/>
      <c r="D574" s="304"/>
      <c r="E574" s="304">
        <f t="shared" si="690"/>
        <v>0</v>
      </c>
      <c r="F574" s="304">
        <f t="shared" si="695"/>
        <v>0</v>
      </c>
      <c r="G574" s="304">
        <f t="shared" si="696"/>
        <v>0</v>
      </c>
      <c r="H574" s="303">
        <f t="shared" si="700"/>
        <v>0</v>
      </c>
      <c r="I574" s="303"/>
      <c r="J574" s="311"/>
      <c r="K574" s="311"/>
      <c r="L574" s="311"/>
      <c r="M574" s="303"/>
      <c r="N574" s="311"/>
      <c r="O574" s="311"/>
      <c r="P574" s="303"/>
      <c r="Q574" s="311"/>
      <c r="R574" s="312"/>
      <c r="S574" s="303"/>
      <c r="T574" s="303"/>
      <c r="U574" s="303"/>
      <c r="V574" s="303"/>
      <c r="W574" s="303">
        <f t="shared" si="701"/>
        <v>0</v>
      </c>
      <c r="X574" s="303"/>
      <c r="Y574" s="303"/>
      <c r="Z574" s="303"/>
      <c r="AA574" s="303"/>
      <c r="AB574" s="304"/>
      <c r="AC574" s="304"/>
      <c r="AD574" s="304"/>
      <c r="AE574" s="304"/>
      <c r="AF574" s="1293" t="s">
        <v>2328</v>
      </c>
      <c r="AG574" s="314">
        <f t="shared" si="657"/>
        <v>0</v>
      </c>
      <c r="AH574" s="696">
        <f t="shared" si="658"/>
        <v>0</v>
      </c>
      <c r="AI574" s="314">
        <f t="shared" si="659"/>
        <v>0</v>
      </c>
      <c r="AJ574" s="314">
        <f t="shared" si="660"/>
        <v>0</v>
      </c>
      <c r="AK574" s="314">
        <f t="shared" si="661"/>
        <v>0</v>
      </c>
      <c r="AL574" s="314">
        <f t="shared" si="662"/>
        <v>0</v>
      </c>
      <c r="AM574" s="314">
        <f t="shared" si="663"/>
        <v>0</v>
      </c>
      <c r="AN574" s="314">
        <f t="shared" si="664"/>
        <v>0</v>
      </c>
      <c r="AO574" s="314">
        <f t="shared" si="665"/>
        <v>0</v>
      </c>
      <c r="AP574" s="314">
        <f t="shared" si="666"/>
        <v>0</v>
      </c>
    </row>
    <row r="575" spans="1:42" ht="41.4" outlineLevel="1" collapsed="1">
      <c r="A575" s="596" t="s">
        <v>23</v>
      </c>
      <c r="B575" s="1273" t="s">
        <v>2453</v>
      </c>
      <c r="C575" s="304"/>
      <c r="D575" s="304"/>
      <c r="E575" s="304">
        <f t="shared" si="690"/>
        <v>430</v>
      </c>
      <c r="F575" s="304">
        <f t="shared" si="695"/>
        <v>430</v>
      </c>
      <c r="G575" s="304">
        <f t="shared" si="696"/>
        <v>430</v>
      </c>
      <c r="H575" s="303">
        <f t="shared" si="700"/>
        <v>430</v>
      </c>
      <c r="I575" s="303"/>
      <c r="J575" s="311"/>
      <c r="K575" s="311"/>
      <c r="L575" s="311"/>
      <c r="M575" s="303"/>
      <c r="N575" s="311"/>
      <c r="O575" s="311"/>
      <c r="P575" s="303"/>
      <c r="Q575" s="311"/>
      <c r="R575" s="312"/>
      <c r="S575" s="303"/>
      <c r="T575" s="303"/>
      <c r="U575" s="303"/>
      <c r="V575" s="303"/>
      <c r="W575" s="303">
        <f t="shared" si="701"/>
        <v>430</v>
      </c>
      <c r="X575" s="303"/>
      <c r="Y575" s="303"/>
      <c r="Z575" s="303"/>
      <c r="AA575" s="303">
        <v>430</v>
      </c>
      <c r="AB575" s="304"/>
      <c r="AC575" s="304"/>
      <c r="AD575" s="304"/>
      <c r="AE575" s="304"/>
      <c r="AF575" s="1293" t="s">
        <v>2454</v>
      </c>
      <c r="AG575" s="314"/>
      <c r="AH575" s="696"/>
      <c r="AI575" s="314"/>
      <c r="AJ575" s="314"/>
      <c r="AK575" s="314"/>
      <c r="AL575" s="314"/>
      <c r="AM575" s="314"/>
      <c r="AN575" s="314"/>
      <c r="AO575" s="314"/>
      <c r="AP575" s="314"/>
    </row>
    <row r="576" spans="1:42" s="333" customFormat="1">
      <c r="A576" s="592" t="s">
        <v>786</v>
      </c>
      <c r="B576" s="320" t="s">
        <v>1045</v>
      </c>
      <c r="C576" s="297"/>
      <c r="D576" s="297">
        <f>D577+D581+D587</f>
        <v>21169</v>
      </c>
      <c r="E576" s="297">
        <f>E577+E581+E587</f>
        <v>22759</v>
      </c>
      <c r="F576" s="297">
        <f>F577+F581+F587</f>
        <v>21791</v>
      </c>
      <c r="G576" s="297">
        <f t="shared" si="696"/>
        <v>622</v>
      </c>
      <c r="H576" s="297">
        <f t="shared" ref="H576:AE576" si="702">H577+H581+H587</f>
        <v>21915</v>
      </c>
      <c r="I576" s="297">
        <f t="shared" si="702"/>
        <v>7365</v>
      </c>
      <c r="J576" s="297">
        <f t="shared" si="702"/>
        <v>42</v>
      </c>
      <c r="K576" s="297">
        <f t="shared" si="702"/>
        <v>39</v>
      </c>
      <c r="L576" s="297">
        <f t="shared" si="702"/>
        <v>3</v>
      </c>
      <c r="M576" s="297">
        <f t="shared" si="702"/>
        <v>5221</v>
      </c>
      <c r="N576" s="297">
        <f t="shared" si="702"/>
        <v>5025</v>
      </c>
      <c r="O576" s="297">
        <f t="shared" si="702"/>
        <v>196</v>
      </c>
      <c r="P576" s="297">
        <f t="shared" si="702"/>
        <v>2144</v>
      </c>
      <c r="Q576" s="297">
        <f t="shared" si="702"/>
        <v>0</v>
      </c>
      <c r="R576" s="297">
        <f t="shared" si="702"/>
        <v>0</v>
      </c>
      <c r="S576" s="297">
        <f t="shared" si="702"/>
        <v>2144</v>
      </c>
      <c r="T576" s="297">
        <f t="shared" si="702"/>
        <v>0</v>
      </c>
      <c r="U576" s="297">
        <f t="shared" si="702"/>
        <v>0</v>
      </c>
      <c r="V576" s="297">
        <f t="shared" si="702"/>
        <v>0</v>
      </c>
      <c r="W576" s="297">
        <f t="shared" si="702"/>
        <v>14550</v>
      </c>
      <c r="X576" s="297">
        <f t="shared" si="702"/>
        <v>0</v>
      </c>
      <c r="Y576" s="297">
        <f t="shared" si="702"/>
        <v>0</v>
      </c>
      <c r="Z576" s="297">
        <f t="shared" si="702"/>
        <v>14550</v>
      </c>
      <c r="AA576" s="297">
        <f t="shared" si="702"/>
        <v>0</v>
      </c>
      <c r="AB576" s="297">
        <f t="shared" si="702"/>
        <v>124</v>
      </c>
      <c r="AC576" s="297">
        <f t="shared" si="702"/>
        <v>968</v>
      </c>
      <c r="AD576" s="297">
        <f t="shared" si="702"/>
        <v>1108</v>
      </c>
      <c r="AE576" s="297">
        <f t="shared" si="702"/>
        <v>21651</v>
      </c>
      <c r="AF576" s="321"/>
      <c r="AG576" s="314">
        <f t="shared" si="657"/>
        <v>0</v>
      </c>
      <c r="AH576" s="696">
        <f t="shared" si="658"/>
        <v>0</v>
      </c>
      <c r="AI576" s="314">
        <f t="shared" si="659"/>
        <v>0</v>
      </c>
      <c r="AJ576" s="314">
        <f t="shared" si="660"/>
        <v>0</v>
      </c>
      <c r="AK576" s="314">
        <f t="shared" si="661"/>
        <v>0</v>
      </c>
      <c r="AL576" s="314">
        <f t="shared" si="662"/>
        <v>0</v>
      </c>
      <c r="AM576" s="314">
        <f t="shared" si="663"/>
        <v>0</v>
      </c>
      <c r="AN576" s="314">
        <f t="shared" si="664"/>
        <v>0</v>
      </c>
      <c r="AO576" s="314">
        <f t="shared" si="665"/>
        <v>0</v>
      </c>
      <c r="AP576" s="314">
        <f t="shared" si="666"/>
        <v>0</v>
      </c>
    </row>
    <row r="577" spans="1:42" s="314" customFormat="1">
      <c r="A577" s="592" t="s">
        <v>1046</v>
      </c>
      <c r="B577" s="320" t="s">
        <v>826</v>
      </c>
      <c r="C577" s="298" t="s">
        <v>756</v>
      </c>
      <c r="D577" s="299">
        <f t="shared" ref="D577" si="703">D578+D580+D579</f>
        <v>6246</v>
      </c>
      <c r="E577" s="299">
        <f>E578+E580+E579</f>
        <v>7356</v>
      </c>
      <c r="F577" s="299">
        <f>F578+F580+F579</f>
        <v>6426</v>
      </c>
      <c r="G577" s="299">
        <f t="shared" si="696"/>
        <v>180</v>
      </c>
      <c r="H577" s="299">
        <f t="shared" ref="H577:Z577" si="704">H578+H580+H579</f>
        <v>6426</v>
      </c>
      <c r="I577" s="299">
        <f t="shared" si="704"/>
        <v>6426</v>
      </c>
      <c r="J577" s="299">
        <f t="shared" si="704"/>
        <v>36</v>
      </c>
      <c r="K577" s="299">
        <f t="shared" si="704"/>
        <v>33</v>
      </c>
      <c r="L577" s="299">
        <f t="shared" si="704"/>
        <v>3</v>
      </c>
      <c r="M577" s="299">
        <f t="shared" si="704"/>
        <v>4468</v>
      </c>
      <c r="N577" s="299">
        <f t="shared" si="704"/>
        <v>4272</v>
      </c>
      <c r="O577" s="299">
        <f t="shared" si="704"/>
        <v>196</v>
      </c>
      <c r="P577" s="299">
        <f t="shared" si="704"/>
        <v>1958</v>
      </c>
      <c r="Q577" s="299"/>
      <c r="R577" s="299"/>
      <c r="S577" s="299">
        <f t="shared" si="704"/>
        <v>1958</v>
      </c>
      <c r="T577" s="299">
        <f t="shared" si="704"/>
        <v>0</v>
      </c>
      <c r="U577" s="299">
        <f t="shared" si="704"/>
        <v>0</v>
      </c>
      <c r="V577" s="299">
        <f t="shared" si="704"/>
        <v>0</v>
      </c>
      <c r="W577" s="299">
        <f>W578+W580+W579</f>
        <v>0</v>
      </c>
      <c r="X577" s="299"/>
      <c r="Y577" s="299"/>
      <c r="Z577" s="299">
        <f t="shared" si="704"/>
        <v>0</v>
      </c>
      <c r="AA577" s="299">
        <f>AA578+AA580+AA579</f>
        <v>0</v>
      </c>
      <c r="AB577" s="299">
        <f>AB578+AB580+AB579</f>
        <v>0</v>
      </c>
      <c r="AC577" s="299">
        <f t="shared" ref="AC577:AE577" si="705">AC578+AC580+AC579</f>
        <v>930</v>
      </c>
      <c r="AD577" s="299">
        <f t="shared" si="705"/>
        <v>178</v>
      </c>
      <c r="AE577" s="299">
        <f t="shared" si="705"/>
        <v>7178</v>
      </c>
      <c r="AF577" s="321"/>
      <c r="AG577" s="314">
        <f t="shared" si="657"/>
        <v>0</v>
      </c>
      <c r="AH577" s="696">
        <f t="shared" si="658"/>
        <v>0</v>
      </c>
      <c r="AI577" s="314">
        <f t="shared" si="659"/>
        <v>0</v>
      </c>
      <c r="AJ577" s="314">
        <f t="shared" si="660"/>
        <v>0</v>
      </c>
      <c r="AK577" s="314">
        <f t="shared" si="661"/>
        <v>0</v>
      </c>
      <c r="AL577" s="314">
        <f t="shared" si="662"/>
        <v>0</v>
      </c>
      <c r="AM577" s="314">
        <f t="shared" si="663"/>
        <v>0</v>
      </c>
      <c r="AN577" s="314">
        <f t="shared" si="664"/>
        <v>0</v>
      </c>
      <c r="AO577" s="314">
        <f t="shared" si="665"/>
        <v>0</v>
      </c>
      <c r="AP577" s="314">
        <f t="shared" si="666"/>
        <v>0</v>
      </c>
    </row>
    <row r="578" spans="1:42">
      <c r="A578" s="593" t="s">
        <v>23</v>
      </c>
      <c r="B578" s="316" t="s">
        <v>862</v>
      </c>
      <c r="C578" s="304"/>
      <c r="D578" s="304">
        <v>6036</v>
      </c>
      <c r="E578" s="304">
        <f>F578+AC578</f>
        <v>7356</v>
      </c>
      <c r="F578" s="304">
        <f>H578-AB578</f>
        <v>6426</v>
      </c>
      <c r="G578" s="304">
        <f t="shared" si="696"/>
        <v>390</v>
      </c>
      <c r="H578" s="303">
        <f t="shared" ref="H578:H579" si="706">I578+W578</f>
        <v>6426</v>
      </c>
      <c r="I578" s="303">
        <f>M578+P578</f>
        <v>6426</v>
      </c>
      <c r="J578" s="311">
        <v>36</v>
      </c>
      <c r="K578" s="311">
        <v>33</v>
      </c>
      <c r="L578" s="311">
        <f>J578-K578</f>
        <v>3</v>
      </c>
      <c r="M578" s="303">
        <f>N578+O578</f>
        <v>4468</v>
      </c>
      <c r="N578" s="311">
        <v>4272</v>
      </c>
      <c r="O578" s="311">
        <v>196</v>
      </c>
      <c r="P578" s="303">
        <f>S578+T578</f>
        <v>1958</v>
      </c>
      <c r="Q578" s="294">
        <v>34</v>
      </c>
      <c r="R578" s="312">
        <v>1.6</v>
      </c>
      <c r="S578" s="303">
        <f>ROUND(J578*Q578*R578,0)</f>
        <v>1958</v>
      </c>
      <c r="T578" s="303">
        <f>U578+V578</f>
        <v>0</v>
      </c>
      <c r="U578" s="303"/>
      <c r="V578" s="303"/>
      <c r="W578" s="303">
        <f>Z578+AA578</f>
        <v>0</v>
      </c>
      <c r="X578" s="303"/>
      <c r="Y578" s="303"/>
      <c r="Z578" s="303"/>
      <c r="AA578" s="303"/>
      <c r="AB578" s="304"/>
      <c r="AC578" s="304">
        <v>930</v>
      </c>
      <c r="AD578" s="304">
        <v>196</v>
      </c>
      <c r="AE578" s="303">
        <f>E578-AD578</f>
        <v>7160</v>
      </c>
      <c r="AF578" s="317"/>
      <c r="AG578" s="314">
        <f t="shared" si="657"/>
        <v>0</v>
      </c>
      <c r="AH578" s="696">
        <f t="shared" si="658"/>
        <v>0</v>
      </c>
      <c r="AI578" s="314">
        <f t="shared" si="659"/>
        <v>0</v>
      </c>
      <c r="AJ578" s="314">
        <f t="shared" si="660"/>
        <v>0</v>
      </c>
      <c r="AK578" s="314">
        <f t="shared" si="661"/>
        <v>0</v>
      </c>
      <c r="AL578" s="314">
        <f t="shared" si="662"/>
        <v>0</v>
      </c>
      <c r="AM578" s="314">
        <f t="shared" si="663"/>
        <v>0</v>
      </c>
      <c r="AN578" s="314">
        <f t="shared" si="664"/>
        <v>0</v>
      </c>
      <c r="AO578" s="314">
        <f t="shared" si="665"/>
        <v>0</v>
      </c>
      <c r="AP578" s="314">
        <f t="shared" si="666"/>
        <v>0</v>
      </c>
    </row>
    <row r="579" spans="1:42" ht="27.6" hidden="1" outlineLevel="3">
      <c r="A579" s="583" t="s">
        <v>47</v>
      </c>
      <c r="B579" s="324" t="s">
        <v>1521</v>
      </c>
      <c r="C579" s="304"/>
      <c r="D579" s="304">
        <v>210</v>
      </c>
      <c r="E579" s="304">
        <f>F579+AC579</f>
        <v>0</v>
      </c>
      <c r="F579" s="304">
        <f>H579-AB579</f>
        <v>0</v>
      </c>
      <c r="G579" s="304">
        <f t="shared" si="696"/>
        <v>-210</v>
      </c>
      <c r="H579" s="303">
        <f t="shared" si="706"/>
        <v>0</v>
      </c>
      <c r="I579" s="303">
        <f t="shared" ref="I579" si="707">M579+P579</f>
        <v>0</v>
      </c>
      <c r="J579" s="294"/>
      <c r="K579" s="294">
        <v>0</v>
      </c>
      <c r="L579" s="294"/>
      <c r="M579" s="304">
        <f t="shared" ref="M579" si="708">N579+O579</f>
        <v>0</v>
      </c>
      <c r="N579" s="294"/>
      <c r="O579" s="294"/>
      <c r="P579" s="303">
        <f t="shared" ref="P579" si="709">S579+T579</f>
        <v>0</v>
      </c>
      <c r="Q579" s="311">
        <v>0</v>
      </c>
      <c r="R579" s="305"/>
      <c r="S579" s="304">
        <f>J579*Q579</f>
        <v>0</v>
      </c>
      <c r="T579" s="303">
        <f t="shared" ref="T579" si="710">U579+V579</f>
        <v>0</v>
      </c>
      <c r="U579" s="304"/>
      <c r="V579" s="304"/>
      <c r="W579" s="303">
        <f>Z579+AA579</f>
        <v>0</v>
      </c>
      <c r="X579" s="303"/>
      <c r="Y579" s="303"/>
      <c r="Z579" s="304"/>
      <c r="AA579" s="304"/>
      <c r="AB579" s="304"/>
      <c r="AC579" s="304"/>
      <c r="AD579" s="304">
        <v>-18</v>
      </c>
      <c r="AE579" s="303">
        <f>E579-AD579</f>
        <v>18</v>
      </c>
      <c r="AF579" s="317"/>
      <c r="AG579" s="314">
        <f t="shared" si="657"/>
        <v>0</v>
      </c>
      <c r="AH579" s="696">
        <f t="shared" si="658"/>
        <v>0</v>
      </c>
      <c r="AI579" s="314">
        <f t="shared" si="659"/>
        <v>0</v>
      </c>
      <c r="AJ579" s="314">
        <f t="shared" si="660"/>
        <v>0</v>
      </c>
      <c r="AK579" s="314">
        <f t="shared" si="661"/>
        <v>0</v>
      </c>
      <c r="AL579" s="314">
        <f t="shared" si="662"/>
        <v>0</v>
      </c>
      <c r="AM579" s="314">
        <f t="shared" si="663"/>
        <v>0</v>
      </c>
      <c r="AN579" s="314">
        <f t="shared" si="664"/>
        <v>0</v>
      </c>
      <c r="AO579" s="314">
        <f t="shared" si="665"/>
        <v>0</v>
      </c>
      <c r="AP579" s="314">
        <f t="shared" si="666"/>
        <v>0</v>
      </c>
    </row>
    <row r="580" spans="1:42" ht="27.6" hidden="1" outlineLevel="3">
      <c r="A580" s="583" t="s">
        <v>49</v>
      </c>
      <c r="B580" s="1273" t="s">
        <v>1737</v>
      </c>
      <c r="C580" s="304"/>
      <c r="D580" s="303"/>
      <c r="E580" s="303">
        <f>F580+AC580</f>
        <v>0</v>
      </c>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304"/>
      <c r="AE580" s="303"/>
      <c r="AF580" s="317"/>
      <c r="AG580" s="314">
        <f t="shared" si="657"/>
        <v>0</v>
      </c>
      <c r="AH580" s="696">
        <f t="shared" si="658"/>
        <v>0</v>
      </c>
      <c r="AI580" s="314">
        <f t="shared" si="659"/>
        <v>0</v>
      </c>
      <c r="AJ580" s="314">
        <f t="shared" si="660"/>
        <v>0</v>
      </c>
      <c r="AK580" s="314">
        <f t="shared" si="661"/>
        <v>0</v>
      </c>
      <c r="AL580" s="314">
        <f t="shared" si="662"/>
        <v>0</v>
      </c>
      <c r="AM580" s="314">
        <f t="shared" si="663"/>
        <v>0</v>
      </c>
      <c r="AN580" s="314">
        <f t="shared" si="664"/>
        <v>0</v>
      </c>
      <c r="AO580" s="314">
        <f t="shared" si="665"/>
        <v>0</v>
      </c>
      <c r="AP580" s="314">
        <f t="shared" si="666"/>
        <v>0</v>
      </c>
    </row>
    <row r="581" spans="1:42" s="314" customFormat="1" collapsed="1">
      <c r="A581" s="592" t="s">
        <v>1048</v>
      </c>
      <c r="B581" s="320" t="s">
        <v>867</v>
      </c>
      <c r="C581" s="298" t="s">
        <v>728</v>
      </c>
      <c r="D581" s="299">
        <f t="shared" ref="D581" si="711">D582+D584</f>
        <v>1755</v>
      </c>
      <c r="E581" s="299">
        <f>E582+E584</f>
        <v>1735</v>
      </c>
      <c r="F581" s="299">
        <f>F582+F584</f>
        <v>1697</v>
      </c>
      <c r="G581" s="299">
        <f>F581-D581</f>
        <v>-58</v>
      </c>
      <c r="H581" s="299">
        <f t="shared" ref="H581:Z581" si="712">H582+H584</f>
        <v>1821</v>
      </c>
      <c r="I581" s="299">
        <f t="shared" si="712"/>
        <v>939</v>
      </c>
      <c r="J581" s="318">
        <f t="shared" si="712"/>
        <v>6</v>
      </c>
      <c r="K581" s="318">
        <f t="shared" si="712"/>
        <v>6</v>
      </c>
      <c r="L581" s="318">
        <f t="shared" si="712"/>
        <v>0</v>
      </c>
      <c r="M581" s="299">
        <f t="shared" si="712"/>
        <v>753</v>
      </c>
      <c r="N581" s="318">
        <f t="shared" si="712"/>
        <v>753</v>
      </c>
      <c r="O581" s="318">
        <f t="shared" si="712"/>
        <v>0</v>
      </c>
      <c r="P581" s="299">
        <f t="shared" si="712"/>
        <v>186</v>
      </c>
      <c r="Q581" s="318"/>
      <c r="R581" s="318"/>
      <c r="S581" s="299">
        <f t="shared" si="712"/>
        <v>186</v>
      </c>
      <c r="T581" s="299">
        <f t="shared" si="712"/>
        <v>0</v>
      </c>
      <c r="U581" s="299">
        <f t="shared" si="712"/>
        <v>0</v>
      </c>
      <c r="V581" s="299">
        <f t="shared" si="712"/>
        <v>0</v>
      </c>
      <c r="W581" s="299">
        <f>W582+W584</f>
        <v>882</v>
      </c>
      <c r="X581" s="299"/>
      <c r="Y581" s="299"/>
      <c r="Z581" s="299">
        <f t="shared" si="712"/>
        <v>882</v>
      </c>
      <c r="AA581" s="299">
        <f>AA582+AA584</f>
        <v>0</v>
      </c>
      <c r="AB581" s="299">
        <f>AB582+AB584</f>
        <v>124</v>
      </c>
      <c r="AC581" s="299">
        <f t="shared" ref="AC581:AE581" si="713">AC582+AC584</f>
        <v>38</v>
      </c>
      <c r="AD581" s="299">
        <f t="shared" si="713"/>
        <v>94</v>
      </c>
      <c r="AE581" s="299">
        <f t="shared" si="713"/>
        <v>1641</v>
      </c>
      <c r="AF581" s="321"/>
      <c r="AG581" s="314">
        <f t="shared" si="657"/>
        <v>0</v>
      </c>
      <c r="AH581" s="696">
        <f t="shared" si="658"/>
        <v>0</v>
      </c>
      <c r="AI581" s="314">
        <f t="shared" si="659"/>
        <v>0</v>
      </c>
      <c r="AJ581" s="314">
        <f t="shared" si="660"/>
        <v>0</v>
      </c>
      <c r="AK581" s="314">
        <f t="shared" si="661"/>
        <v>0</v>
      </c>
      <c r="AL581" s="314">
        <f t="shared" si="662"/>
        <v>0</v>
      </c>
      <c r="AM581" s="314">
        <f t="shared" si="663"/>
        <v>0</v>
      </c>
      <c r="AN581" s="314">
        <f t="shared" si="664"/>
        <v>0</v>
      </c>
      <c r="AO581" s="314">
        <f t="shared" si="665"/>
        <v>0</v>
      </c>
      <c r="AP581" s="314">
        <f t="shared" si="666"/>
        <v>0</v>
      </c>
    </row>
    <row r="582" spans="1:42">
      <c r="A582" s="583" t="s">
        <v>45</v>
      </c>
      <c r="B582" s="316" t="s">
        <v>841</v>
      </c>
      <c r="C582" s="304"/>
      <c r="D582" s="303">
        <f t="shared" ref="D582" si="714">D583</f>
        <v>873</v>
      </c>
      <c r="E582" s="303">
        <f>E583</f>
        <v>853</v>
      </c>
      <c r="F582" s="303">
        <f>F583</f>
        <v>815</v>
      </c>
      <c r="G582" s="303">
        <f>F582-D582</f>
        <v>-58</v>
      </c>
      <c r="H582" s="303">
        <f>H583</f>
        <v>939</v>
      </c>
      <c r="I582" s="303">
        <f t="shared" ref="I582:AE582" si="715">I583</f>
        <v>939</v>
      </c>
      <c r="J582" s="303">
        <f t="shared" si="715"/>
        <v>6</v>
      </c>
      <c r="K582" s="303">
        <f t="shared" si="715"/>
        <v>6</v>
      </c>
      <c r="L582" s="303">
        <f t="shared" si="715"/>
        <v>0</v>
      </c>
      <c r="M582" s="303">
        <f t="shared" si="715"/>
        <v>753</v>
      </c>
      <c r="N582" s="303">
        <f t="shared" si="715"/>
        <v>753</v>
      </c>
      <c r="O582" s="303">
        <f t="shared" si="715"/>
        <v>0</v>
      </c>
      <c r="P582" s="303">
        <f t="shared" si="715"/>
        <v>186</v>
      </c>
      <c r="Q582" s="303"/>
      <c r="R582" s="303"/>
      <c r="S582" s="303">
        <f t="shared" si="715"/>
        <v>186</v>
      </c>
      <c r="T582" s="303">
        <f t="shared" si="715"/>
        <v>0</v>
      </c>
      <c r="U582" s="303">
        <f t="shared" si="715"/>
        <v>0</v>
      </c>
      <c r="V582" s="303">
        <f t="shared" si="715"/>
        <v>0</v>
      </c>
      <c r="W582" s="303">
        <f>W583</f>
        <v>0</v>
      </c>
      <c r="X582" s="303"/>
      <c r="Y582" s="303"/>
      <c r="Z582" s="303">
        <f t="shared" si="715"/>
        <v>0</v>
      </c>
      <c r="AA582" s="303">
        <f>AA583</f>
        <v>0</v>
      </c>
      <c r="AB582" s="303">
        <f>AB583</f>
        <v>124</v>
      </c>
      <c r="AC582" s="303">
        <f t="shared" si="715"/>
        <v>38</v>
      </c>
      <c r="AD582" s="303">
        <f t="shared" si="715"/>
        <v>6</v>
      </c>
      <c r="AE582" s="303">
        <f t="shared" si="715"/>
        <v>847</v>
      </c>
      <c r="AF582" s="317"/>
      <c r="AG582" s="314">
        <f t="shared" si="657"/>
        <v>0</v>
      </c>
      <c r="AH582" s="696">
        <f t="shared" si="658"/>
        <v>0</v>
      </c>
      <c r="AI582" s="314">
        <f t="shared" si="659"/>
        <v>0</v>
      </c>
      <c r="AJ582" s="314">
        <f t="shared" si="660"/>
        <v>0</v>
      </c>
      <c r="AK582" s="314">
        <f t="shared" si="661"/>
        <v>0</v>
      </c>
      <c r="AL582" s="314">
        <f t="shared" si="662"/>
        <v>0</v>
      </c>
      <c r="AM582" s="314">
        <f t="shared" si="663"/>
        <v>0</v>
      </c>
      <c r="AN582" s="314">
        <f t="shared" si="664"/>
        <v>0</v>
      </c>
      <c r="AO582" s="314">
        <f t="shared" si="665"/>
        <v>0</v>
      </c>
      <c r="AP582" s="314">
        <f t="shared" si="666"/>
        <v>0</v>
      </c>
    </row>
    <row r="583" spans="1:42" outlineLevel="1">
      <c r="A583" s="593" t="s">
        <v>23</v>
      </c>
      <c r="B583" s="316" t="s">
        <v>1049</v>
      </c>
      <c r="C583" s="317"/>
      <c r="D583" s="304">
        <v>873</v>
      </c>
      <c r="E583" s="304">
        <f>F583+AC583</f>
        <v>853</v>
      </c>
      <c r="F583" s="304">
        <f>H583-AB583</f>
        <v>815</v>
      </c>
      <c r="G583" s="304">
        <f>F583-D583</f>
        <v>-58</v>
      </c>
      <c r="H583" s="303">
        <f t="shared" ref="H583" si="716">I583+W583</f>
        <v>939</v>
      </c>
      <c r="I583" s="303">
        <f>M583+P583</f>
        <v>939</v>
      </c>
      <c r="J583" s="294">
        <v>6</v>
      </c>
      <c r="K583" s="294">
        <v>6</v>
      </c>
      <c r="L583" s="294">
        <f>J583-K583</f>
        <v>0</v>
      </c>
      <c r="M583" s="304">
        <f>N583+O583</f>
        <v>753</v>
      </c>
      <c r="N583" s="294">
        <v>753</v>
      </c>
      <c r="O583" s="294">
        <v>0</v>
      </c>
      <c r="P583" s="303">
        <f>S583+T583</f>
        <v>186</v>
      </c>
      <c r="Q583" s="294">
        <v>31</v>
      </c>
      <c r="R583" s="305">
        <v>1</v>
      </c>
      <c r="S583" s="303">
        <f>ROUND(J583*Q583*R583,0)</f>
        <v>186</v>
      </c>
      <c r="T583" s="303"/>
      <c r="U583" s="304"/>
      <c r="V583" s="304"/>
      <c r="W583" s="303"/>
      <c r="X583" s="303"/>
      <c r="Y583" s="303"/>
      <c r="Z583" s="304"/>
      <c r="AA583" s="304"/>
      <c r="AB583" s="304">
        <v>124</v>
      </c>
      <c r="AC583" s="304">
        <v>38</v>
      </c>
      <c r="AD583" s="304">
        <v>6</v>
      </c>
      <c r="AE583" s="303">
        <f>E583-AD583</f>
        <v>847</v>
      </c>
      <c r="AF583" s="317"/>
      <c r="AG583" s="314">
        <f t="shared" si="657"/>
        <v>0</v>
      </c>
      <c r="AH583" s="696">
        <f t="shared" si="658"/>
        <v>0</v>
      </c>
      <c r="AI583" s="314">
        <f t="shared" si="659"/>
        <v>0</v>
      </c>
      <c r="AJ583" s="314">
        <f t="shared" si="660"/>
        <v>0</v>
      </c>
      <c r="AK583" s="314">
        <f t="shared" si="661"/>
        <v>0</v>
      </c>
      <c r="AL583" s="314">
        <f t="shared" si="662"/>
        <v>0</v>
      </c>
      <c r="AM583" s="314">
        <f t="shared" si="663"/>
        <v>0</v>
      </c>
      <c r="AN583" s="314">
        <f t="shared" si="664"/>
        <v>0</v>
      </c>
      <c r="AO583" s="314">
        <f t="shared" si="665"/>
        <v>0</v>
      </c>
      <c r="AP583" s="314">
        <f t="shared" si="666"/>
        <v>0</v>
      </c>
    </row>
    <row r="584" spans="1:42">
      <c r="A584" s="583" t="s">
        <v>47</v>
      </c>
      <c r="B584" s="977" t="s">
        <v>844</v>
      </c>
      <c r="C584" s="317"/>
      <c r="D584" s="303">
        <v>882</v>
      </c>
      <c r="E584" s="303">
        <f>E585+E586</f>
        <v>882</v>
      </c>
      <c r="F584" s="303">
        <f>F585+F586</f>
        <v>882</v>
      </c>
      <c r="G584" s="303">
        <f>G585+G586</f>
        <v>0</v>
      </c>
      <c r="H584" s="303">
        <f t="shared" ref="H584:AB584" si="717">H585+H586</f>
        <v>882</v>
      </c>
      <c r="I584" s="303">
        <f t="shared" si="717"/>
        <v>0</v>
      </c>
      <c r="J584" s="303">
        <f t="shared" si="717"/>
        <v>0</v>
      </c>
      <c r="K584" s="303">
        <f t="shared" si="717"/>
        <v>0</v>
      </c>
      <c r="L584" s="303">
        <f t="shared" si="717"/>
        <v>0</v>
      </c>
      <c r="M584" s="303">
        <f t="shared" si="717"/>
        <v>0</v>
      </c>
      <c r="N584" s="303">
        <f t="shared" si="717"/>
        <v>0</v>
      </c>
      <c r="O584" s="303">
        <f t="shared" si="717"/>
        <v>0</v>
      </c>
      <c r="P584" s="303">
        <f t="shared" si="717"/>
        <v>0</v>
      </c>
      <c r="Q584" s="303">
        <f t="shared" si="717"/>
        <v>0</v>
      </c>
      <c r="R584" s="303">
        <f t="shared" si="717"/>
        <v>0</v>
      </c>
      <c r="S584" s="303">
        <f t="shared" si="717"/>
        <v>0</v>
      </c>
      <c r="T584" s="303">
        <f t="shared" si="717"/>
        <v>0</v>
      </c>
      <c r="U584" s="303">
        <f t="shared" si="717"/>
        <v>0</v>
      </c>
      <c r="V584" s="303">
        <f t="shared" si="717"/>
        <v>0</v>
      </c>
      <c r="W584" s="303">
        <f t="shared" si="717"/>
        <v>882</v>
      </c>
      <c r="X584" s="303">
        <f t="shared" si="717"/>
        <v>0</v>
      </c>
      <c r="Y584" s="303">
        <f t="shared" si="717"/>
        <v>0</v>
      </c>
      <c r="Z584" s="303">
        <f t="shared" si="717"/>
        <v>882</v>
      </c>
      <c r="AA584" s="303">
        <f t="shared" si="717"/>
        <v>0</v>
      </c>
      <c r="AB584" s="303">
        <f t="shared" si="717"/>
        <v>0</v>
      </c>
      <c r="AC584" s="303"/>
      <c r="AD584" s="303">
        <v>88</v>
      </c>
      <c r="AE584" s="303">
        <f>E584-AD584</f>
        <v>794</v>
      </c>
      <c r="AF584" s="1272"/>
      <c r="AG584" s="314">
        <f t="shared" si="657"/>
        <v>0</v>
      </c>
      <c r="AH584" s="696">
        <f t="shared" si="658"/>
        <v>0</v>
      </c>
      <c r="AI584" s="314">
        <f t="shared" si="659"/>
        <v>0</v>
      </c>
      <c r="AJ584" s="314">
        <f t="shared" si="660"/>
        <v>0</v>
      </c>
      <c r="AK584" s="314">
        <f t="shared" si="661"/>
        <v>0</v>
      </c>
      <c r="AL584" s="314">
        <f t="shared" si="662"/>
        <v>0</v>
      </c>
      <c r="AM584" s="314">
        <f t="shared" si="663"/>
        <v>0</v>
      </c>
      <c r="AN584" s="314">
        <f t="shared" si="664"/>
        <v>0</v>
      </c>
      <c r="AO584" s="314">
        <f t="shared" si="665"/>
        <v>0</v>
      </c>
      <c r="AP584" s="314">
        <f t="shared" si="666"/>
        <v>0</v>
      </c>
    </row>
    <row r="585" spans="1:42" ht="27.6" outlineLevel="2">
      <c r="A585" s="583" t="s">
        <v>23</v>
      </c>
      <c r="B585" s="977" t="s">
        <v>1050</v>
      </c>
      <c r="C585" s="317"/>
      <c r="D585" s="304">
        <v>528</v>
      </c>
      <c r="E585" s="304">
        <f>F585+AC585</f>
        <v>528</v>
      </c>
      <c r="F585" s="304">
        <f>H585-AB585</f>
        <v>528</v>
      </c>
      <c r="G585" s="304">
        <f>F585-D585</f>
        <v>0</v>
      </c>
      <c r="H585" s="303">
        <f t="shared" ref="H585" si="718">I585+W585</f>
        <v>528</v>
      </c>
      <c r="I585" s="303">
        <f>M585+P585</f>
        <v>0</v>
      </c>
      <c r="J585" s="311"/>
      <c r="K585" s="311"/>
      <c r="L585" s="311"/>
      <c r="M585" s="303"/>
      <c r="N585" s="311"/>
      <c r="O585" s="311"/>
      <c r="P585" s="303">
        <f>S585+T585</f>
        <v>0</v>
      </c>
      <c r="Q585" s="311"/>
      <c r="R585" s="312"/>
      <c r="S585" s="297"/>
      <c r="T585" s="303">
        <f>U585+V585</f>
        <v>0</v>
      </c>
      <c r="U585" s="304"/>
      <c r="V585" s="304"/>
      <c r="W585" s="303">
        <f>Z585+AA585</f>
        <v>528</v>
      </c>
      <c r="X585" s="303"/>
      <c r="Y585" s="303"/>
      <c r="Z585" s="304">
        <v>528</v>
      </c>
      <c r="AA585" s="297"/>
      <c r="AB585" s="304"/>
      <c r="AC585" s="304"/>
      <c r="AD585" s="304"/>
      <c r="AE585" s="303"/>
      <c r="AF585" s="1272"/>
      <c r="AG585" s="314">
        <f t="shared" si="657"/>
        <v>0</v>
      </c>
      <c r="AH585" s="696">
        <f t="shared" si="658"/>
        <v>0</v>
      </c>
      <c r="AI585" s="314">
        <f t="shared" si="659"/>
        <v>0</v>
      </c>
      <c r="AJ585" s="314">
        <f t="shared" si="660"/>
        <v>0</v>
      </c>
      <c r="AK585" s="314">
        <f t="shared" si="661"/>
        <v>0</v>
      </c>
      <c r="AL585" s="314">
        <f t="shared" si="662"/>
        <v>0</v>
      </c>
      <c r="AM585" s="314">
        <f t="shared" si="663"/>
        <v>0</v>
      </c>
      <c r="AN585" s="314">
        <f t="shared" si="664"/>
        <v>0</v>
      </c>
      <c r="AO585" s="314">
        <f t="shared" si="665"/>
        <v>0</v>
      </c>
      <c r="AP585" s="314">
        <f t="shared" si="666"/>
        <v>0</v>
      </c>
    </row>
    <row r="586" spans="1:42" outlineLevel="1">
      <c r="A586" s="583" t="s">
        <v>23</v>
      </c>
      <c r="B586" s="977" t="s">
        <v>1047</v>
      </c>
      <c r="C586" s="304"/>
      <c r="D586" s="304">
        <v>354</v>
      </c>
      <c r="E586" s="304">
        <f>F586+AC586</f>
        <v>354</v>
      </c>
      <c r="F586" s="304">
        <f>H586-AB586</f>
        <v>354</v>
      </c>
      <c r="G586" s="304">
        <f>F586-D586</f>
        <v>0</v>
      </c>
      <c r="H586" s="303">
        <f>I586+W586</f>
        <v>354</v>
      </c>
      <c r="I586" s="303">
        <f>M586+P586</f>
        <v>0</v>
      </c>
      <c r="J586" s="294"/>
      <c r="K586" s="294"/>
      <c r="L586" s="294"/>
      <c r="M586" s="304"/>
      <c r="N586" s="294"/>
      <c r="O586" s="294"/>
      <c r="P586" s="303">
        <f>S586+T586</f>
        <v>0</v>
      </c>
      <c r="Q586" s="294"/>
      <c r="R586" s="305"/>
      <c r="S586" s="304"/>
      <c r="T586" s="303">
        <f>U586+V586</f>
        <v>0</v>
      </c>
      <c r="U586" s="304"/>
      <c r="V586" s="304"/>
      <c r="W586" s="303">
        <f>Z586+AA586</f>
        <v>354</v>
      </c>
      <c r="X586" s="303"/>
      <c r="Y586" s="303"/>
      <c r="Z586" s="304">
        <v>354</v>
      </c>
      <c r="AA586" s="304"/>
      <c r="AB586" s="304"/>
      <c r="AC586" s="304"/>
      <c r="AD586" s="304"/>
      <c r="AE586" s="304"/>
      <c r="AF586" s="1272"/>
      <c r="AG586" s="314">
        <f t="shared" si="657"/>
        <v>0</v>
      </c>
      <c r="AH586" s="696">
        <f t="shared" si="658"/>
        <v>0</v>
      </c>
      <c r="AI586" s="314">
        <f t="shared" si="659"/>
        <v>0</v>
      </c>
      <c r="AJ586" s="314">
        <f t="shared" si="660"/>
        <v>0</v>
      </c>
      <c r="AK586" s="314">
        <f t="shared" si="661"/>
        <v>0</v>
      </c>
      <c r="AL586" s="314">
        <f t="shared" si="662"/>
        <v>0</v>
      </c>
      <c r="AM586" s="314">
        <f t="shared" si="663"/>
        <v>0</v>
      </c>
      <c r="AN586" s="314">
        <f t="shared" si="664"/>
        <v>0</v>
      </c>
      <c r="AO586" s="314">
        <f t="shared" si="665"/>
        <v>0</v>
      </c>
      <c r="AP586" s="314">
        <f t="shared" si="666"/>
        <v>0</v>
      </c>
    </row>
    <row r="587" spans="1:42" s="314" customFormat="1" ht="41.4">
      <c r="A587" s="591" t="s">
        <v>1051</v>
      </c>
      <c r="B587" s="974" t="s">
        <v>1875</v>
      </c>
      <c r="C587" s="298"/>
      <c r="D587" s="297">
        <f>D588+D589</f>
        <v>13168</v>
      </c>
      <c r="E587" s="297">
        <f>E588+E589</f>
        <v>13668</v>
      </c>
      <c r="F587" s="297">
        <f>F588+F589</f>
        <v>13668</v>
      </c>
      <c r="G587" s="297">
        <f>G588+G589</f>
        <v>500</v>
      </c>
      <c r="H587" s="297">
        <f t="shared" ref="H587:AE587" si="719">H588+H589</f>
        <v>13668</v>
      </c>
      <c r="I587" s="297">
        <f t="shared" si="719"/>
        <v>0</v>
      </c>
      <c r="J587" s="297">
        <f t="shared" si="719"/>
        <v>0</v>
      </c>
      <c r="K587" s="297">
        <f t="shared" si="719"/>
        <v>0</v>
      </c>
      <c r="L587" s="297">
        <f t="shared" si="719"/>
        <v>0</v>
      </c>
      <c r="M587" s="297">
        <f t="shared" si="719"/>
        <v>0</v>
      </c>
      <c r="N587" s="297">
        <f t="shared" si="719"/>
        <v>0</v>
      </c>
      <c r="O587" s="297">
        <f t="shared" si="719"/>
        <v>0</v>
      </c>
      <c r="P587" s="297">
        <f t="shared" si="719"/>
        <v>0</v>
      </c>
      <c r="Q587" s="297">
        <f t="shared" si="719"/>
        <v>0</v>
      </c>
      <c r="R587" s="297">
        <f t="shared" si="719"/>
        <v>0</v>
      </c>
      <c r="S587" s="297">
        <f t="shared" si="719"/>
        <v>0</v>
      </c>
      <c r="T587" s="297">
        <f t="shared" si="719"/>
        <v>0</v>
      </c>
      <c r="U587" s="297">
        <f t="shared" si="719"/>
        <v>0</v>
      </c>
      <c r="V587" s="297">
        <f t="shared" si="719"/>
        <v>0</v>
      </c>
      <c r="W587" s="297">
        <f t="shared" si="719"/>
        <v>13668</v>
      </c>
      <c r="X587" s="297">
        <f t="shared" si="719"/>
        <v>0</v>
      </c>
      <c r="Y587" s="297">
        <f t="shared" si="719"/>
        <v>0</v>
      </c>
      <c r="Z587" s="297">
        <f t="shared" si="719"/>
        <v>13668</v>
      </c>
      <c r="AA587" s="297">
        <f t="shared" si="719"/>
        <v>0</v>
      </c>
      <c r="AB587" s="297">
        <f t="shared" si="719"/>
        <v>0</v>
      </c>
      <c r="AC587" s="297">
        <f t="shared" si="719"/>
        <v>0</v>
      </c>
      <c r="AD587" s="297">
        <f t="shared" si="719"/>
        <v>836</v>
      </c>
      <c r="AE587" s="297">
        <f t="shared" si="719"/>
        <v>12832</v>
      </c>
      <c r="AF587" s="1632" t="s">
        <v>2557</v>
      </c>
      <c r="AG587" s="314">
        <f t="shared" si="657"/>
        <v>0</v>
      </c>
      <c r="AH587" s="696">
        <f t="shared" si="658"/>
        <v>0</v>
      </c>
      <c r="AI587" s="314">
        <f t="shared" si="659"/>
        <v>0</v>
      </c>
      <c r="AJ587" s="314">
        <f t="shared" si="660"/>
        <v>0</v>
      </c>
      <c r="AK587" s="314">
        <f t="shared" si="661"/>
        <v>0</v>
      </c>
      <c r="AL587" s="314">
        <f t="shared" si="662"/>
        <v>0</v>
      </c>
      <c r="AM587" s="314">
        <f t="shared" si="663"/>
        <v>0</v>
      </c>
      <c r="AN587" s="314">
        <f t="shared" si="664"/>
        <v>0</v>
      </c>
      <c r="AO587" s="314">
        <f t="shared" si="665"/>
        <v>0</v>
      </c>
      <c r="AP587" s="314">
        <f t="shared" si="666"/>
        <v>0</v>
      </c>
    </row>
    <row r="588" spans="1:42" ht="51" customHeight="1">
      <c r="A588" s="593" t="s">
        <v>23</v>
      </c>
      <c r="B588" s="977" t="s">
        <v>1052</v>
      </c>
      <c r="C588" s="302" t="s">
        <v>726</v>
      </c>
      <c r="D588" s="304">
        <v>1168</v>
      </c>
      <c r="E588" s="304">
        <f>F588+AC588</f>
        <v>1168</v>
      </c>
      <c r="F588" s="304">
        <f>H588-AB588</f>
        <v>1168</v>
      </c>
      <c r="G588" s="304">
        <f>F588-D588</f>
        <v>0</v>
      </c>
      <c r="H588" s="303">
        <f t="shared" ref="H588:H591" si="720">I588+W588</f>
        <v>1168</v>
      </c>
      <c r="I588" s="303">
        <f>M588+P588</f>
        <v>0</v>
      </c>
      <c r="J588" s="311"/>
      <c r="K588" s="311"/>
      <c r="L588" s="311"/>
      <c r="M588" s="303"/>
      <c r="N588" s="311"/>
      <c r="O588" s="311"/>
      <c r="P588" s="303">
        <f>S588+T588</f>
        <v>0</v>
      </c>
      <c r="Q588" s="311"/>
      <c r="R588" s="312"/>
      <c r="S588" s="304"/>
      <c r="T588" s="303">
        <f>U588+V588</f>
        <v>0</v>
      </c>
      <c r="U588" s="304"/>
      <c r="V588" s="304"/>
      <c r="W588" s="303">
        <f t="shared" ref="W588:W591" si="721">Z588+AA588</f>
        <v>1168</v>
      </c>
      <c r="X588" s="303"/>
      <c r="Y588" s="303"/>
      <c r="Z588" s="304">
        <v>1168</v>
      </c>
      <c r="AA588" s="304"/>
      <c r="AB588" s="304"/>
      <c r="AC588" s="304"/>
      <c r="AD588" s="304">
        <v>0</v>
      </c>
      <c r="AE588" s="303">
        <f>E588-AD588</f>
        <v>1168</v>
      </c>
      <c r="AF588" s="1622"/>
      <c r="AG588" s="314">
        <f t="shared" si="657"/>
        <v>0</v>
      </c>
      <c r="AH588" s="696">
        <f t="shared" si="658"/>
        <v>0</v>
      </c>
      <c r="AI588" s="314">
        <f t="shared" si="659"/>
        <v>0</v>
      </c>
      <c r="AJ588" s="314">
        <f t="shared" si="660"/>
        <v>0</v>
      </c>
      <c r="AK588" s="314">
        <f t="shared" si="661"/>
        <v>0</v>
      </c>
      <c r="AL588" s="314">
        <f t="shared" si="662"/>
        <v>0</v>
      </c>
      <c r="AM588" s="314">
        <f t="shared" si="663"/>
        <v>0</v>
      </c>
      <c r="AN588" s="314">
        <f t="shared" si="664"/>
        <v>0</v>
      </c>
      <c r="AO588" s="314">
        <f t="shared" si="665"/>
        <v>0</v>
      </c>
      <c r="AP588" s="314">
        <f t="shared" si="666"/>
        <v>0</v>
      </c>
    </row>
    <row r="589" spans="1:42" ht="51" customHeight="1">
      <c r="A589" s="593" t="s">
        <v>23</v>
      </c>
      <c r="B589" s="977" t="s">
        <v>1874</v>
      </c>
      <c r="C589" s="302" t="s">
        <v>728</v>
      </c>
      <c r="D589" s="304">
        <v>12000</v>
      </c>
      <c r="E589" s="304">
        <f>F589+AC589</f>
        <v>12500</v>
      </c>
      <c r="F589" s="304">
        <f>H589-AB589</f>
        <v>12500</v>
      </c>
      <c r="G589" s="304">
        <f>F589-D589</f>
        <v>500</v>
      </c>
      <c r="H589" s="303">
        <f t="shared" si="720"/>
        <v>12500</v>
      </c>
      <c r="I589" s="303">
        <f>M589+P589</f>
        <v>0</v>
      </c>
      <c r="J589" s="311"/>
      <c r="K589" s="311"/>
      <c r="L589" s="311"/>
      <c r="M589" s="303"/>
      <c r="N589" s="311"/>
      <c r="O589" s="311"/>
      <c r="P589" s="303">
        <f>S589+T589</f>
        <v>0</v>
      </c>
      <c r="Q589" s="311"/>
      <c r="R589" s="312"/>
      <c r="S589" s="304"/>
      <c r="T589" s="303">
        <f>U589+V589</f>
        <v>0</v>
      </c>
      <c r="U589" s="304"/>
      <c r="V589" s="304"/>
      <c r="W589" s="303">
        <f t="shared" si="721"/>
        <v>12500</v>
      </c>
      <c r="X589" s="303"/>
      <c r="Y589" s="303"/>
      <c r="Z589" s="304">
        <f>12000+500</f>
        <v>12500</v>
      </c>
      <c r="AA589" s="304"/>
      <c r="AB589" s="304"/>
      <c r="AC589" s="304"/>
      <c r="AD589" s="304">
        <v>836</v>
      </c>
      <c r="AE589" s="303">
        <f>E589-AD589</f>
        <v>11664</v>
      </c>
      <c r="AF589" s="1622"/>
      <c r="AG589" s="314">
        <f t="shared" si="657"/>
        <v>0</v>
      </c>
      <c r="AH589" s="696">
        <f t="shared" si="658"/>
        <v>0</v>
      </c>
      <c r="AI589" s="314">
        <f t="shared" si="659"/>
        <v>0</v>
      </c>
      <c r="AJ589" s="314">
        <f t="shared" si="660"/>
        <v>0</v>
      </c>
      <c r="AK589" s="314">
        <f t="shared" si="661"/>
        <v>0</v>
      </c>
      <c r="AL589" s="314">
        <f t="shared" si="662"/>
        <v>0</v>
      </c>
      <c r="AM589" s="314">
        <f t="shared" si="663"/>
        <v>0</v>
      </c>
      <c r="AN589" s="314">
        <f t="shared" si="664"/>
        <v>0</v>
      </c>
      <c r="AO589" s="314">
        <f t="shared" si="665"/>
        <v>0</v>
      </c>
      <c r="AP589" s="314">
        <f t="shared" si="666"/>
        <v>0</v>
      </c>
    </row>
    <row r="590" spans="1:42" ht="82.8">
      <c r="A590" s="593" t="s">
        <v>281</v>
      </c>
      <c r="B590" s="977" t="s">
        <v>1053</v>
      </c>
      <c r="C590" s="302"/>
      <c r="D590" s="304">
        <v>4136</v>
      </c>
      <c r="E590" s="304">
        <f>F590+AC590</f>
        <v>4136</v>
      </c>
      <c r="F590" s="304">
        <f>H590-AB590</f>
        <v>4136</v>
      </c>
      <c r="G590" s="304">
        <f>F590-D590</f>
        <v>0</v>
      </c>
      <c r="H590" s="303">
        <f t="shared" si="720"/>
        <v>4136</v>
      </c>
      <c r="I590" s="303"/>
      <c r="J590" s="311"/>
      <c r="K590" s="311"/>
      <c r="L590" s="311"/>
      <c r="M590" s="303"/>
      <c r="N590" s="311"/>
      <c r="O590" s="311"/>
      <c r="P590" s="303"/>
      <c r="Q590" s="311"/>
      <c r="R590" s="312"/>
      <c r="S590" s="304"/>
      <c r="T590" s="303"/>
      <c r="U590" s="304"/>
      <c r="V590" s="304"/>
      <c r="W590" s="303">
        <f t="shared" si="721"/>
        <v>4136</v>
      </c>
      <c r="X590" s="303"/>
      <c r="Y590" s="303"/>
      <c r="Z590" s="304">
        <f>4136</f>
        <v>4136</v>
      </c>
      <c r="AA590" s="304"/>
      <c r="AB590" s="304"/>
      <c r="AC590" s="304"/>
      <c r="AD590" s="304">
        <v>836</v>
      </c>
      <c r="AE590" s="303">
        <f>E590-AD590</f>
        <v>3300</v>
      </c>
      <c r="AF590" s="1633"/>
      <c r="AG590" s="314">
        <f t="shared" si="657"/>
        <v>0</v>
      </c>
      <c r="AH590" s="696">
        <f t="shared" si="658"/>
        <v>0</v>
      </c>
      <c r="AI590" s="314">
        <f t="shared" si="659"/>
        <v>0</v>
      </c>
      <c r="AJ590" s="314">
        <f t="shared" si="660"/>
        <v>0</v>
      </c>
      <c r="AK590" s="314">
        <f t="shared" si="661"/>
        <v>0</v>
      </c>
      <c r="AL590" s="314">
        <f t="shared" si="662"/>
        <v>0</v>
      </c>
      <c r="AM590" s="314">
        <f t="shared" si="663"/>
        <v>0</v>
      </c>
      <c r="AN590" s="314">
        <f t="shared" si="664"/>
        <v>0</v>
      </c>
      <c r="AO590" s="314">
        <f t="shared" si="665"/>
        <v>0</v>
      </c>
      <c r="AP590" s="314">
        <f t="shared" si="666"/>
        <v>0</v>
      </c>
    </row>
    <row r="591" spans="1:42" ht="69">
      <c r="A591" s="593" t="s">
        <v>281</v>
      </c>
      <c r="B591" s="977" t="s">
        <v>2170</v>
      </c>
      <c r="C591" s="302"/>
      <c r="D591" s="304">
        <v>7864</v>
      </c>
      <c r="E591" s="304">
        <f>F591+AC591</f>
        <v>8364</v>
      </c>
      <c r="F591" s="304">
        <f>H591-AB591</f>
        <v>8364</v>
      </c>
      <c r="G591" s="304"/>
      <c r="H591" s="303">
        <f t="shared" si="720"/>
        <v>8364</v>
      </c>
      <c r="I591" s="303"/>
      <c r="J591" s="311"/>
      <c r="K591" s="311"/>
      <c r="L591" s="311"/>
      <c r="M591" s="303"/>
      <c r="N591" s="311"/>
      <c r="O591" s="311"/>
      <c r="P591" s="303"/>
      <c r="Q591" s="311"/>
      <c r="R591" s="312"/>
      <c r="S591" s="304"/>
      <c r="T591" s="303"/>
      <c r="U591" s="304"/>
      <c r="V591" s="304"/>
      <c r="W591" s="303">
        <f t="shared" si="721"/>
        <v>8364</v>
      </c>
      <c r="X591" s="303"/>
      <c r="Y591" s="303"/>
      <c r="Z591" s="304">
        <f>Z589-Z590</f>
        <v>8364</v>
      </c>
      <c r="AA591" s="304"/>
      <c r="AB591" s="304"/>
      <c r="AC591" s="304"/>
      <c r="AD591" s="304">
        <v>0</v>
      </c>
      <c r="AE591" s="303">
        <f>E591-AD591</f>
        <v>8364</v>
      </c>
      <c r="AF591" s="1313" t="s">
        <v>2455</v>
      </c>
      <c r="AG591" s="314">
        <f t="shared" si="657"/>
        <v>0</v>
      </c>
      <c r="AH591" s="696">
        <f t="shared" si="658"/>
        <v>0</v>
      </c>
      <c r="AI591" s="314">
        <f t="shared" si="659"/>
        <v>0</v>
      </c>
      <c r="AJ591" s="314">
        <f t="shared" si="660"/>
        <v>0</v>
      </c>
      <c r="AK591" s="314">
        <f t="shared" si="661"/>
        <v>0</v>
      </c>
      <c r="AL591" s="314">
        <f t="shared" si="662"/>
        <v>0</v>
      </c>
      <c r="AM591" s="314">
        <f t="shared" si="663"/>
        <v>0</v>
      </c>
      <c r="AN591" s="314">
        <f t="shared" si="664"/>
        <v>0</v>
      </c>
      <c r="AO591" s="314">
        <f t="shared" si="665"/>
        <v>0</v>
      </c>
      <c r="AP591" s="314">
        <f t="shared" si="666"/>
        <v>0</v>
      </c>
    </row>
    <row r="592" spans="1:42" s="314" customFormat="1">
      <c r="A592" s="592" t="s">
        <v>787</v>
      </c>
      <c r="B592" s="320" t="s">
        <v>1054</v>
      </c>
      <c r="C592" s="297"/>
      <c r="D592" s="299">
        <f t="shared" ref="D592:AE592" si="722">D593+D618+D620</f>
        <v>21547</v>
      </c>
      <c r="E592" s="299">
        <f t="shared" si="722"/>
        <v>21149</v>
      </c>
      <c r="F592" s="299">
        <f t="shared" si="722"/>
        <v>19703</v>
      </c>
      <c r="G592" s="299">
        <f t="shared" si="722"/>
        <v>-1844</v>
      </c>
      <c r="H592" s="299">
        <f t="shared" si="722"/>
        <v>19703</v>
      </c>
      <c r="I592" s="299">
        <f t="shared" si="722"/>
        <v>14144</v>
      </c>
      <c r="J592" s="299">
        <f t="shared" si="722"/>
        <v>61</v>
      </c>
      <c r="K592" s="299">
        <f t="shared" si="722"/>
        <v>59</v>
      </c>
      <c r="L592" s="299">
        <f t="shared" si="722"/>
        <v>2</v>
      </c>
      <c r="M592" s="299">
        <f t="shared" si="722"/>
        <v>6948</v>
      </c>
      <c r="N592" s="299">
        <f t="shared" si="722"/>
        <v>6817</v>
      </c>
      <c r="O592" s="299">
        <f t="shared" si="722"/>
        <v>131</v>
      </c>
      <c r="P592" s="299">
        <f t="shared" si="722"/>
        <v>7196</v>
      </c>
      <c r="Q592" s="299">
        <f t="shared" si="722"/>
        <v>0</v>
      </c>
      <c r="R592" s="299">
        <f t="shared" si="722"/>
        <v>0</v>
      </c>
      <c r="S592" s="299">
        <f t="shared" si="722"/>
        <v>3404</v>
      </c>
      <c r="T592" s="299">
        <f t="shared" si="722"/>
        <v>3792</v>
      </c>
      <c r="U592" s="299">
        <f t="shared" si="722"/>
        <v>3495</v>
      </c>
      <c r="V592" s="299">
        <f t="shared" si="722"/>
        <v>297</v>
      </c>
      <c r="W592" s="299">
        <f t="shared" si="722"/>
        <v>5559</v>
      </c>
      <c r="X592" s="299">
        <f t="shared" si="722"/>
        <v>0</v>
      </c>
      <c r="Y592" s="299">
        <f t="shared" si="722"/>
        <v>0</v>
      </c>
      <c r="Z592" s="299">
        <f t="shared" si="722"/>
        <v>5559</v>
      </c>
      <c r="AA592" s="299">
        <f t="shared" si="722"/>
        <v>0</v>
      </c>
      <c r="AB592" s="299">
        <f t="shared" si="722"/>
        <v>0</v>
      </c>
      <c r="AC592" s="299">
        <f t="shared" si="722"/>
        <v>1446</v>
      </c>
      <c r="AD592" s="299">
        <f t="shared" si="722"/>
        <v>352</v>
      </c>
      <c r="AE592" s="299">
        <f t="shared" si="722"/>
        <v>19238</v>
      </c>
      <c r="AF592" s="321"/>
      <c r="AG592" s="314">
        <f t="shared" si="657"/>
        <v>0</v>
      </c>
      <c r="AH592" s="696">
        <f t="shared" si="658"/>
        <v>0</v>
      </c>
      <c r="AI592" s="314">
        <f t="shared" si="659"/>
        <v>0</v>
      </c>
      <c r="AJ592" s="314">
        <f t="shared" si="660"/>
        <v>0</v>
      </c>
      <c r="AK592" s="314">
        <f t="shared" si="661"/>
        <v>0</v>
      </c>
      <c r="AL592" s="314">
        <f t="shared" si="662"/>
        <v>0</v>
      </c>
      <c r="AM592" s="314">
        <f t="shared" si="663"/>
        <v>0</v>
      </c>
      <c r="AN592" s="314">
        <f t="shared" si="664"/>
        <v>0</v>
      </c>
      <c r="AO592" s="314">
        <f t="shared" si="665"/>
        <v>0</v>
      </c>
      <c r="AP592" s="314">
        <f t="shared" si="666"/>
        <v>0</v>
      </c>
    </row>
    <row r="593" spans="1:42" s="314" customFormat="1">
      <c r="A593" s="592" t="s">
        <v>788</v>
      </c>
      <c r="B593" s="320" t="s">
        <v>826</v>
      </c>
      <c r="C593" s="298" t="s">
        <v>756</v>
      </c>
      <c r="D593" s="297">
        <f>D594+D599+D597</f>
        <v>15988</v>
      </c>
      <c r="E593" s="297">
        <f>E594+E599+E597</f>
        <v>15590</v>
      </c>
      <c r="F593" s="297">
        <f>F594+F599+F597</f>
        <v>14144</v>
      </c>
      <c r="G593" s="297">
        <f>F593-D593</f>
        <v>-1844</v>
      </c>
      <c r="H593" s="297">
        <f t="shared" ref="H593:P593" si="723">H594+H599+H597</f>
        <v>14144</v>
      </c>
      <c r="I593" s="297">
        <f t="shared" si="723"/>
        <v>14144</v>
      </c>
      <c r="J593" s="297">
        <f t="shared" si="723"/>
        <v>61</v>
      </c>
      <c r="K593" s="297">
        <f t="shared" si="723"/>
        <v>59</v>
      </c>
      <c r="L593" s="297">
        <f t="shared" si="723"/>
        <v>2</v>
      </c>
      <c r="M593" s="297">
        <f t="shared" si="723"/>
        <v>6948</v>
      </c>
      <c r="N593" s="297">
        <f t="shared" si="723"/>
        <v>6817</v>
      </c>
      <c r="O593" s="297">
        <f t="shared" si="723"/>
        <v>131</v>
      </c>
      <c r="P593" s="297">
        <f t="shared" si="723"/>
        <v>7196</v>
      </c>
      <c r="Q593" s="297"/>
      <c r="R593" s="297"/>
      <c r="S593" s="297">
        <f>S594+S599+S597</f>
        <v>3404</v>
      </c>
      <c r="T593" s="297">
        <f>T594+T599+T597</f>
        <v>3792</v>
      </c>
      <c r="U593" s="297">
        <f>U594+U599+U597</f>
        <v>3495</v>
      </c>
      <c r="V593" s="297">
        <f>V594+V599+V597</f>
        <v>297</v>
      </c>
      <c r="W593" s="297">
        <f>W594+W599+W597</f>
        <v>0</v>
      </c>
      <c r="X593" s="297"/>
      <c r="Y593" s="297"/>
      <c r="Z593" s="297">
        <f t="shared" ref="Z593:AE593" si="724">Z594+Z599+Z597</f>
        <v>0</v>
      </c>
      <c r="AA593" s="297">
        <f t="shared" si="724"/>
        <v>0</v>
      </c>
      <c r="AB593" s="297">
        <f t="shared" si="724"/>
        <v>0</v>
      </c>
      <c r="AC593" s="297">
        <f t="shared" si="724"/>
        <v>1446</v>
      </c>
      <c r="AD593" s="297">
        <f t="shared" si="724"/>
        <v>307</v>
      </c>
      <c r="AE593" s="297">
        <f t="shared" si="724"/>
        <v>15283</v>
      </c>
      <c r="AF593" s="321"/>
      <c r="AG593" s="314">
        <f t="shared" si="657"/>
        <v>0</v>
      </c>
      <c r="AH593" s="696">
        <f t="shared" si="658"/>
        <v>0</v>
      </c>
      <c r="AI593" s="314">
        <f t="shared" si="659"/>
        <v>0</v>
      </c>
      <c r="AJ593" s="314">
        <f t="shared" si="660"/>
        <v>0</v>
      </c>
      <c r="AK593" s="314">
        <f t="shared" si="661"/>
        <v>0</v>
      </c>
      <c r="AL593" s="314">
        <f t="shared" si="662"/>
        <v>0</v>
      </c>
      <c r="AM593" s="314">
        <f t="shared" si="663"/>
        <v>0</v>
      </c>
      <c r="AN593" s="314">
        <f t="shared" si="664"/>
        <v>0</v>
      </c>
      <c r="AO593" s="314">
        <f t="shared" si="665"/>
        <v>0</v>
      </c>
      <c r="AP593" s="314">
        <f t="shared" si="666"/>
        <v>0</v>
      </c>
    </row>
    <row r="594" spans="1:42" s="322" customFormat="1">
      <c r="A594" s="583" t="s">
        <v>45</v>
      </c>
      <c r="B594" s="316" t="s">
        <v>862</v>
      </c>
      <c r="C594" s="304"/>
      <c r="D594" s="317">
        <f t="shared" ref="D594" si="725">D595+D596</f>
        <v>9711</v>
      </c>
      <c r="E594" s="317">
        <f>E595+E596</f>
        <v>11798</v>
      </c>
      <c r="F594" s="317">
        <f>F595+F596</f>
        <v>10352</v>
      </c>
      <c r="G594" s="317">
        <f>G595+G596</f>
        <v>641</v>
      </c>
      <c r="H594" s="317">
        <f t="shared" ref="H594:AE594" si="726">H595+H596</f>
        <v>10352</v>
      </c>
      <c r="I594" s="317">
        <f t="shared" si="726"/>
        <v>10352</v>
      </c>
      <c r="J594" s="317">
        <f t="shared" si="726"/>
        <v>61</v>
      </c>
      <c r="K594" s="317">
        <f t="shared" si="726"/>
        <v>59</v>
      </c>
      <c r="L594" s="317">
        <f t="shared" si="726"/>
        <v>2</v>
      </c>
      <c r="M594" s="317">
        <f t="shared" si="726"/>
        <v>6948</v>
      </c>
      <c r="N594" s="317">
        <f t="shared" si="726"/>
        <v>6817</v>
      </c>
      <c r="O594" s="317">
        <f t="shared" si="726"/>
        <v>131</v>
      </c>
      <c r="P594" s="317">
        <f t="shared" si="726"/>
        <v>3404</v>
      </c>
      <c r="Q594" s="317"/>
      <c r="R594" s="317"/>
      <c r="S594" s="317">
        <f t="shared" si="726"/>
        <v>3404</v>
      </c>
      <c r="T594" s="317">
        <f t="shared" si="726"/>
        <v>0</v>
      </c>
      <c r="U594" s="317">
        <f t="shared" si="726"/>
        <v>0</v>
      </c>
      <c r="V594" s="317">
        <f t="shared" si="726"/>
        <v>0</v>
      </c>
      <c r="W594" s="317">
        <f t="shared" si="726"/>
        <v>0</v>
      </c>
      <c r="X594" s="317">
        <f t="shared" si="726"/>
        <v>0</v>
      </c>
      <c r="Y594" s="317">
        <f t="shared" si="726"/>
        <v>0</v>
      </c>
      <c r="Z594" s="317">
        <f t="shared" si="726"/>
        <v>0</v>
      </c>
      <c r="AA594" s="317">
        <f t="shared" si="726"/>
        <v>0</v>
      </c>
      <c r="AB594" s="317">
        <f t="shared" si="726"/>
        <v>0</v>
      </c>
      <c r="AC594" s="317">
        <f t="shared" si="726"/>
        <v>1446</v>
      </c>
      <c r="AD594" s="317">
        <f t="shared" si="726"/>
        <v>325</v>
      </c>
      <c r="AE594" s="317">
        <f t="shared" si="726"/>
        <v>11473</v>
      </c>
      <c r="AF594" s="317"/>
      <c r="AG594" s="314">
        <f t="shared" si="657"/>
        <v>0</v>
      </c>
      <c r="AH594" s="696">
        <f t="shared" si="658"/>
        <v>0</v>
      </c>
      <c r="AI594" s="314">
        <f t="shared" si="659"/>
        <v>0</v>
      </c>
      <c r="AJ594" s="314">
        <f t="shared" si="660"/>
        <v>0</v>
      </c>
      <c r="AK594" s="314">
        <f t="shared" si="661"/>
        <v>0</v>
      </c>
      <c r="AL594" s="314">
        <f t="shared" si="662"/>
        <v>0</v>
      </c>
      <c r="AM594" s="314">
        <f t="shared" si="663"/>
        <v>0</v>
      </c>
      <c r="AN594" s="314">
        <f t="shared" si="664"/>
        <v>0</v>
      </c>
      <c r="AO594" s="314">
        <f t="shared" si="665"/>
        <v>0</v>
      </c>
      <c r="AP594" s="314">
        <f t="shared" si="666"/>
        <v>0</v>
      </c>
    </row>
    <row r="595" spans="1:42" s="322" customFormat="1" outlineLevel="1">
      <c r="A595" s="593" t="s">
        <v>23</v>
      </c>
      <c r="B595" s="316" t="s">
        <v>1055</v>
      </c>
      <c r="C595" s="304"/>
      <c r="D595" s="304">
        <v>8204</v>
      </c>
      <c r="E595" s="304">
        <f>F595+AC595</f>
        <v>9690</v>
      </c>
      <c r="F595" s="304">
        <f>H595-AB595</f>
        <v>8518</v>
      </c>
      <c r="G595" s="304">
        <f>F595-D595</f>
        <v>314</v>
      </c>
      <c r="H595" s="303">
        <f t="shared" ref="H595:H596" si="727">I595+W595</f>
        <v>8518</v>
      </c>
      <c r="I595" s="303">
        <f>M595+P595</f>
        <v>8518</v>
      </c>
      <c r="J595" s="294">
        <v>49</v>
      </c>
      <c r="K595" s="294">
        <v>47</v>
      </c>
      <c r="L595" s="294">
        <f>J595-K595</f>
        <v>2</v>
      </c>
      <c r="M595" s="304">
        <f>N595+O595</f>
        <v>5632</v>
      </c>
      <c r="N595" s="294">
        <v>5501</v>
      </c>
      <c r="O595" s="294">
        <v>131</v>
      </c>
      <c r="P595" s="303">
        <f>S595+T595</f>
        <v>2886</v>
      </c>
      <c r="Q595" s="294">
        <v>31</v>
      </c>
      <c r="R595" s="305">
        <v>1.9000000000000001</v>
      </c>
      <c r="S595" s="304">
        <f>ROUND(J595*Q595*R595,0)</f>
        <v>2886</v>
      </c>
      <c r="T595" s="303">
        <f>U595+V595</f>
        <v>0</v>
      </c>
      <c r="U595" s="304"/>
      <c r="V595" s="304"/>
      <c r="W595" s="303">
        <f>Z595+AA595</f>
        <v>0</v>
      </c>
      <c r="X595" s="303"/>
      <c r="Y595" s="303"/>
      <c r="Z595" s="304"/>
      <c r="AA595" s="304"/>
      <c r="AB595" s="304"/>
      <c r="AC595" s="304">
        <v>1172</v>
      </c>
      <c r="AD595" s="304">
        <v>277</v>
      </c>
      <c r="AE595" s="303">
        <f>E595-AD595</f>
        <v>9413</v>
      </c>
      <c r="AF595" s="317"/>
      <c r="AG595" s="314">
        <f t="shared" si="657"/>
        <v>0</v>
      </c>
      <c r="AH595" s="696">
        <f t="shared" si="658"/>
        <v>0</v>
      </c>
      <c r="AI595" s="314">
        <f t="shared" si="659"/>
        <v>0</v>
      </c>
      <c r="AJ595" s="314">
        <f t="shared" si="660"/>
        <v>0</v>
      </c>
      <c r="AK595" s="314">
        <f t="shared" si="661"/>
        <v>0</v>
      </c>
      <c r="AL595" s="314">
        <f t="shared" si="662"/>
        <v>0</v>
      </c>
      <c r="AM595" s="314">
        <f t="shared" si="663"/>
        <v>0</v>
      </c>
      <c r="AN595" s="314">
        <f t="shared" si="664"/>
        <v>0</v>
      </c>
      <c r="AO595" s="314">
        <f t="shared" si="665"/>
        <v>0</v>
      </c>
      <c r="AP595" s="314">
        <f t="shared" si="666"/>
        <v>0</v>
      </c>
    </row>
    <row r="596" spans="1:42" outlineLevel="1">
      <c r="A596" s="593" t="s">
        <v>23</v>
      </c>
      <c r="B596" s="324" t="s">
        <v>1056</v>
      </c>
      <c r="C596" s="304"/>
      <c r="D596" s="304">
        <v>1507</v>
      </c>
      <c r="E596" s="304">
        <f>F596+AC596</f>
        <v>2108</v>
      </c>
      <c r="F596" s="304">
        <f>H596-AB596</f>
        <v>1834</v>
      </c>
      <c r="G596" s="304">
        <f>F596-D596</f>
        <v>327</v>
      </c>
      <c r="H596" s="303">
        <f t="shared" si="727"/>
        <v>1834</v>
      </c>
      <c r="I596" s="303">
        <f>M596+P596</f>
        <v>1834</v>
      </c>
      <c r="J596" s="294">
        <v>12</v>
      </c>
      <c r="K596" s="294">
        <v>12</v>
      </c>
      <c r="L596" s="294">
        <f>J596-K596</f>
        <v>0</v>
      </c>
      <c r="M596" s="304">
        <f>N596+O596</f>
        <v>1316</v>
      </c>
      <c r="N596" s="294">
        <v>1316</v>
      </c>
      <c r="O596" s="294">
        <v>0</v>
      </c>
      <c r="P596" s="303">
        <f>S596+T596</f>
        <v>518</v>
      </c>
      <c r="Q596" s="294">
        <v>36</v>
      </c>
      <c r="R596" s="305">
        <v>1.2</v>
      </c>
      <c r="S596" s="304">
        <f>ROUND(J596*Q596*R596,0)</f>
        <v>518</v>
      </c>
      <c r="T596" s="303">
        <f>U596+V596</f>
        <v>0</v>
      </c>
      <c r="U596" s="304"/>
      <c r="V596" s="304"/>
      <c r="W596" s="303">
        <f>Z596+AA596</f>
        <v>0</v>
      </c>
      <c r="X596" s="303"/>
      <c r="Y596" s="303"/>
      <c r="Z596" s="304"/>
      <c r="AA596" s="304"/>
      <c r="AB596" s="304"/>
      <c r="AC596" s="304">
        <v>274</v>
      </c>
      <c r="AD596" s="304">
        <v>48</v>
      </c>
      <c r="AE596" s="303">
        <f>E596-AD596</f>
        <v>2060</v>
      </c>
      <c r="AF596" s="317"/>
      <c r="AG596" s="314">
        <f t="shared" ref="AG596:AG659" si="728">E596-F596-AC596</f>
        <v>0</v>
      </c>
      <c r="AH596" s="696">
        <f t="shared" ref="AH596:AH659" si="729">F596-H596+AB596</f>
        <v>0</v>
      </c>
      <c r="AI596" s="314">
        <f t="shared" ref="AI596:AI659" si="730">H596-I596-W596</f>
        <v>0</v>
      </c>
      <c r="AJ596" s="314">
        <f t="shared" ref="AJ596:AJ659" si="731">I596-M596-P596</f>
        <v>0</v>
      </c>
      <c r="AK596" s="314">
        <f t="shared" ref="AK596:AK659" si="732">J596-K596-L596</f>
        <v>0</v>
      </c>
      <c r="AL596" s="314">
        <f t="shared" ref="AL596:AL659" si="733">M596-N596-O596</f>
        <v>0</v>
      </c>
      <c r="AM596" s="314">
        <f t="shared" ref="AM596:AM659" si="734">P596-S596-T596</f>
        <v>0</v>
      </c>
      <c r="AN596" s="314">
        <f t="shared" ref="AN596:AN659" si="735">T596-U596-V596</f>
        <v>0</v>
      </c>
      <c r="AO596" s="314">
        <f t="shared" ref="AO596:AO659" si="736">W596-Z596-AA596</f>
        <v>0</v>
      </c>
      <c r="AP596" s="314">
        <f t="shared" ref="AP596:AP659" si="737">AC596+AA596+Z596+V596+U596+S596+O596+N596-AB596-E596</f>
        <v>0</v>
      </c>
    </row>
    <row r="597" spans="1:42" ht="27.6" hidden="1" outlineLevel="3">
      <c r="A597" s="583" t="s">
        <v>47</v>
      </c>
      <c r="B597" s="324" t="s">
        <v>1521</v>
      </c>
      <c r="C597" s="304"/>
      <c r="D597" s="303">
        <v>210</v>
      </c>
      <c r="E597" s="303">
        <f>F597+AC597</f>
        <v>0</v>
      </c>
      <c r="F597" s="303">
        <f t="shared" ref="F597" si="738">F598</f>
        <v>0</v>
      </c>
      <c r="G597" s="303">
        <f>F597-D597</f>
        <v>-210</v>
      </c>
      <c r="H597" s="303">
        <f>H598</f>
        <v>0</v>
      </c>
      <c r="I597" s="303">
        <f t="shared" ref="I597:P597" si="739">I598</f>
        <v>0</v>
      </c>
      <c r="J597" s="303">
        <f t="shared" si="739"/>
        <v>0</v>
      </c>
      <c r="K597" s="303">
        <f t="shared" si="739"/>
        <v>0</v>
      </c>
      <c r="L597" s="303">
        <f t="shared" si="739"/>
        <v>0</v>
      </c>
      <c r="M597" s="303">
        <f t="shared" si="739"/>
        <v>0</v>
      </c>
      <c r="N597" s="303">
        <f t="shared" si="739"/>
        <v>0</v>
      </c>
      <c r="O597" s="303">
        <f t="shared" si="739"/>
        <v>0</v>
      </c>
      <c r="P597" s="303">
        <f t="shared" si="739"/>
        <v>0</v>
      </c>
      <c r="Q597" s="303"/>
      <c r="R597" s="303">
        <f t="shared" ref="R597:W597" si="740">R598</f>
        <v>0</v>
      </c>
      <c r="S597" s="303">
        <f t="shared" si="740"/>
        <v>0</v>
      </c>
      <c r="T597" s="303">
        <f t="shared" si="740"/>
        <v>0</v>
      </c>
      <c r="U597" s="303">
        <f t="shared" si="740"/>
        <v>0</v>
      </c>
      <c r="V597" s="303">
        <f t="shared" si="740"/>
        <v>0</v>
      </c>
      <c r="W597" s="303">
        <f t="shared" si="740"/>
        <v>0</v>
      </c>
      <c r="X597" s="303"/>
      <c r="Y597" s="303"/>
      <c r="Z597" s="303">
        <f t="shared" ref="Z597:AE597" si="741">Z598</f>
        <v>0</v>
      </c>
      <c r="AA597" s="303">
        <f>AA598</f>
        <v>0</v>
      </c>
      <c r="AB597" s="303">
        <f>AB598</f>
        <v>0</v>
      </c>
      <c r="AC597" s="303">
        <f t="shared" si="741"/>
        <v>0</v>
      </c>
      <c r="AD597" s="303">
        <f t="shared" si="741"/>
        <v>-18</v>
      </c>
      <c r="AE597" s="303">
        <f t="shared" si="741"/>
        <v>18</v>
      </c>
      <c r="AF597" s="317"/>
      <c r="AG597" s="314">
        <f t="shared" si="728"/>
        <v>0</v>
      </c>
      <c r="AH597" s="696">
        <f t="shared" si="729"/>
        <v>0</v>
      </c>
      <c r="AI597" s="314">
        <f t="shared" si="730"/>
        <v>0</v>
      </c>
      <c r="AJ597" s="314">
        <f t="shared" si="731"/>
        <v>0</v>
      </c>
      <c r="AK597" s="314">
        <f t="shared" si="732"/>
        <v>0</v>
      </c>
      <c r="AL597" s="314">
        <f t="shared" si="733"/>
        <v>0</v>
      </c>
      <c r="AM597" s="314">
        <f t="shared" si="734"/>
        <v>0</v>
      </c>
      <c r="AN597" s="314">
        <f t="shared" si="735"/>
        <v>0</v>
      </c>
      <c r="AO597" s="314">
        <f t="shared" si="736"/>
        <v>0</v>
      </c>
      <c r="AP597" s="314">
        <f t="shared" si="737"/>
        <v>0</v>
      </c>
    </row>
    <row r="598" spans="1:42" hidden="1" outlineLevel="3">
      <c r="A598" s="583" t="s">
        <v>23</v>
      </c>
      <c r="B598" s="324" t="s">
        <v>1055</v>
      </c>
      <c r="C598" s="304"/>
      <c r="D598" s="304">
        <v>210</v>
      </c>
      <c r="E598" s="304">
        <f>F598+AC598</f>
        <v>0</v>
      </c>
      <c r="F598" s="304">
        <f>H598-AB598</f>
        <v>0</v>
      </c>
      <c r="G598" s="304">
        <f>F598-D598</f>
        <v>-210</v>
      </c>
      <c r="H598" s="303">
        <f t="shared" ref="H598" si="742">I598+W598</f>
        <v>0</v>
      </c>
      <c r="I598" s="303">
        <f t="shared" ref="I598" si="743">M598+P598</f>
        <v>0</v>
      </c>
      <c r="J598" s="294"/>
      <c r="K598" s="294">
        <v>0</v>
      </c>
      <c r="L598" s="294"/>
      <c r="M598" s="304">
        <f t="shared" ref="M598" si="744">N598+O598</f>
        <v>0</v>
      </c>
      <c r="N598" s="294"/>
      <c r="O598" s="294"/>
      <c r="P598" s="303">
        <f t="shared" ref="P598" si="745">S598+T598</f>
        <v>0</v>
      </c>
      <c r="Q598" s="311">
        <v>0</v>
      </c>
      <c r="R598" s="305"/>
      <c r="S598" s="304">
        <f>J598*Q598</f>
        <v>0</v>
      </c>
      <c r="T598" s="303">
        <f t="shared" ref="T598" si="746">U598+V598</f>
        <v>0</v>
      </c>
      <c r="U598" s="304"/>
      <c r="V598" s="304"/>
      <c r="W598" s="303">
        <f>Z598+AA598</f>
        <v>0</v>
      </c>
      <c r="X598" s="303"/>
      <c r="Y598" s="303"/>
      <c r="Z598" s="304"/>
      <c r="AA598" s="304"/>
      <c r="AB598" s="304"/>
      <c r="AC598" s="304"/>
      <c r="AD598" s="304">
        <v>-18</v>
      </c>
      <c r="AE598" s="303">
        <f>E598-AD598</f>
        <v>18</v>
      </c>
      <c r="AF598" s="317"/>
      <c r="AG598" s="314">
        <f t="shared" si="728"/>
        <v>0</v>
      </c>
      <c r="AH598" s="696">
        <f t="shared" si="729"/>
        <v>0</v>
      </c>
      <c r="AI598" s="314">
        <f t="shared" si="730"/>
        <v>0</v>
      </c>
      <c r="AJ598" s="314">
        <f t="shared" si="731"/>
        <v>0</v>
      </c>
      <c r="AK598" s="314">
        <f t="shared" si="732"/>
        <v>0</v>
      </c>
      <c r="AL598" s="314">
        <f t="shared" si="733"/>
        <v>0</v>
      </c>
      <c r="AM598" s="314">
        <f t="shared" si="734"/>
        <v>0</v>
      </c>
      <c r="AN598" s="314">
        <f t="shared" si="735"/>
        <v>0</v>
      </c>
      <c r="AO598" s="314">
        <f t="shared" si="736"/>
        <v>0</v>
      </c>
      <c r="AP598" s="314">
        <f t="shared" si="737"/>
        <v>0</v>
      </c>
    </row>
    <row r="599" spans="1:42" ht="27.6">
      <c r="A599" s="583" t="s">
        <v>47</v>
      </c>
      <c r="B599" s="1273" t="s">
        <v>1737</v>
      </c>
      <c r="C599" s="304"/>
      <c r="D599" s="303">
        <f>D600+D604+D605+D609+D610+D611+D612+D615+D616+D617+D613</f>
        <v>6067</v>
      </c>
      <c r="E599" s="303">
        <f>E600+E604+E605+E609+E610+E611+E612+E615+E616+E617+E613+E614</f>
        <v>3792</v>
      </c>
      <c r="F599" s="303">
        <f t="shared" ref="F599:AC599" si="747">F600+F604+F605+F609+F610+F611+F612+F615+F616+F617+F613+F614</f>
        <v>3792</v>
      </c>
      <c r="G599" s="303">
        <f t="shared" si="747"/>
        <v>-2275</v>
      </c>
      <c r="H599" s="303">
        <f t="shared" si="747"/>
        <v>3792</v>
      </c>
      <c r="I599" s="303">
        <f t="shared" si="747"/>
        <v>3792</v>
      </c>
      <c r="J599" s="303">
        <f t="shared" si="747"/>
        <v>0</v>
      </c>
      <c r="K599" s="303">
        <f t="shared" si="747"/>
        <v>0</v>
      </c>
      <c r="L599" s="303">
        <f t="shared" si="747"/>
        <v>0</v>
      </c>
      <c r="M599" s="303">
        <f t="shared" si="747"/>
        <v>0</v>
      </c>
      <c r="N599" s="303">
        <f t="shared" si="747"/>
        <v>0</v>
      </c>
      <c r="O599" s="303">
        <f t="shared" si="747"/>
        <v>0</v>
      </c>
      <c r="P599" s="303">
        <f t="shared" si="747"/>
        <v>3792</v>
      </c>
      <c r="Q599" s="303">
        <f t="shared" si="747"/>
        <v>0</v>
      </c>
      <c r="R599" s="303">
        <f t="shared" si="747"/>
        <v>0</v>
      </c>
      <c r="S599" s="303">
        <f t="shared" si="747"/>
        <v>0</v>
      </c>
      <c r="T599" s="303">
        <f t="shared" si="747"/>
        <v>3792</v>
      </c>
      <c r="U599" s="303">
        <f t="shared" si="747"/>
        <v>3495</v>
      </c>
      <c r="V599" s="303">
        <f t="shared" si="747"/>
        <v>297</v>
      </c>
      <c r="W599" s="303">
        <f t="shared" si="747"/>
        <v>0</v>
      </c>
      <c r="X599" s="303">
        <f t="shared" si="747"/>
        <v>0</v>
      </c>
      <c r="Y599" s="303">
        <f t="shared" si="747"/>
        <v>0</v>
      </c>
      <c r="Z599" s="303">
        <f t="shared" si="747"/>
        <v>0</v>
      </c>
      <c r="AA599" s="303">
        <f t="shared" si="747"/>
        <v>0</v>
      </c>
      <c r="AB599" s="303">
        <f t="shared" si="747"/>
        <v>0</v>
      </c>
      <c r="AC599" s="303">
        <f t="shared" si="747"/>
        <v>0</v>
      </c>
      <c r="AD599" s="303">
        <f t="shared" ref="AD599" si="748">AD600+AD604+AD605+AD609+AD610+AD611+AD612+AD615+AD616+AD617+AD613</f>
        <v>0</v>
      </c>
      <c r="AE599" s="303">
        <f>AE600+AE604+AE605+AE609+AE610+AE611+AE612+AE615+AE616+AE617+AE613+AE614</f>
        <v>3792</v>
      </c>
      <c r="AF599" s="317"/>
      <c r="AG599" s="314">
        <f t="shared" si="728"/>
        <v>0</v>
      </c>
      <c r="AH599" s="696">
        <f t="shared" si="729"/>
        <v>0</v>
      </c>
      <c r="AI599" s="314">
        <f t="shared" si="730"/>
        <v>0</v>
      </c>
      <c r="AJ599" s="314">
        <f t="shared" si="731"/>
        <v>0</v>
      </c>
      <c r="AK599" s="314">
        <f t="shared" si="732"/>
        <v>0</v>
      </c>
      <c r="AL599" s="314">
        <f t="shared" si="733"/>
        <v>0</v>
      </c>
      <c r="AM599" s="314">
        <f t="shared" si="734"/>
        <v>0</v>
      </c>
      <c r="AN599" s="314">
        <f t="shared" si="735"/>
        <v>0</v>
      </c>
      <c r="AO599" s="314">
        <f t="shared" si="736"/>
        <v>0</v>
      </c>
      <c r="AP599" s="314">
        <f t="shared" si="737"/>
        <v>0</v>
      </c>
    </row>
    <row r="600" spans="1:42" ht="82.8" outlineLevel="1" collapsed="1">
      <c r="A600" s="597" t="s">
        <v>23</v>
      </c>
      <c r="B600" s="324" t="s">
        <v>1633</v>
      </c>
      <c r="C600" s="304"/>
      <c r="D600" s="304">
        <v>620</v>
      </c>
      <c r="E600" s="304">
        <f t="shared" ref="E600:E617" si="749">F600+AC600</f>
        <v>579</v>
      </c>
      <c r="F600" s="304">
        <f>F601+F602+F603</f>
        <v>579</v>
      </c>
      <c r="G600" s="304">
        <f>G601+G602+G603</f>
        <v>-41</v>
      </c>
      <c r="H600" s="304">
        <f t="shared" ref="H600:AD600" si="750">H601+H602+H603</f>
        <v>579</v>
      </c>
      <c r="I600" s="304">
        <f t="shared" si="750"/>
        <v>579</v>
      </c>
      <c r="J600" s="304">
        <f t="shared" si="750"/>
        <v>0</v>
      </c>
      <c r="K600" s="304">
        <f t="shared" si="750"/>
        <v>0</v>
      </c>
      <c r="L600" s="304">
        <f t="shared" si="750"/>
        <v>0</v>
      </c>
      <c r="M600" s="304">
        <f t="shared" si="750"/>
        <v>0</v>
      </c>
      <c r="N600" s="304">
        <f t="shared" si="750"/>
        <v>0</v>
      </c>
      <c r="O600" s="304">
        <f t="shared" si="750"/>
        <v>0</v>
      </c>
      <c r="P600" s="304">
        <f t="shared" si="750"/>
        <v>579</v>
      </c>
      <c r="Q600" s="304">
        <f t="shared" si="750"/>
        <v>0</v>
      </c>
      <c r="R600" s="304">
        <f t="shared" si="750"/>
        <v>0</v>
      </c>
      <c r="S600" s="304">
        <f t="shared" si="750"/>
        <v>0</v>
      </c>
      <c r="T600" s="304">
        <f t="shared" si="750"/>
        <v>579</v>
      </c>
      <c r="U600" s="304">
        <f t="shared" si="750"/>
        <v>539</v>
      </c>
      <c r="V600" s="304">
        <f t="shared" si="750"/>
        <v>40</v>
      </c>
      <c r="W600" s="304">
        <f t="shared" si="750"/>
        <v>0</v>
      </c>
      <c r="X600" s="304">
        <f t="shared" si="750"/>
        <v>0</v>
      </c>
      <c r="Y600" s="304">
        <f t="shared" si="750"/>
        <v>0</v>
      </c>
      <c r="Z600" s="304">
        <f t="shared" si="750"/>
        <v>0</v>
      </c>
      <c r="AA600" s="304">
        <f t="shared" si="750"/>
        <v>0</v>
      </c>
      <c r="AB600" s="304">
        <f t="shared" si="750"/>
        <v>0</v>
      </c>
      <c r="AC600" s="304">
        <f t="shared" si="750"/>
        <v>0</v>
      </c>
      <c r="AD600" s="304">
        <f t="shared" si="750"/>
        <v>0</v>
      </c>
      <c r="AE600" s="303">
        <f>E600-AD600</f>
        <v>579</v>
      </c>
      <c r="AF600" s="317"/>
      <c r="AG600" s="314">
        <f t="shared" si="728"/>
        <v>0</v>
      </c>
      <c r="AH600" s="696">
        <f t="shared" si="729"/>
        <v>0</v>
      </c>
      <c r="AI600" s="314">
        <f t="shared" si="730"/>
        <v>0</v>
      </c>
      <c r="AJ600" s="314">
        <f t="shared" si="731"/>
        <v>0</v>
      </c>
      <c r="AK600" s="314">
        <f t="shared" si="732"/>
        <v>0</v>
      </c>
      <c r="AL600" s="314">
        <f t="shared" si="733"/>
        <v>0</v>
      </c>
      <c r="AM600" s="314">
        <f t="shared" si="734"/>
        <v>0</v>
      </c>
      <c r="AN600" s="314">
        <f t="shared" si="735"/>
        <v>0</v>
      </c>
      <c r="AO600" s="314">
        <f t="shared" si="736"/>
        <v>0</v>
      </c>
      <c r="AP600" s="314">
        <f t="shared" si="737"/>
        <v>0</v>
      </c>
    </row>
    <row r="601" spans="1:42" ht="124.2" outlineLevel="2" collapsed="1">
      <c r="A601" s="597" t="s">
        <v>281</v>
      </c>
      <c r="B601" s="324" t="s">
        <v>1762</v>
      </c>
      <c r="C601" s="304"/>
      <c r="D601" s="304">
        <v>370</v>
      </c>
      <c r="E601" s="304">
        <f t="shared" si="749"/>
        <v>391</v>
      </c>
      <c r="F601" s="304">
        <f>H601-AB601</f>
        <v>391</v>
      </c>
      <c r="G601" s="304">
        <f>F601-D601</f>
        <v>21</v>
      </c>
      <c r="H601" s="303">
        <f t="shared" ref="H601:H611" si="751">I601+W601</f>
        <v>391</v>
      </c>
      <c r="I601" s="303">
        <f t="shared" ref="I601:I604" si="752">M601+P601</f>
        <v>391</v>
      </c>
      <c r="J601" s="294"/>
      <c r="K601" s="294"/>
      <c r="L601" s="294"/>
      <c r="M601" s="304"/>
      <c r="N601" s="294"/>
      <c r="O601" s="294"/>
      <c r="P601" s="303">
        <f t="shared" ref="P601:P604" si="753">S601+T601</f>
        <v>391</v>
      </c>
      <c r="Q601" s="294"/>
      <c r="R601" s="305"/>
      <c r="S601" s="304"/>
      <c r="T601" s="303">
        <f t="shared" ref="T601:T604" si="754">U601+V601</f>
        <v>391</v>
      </c>
      <c r="U601" s="304">
        <f>432-81</f>
        <v>351</v>
      </c>
      <c r="V601" s="304">
        <v>40</v>
      </c>
      <c r="W601" s="303">
        <f t="shared" ref="W601:W611" si="755">Z601+AA601</f>
        <v>0</v>
      </c>
      <c r="X601" s="303"/>
      <c r="Y601" s="303"/>
      <c r="Z601" s="304"/>
      <c r="AA601" s="304"/>
      <c r="AB601" s="304"/>
      <c r="AC601" s="304"/>
      <c r="AD601" s="304"/>
      <c r="AE601" s="304"/>
      <c r="AF601" s="1263" t="s">
        <v>2329</v>
      </c>
      <c r="AG601" s="314">
        <f t="shared" si="728"/>
        <v>0</v>
      </c>
      <c r="AH601" s="696">
        <f t="shared" si="729"/>
        <v>0</v>
      </c>
      <c r="AI601" s="314">
        <f t="shared" si="730"/>
        <v>0</v>
      </c>
      <c r="AJ601" s="314">
        <f t="shared" si="731"/>
        <v>0</v>
      </c>
      <c r="AK601" s="314">
        <f t="shared" si="732"/>
        <v>0</v>
      </c>
      <c r="AL601" s="314">
        <f t="shared" si="733"/>
        <v>0</v>
      </c>
      <c r="AM601" s="314">
        <f t="shared" si="734"/>
        <v>0</v>
      </c>
      <c r="AN601" s="314">
        <f t="shared" si="735"/>
        <v>0</v>
      </c>
      <c r="AO601" s="314">
        <f t="shared" si="736"/>
        <v>0</v>
      </c>
      <c r="AP601" s="314">
        <f t="shared" si="737"/>
        <v>0</v>
      </c>
    </row>
    <row r="602" spans="1:42" ht="41.4" outlineLevel="2">
      <c r="A602" s="597" t="s">
        <v>281</v>
      </c>
      <c r="B602" s="310" t="s">
        <v>1058</v>
      </c>
      <c r="C602" s="332"/>
      <c r="D602" s="304">
        <v>100</v>
      </c>
      <c r="E602" s="304">
        <f t="shared" si="749"/>
        <v>78</v>
      </c>
      <c r="F602" s="304">
        <f>H602-AB602</f>
        <v>78</v>
      </c>
      <c r="G602" s="304">
        <f>F602-D602</f>
        <v>-22</v>
      </c>
      <c r="H602" s="303">
        <f>I602+W602</f>
        <v>78</v>
      </c>
      <c r="I602" s="303">
        <f>M602+P602</f>
        <v>78</v>
      </c>
      <c r="J602" s="294"/>
      <c r="K602" s="294"/>
      <c r="L602" s="294"/>
      <c r="M602" s="304"/>
      <c r="N602" s="294"/>
      <c r="O602" s="294"/>
      <c r="P602" s="303">
        <f>S602+T602</f>
        <v>78</v>
      </c>
      <c r="Q602" s="294"/>
      <c r="R602" s="305"/>
      <c r="S602" s="304"/>
      <c r="T602" s="303">
        <f>U602+V602</f>
        <v>78</v>
      </c>
      <c r="U602" s="304">
        <v>78</v>
      </c>
      <c r="V602" s="304"/>
      <c r="W602" s="303">
        <f>Z602+AA602</f>
        <v>0</v>
      </c>
      <c r="X602" s="303"/>
      <c r="Y602" s="303"/>
      <c r="Z602" s="304"/>
      <c r="AA602" s="304"/>
      <c r="AB602" s="304"/>
      <c r="AC602" s="304"/>
      <c r="AD602" s="304"/>
      <c r="AE602" s="304"/>
      <c r="AF602" s="332"/>
      <c r="AG602" s="314">
        <f t="shared" si="728"/>
        <v>0</v>
      </c>
      <c r="AH602" s="696">
        <f t="shared" si="729"/>
        <v>0</v>
      </c>
      <c r="AI602" s="314">
        <f t="shared" si="730"/>
        <v>0</v>
      </c>
      <c r="AJ602" s="314">
        <f t="shared" si="731"/>
        <v>0</v>
      </c>
      <c r="AK602" s="314">
        <f t="shared" si="732"/>
        <v>0</v>
      </c>
      <c r="AL602" s="314">
        <f t="shared" si="733"/>
        <v>0</v>
      </c>
      <c r="AM602" s="314">
        <f t="shared" si="734"/>
        <v>0</v>
      </c>
      <c r="AN602" s="314">
        <f t="shared" si="735"/>
        <v>0</v>
      </c>
      <c r="AO602" s="314">
        <f t="shared" si="736"/>
        <v>0</v>
      </c>
      <c r="AP602" s="314">
        <f t="shared" si="737"/>
        <v>0</v>
      </c>
    </row>
    <row r="603" spans="1:42" ht="27.6" outlineLevel="2">
      <c r="A603" s="596" t="s">
        <v>281</v>
      </c>
      <c r="B603" s="316" t="s">
        <v>1634</v>
      </c>
      <c r="C603" s="304"/>
      <c r="D603" s="304">
        <v>150</v>
      </c>
      <c r="E603" s="304">
        <f t="shared" si="749"/>
        <v>110</v>
      </c>
      <c r="F603" s="304">
        <f>H603-AB603</f>
        <v>110</v>
      </c>
      <c r="G603" s="304">
        <f>F603-D603</f>
        <v>-40</v>
      </c>
      <c r="H603" s="303">
        <f>I603+W603</f>
        <v>110</v>
      </c>
      <c r="I603" s="303">
        <f>M603+P603</f>
        <v>110</v>
      </c>
      <c r="J603" s="294"/>
      <c r="K603" s="294"/>
      <c r="L603" s="294"/>
      <c r="M603" s="304"/>
      <c r="N603" s="294"/>
      <c r="O603" s="294"/>
      <c r="P603" s="303">
        <f>S603+T603</f>
        <v>110</v>
      </c>
      <c r="Q603" s="294"/>
      <c r="R603" s="305"/>
      <c r="S603" s="304"/>
      <c r="T603" s="303">
        <f>U603+V603</f>
        <v>110</v>
      </c>
      <c r="U603" s="304">
        <v>110</v>
      </c>
      <c r="V603" s="304"/>
      <c r="W603" s="303">
        <f>Z603+AA603</f>
        <v>0</v>
      </c>
      <c r="X603" s="303"/>
      <c r="Y603" s="303"/>
      <c r="Z603" s="304"/>
      <c r="AA603" s="304"/>
      <c r="AB603" s="304"/>
      <c r="AC603" s="304"/>
      <c r="AD603" s="304"/>
      <c r="AE603" s="304"/>
      <c r="AF603" s="317"/>
      <c r="AG603" s="314">
        <f t="shared" si="728"/>
        <v>0</v>
      </c>
      <c r="AH603" s="696">
        <f t="shared" si="729"/>
        <v>0</v>
      </c>
      <c r="AI603" s="314">
        <f t="shared" si="730"/>
        <v>0</v>
      </c>
      <c r="AJ603" s="314">
        <f t="shared" si="731"/>
        <v>0</v>
      </c>
      <c r="AK603" s="314">
        <f t="shared" si="732"/>
        <v>0</v>
      </c>
      <c r="AL603" s="314">
        <f t="shared" si="733"/>
        <v>0</v>
      </c>
      <c r="AM603" s="314">
        <f t="shared" si="734"/>
        <v>0</v>
      </c>
      <c r="AN603" s="314">
        <f t="shared" si="735"/>
        <v>0</v>
      </c>
      <c r="AO603" s="314">
        <f t="shared" si="736"/>
        <v>0</v>
      </c>
      <c r="AP603" s="314">
        <f t="shared" si="737"/>
        <v>0</v>
      </c>
    </row>
    <row r="604" spans="1:42" ht="27.6" outlineLevel="1">
      <c r="A604" s="597" t="s">
        <v>23</v>
      </c>
      <c r="B604" s="324" t="s">
        <v>2171</v>
      </c>
      <c r="C604" s="304"/>
      <c r="D604" s="304">
        <v>625</v>
      </c>
      <c r="E604" s="304">
        <f t="shared" si="749"/>
        <v>625</v>
      </c>
      <c r="F604" s="304">
        <f>H604-AB604</f>
        <v>625</v>
      </c>
      <c r="G604" s="304">
        <f>F604-D604</f>
        <v>0</v>
      </c>
      <c r="H604" s="303">
        <f t="shared" si="751"/>
        <v>625</v>
      </c>
      <c r="I604" s="303">
        <f t="shared" si="752"/>
        <v>625</v>
      </c>
      <c r="J604" s="294"/>
      <c r="K604" s="294"/>
      <c r="L604" s="294"/>
      <c r="M604" s="304"/>
      <c r="N604" s="294"/>
      <c r="O604" s="294"/>
      <c r="P604" s="303">
        <f t="shared" si="753"/>
        <v>625</v>
      </c>
      <c r="Q604" s="294"/>
      <c r="R604" s="305"/>
      <c r="S604" s="304"/>
      <c r="T604" s="303">
        <f t="shared" si="754"/>
        <v>625</v>
      </c>
      <c r="U604" s="304">
        <v>625</v>
      </c>
      <c r="V604" s="304"/>
      <c r="W604" s="303">
        <f t="shared" si="755"/>
        <v>0</v>
      </c>
      <c r="X604" s="303"/>
      <c r="Y604" s="303"/>
      <c r="Z604" s="304"/>
      <c r="AA604" s="304"/>
      <c r="AB604" s="304"/>
      <c r="AC604" s="304"/>
      <c r="AD604" s="304"/>
      <c r="AE604" s="303">
        <f>E604-AD604</f>
        <v>625</v>
      </c>
      <c r="AF604" s="317"/>
      <c r="AG604" s="314">
        <f t="shared" si="728"/>
        <v>0</v>
      </c>
      <c r="AH604" s="696">
        <f t="shared" si="729"/>
        <v>0</v>
      </c>
      <c r="AI604" s="314">
        <f t="shared" si="730"/>
        <v>0</v>
      </c>
      <c r="AJ604" s="314">
        <f t="shared" si="731"/>
        <v>0</v>
      </c>
      <c r="AK604" s="314">
        <f t="shared" si="732"/>
        <v>0</v>
      </c>
      <c r="AL604" s="314">
        <f t="shared" si="733"/>
        <v>0</v>
      </c>
      <c r="AM604" s="314">
        <f t="shared" si="734"/>
        <v>0</v>
      </c>
      <c r="AN604" s="314">
        <f t="shared" si="735"/>
        <v>0</v>
      </c>
      <c r="AO604" s="314">
        <f t="shared" si="736"/>
        <v>0</v>
      </c>
      <c r="AP604" s="314">
        <f t="shared" si="737"/>
        <v>0</v>
      </c>
    </row>
    <row r="605" spans="1:42" ht="41.4" outlineLevel="1">
      <c r="A605" s="597" t="s">
        <v>23</v>
      </c>
      <c r="B605" s="324" t="s">
        <v>1763</v>
      </c>
      <c r="C605" s="304"/>
      <c r="D605" s="304">
        <v>426</v>
      </c>
      <c r="E605" s="304">
        <f t="shared" si="749"/>
        <v>200</v>
      </c>
      <c r="F605" s="304">
        <f>F606+F608+F607</f>
        <v>200</v>
      </c>
      <c r="G605" s="304">
        <f>G606+G608+G607</f>
        <v>-226</v>
      </c>
      <c r="H605" s="304">
        <f t="shared" ref="H605:AC605" si="756">H606+H608+H607</f>
        <v>200</v>
      </c>
      <c r="I605" s="304">
        <f t="shared" si="756"/>
        <v>200</v>
      </c>
      <c r="J605" s="304">
        <f t="shared" si="756"/>
        <v>0</v>
      </c>
      <c r="K605" s="304">
        <f t="shared" si="756"/>
        <v>0</v>
      </c>
      <c r="L605" s="304">
        <f t="shared" si="756"/>
        <v>0</v>
      </c>
      <c r="M605" s="304">
        <f t="shared" si="756"/>
        <v>0</v>
      </c>
      <c r="N605" s="304">
        <f t="shared" si="756"/>
        <v>0</v>
      </c>
      <c r="O605" s="304">
        <f t="shared" si="756"/>
        <v>0</v>
      </c>
      <c r="P605" s="304">
        <f t="shared" si="756"/>
        <v>200</v>
      </c>
      <c r="Q605" s="304">
        <f t="shared" si="756"/>
        <v>0</v>
      </c>
      <c r="R605" s="304">
        <f t="shared" si="756"/>
        <v>0</v>
      </c>
      <c r="S605" s="304">
        <f t="shared" si="756"/>
        <v>0</v>
      </c>
      <c r="T605" s="304">
        <f t="shared" si="756"/>
        <v>200</v>
      </c>
      <c r="U605" s="304">
        <f t="shared" si="756"/>
        <v>200</v>
      </c>
      <c r="V605" s="304">
        <f t="shared" si="756"/>
        <v>0</v>
      </c>
      <c r="W605" s="304">
        <f t="shared" si="756"/>
        <v>0</v>
      </c>
      <c r="X605" s="304">
        <f t="shared" si="756"/>
        <v>0</v>
      </c>
      <c r="Y605" s="304">
        <f t="shared" si="756"/>
        <v>0</v>
      </c>
      <c r="Z605" s="304">
        <f t="shared" si="756"/>
        <v>0</v>
      </c>
      <c r="AA605" s="304">
        <f t="shared" si="756"/>
        <v>0</v>
      </c>
      <c r="AB605" s="304">
        <f t="shared" si="756"/>
        <v>0</v>
      </c>
      <c r="AC605" s="304">
        <f t="shared" si="756"/>
        <v>0</v>
      </c>
      <c r="AD605" s="304"/>
      <c r="AE605" s="303">
        <f>E605-AD605</f>
        <v>200</v>
      </c>
      <c r="AF605" s="317"/>
      <c r="AG605" s="314">
        <f t="shared" si="728"/>
        <v>0</v>
      </c>
      <c r="AH605" s="696">
        <f t="shared" si="729"/>
        <v>0</v>
      </c>
      <c r="AI605" s="314">
        <f t="shared" si="730"/>
        <v>0</v>
      </c>
      <c r="AJ605" s="314">
        <f t="shared" si="731"/>
        <v>0</v>
      </c>
      <c r="AK605" s="314">
        <f t="shared" si="732"/>
        <v>0</v>
      </c>
      <c r="AL605" s="314">
        <f t="shared" si="733"/>
        <v>0</v>
      </c>
      <c r="AM605" s="314">
        <f t="shared" si="734"/>
        <v>0</v>
      </c>
      <c r="AN605" s="314">
        <f t="shared" si="735"/>
        <v>0</v>
      </c>
      <c r="AO605" s="314">
        <f t="shared" si="736"/>
        <v>0</v>
      </c>
      <c r="AP605" s="314">
        <f t="shared" si="737"/>
        <v>0</v>
      </c>
    </row>
    <row r="606" spans="1:42" ht="41.4" outlineLevel="2">
      <c r="A606" s="597" t="s">
        <v>281</v>
      </c>
      <c r="B606" s="310" t="s">
        <v>1763</v>
      </c>
      <c r="C606" s="332"/>
      <c r="D606" s="304">
        <v>200</v>
      </c>
      <c r="E606" s="304">
        <f t="shared" si="749"/>
        <v>200</v>
      </c>
      <c r="F606" s="304">
        <f t="shared" ref="F606:F617" si="757">H606-AB606</f>
        <v>200</v>
      </c>
      <c r="G606" s="304">
        <f t="shared" ref="G606:G621" si="758">F606-D606</f>
        <v>0</v>
      </c>
      <c r="H606" s="303">
        <f t="shared" si="751"/>
        <v>200</v>
      </c>
      <c r="I606" s="303">
        <f t="shared" ref="I606:I607" si="759">M606+P606</f>
        <v>200</v>
      </c>
      <c r="J606" s="294"/>
      <c r="K606" s="294"/>
      <c r="L606" s="294"/>
      <c r="M606" s="304"/>
      <c r="N606" s="294"/>
      <c r="O606" s="294"/>
      <c r="P606" s="303">
        <f t="shared" ref="P606:P607" si="760">S606+T606</f>
        <v>200</v>
      </c>
      <c r="Q606" s="294"/>
      <c r="R606" s="305"/>
      <c r="S606" s="304"/>
      <c r="T606" s="303">
        <f t="shared" ref="T606:T607" si="761">U606+V606</f>
        <v>200</v>
      </c>
      <c r="U606" s="304">
        <v>200</v>
      </c>
      <c r="V606" s="304"/>
      <c r="W606" s="303">
        <f t="shared" si="755"/>
        <v>0</v>
      </c>
      <c r="X606" s="303"/>
      <c r="Y606" s="303"/>
      <c r="Z606" s="304"/>
      <c r="AA606" s="304"/>
      <c r="AB606" s="304"/>
      <c r="AC606" s="304"/>
      <c r="AD606" s="304"/>
      <c r="AE606" s="304"/>
      <c r="AF606" s="332" t="s">
        <v>1764</v>
      </c>
      <c r="AG606" s="314">
        <f t="shared" si="728"/>
        <v>0</v>
      </c>
      <c r="AH606" s="696">
        <f t="shared" si="729"/>
        <v>0</v>
      </c>
      <c r="AI606" s="314">
        <f t="shared" si="730"/>
        <v>0</v>
      </c>
      <c r="AJ606" s="314">
        <f t="shared" si="731"/>
        <v>0</v>
      </c>
      <c r="AK606" s="314">
        <f t="shared" si="732"/>
        <v>0</v>
      </c>
      <c r="AL606" s="314">
        <f t="shared" si="733"/>
        <v>0</v>
      </c>
      <c r="AM606" s="314">
        <f t="shared" si="734"/>
        <v>0</v>
      </c>
      <c r="AN606" s="314">
        <f t="shared" si="735"/>
        <v>0</v>
      </c>
      <c r="AO606" s="314">
        <f t="shared" si="736"/>
        <v>0</v>
      </c>
      <c r="AP606" s="314">
        <f t="shared" si="737"/>
        <v>0</v>
      </c>
    </row>
    <row r="607" spans="1:42" ht="41.4" hidden="1" outlineLevel="3">
      <c r="A607" s="597" t="s">
        <v>281</v>
      </c>
      <c r="B607" s="310" t="s">
        <v>1635</v>
      </c>
      <c r="C607" s="332"/>
      <c r="D607" s="304">
        <v>50</v>
      </c>
      <c r="E607" s="304">
        <f t="shared" si="749"/>
        <v>0</v>
      </c>
      <c r="F607" s="304">
        <f t="shared" si="757"/>
        <v>0</v>
      </c>
      <c r="G607" s="304">
        <f t="shared" si="758"/>
        <v>-50</v>
      </c>
      <c r="H607" s="303">
        <f t="shared" si="751"/>
        <v>0</v>
      </c>
      <c r="I607" s="303">
        <f t="shared" si="759"/>
        <v>0</v>
      </c>
      <c r="J607" s="294"/>
      <c r="K607" s="294"/>
      <c r="L607" s="294"/>
      <c r="M607" s="304"/>
      <c r="N607" s="294"/>
      <c r="O607" s="294"/>
      <c r="P607" s="303">
        <f t="shared" si="760"/>
        <v>0</v>
      </c>
      <c r="Q607" s="294"/>
      <c r="R607" s="305"/>
      <c r="S607" s="304"/>
      <c r="T607" s="303">
        <f t="shared" si="761"/>
        <v>0</v>
      </c>
      <c r="U607" s="304"/>
      <c r="V607" s="304"/>
      <c r="W607" s="303">
        <f t="shared" si="755"/>
        <v>0</v>
      </c>
      <c r="X607" s="303"/>
      <c r="Y607" s="303"/>
      <c r="Z607" s="304"/>
      <c r="AA607" s="304"/>
      <c r="AB607" s="304"/>
      <c r="AC607" s="304"/>
      <c r="AD607" s="304"/>
      <c r="AE607" s="304"/>
      <c r="AF607" s="332" t="s">
        <v>1636</v>
      </c>
      <c r="AG607" s="314">
        <f t="shared" si="728"/>
        <v>0</v>
      </c>
      <c r="AH607" s="696">
        <f t="shared" si="729"/>
        <v>0</v>
      </c>
      <c r="AI607" s="314">
        <f t="shared" si="730"/>
        <v>0</v>
      </c>
      <c r="AJ607" s="314">
        <f t="shared" si="731"/>
        <v>0</v>
      </c>
      <c r="AK607" s="314">
        <f t="shared" si="732"/>
        <v>0</v>
      </c>
      <c r="AL607" s="314">
        <f t="shared" si="733"/>
        <v>0</v>
      </c>
      <c r="AM607" s="314">
        <f t="shared" si="734"/>
        <v>0</v>
      </c>
      <c r="AN607" s="314">
        <f t="shared" si="735"/>
        <v>0</v>
      </c>
      <c r="AO607" s="314">
        <f t="shared" si="736"/>
        <v>0</v>
      </c>
      <c r="AP607" s="314">
        <f t="shared" si="737"/>
        <v>0</v>
      </c>
    </row>
    <row r="608" spans="1:42" ht="55.2" hidden="1" outlineLevel="3">
      <c r="A608" s="596" t="s">
        <v>281</v>
      </c>
      <c r="B608" s="316" t="s">
        <v>1060</v>
      </c>
      <c r="C608" s="304"/>
      <c r="D608" s="304">
        <v>176</v>
      </c>
      <c r="E608" s="304">
        <f t="shared" si="749"/>
        <v>0</v>
      </c>
      <c r="F608" s="304">
        <f t="shared" si="757"/>
        <v>0</v>
      </c>
      <c r="G608" s="304">
        <f t="shared" si="758"/>
        <v>-176</v>
      </c>
      <c r="H608" s="303">
        <f>I608+W608</f>
        <v>0</v>
      </c>
      <c r="I608" s="303">
        <f>M608+P608</f>
        <v>0</v>
      </c>
      <c r="J608" s="294"/>
      <c r="K608" s="294"/>
      <c r="L608" s="294"/>
      <c r="M608" s="304"/>
      <c r="N608" s="294"/>
      <c r="O608" s="294"/>
      <c r="P608" s="303">
        <f>S608+T608</f>
        <v>0</v>
      </c>
      <c r="Q608" s="294"/>
      <c r="R608" s="305"/>
      <c r="S608" s="304"/>
      <c r="T608" s="303">
        <f>U608+V608</f>
        <v>0</v>
      </c>
      <c r="U608" s="304"/>
      <c r="V608" s="304"/>
      <c r="W608" s="303">
        <f>Z608+AA608</f>
        <v>0</v>
      </c>
      <c r="X608" s="303"/>
      <c r="Y608" s="303"/>
      <c r="Z608" s="304"/>
      <c r="AA608" s="304"/>
      <c r="AB608" s="304"/>
      <c r="AC608" s="304"/>
      <c r="AD608" s="304"/>
      <c r="AE608" s="304"/>
      <c r="AF608" s="317" t="s">
        <v>1637</v>
      </c>
      <c r="AG608" s="314">
        <f t="shared" si="728"/>
        <v>0</v>
      </c>
      <c r="AH608" s="696">
        <f t="shared" si="729"/>
        <v>0</v>
      </c>
      <c r="AI608" s="314">
        <f t="shared" si="730"/>
        <v>0</v>
      </c>
      <c r="AJ608" s="314">
        <f t="shared" si="731"/>
        <v>0</v>
      </c>
      <c r="AK608" s="314">
        <f t="shared" si="732"/>
        <v>0</v>
      </c>
      <c r="AL608" s="314">
        <f t="shared" si="733"/>
        <v>0</v>
      </c>
      <c r="AM608" s="314">
        <f t="shared" si="734"/>
        <v>0</v>
      </c>
      <c r="AN608" s="314">
        <f t="shared" si="735"/>
        <v>0</v>
      </c>
      <c r="AO608" s="314">
        <f t="shared" si="736"/>
        <v>0</v>
      </c>
      <c r="AP608" s="314">
        <f t="shared" si="737"/>
        <v>0</v>
      </c>
    </row>
    <row r="609" spans="1:42" ht="27.6" outlineLevel="1">
      <c r="A609" s="596" t="s">
        <v>23</v>
      </c>
      <c r="B609" s="316" t="s">
        <v>1057</v>
      </c>
      <c r="C609" s="304"/>
      <c r="D609" s="304">
        <v>30</v>
      </c>
      <c r="E609" s="304">
        <f t="shared" si="749"/>
        <v>30</v>
      </c>
      <c r="F609" s="304">
        <f t="shared" si="757"/>
        <v>30</v>
      </c>
      <c r="G609" s="304">
        <f t="shared" si="758"/>
        <v>0</v>
      </c>
      <c r="H609" s="303">
        <f t="shared" si="751"/>
        <v>30</v>
      </c>
      <c r="I609" s="303">
        <f>M609+P609</f>
        <v>30</v>
      </c>
      <c r="J609" s="294"/>
      <c r="K609" s="294"/>
      <c r="L609" s="294"/>
      <c r="M609" s="304"/>
      <c r="N609" s="294"/>
      <c r="O609" s="294"/>
      <c r="P609" s="303">
        <f>S609+T609</f>
        <v>30</v>
      </c>
      <c r="Q609" s="294"/>
      <c r="R609" s="305"/>
      <c r="S609" s="304"/>
      <c r="T609" s="303">
        <f>U609+V609</f>
        <v>30</v>
      </c>
      <c r="U609" s="304">
        <v>30</v>
      </c>
      <c r="V609" s="304"/>
      <c r="W609" s="303">
        <f t="shared" si="755"/>
        <v>0</v>
      </c>
      <c r="X609" s="303"/>
      <c r="Y609" s="303"/>
      <c r="Z609" s="304"/>
      <c r="AA609" s="304"/>
      <c r="AB609" s="304"/>
      <c r="AC609" s="304"/>
      <c r="AD609" s="304"/>
      <c r="AE609" s="303">
        <f t="shared" ref="AE609:AE611" si="762">E609-AD609</f>
        <v>30</v>
      </c>
      <c r="AF609" s="317"/>
      <c r="AG609" s="314">
        <f t="shared" si="728"/>
        <v>0</v>
      </c>
      <c r="AH609" s="696">
        <f t="shared" si="729"/>
        <v>0</v>
      </c>
      <c r="AI609" s="314">
        <f t="shared" si="730"/>
        <v>0</v>
      </c>
      <c r="AJ609" s="314">
        <f t="shared" si="731"/>
        <v>0</v>
      </c>
      <c r="AK609" s="314">
        <f t="shared" si="732"/>
        <v>0</v>
      </c>
      <c r="AL609" s="314">
        <f t="shared" si="733"/>
        <v>0</v>
      </c>
      <c r="AM609" s="314">
        <f t="shared" si="734"/>
        <v>0</v>
      </c>
      <c r="AN609" s="314">
        <f t="shared" si="735"/>
        <v>0</v>
      </c>
      <c r="AO609" s="314">
        <f t="shared" si="736"/>
        <v>0</v>
      </c>
      <c r="AP609" s="314">
        <f t="shared" si="737"/>
        <v>0</v>
      </c>
    </row>
    <row r="610" spans="1:42" ht="41.4" outlineLevel="1">
      <c r="A610" s="596" t="s">
        <v>23</v>
      </c>
      <c r="B610" s="316" t="s">
        <v>1059</v>
      </c>
      <c r="C610" s="304"/>
      <c r="D610" s="304">
        <v>70</v>
      </c>
      <c r="E610" s="304">
        <f t="shared" si="749"/>
        <v>70</v>
      </c>
      <c r="F610" s="304">
        <f t="shared" si="757"/>
        <v>70</v>
      </c>
      <c r="G610" s="304">
        <f t="shared" si="758"/>
        <v>0</v>
      </c>
      <c r="H610" s="303">
        <f t="shared" si="751"/>
        <v>70</v>
      </c>
      <c r="I610" s="303">
        <f>M610+P610</f>
        <v>70</v>
      </c>
      <c r="J610" s="294"/>
      <c r="K610" s="294"/>
      <c r="L610" s="294"/>
      <c r="M610" s="304"/>
      <c r="N610" s="294"/>
      <c r="O610" s="294"/>
      <c r="P610" s="303">
        <f>S610+T610</f>
        <v>70</v>
      </c>
      <c r="Q610" s="294"/>
      <c r="R610" s="305"/>
      <c r="S610" s="304"/>
      <c r="T610" s="303">
        <f>U610+V610</f>
        <v>70</v>
      </c>
      <c r="U610" s="304">
        <v>70</v>
      </c>
      <c r="V610" s="304"/>
      <c r="W610" s="303">
        <f t="shared" si="755"/>
        <v>0</v>
      </c>
      <c r="X610" s="303"/>
      <c r="Y610" s="303"/>
      <c r="Z610" s="304"/>
      <c r="AA610" s="304"/>
      <c r="AB610" s="304"/>
      <c r="AC610" s="304"/>
      <c r="AD610" s="304"/>
      <c r="AE610" s="303">
        <f t="shared" si="762"/>
        <v>70</v>
      </c>
      <c r="AF610" s="317"/>
      <c r="AG610" s="314">
        <f t="shared" si="728"/>
        <v>0</v>
      </c>
      <c r="AH610" s="696">
        <f t="shared" si="729"/>
        <v>0</v>
      </c>
      <c r="AI610" s="314">
        <f t="shared" si="730"/>
        <v>0</v>
      </c>
      <c r="AJ610" s="314">
        <f t="shared" si="731"/>
        <v>0</v>
      </c>
      <c r="AK610" s="314">
        <f t="shared" si="732"/>
        <v>0</v>
      </c>
      <c r="AL610" s="314">
        <f t="shared" si="733"/>
        <v>0</v>
      </c>
      <c r="AM610" s="314">
        <f t="shared" si="734"/>
        <v>0</v>
      </c>
      <c r="AN610" s="314">
        <f t="shared" si="735"/>
        <v>0</v>
      </c>
      <c r="AO610" s="314">
        <f t="shared" si="736"/>
        <v>0</v>
      </c>
      <c r="AP610" s="314">
        <f t="shared" si="737"/>
        <v>0</v>
      </c>
    </row>
    <row r="611" spans="1:42" ht="27.6" outlineLevel="1">
      <c r="A611" s="596" t="s">
        <v>200</v>
      </c>
      <c r="B611" s="316" t="s">
        <v>1638</v>
      </c>
      <c r="C611" s="304"/>
      <c r="D611" s="304">
        <v>735</v>
      </c>
      <c r="E611" s="304">
        <f t="shared" si="749"/>
        <v>735</v>
      </c>
      <c r="F611" s="304">
        <f t="shared" si="757"/>
        <v>735</v>
      </c>
      <c r="G611" s="304">
        <f t="shared" si="758"/>
        <v>0</v>
      </c>
      <c r="H611" s="303">
        <f t="shared" si="751"/>
        <v>735</v>
      </c>
      <c r="I611" s="303">
        <f t="shared" ref="I611:I617" si="763">M611+P611</f>
        <v>735</v>
      </c>
      <c r="J611" s="294"/>
      <c r="K611" s="294"/>
      <c r="L611" s="294"/>
      <c r="M611" s="304"/>
      <c r="N611" s="294"/>
      <c r="O611" s="294"/>
      <c r="P611" s="303">
        <f t="shared" ref="P611:P617" si="764">S611+T611</f>
        <v>735</v>
      </c>
      <c r="Q611" s="294"/>
      <c r="R611" s="305"/>
      <c r="S611" s="304"/>
      <c r="T611" s="303">
        <f t="shared" ref="T611:T617" si="765">U611+V611</f>
        <v>735</v>
      </c>
      <c r="U611" s="304">
        <v>735</v>
      </c>
      <c r="V611" s="304"/>
      <c r="W611" s="303">
        <f t="shared" si="755"/>
        <v>0</v>
      </c>
      <c r="X611" s="303"/>
      <c r="Y611" s="303"/>
      <c r="Z611" s="304"/>
      <c r="AA611" s="304"/>
      <c r="AB611" s="304"/>
      <c r="AC611" s="304"/>
      <c r="AD611" s="304"/>
      <c r="AE611" s="303">
        <f t="shared" si="762"/>
        <v>735</v>
      </c>
      <c r="AF611" s="317"/>
      <c r="AG611" s="314">
        <f t="shared" si="728"/>
        <v>0</v>
      </c>
      <c r="AH611" s="696">
        <f t="shared" si="729"/>
        <v>0</v>
      </c>
      <c r="AI611" s="314">
        <f t="shared" si="730"/>
        <v>0</v>
      </c>
      <c r="AJ611" s="314">
        <f t="shared" si="731"/>
        <v>0</v>
      </c>
      <c r="AK611" s="314">
        <f t="shared" si="732"/>
        <v>0</v>
      </c>
      <c r="AL611" s="314">
        <f t="shared" si="733"/>
        <v>0</v>
      </c>
      <c r="AM611" s="314">
        <f t="shared" si="734"/>
        <v>0</v>
      </c>
      <c r="AN611" s="314">
        <f t="shared" si="735"/>
        <v>0</v>
      </c>
      <c r="AO611" s="314">
        <f t="shared" si="736"/>
        <v>0</v>
      </c>
      <c r="AP611" s="314">
        <f t="shared" si="737"/>
        <v>0</v>
      </c>
    </row>
    <row r="612" spans="1:42" ht="55.2" hidden="1" outlineLevel="3">
      <c r="A612" s="597" t="s">
        <v>23</v>
      </c>
      <c r="B612" s="310" t="s">
        <v>1639</v>
      </c>
      <c r="C612" s="332"/>
      <c r="D612" s="304">
        <f>100-100</f>
        <v>0</v>
      </c>
      <c r="E612" s="304">
        <f t="shared" si="749"/>
        <v>0</v>
      </c>
      <c r="F612" s="304">
        <f t="shared" si="757"/>
        <v>0</v>
      </c>
      <c r="G612" s="304">
        <f t="shared" si="758"/>
        <v>0</v>
      </c>
      <c r="H612" s="303">
        <f>I612+W612</f>
        <v>0</v>
      </c>
      <c r="I612" s="303">
        <f t="shared" si="763"/>
        <v>0</v>
      </c>
      <c r="J612" s="294"/>
      <c r="K612" s="294"/>
      <c r="L612" s="294"/>
      <c r="M612" s="304"/>
      <c r="N612" s="294"/>
      <c r="O612" s="294"/>
      <c r="P612" s="303">
        <f t="shared" si="764"/>
        <v>0</v>
      </c>
      <c r="Q612" s="294"/>
      <c r="R612" s="305"/>
      <c r="S612" s="304"/>
      <c r="T612" s="303">
        <f t="shared" si="765"/>
        <v>0</v>
      </c>
      <c r="U612" s="304">
        <f>100-100</f>
        <v>0</v>
      </c>
      <c r="V612" s="304"/>
      <c r="W612" s="303">
        <f>Z612+AA612</f>
        <v>0</v>
      </c>
      <c r="X612" s="303"/>
      <c r="Y612" s="303"/>
      <c r="Z612" s="304"/>
      <c r="AA612" s="304"/>
      <c r="AB612" s="304"/>
      <c r="AC612" s="304"/>
      <c r="AD612" s="304"/>
      <c r="AE612" s="303">
        <f>E612-AD612</f>
        <v>0</v>
      </c>
      <c r="AF612" s="332"/>
      <c r="AG612" s="314">
        <f t="shared" si="728"/>
        <v>0</v>
      </c>
      <c r="AH612" s="696">
        <f t="shared" si="729"/>
        <v>0</v>
      </c>
      <c r="AI612" s="314">
        <f t="shared" si="730"/>
        <v>0</v>
      </c>
      <c r="AJ612" s="314">
        <f t="shared" si="731"/>
        <v>0</v>
      </c>
      <c r="AK612" s="314">
        <f t="shared" si="732"/>
        <v>0</v>
      </c>
      <c r="AL612" s="314">
        <f t="shared" si="733"/>
        <v>0</v>
      </c>
      <c r="AM612" s="314">
        <f t="shared" si="734"/>
        <v>0</v>
      </c>
      <c r="AN612" s="314">
        <f t="shared" si="735"/>
        <v>0</v>
      </c>
      <c r="AO612" s="314">
        <f t="shared" si="736"/>
        <v>0</v>
      </c>
      <c r="AP612" s="314">
        <f t="shared" si="737"/>
        <v>0</v>
      </c>
    </row>
    <row r="613" spans="1:42" ht="138" outlineLevel="1" collapsed="1">
      <c r="A613" s="583" t="s">
        <v>23</v>
      </c>
      <c r="B613" s="1275" t="s">
        <v>2476</v>
      </c>
      <c r="C613" s="332"/>
      <c r="D613" s="304">
        <f>1196+100</f>
        <v>1296</v>
      </c>
      <c r="E613" s="304">
        <f>F613+AC613</f>
        <v>1553</v>
      </c>
      <c r="F613" s="304">
        <f>H613-AB613</f>
        <v>1553</v>
      </c>
      <c r="G613" s="304">
        <f>F613-D613</f>
        <v>257</v>
      </c>
      <c r="H613" s="303">
        <f>I613+W613</f>
        <v>1553</v>
      </c>
      <c r="I613" s="303">
        <f>M613+P613</f>
        <v>1553</v>
      </c>
      <c r="J613" s="294"/>
      <c r="K613" s="294"/>
      <c r="L613" s="294"/>
      <c r="M613" s="304"/>
      <c r="N613" s="294"/>
      <c r="O613" s="294"/>
      <c r="P613" s="303">
        <f t="shared" si="764"/>
        <v>1553</v>
      </c>
      <c r="Q613" s="294"/>
      <c r="R613" s="305"/>
      <c r="S613" s="304"/>
      <c r="T613" s="303">
        <f t="shared" si="765"/>
        <v>1553</v>
      </c>
      <c r="U613" s="304">
        <f>1076+150-30+100</f>
        <v>1296</v>
      </c>
      <c r="V613" s="304">
        <v>257</v>
      </c>
      <c r="W613" s="303">
        <f>Z613+AA613</f>
        <v>0</v>
      </c>
      <c r="X613" s="303"/>
      <c r="Y613" s="303"/>
      <c r="Z613" s="304"/>
      <c r="AA613" s="304"/>
      <c r="AB613" s="304"/>
      <c r="AC613" s="304"/>
      <c r="AD613" s="304"/>
      <c r="AE613" s="303">
        <f>E613-AD613</f>
        <v>1553</v>
      </c>
      <c r="AF613" s="332"/>
      <c r="AG613" s="314">
        <f t="shared" si="728"/>
        <v>0</v>
      </c>
      <c r="AH613" s="696">
        <f t="shared" si="729"/>
        <v>0</v>
      </c>
      <c r="AI613" s="314">
        <f t="shared" si="730"/>
        <v>0</v>
      </c>
      <c r="AJ613" s="314">
        <f t="shared" si="731"/>
        <v>0</v>
      </c>
      <c r="AK613" s="314">
        <f t="shared" si="732"/>
        <v>0</v>
      </c>
      <c r="AL613" s="314">
        <f t="shared" si="733"/>
        <v>0</v>
      </c>
      <c r="AM613" s="314">
        <f t="shared" si="734"/>
        <v>0</v>
      </c>
      <c r="AN613" s="314">
        <f t="shared" si="735"/>
        <v>0</v>
      </c>
      <c r="AO613" s="314">
        <f t="shared" si="736"/>
        <v>0</v>
      </c>
      <c r="AP613" s="314">
        <f t="shared" si="737"/>
        <v>0</v>
      </c>
    </row>
    <row r="614" spans="1:42" ht="41.4" hidden="1" outlineLevel="3">
      <c r="A614" s="583" t="s">
        <v>23</v>
      </c>
      <c r="B614" s="1275" t="s">
        <v>2172</v>
      </c>
      <c r="C614" s="332"/>
      <c r="D614" s="304"/>
      <c r="E614" s="304">
        <f>F614+AC614</f>
        <v>0</v>
      </c>
      <c r="F614" s="304">
        <f>H614-AB614</f>
        <v>0</v>
      </c>
      <c r="G614" s="304">
        <f>F614-D614</f>
        <v>0</v>
      </c>
      <c r="H614" s="303">
        <f>I614+W614</f>
        <v>0</v>
      </c>
      <c r="I614" s="303">
        <f>M614+P614</f>
        <v>0</v>
      </c>
      <c r="J614" s="294"/>
      <c r="K614" s="294"/>
      <c r="L614" s="294"/>
      <c r="M614" s="304"/>
      <c r="N614" s="294"/>
      <c r="O614" s="294"/>
      <c r="P614" s="303">
        <f t="shared" si="764"/>
        <v>0</v>
      </c>
      <c r="Q614" s="294"/>
      <c r="R614" s="305"/>
      <c r="S614" s="304"/>
      <c r="T614" s="303">
        <f t="shared" si="765"/>
        <v>0</v>
      </c>
      <c r="U614" s="304"/>
      <c r="V614" s="304"/>
      <c r="W614" s="303">
        <f>Z614+AA614</f>
        <v>0</v>
      </c>
      <c r="X614" s="303"/>
      <c r="Y614" s="303"/>
      <c r="Z614" s="304"/>
      <c r="AA614" s="304"/>
      <c r="AB614" s="304"/>
      <c r="AC614" s="304"/>
      <c r="AD614" s="304"/>
      <c r="AE614" s="303">
        <f>E614-AD614</f>
        <v>0</v>
      </c>
      <c r="AF614" s="332"/>
      <c r="AG614" s="314">
        <f t="shared" si="728"/>
        <v>0</v>
      </c>
      <c r="AH614" s="696">
        <f t="shared" si="729"/>
        <v>0</v>
      </c>
      <c r="AI614" s="314">
        <f t="shared" si="730"/>
        <v>0</v>
      </c>
      <c r="AJ614" s="314">
        <f t="shared" si="731"/>
        <v>0</v>
      </c>
      <c r="AK614" s="314">
        <f t="shared" si="732"/>
        <v>0</v>
      </c>
      <c r="AL614" s="314">
        <f t="shared" si="733"/>
        <v>0</v>
      </c>
      <c r="AM614" s="314">
        <f t="shared" si="734"/>
        <v>0</v>
      </c>
      <c r="AN614" s="314">
        <f t="shared" si="735"/>
        <v>0</v>
      </c>
      <c r="AO614" s="314">
        <f t="shared" si="736"/>
        <v>0</v>
      </c>
      <c r="AP614" s="314">
        <f t="shared" si="737"/>
        <v>0</v>
      </c>
    </row>
    <row r="615" spans="1:42" ht="55.2" hidden="1" outlineLevel="3">
      <c r="A615" s="596" t="s">
        <v>23</v>
      </c>
      <c r="B615" s="316" t="s">
        <v>1640</v>
      </c>
      <c r="C615" s="304"/>
      <c r="D615" s="304">
        <v>180</v>
      </c>
      <c r="E615" s="304">
        <f t="shared" si="749"/>
        <v>0</v>
      </c>
      <c r="F615" s="304">
        <f t="shared" si="757"/>
        <v>0</v>
      </c>
      <c r="G615" s="304">
        <f t="shared" si="758"/>
        <v>-180</v>
      </c>
      <c r="H615" s="303">
        <f>I615+W615</f>
        <v>0</v>
      </c>
      <c r="I615" s="303">
        <f>M615+P615</f>
        <v>0</v>
      </c>
      <c r="J615" s="294"/>
      <c r="K615" s="294"/>
      <c r="L615" s="294"/>
      <c r="M615" s="304"/>
      <c r="N615" s="294"/>
      <c r="O615" s="294"/>
      <c r="P615" s="303">
        <f>S615+T615</f>
        <v>0</v>
      </c>
      <c r="Q615" s="294"/>
      <c r="R615" s="305"/>
      <c r="S615" s="304"/>
      <c r="T615" s="303">
        <f>U615+V615</f>
        <v>0</v>
      </c>
      <c r="U615" s="304"/>
      <c r="V615" s="304"/>
      <c r="W615" s="303">
        <f>Z615+AA615</f>
        <v>0</v>
      </c>
      <c r="X615" s="303"/>
      <c r="Y615" s="303"/>
      <c r="Z615" s="304"/>
      <c r="AA615" s="304"/>
      <c r="AB615" s="304"/>
      <c r="AC615" s="304"/>
      <c r="AD615" s="304"/>
      <c r="AE615" s="304"/>
      <c r="AF615" s="317"/>
      <c r="AG615" s="314">
        <f t="shared" si="728"/>
        <v>0</v>
      </c>
      <c r="AH615" s="696">
        <f t="shared" si="729"/>
        <v>0</v>
      </c>
      <c r="AI615" s="314">
        <f t="shared" si="730"/>
        <v>0</v>
      </c>
      <c r="AJ615" s="314">
        <f t="shared" si="731"/>
        <v>0</v>
      </c>
      <c r="AK615" s="314">
        <f t="shared" si="732"/>
        <v>0</v>
      </c>
      <c r="AL615" s="314">
        <f t="shared" si="733"/>
        <v>0</v>
      </c>
      <c r="AM615" s="314">
        <f t="shared" si="734"/>
        <v>0</v>
      </c>
      <c r="AN615" s="314">
        <f t="shared" si="735"/>
        <v>0</v>
      </c>
      <c r="AO615" s="314">
        <f t="shared" si="736"/>
        <v>0</v>
      </c>
      <c r="AP615" s="314">
        <f t="shared" si="737"/>
        <v>0</v>
      </c>
    </row>
    <row r="616" spans="1:42" ht="55.2" hidden="1" outlineLevel="3">
      <c r="A616" s="596" t="s">
        <v>23</v>
      </c>
      <c r="B616" s="316" t="s">
        <v>1641</v>
      </c>
      <c r="C616" s="304"/>
      <c r="D616" s="304">
        <v>85</v>
      </c>
      <c r="E616" s="304">
        <f t="shared" si="749"/>
        <v>0</v>
      </c>
      <c r="F616" s="304">
        <f t="shared" si="757"/>
        <v>0</v>
      </c>
      <c r="G616" s="304">
        <f t="shared" si="758"/>
        <v>-85</v>
      </c>
      <c r="H616" s="303">
        <f t="shared" ref="H616:H617" si="766">I616+W616</f>
        <v>0</v>
      </c>
      <c r="I616" s="303">
        <f t="shared" si="763"/>
        <v>0</v>
      </c>
      <c r="J616" s="294"/>
      <c r="K616" s="294"/>
      <c r="L616" s="294"/>
      <c r="M616" s="304"/>
      <c r="N616" s="294"/>
      <c r="O616" s="294"/>
      <c r="P616" s="303">
        <f t="shared" si="764"/>
        <v>0</v>
      </c>
      <c r="Q616" s="294"/>
      <c r="R616" s="305"/>
      <c r="S616" s="304"/>
      <c r="T616" s="303">
        <f t="shared" si="765"/>
        <v>0</v>
      </c>
      <c r="U616" s="304"/>
      <c r="V616" s="304"/>
      <c r="W616" s="303">
        <f t="shared" ref="W616:W617" si="767">Z616+AA616</f>
        <v>0</v>
      </c>
      <c r="X616" s="303"/>
      <c r="Y616" s="303"/>
      <c r="Z616" s="304"/>
      <c r="AA616" s="304"/>
      <c r="AB616" s="304"/>
      <c r="AC616" s="304"/>
      <c r="AD616" s="304"/>
      <c r="AE616" s="304"/>
      <c r="AF616" s="317" t="s">
        <v>2173</v>
      </c>
      <c r="AG616" s="314">
        <f t="shared" si="728"/>
        <v>0</v>
      </c>
      <c r="AH616" s="696">
        <f t="shared" si="729"/>
        <v>0</v>
      </c>
      <c r="AI616" s="314">
        <f t="shared" si="730"/>
        <v>0</v>
      </c>
      <c r="AJ616" s="314">
        <f t="shared" si="731"/>
        <v>0</v>
      </c>
      <c r="AK616" s="314">
        <f t="shared" si="732"/>
        <v>0</v>
      </c>
      <c r="AL616" s="314">
        <f t="shared" si="733"/>
        <v>0</v>
      </c>
      <c r="AM616" s="314">
        <f t="shared" si="734"/>
        <v>0</v>
      </c>
      <c r="AN616" s="314">
        <f t="shared" si="735"/>
        <v>0</v>
      </c>
      <c r="AO616" s="314">
        <f t="shared" si="736"/>
        <v>0</v>
      </c>
      <c r="AP616" s="314">
        <f t="shared" si="737"/>
        <v>0</v>
      </c>
    </row>
    <row r="617" spans="1:42" ht="82.8" hidden="1" outlineLevel="3">
      <c r="A617" s="596" t="s">
        <v>200</v>
      </c>
      <c r="B617" s="316" t="s">
        <v>2174</v>
      </c>
      <c r="C617" s="304"/>
      <c r="D617" s="304">
        <v>2000</v>
      </c>
      <c r="E617" s="304">
        <f t="shared" si="749"/>
        <v>0</v>
      </c>
      <c r="F617" s="304">
        <f t="shared" si="757"/>
        <v>0</v>
      </c>
      <c r="G617" s="304">
        <f t="shared" si="758"/>
        <v>-2000</v>
      </c>
      <c r="H617" s="303">
        <f t="shared" si="766"/>
        <v>0</v>
      </c>
      <c r="I617" s="303">
        <f t="shared" si="763"/>
        <v>0</v>
      </c>
      <c r="J617" s="294"/>
      <c r="K617" s="294"/>
      <c r="L617" s="294"/>
      <c r="M617" s="304"/>
      <c r="N617" s="294"/>
      <c r="O617" s="294"/>
      <c r="P617" s="303">
        <f t="shared" si="764"/>
        <v>0</v>
      </c>
      <c r="Q617" s="294"/>
      <c r="R617" s="305"/>
      <c r="S617" s="304"/>
      <c r="T617" s="303">
        <f t="shared" si="765"/>
        <v>0</v>
      </c>
      <c r="U617" s="304"/>
      <c r="V617" s="304"/>
      <c r="W617" s="303">
        <f t="shared" si="767"/>
        <v>0</v>
      </c>
      <c r="X617" s="303"/>
      <c r="Y617" s="303"/>
      <c r="Z617" s="304"/>
      <c r="AA617" s="304"/>
      <c r="AB617" s="304"/>
      <c r="AC617" s="304"/>
      <c r="AD617" s="304"/>
      <c r="AE617" s="304"/>
      <c r="AF617" s="1263"/>
      <c r="AG617" s="314">
        <f t="shared" si="728"/>
        <v>0</v>
      </c>
      <c r="AH617" s="696">
        <f t="shared" si="729"/>
        <v>0</v>
      </c>
      <c r="AI617" s="314">
        <f t="shared" si="730"/>
        <v>0</v>
      </c>
      <c r="AJ617" s="314">
        <f t="shared" si="731"/>
        <v>0</v>
      </c>
      <c r="AK617" s="314">
        <f t="shared" si="732"/>
        <v>0</v>
      </c>
      <c r="AL617" s="314">
        <f t="shared" si="733"/>
        <v>0</v>
      </c>
      <c r="AM617" s="314">
        <f t="shared" si="734"/>
        <v>0</v>
      </c>
      <c r="AN617" s="314">
        <f t="shared" si="735"/>
        <v>0</v>
      </c>
      <c r="AO617" s="314">
        <f t="shared" si="736"/>
        <v>0</v>
      </c>
      <c r="AP617" s="314">
        <f t="shared" si="737"/>
        <v>0</v>
      </c>
    </row>
    <row r="618" spans="1:42" s="314" customFormat="1">
      <c r="A618" s="592" t="s">
        <v>789</v>
      </c>
      <c r="B618" s="320" t="s">
        <v>1021</v>
      </c>
      <c r="C618" s="298" t="s">
        <v>728</v>
      </c>
      <c r="D618" s="297">
        <f>D619</f>
        <v>1559</v>
      </c>
      <c r="E618" s="297">
        <f t="shared" ref="E618:AE618" si="768">E619</f>
        <v>1559</v>
      </c>
      <c r="F618" s="297">
        <f t="shared" si="768"/>
        <v>1559</v>
      </c>
      <c r="G618" s="297">
        <f t="shared" si="768"/>
        <v>0</v>
      </c>
      <c r="H618" s="297">
        <f t="shared" si="768"/>
        <v>1559</v>
      </c>
      <c r="I618" s="297">
        <f t="shared" si="768"/>
        <v>0</v>
      </c>
      <c r="J618" s="297">
        <f t="shared" si="768"/>
        <v>0</v>
      </c>
      <c r="K618" s="297">
        <f t="shared" si="768"/>
        <v>0</v>
      </c>
      <c r="L618" s="297">
        <f t="shared" si="768"/>
        <v>0</v>
      </c>
      <c r="M618" s="297">
        <f t="shared" si="768"/>
        <v>0</v>
      </c>
      <c r="N618" s="297">
        <f t="shared" si="768"/>
        <v>0</v>
      </c>
      <c r="O618" s="297">
        <f t="shared" si="768"/>
        <v>0</v>
      </c>
      <c r="P618" s="297">
        <f t="shared" si="768"/>
        <v>0</v>
      </c>
      <c r="Q618" s="297">
        <f t="shared" si="768"/>
        <v>0</v>
      </c>
      <c r="R618" s="297">
        <f t="shared" si="768"/>
        <v>0</v>
      </c>
      <c r="S618" s="297">
        <f t="shared" si="768"/>
        <v>0</v>
      </c>
      <c r="T618" s="297">
        <f t="shared" si="768"/>
        <v>0</v>
      </c>
      <c r="U618" s="297">
        <f t="shared" si="768"/>
        <v>0</v>
      </c>
      <c r="V618" s="297">
        <f t="shared" si="768"/>
        <v>0</v>
      </c>
      <c r="W618" s="297">
        <f t="shared" si="768"/>
        <v>1559</v>
      </c>
      <c r="X618" s="297">
        <f t="shared" si="768"/>
        <v>0</v>
      </c>
      <c r="Y618" s="297">
        <f t="shared" si="768"/>
        <v>0</v>
      </c>
      <c r="Z618" s="297">
        <f t="shared" si="768"/>
        <v>1559</v>
      </c>
      <c r="AA618" s="297">
        <f t="shared" si="768"/>
        <v>0</v>
      </c>
      <c r="AB618" s="297">
        <f t="shared" si="768"/>
        <v>0</v>
      </c>
      <c r="AC618" s="297">
        <f t="shared" si="768"/>
        <v>0</v>
      </c>
      <c r="AD618" s="297">
        <f t="shared" si="768"/>
        <v>0</v>
      </c>
      <c r="AE618" s="297">
        <f t="shared" si="768"/>
        <v>0</v>
      </c>
      <c r="AF618" s="321"/>
      <c r="AG618" s="314">
        <f t="shared" si="728"/>
        <v>0</v>
      </c>
      <c r="AH618" s="696">
        <f t="shared" si="729"/>
        <v>0</v>
      </c>
      <c r="AI618" s="314">
        <f t="shared" si="730"/>
        <v>0</v>
      </c>
      <c r="AJ618" s="314">
        <f t="shared" si="731"/>
        <v>0</v>
      </c>
      <c r="AK618" s="314">
        <f t="shared" si="732"/>
        <v>0</v>
      </c>
      <c r="AL618" s="314">
        <f t="shared" si="733"/>
        <v>0</v>
      </c>
      <c r="AM618" s="314">
        <f t="shared" si="734"/>
        <v>0</v>
      </c>
      <c r="AN618" s="314">
        <f t="shared" si="735"/>
        <v>0</v>
      </c>
      <c r="AO618" s="314">
        <f t="shared" si="736"/>
        <v>0</v>
      </c>
      <c r="AP618" s="314">
        <f t="shared" si="737"/>
        <v>0</v>
      </c>
    </row>
    <row r="619" spans="1:42" ht="193.2" outlineLevel="1">
      <c r="A619" s="593" t="s">
        <v>23</v>
      </c>
      <c r="B619" s="316" t="s">
        <v>1061</v>
      </c>
      <c r="C619" s="302"/>
      <c r="D619" s="304">
        <v>1559</v>
      </c>
      <c r="E619" s="304">
        <f>F619+AC619</f>
        <v>1559</v>
      </c>
      <c r="F619" s="304">
        <f>H619-AB619</f>
        <v>1559</v>
      </c>
      <c r="G619" s="304">
        <f t="shared" si="758"/>
        <v>0</v>
      </c>
      <c r="H619" s="303">
        <f t="shared" ref="H619" si="769">I619+W619</f>
        <v>1559</v>
      </c>
      <c r="I619" s="303"/>
      <c r="J619" s="311"/>
      <c r="K619" s="311"/>
      <c r="L619" s="311"/>
      <c r="M619" s="303"/>
      <c r="N619" s="311"/>
      <c r="O619" s="311"/>
      <c r="P619" s="303"/>
      <c r="Q619" s="311"/>
      <c r="R619" s="312"/>
      <c r="S619" s="303"/>
      <c r="T619" s="303"/>
      <c r="U619" s="303"/>
      <c r="V619" s="303"/>
      <c r="W619" s="303">
        <f>Z619+AA619</f>
        <v>1559</v>
      </c>
      <c r="X619" s="303"/>
      <c r="Y619" s="303"/>
      <c r="Z619" s="303">
        <v>1559</v>
      </c>
      <c r="AA619" s="303"/>
      <c r="AB619" s="304"/>
      <c r="AC619" s="304"/>
      <c r="AD619" s="304"/>
      <c r="AE619" s="303"/>
      <c r="AF619" s="1263" t="s">
        <v>2175</v>
      </c>
      <c r="AG619" s="314">
        <f t="shared" si="728"/>
        <v>0</v>
      </c>
      <c r="AH619" s="696">
        <f t="shared" si="729"/>
        <v>0</v>
      </c>
      <c r="AI619" s="314">
        <f t="shared" si="730"/>
        <v>0</v>
      </c>
      <c r="AJ619" s="314">
        <f t="shared" si="731"/>
        <v>0</v>
      </c>
      <c r="AK619" s="314">
        <f t="shared" si="732"/>
        <v>0</v>
      </c>
      <c r="AL619" s="314">
        <f t="shared" si="733"/>
        <v>0</v>
      </c>
      <c r="AM619" s="314">
        <f t="shared" si="734"/>
        <v>0</v>
      </c>
      <c r="AN619" s="314">
        <f t="shared" si="735"/>
        <v>0</v>
      </c>
      <c r="AO619" s="314">
        <f t="shared" si="736"/>
        <v>0</v>
      </c>
      <c r="AP619" s="314">
        <f t="shared" si="737"/>
        <v>0</v>
      </c>
    </row>
    <row r="620" spans="1:42" s="314" customFormat="1">
      <c r="A620" s="592" t="s">
        <v>1865</v>
      </c>
      <c r="B620" s="320" t="s">
        <v>2176</v>
      </c>
      <c r="C620" s="298" t="s">
        <v>756</v>
      </c>
      <c r="D620" s="297">
        <v>4000</v>
      </c>
      <c r="E620" s="297">
        <f>F620+AC620</f>
        <v>4000</v>
      </c>
      <c r="F620" s="297">
        <f>H620-AB620</f>
        <v>4000</v>
      </c>
      <c r="G620" s="297">
        <f t="shared" si="758"/>
        <v>0</v>
      </c>
      <c r="H620" s="299">
        <f>I620+W620</f>
        <v>4000</v>
      </c>
      <c r="I620" s="299">
        <f>M620+P620</f>
        <v>0</v>
      </c>
      <c r="J620" s="318"/>
      <c r="K620" s="318"/>
      <c r="L620" s="318"/>
      <c r="M620" s="299"/>
      <c r="N620" s="318"/>
      <c r="O620" s="318"/>
      <c r="P620" s="299">
        <f>S620+T620</f>
        <v>0</v>
      </c>
      <c r="Q620" s="318"/>
      <c r="R620" s="319"/>
      <c r="S620" s="299"/>
      <c r="T620" s="299">
        <f>U620+V620</f>
        <v>0</v>
      </c>
      <c r="U620" s="299"/>
      <c r="V620" s="299"/>
      <c r="W620" s="299">
        <f t="shared" ref="W620:W622" si="770">Z620+AA620</f>
        <v>4000</v>
      </c>
      <c r="X620" s="299"/>
      <c r="Y620" s="299"/>
      <c r="Z620" s="299">
        <v>4000</v>
      </c>
      <c r="AA620" s="299"/>
      <c r="AB620" s="297"/>
      <c r="AC620" s="297"/>
      <c r="AD620" s="297">
        <v>45</v>
      </c>
      <c r="AE620" s="299">
        <f>E620-AD620</f>
        <v>3955</v>
      </c>
      <c r="AF620" s="321"/>
      <c r="AG620" s="314">
        <f t="shared" si="728"/>
        <v>0</v>
      </c>
      <c r="AH620" s="696">
        <f t="shared" si="729"/>
        <v>0</v>
      </c>
      <c r="AI620" s="314">
        <f t="shared" si="730"/>
        <v>0</v>
      </c>
      <c r="AJ620" s="314">
        <f t="shared" si="731"/>
        <v>0</v>
      </c>
      <c r="AK620" s="314">
        <f t="shared" si="732"/>
        <v>0</v>
      </c>
      <c r="AL620" s="314">
        <f t="shared" si="733"/>
        <v>0</v>
      </c>
      <c r="AM620" s="314">
        <f t="shared" si="734"/>
        <v>0</v>
      </c>
      <c r="AN620" s="314">
        <f t="shared" si="735"/>
        <v>0</v>
      </c>
      <c r="AO620" s="314">
        <f t="shared" si="736"/>
        <v>0</v>
      </c>
      <c r="AP620" s="314">
        <f t="shared" si="737"/>
        <v>0</v>
      </c>
    </row>
    <row r="621" spans="1:42" s="314" customFormat="1" ht="27.6">
      <c r="A621" s="583"/>
      <c r="B621" s="335" t="s">
        <v>1245</v>
      </c>
      <c r="C621" s="317"/>
      <c r="D621" s="304">
        <v>300</v>
      </c>
      <c r="E621" s="304">
        <f>F621+AC621</f>
        <v>300</v>
      </c>
      <c r="F621" s="304">
        <f>H621-AB621</f>
        <v>300</v>
      </c>
      <c r="G621" s="304">
        <f t="shared" si="758"/>
        <v>0</v>
      </c>
      <c r="H621" s="303">
        <f>I621+W621</f>
        <v>300</v>
      </c>
      <c r="I621" s="303">
        <f>M621+P621</f>
        <v>0</v>
      </c>
      <c r="J621" s="311"/>
      <c r="K621" s="311"/>
      <c r="L621" s="311"/>
      <c r="M621" s="303"/>
      <c r="N621" s="311"/>
      <c r="O621" s="311"/>
      <c r="P621" s="303">
        <f>S621+T621</f>
        <v>0</v>
      </c>
      <c r="Q621" s="311"/>
      <c r="R621" s="312"/>
      <c r="S621" s="303"/>
      <c r="T621" s="303">
        <f>U621+V621</f>
        <v>0</v>
      </c>
      <c r="U621" s="303"/>
      <c r="V621" s="303"/>
      <c r="W621" s="303">
        <f t="shared" si="770"/>
        <v>300</v>
      </c>
      <c r="X621" s="303"/>
      <c r="Y621" s="303"/>
      <c r="Z621" s="303">
        <f>400-100</f>
        <v>300</v>
      </c>
      <c r="AA621" s="303"/>
      <c r="AB621" s="304"/>
      <c r="AC621" s="304"/>
      <c r="AD621" s="304">
        <v>30</v>
      </c>
      <c r="AE621" s="303">
        <f>E621-AD621</f>
        <v>270</v>
      </c>
      <c r="AF621" s="599"/>
      <c r="AG621" s="314">
        <f t="shared" si="728"/>
        <v>0</v>
      </c>
      <c r="AH621" s="696">
        <f t="shared" si="729"/>
        <v>0</v>
      </c>
      <c r="AI621" s="314">
        <f t="shared" si="730"/>
        <v>0</v>
      </c>
      <c r="AJ621" s="314">
        <f t="shared" si="731"/>
        <v>0</v>
      </c>
      <c r="AK621" s="314">
        <f t="shared" si="732"/>
        <v>0</v>
      </c>
      <c r="AL621" s="314">
        <f t="shared" si="733"/>
        <v>0</v>
      </c>
      <c r="AM621" s="314">
        <f t="shared" si="734"/>
        <v>0</v>
      </c>
      <c r="AN621" s="314">
        <f t="shared" si="735"/>
        <v>0</v>
      </c>
      <c r="AO621" s="314">
        <f t="shared" si="736"/>
        <v>0</v>
      </c>
      <c r="AP621" s="314">
        <f t="shared" si="737"/>
        <v>0</v>
      </c>
    </row>
    <row r="622" spans="1:42" s="314" customFormat="1" ht="41.4">
      <c r="A622" s="583"/>
      <c r="B622" s="335" t="s">
        <v>1679</v>
      </c>
      <c r="C622" s="317"/>
      <c r="D622" s="304">
        <v>150</v>
      </c>
      <c r="E622" s="304">
        <f>F622+AC622</f>
        <v>150</v>
      </c>
      <c r="F622" s="304">
        <f>H622-AB622</f>
        <v>150</v>
      </c>
      <c r="G622" s="304"/>
      <c r="H622" s="303">
        <f t="shared" ref="H622" si="771">I622+W622</f>
        <v>150</v>
      </c>
      <c r="I622" s="303">
        <f t="shared" ref="I622" si="772">M622+P622</f>
        <v>0</v>
      </c>
      <c r="J622" s="311"/>
      <c r="K622" s="311"/>
      <c r="L622" s="311"/>
      <c r="M622" s="303"/>
      <c r="N622" s="311"/>
      <c r="O622" s="311"/>
      <c r="P622" s="303">
        <f t="shared" ref="P622" si="773">S622+T622</f>
        <v>0</v>
      </c>
      <c r="Q622" s="311"/>
      <c r="R622" s="312"/>
      <c r="S622" s="303"/>
      <c r="T622" s="303">
        <f t="shared" ref="T622" si="774">U622+V622</f>
        <v>0</v>
      </c>
      <c r="U622" s="303"/>
      <c r="V622" s="303"/>
      <c r="W622" s="303">
        <f t="shared" si="770"/>
        <v>150</v>
      </c>
      <c r="X622" s="303"/>
      <c r="Y622" s="303"/>
      <c r="Z622" s="303">
        <v>150</v>
      </c>
      <c r="AA622" s="303"/>
      <c r="AB622" s="304"/>
      <c r="AC622" s="304"/>
      <c r="AD622" s="304"/>
      <c r="AE622" s="303">
        <f>E622-AD622</f>
        <v>150</v>
      </c>
      <c r="AF622" s="599"/>
      <c r="AG622" s="314">
        <f t="shared" si="728"/>
        <v>0</v>
      </c>
      <c r="AH622" s="696">
        <f t="shared" si="729"/>
        <v>0</v>
      </c>
      <c r="AI622" s="314">
        <f t="shared" si="730"/>
        <v>0</v>
      </c>
      <c r="AJ622" s="314">
        <f t="shared" si="731"/>
        <v>0</v>
      </c>
      <c r="AK622" s="314">
        <f t="shared" si="732"/>
        <v>0</v>
      </c>
      <c r="AL622" s="314">
        <f t="shared" si="733"/>
        <v>0</v>
      </c>
      <c r="AM622" s="314">
        <f t="shared" si="734"/>
        <v>0</v>
      </c>
      <c r="AN622" s="314">
        <f t="shared" si="735"/>
        <v>0</v>
      </c>
      <c r="AO622" s="314">
        <f t="shared" si="736"/>
        <v>0</v>
      </c>
      <c r="AP622" s="314">
        <f t="shared" si="737"/>
        <v>0</v>
      </c>
    </row>
    <row r="623" spans="1:42" s="314" customFormat="1">
      <c r="A623" s="594" t="s">
        <v>28</v>
      </c>
      <c r="B623" s="320" t="s">
        <v>1062</v>
      </c>
      <c r="C623" s="297"/>
      <c r="D623" s="299">
        <f t="shared" ref="D623:P623" si="775">D624+D631+D643+D665+D680+D692+D705+D717+D726+D756+D763+D792+D800+D821+D840+D857+D867+D896</f>
        <v>277976</v>
      </c>
      <c r="E623" s="299">
        <f t="shared" si="775"/>
        <v>299077</v>
      </c>
      <c r="F623" s="299">
        <f t="shared" si="775"/>
        <v>289862</v>
      </c>
      <c r="G623" s="299">
        <f t="shared" si="775"/>
        <v>11766.000000000002</v>
      </c>
      <c r="H623" s="299">
        <f t="shared" si="775"/>
        <v>297823</v>
      </c>
      <c r="I623" s="299">
        <f t="shared" si="775"/>
        <v>115293</v>
      </c>
      <c r="J623" s="299">
        <f t="shared" si="775"/>
        <v>457</v>
      </c>
      <c r="K623" s="299">
        <f t="shared" si="775"/>
        <v>437</v>
      </c>
      <c r="L623" s="299">
        <f t="shared" si="775"/>
        <v>20</v>
      </c>
      <c r="M623" s="299">
        <f t="shared" si="775"/>
        <v>56850</v>
      </c>
      <c r="N623" s="299">
        <f t="shared" si="775"/>
        <v>55557</v>
      </c>
      <c r="O623" s="299">
        <f t="shared" si="775"/>
        <v>1293</v>
      </c>
      <c r="P623" s="299">
        <f t="shared" si="775"/>
        <v>58443</v>
      </c>
      <c r="Q623" s="299"/>
      <c r="R623" s="299"/>
      <c r="S623" s="299">
        <f t="shared" ref="S623:AD623" si="776">S624+S631+S643+S665+S680+S692+S705+S717+S726+S756+S763+S792+S800+S821+S840+S857+S867+S896</f>
        <v>27322</v>
      </c>
      <c r="T623" s="299">
        <f t="shared" si="776"/>
        <v>31121</v>
      </c>
      <c r="U623" s="299">
        <f t="shared" si="776"/>
        <v>24828</v>
      </c>
      <c r="V623" s="299">
        <f t="shared" si="776"/>
        <v>6293</v>
      </c>
      <c r="W623" s="299">
        <f t="shared" si="776"/>
        <v>182530</v>
      </c>
      <c r="X623" s="299">
        <f t="shared" si="776"/>
        <v>0</v>
      </c>
      <c r="Y623" s="299">
        <f t="shared" si="776"/>
        <v>0</v>
      </c>
      <c r="Z623" s="299">
        <f t="shared" si="776"/>
        <v>161817</v>
      </c>
      <c r="AA623" s="299">
        <f t="shared" si="776"/>
        <v>20713</v>
      </c>
      <c r="AB623" s="299">
        <f t="shared" si="776"/>
        <v>7961</v>
      </c>
      <c r="AC623" s="299">
        <f t="shared" si="776"/>
        <v>9215</v>
      </c>
      <c r="AD623" s="299">
        <f t="shared" si="776"/>
        <v>12002</v>
      </c>
      <c r="AE623" s="299">
        <f>AE624+AE631+AE643+AE665+AE680+AE692+AE705+AE717+AE726+AE756+AE763+AE792+AE800+AE821+AE840+AE857+AE867+AE896</f>
        <v>286915</v>
      </c>
      <c r="AF623" s="321"/>
      <c r="AG623" s="314">
        <f t="shared" si="728"/>
        <v>0</v>
      </c>
      <c r="AH623" s="696">
        <f t="shared" si="729"/>
        <v>0</v>
      </c>
      <c r="AI623" s="314">
        <f t="shared" si="730"/>
        <v>0</v>
      </c>
      <c r="AJ623" s="314">
        <f t="shared" si="731"/>
        <v>0</v>
      </c>
      <c r="AK623" s="314">
        <f t="shared" si="732"/>
        <v>0</v>
      </c>
      <c r="AL623" s="314">
        <f t="shared" si="733"/>
        <v>0</v>
      </c>
      <c r="AM623" s="314">
        <f t="shared" si="734"/>
        <v>0</v>
      </c>
      <c r="AN623" s="314">
        <f t="shared" si="735"/>
        <v>0</v>
      </c>
      <c r="AO623" s="314">
        <f t="shared" si="736"/>
        <v>0</v>
      </c>
      <c r="AP623" s="314">
        <f t="shared" si="737"/>
        <v>0</v>
      </c>
    </row>
    <row r="624" spans="1:42" s="333" customFormat="1">
      <c r="A624" s="592" t="s">
        <v>18</v>
      </c>
      <c r="B624" s="320" t="s">
        <v>1063</v>
      </c>
      <c r="C624" s="298" t="s">
        <v>728</v>
      </c>
      <c r="D624" s="299">
        <f t="shared" ref="D624" si="777">D625+D626</f>
        <v>10423.4</v>
      </c>
      <c r="E624" s="299">
        <f>E625+E626</f>
        <v>11126</v>
      </c>
      <c r="F624" s="299">
        <f>F625+F626</f>
        <v>11126</v>
      </c>
      <c r="G624" s="299">
        <f t="shared" ref="G624:G634" si="778">F624-D624</f>
        <v>702.60000000000036</v>
      </c>
      <c r="H624" s="299">
        <f t="shared" ref="H624:Z624" si="779">H625+H626</f>
        <v>11741</v>
      </c>
      <c r="I624" s="299">
        <f t="shared" si="779"/>
        <v>9185</v>
      </c>
      <c r="J624" s="299">
        <f t="shared" si="779"/>
        <v>63</v>
      </c>
      <c r="K624" s="299">
        <f t="shared" si="779"/>
        <v>63</v>
      </c>
      <c r="L624" s="299">
        <f t="shared" si="779"/>
        <v>0</v>
      </c>
      <c r="M624" s="299">
        <f t="shared" si="779"/>
        <v>7673</v>
      </c>
      <c r="N624" s="299">
        <f t="shared" si="779"/>
        <v>7673</v>
      </c>
      <c r="O624" s="299">
        <f t="shared" si="779"/>
        <v>0</v>
      </c>
      <c r="P624" s="299">
        <f t="shared" si="779"/>
        <v>1512</v>
      </c>
      <c r="Q624" s="299"/>
      <c r="R624" s="299"/>
      <c r="S624" s="299">
        <f t="shared" si="779"/>
        <v>1512</v>
      </c>
      <c r="T624" s="299">
        <f t="shared" si="779"/>
        <v>0</v>
      </c>
      <c r="U624" s="299">
        <f t="shared" si="779"/>
        <v>0</v>
      </c>
      <c r="V624" s="299">
        <f t="shared" si="779"/>
        <v>0</v>
      </c>
      <c r="W624" s="299">
        <f>W625+W626</f>
        <v>2556</v>
      </c>
      <c r="X624" s="299"/>
      <c r="Y624" s="299"/>
      <c r="Z624" s="299">
        <f t="shared" si="779"/>
        <v>1666</v>
      </c>
      <c r="AA624" s="299">
        <f>AA625+AA626</f>
        <v>890</v>
      </c>
      <c r="AB624" s="299">
        <f>AB625+AB626</f>
        <v>615</v>
      </c>
      <c r="AC624" s="299">
        <f t="shared" ref="AC624:AE624" si="780">AC625+AC626</f>
        <v>0</v>
      </c>
      <c r="AD624" s="299">
        <f t="shared" si="780"/>
        <v>346</v>
      </c>
      <c r="AE624" s="299">
        <f t="shared" si="780"/>
        <v>10780</v>
      </c>
      <c r="AF624" s="321"/>
      <c r="AG624" s="314">
        <f t="shared" si="728"/>
        <v>0</v>
      </c>
      <c r="AH624" s="696">
        <f t="shared" si="729"/>
        <v>0</v>
      </c>
      <c r="AI624" s="314">
        <f t="shared" si="730"/>
        <v>0</v>
      </c>
      <c r="AJ624" s="314">
        <f t="shared" si="731"/>
        <v>0</v>
      </c>
      <c r="AK624" s="314">
        <f t="shared" si="732"/>
        <v>0</v>
      </c>
      <c r="AL624" s="314">
        <f t="shared" si="733"/>
        <v>0</v>
      </c>
      <c r="AM624" s="314">
        <f t="shared" si="734"/>
        <v>0</v>
      </c>
      <c r="AN624" s="314">
        <f t="shared" si="735"/>
        <v>0</v>
      </c>
      <c r="AO624" s="314">
        <f t="shared" si="736"/>
        <v>0</v>
      </c>
      <c r="AP624" s="314">
        <f t="shared" si="737"/>
        <v>0</v>
      </c>
    </row>
    <row r="625" spans="1:42" outlineLevel="1">
      <c r="A625" s="583" t="s">
        <v>45</v>
      </c>
      <c r="B625" s="316" t="s">
        <v>1064</v>
      </c>
      <c r="C625" s="304"/>
      <c r="D625" s="304">
        <v>8457.4</v>
      </c>
      <c r="E625" s="304">
        <f>F625+AC625</f>
        <v>8570</v>
      </c>
      <c r="F625" s="304">
        <f>H625-AB625</f>
        <v>8570</v>
      </c>
      <c r="G625" s="304">
        <f t="shared" si="778"/>
        <v>112.60000000000036</v>
      </c>
      <c r="H625" s="303">
        <f t="shared" ref="H625:H630" si="781">I625+W625</f>
        <v>9185</v>
      </c>
      <c r="I625" s="303">
        <f>M625+P625</f>
        <v>9185</v>
      </c>
      <c r="J625" s="311">
        <v>63</v>
      </c>
      <c r="K625" s="311">
        <v>63</v>
      </c>
      <c r="L625" s="311">
        <f>J625-K625</f>
        <v>0</v>
      </c>
      <c r="M625" s="303">
        <f>N625+O625</f>
        <v>7673</v>
      </c>
      <c r="N625" s="311">
        <v>7673</v>
      </c>
      <c r="O625" s="311">
        <v>0</v>
      </c>
      <c r="P625" s="303">
        <f>S625+T625</f>
        <v>1512</v>
      </c>
      <c r="Q625" s="294">
        <v>24</v>
      </c>
      <c r="R625" s="312">
        <v>1</v>
      </c>
      <c r="S625" s="304">
        <f>ROUND(J625*Q625*R625,0)</f>
        <v>1512</v>
      </c>
      <c r="T625" s="303"/>
      <c r="U625" s="303"/>
      <c r="V625" s="303"/>
      <c r="W625" s="303"/>
      <c r="X625" s="303"/>
      <c r="Y625" s="303"/>
      <c r="Z625" s="303"/>
      <c r="AA625" s="303"/>
      <c r="AB625" s="304">
        <v>615</v>
      </c>
      <c r="AC625" s="304">
        <v>0</v>
      </c>
      <c r="AD625" s="304">
        <v>90</v>
      </c>
      <c r="AE625" s="303">
        <f>E625-AD625</f>
        <v>8480</v>
      </c>
      <c r="AF625" s="317"/>
      <c r="AG625" s="314">
        <f t="shared" si="728"/>
        <v>0</v>
      </c>
      <c r="AH625" s="696">
        <f t="shared" si="729"/>
        <v>0</v>
      </c>
      <c r="AI625" s="314">
        <f t="shared" si="730"/>
        <v>0</v>
      </c>
      <c r="AJ625" s="314">
        <f t="shared" si="731"/>
        <v>0</v>
      </c>
      <c r="AK625" s="314">
        <f t="shared" si="732"/>
        <v>0</v>
      </c>
      <c r="AL625" s="314">
        <f t="shared" si="733"/>
        <v>0</v>
      </c>
      <c r="AM625" s="314">
        <f t="shared" si="734"/>
        <v>0</v>
      </c>
      <c r="AN625" s="314">
        <f t="shared" si="735"/>
        <v>0</v>
      </c>
      <c r="AO625" s="314">
        <f t="shared" si="736"/>
        <v>0</v>
      </c>
      <c r="AP625" s="314">
        <f t="shared" si="737"/>
        <v>0</v>
      </c>
    </row>
    <row r="626" spans="1:42" outlineLevel="1">
      <c r="A626" s="583" t="s">
        <v>47</v>
      </c>
      <c r="B626" s="316" t="s">
        <v>845</v>
      </c>
      <c r="C626" s="304"/>
      <c r="D626" s="304">
        <v>1966</v>
      </c>
      <c r="E626" s="304">
        <f>F626+AC626</f>
        <v>2556</v>
      </c>
      <c r="F626" s="304">
        <f>H626-AB626</f>
        <v>2556</v>
      </c>
      <c r="G626" s="304">
        <f t="shared" si="778"/>
        <v>590</v>
      </c>
      <c r="H626" s="303">
        <f t="shared" si="781"/>
        <v>2556</v>
      </c>
      <c r="I626" s="303">
        <f t="shared" ref="I626:I630" si="782">M626+P626</f>
        <v>0</v>
      </c>
      <c r="J626" s="311"/>
      <c r="K626" s="311"/>
      <c r="L626" s="311"/>
      <c r="M626" s="303"/>
      <c r="N626" s="311"/>
      <c r="O626" s="311"/>
      <c r="P626" s="303">
        <f t="shared" ref="P626:P630" si="783">S626+T626</f>
        <v>0</v>
      </c>
      <c r="Q626" s="311"/>
      <c r="R626" s="312"/>
      <c r="S626" s="303"/>
      <c r="T626" s="303">
        <f t="shared" ref="T626:T630" si="784">U626+V626</f>
        <v>0</v>
      </c>
      <c r="U626" s="303"/>
      <c r="V626" s="303"/>
      <c r="W626" s="303">
        <f>Z626+AA626</f>
        <v>2556</v>
      </c>
      <c r="X626" s="303"/>
      <c r="Y626" s="303"/>
      <c r="Z626" s="303">
        <f>773+893</f>
        <v>1666</v>
      </c>
      <c r="AA626" s="303">
        <f>AA628+AA629</f>
        <v>890</v>
      </c>
      <c r="AB626" s="304"/>
      <c r="AC626" s="304"/>
      <c r="AD626" s="304">
        <v>256</v>
      </c>
      <c r="AE626" s="303">
        <f>E626-AD626</f>
        <v>2300</v>
      </c>
      <c r="AF626" s="317"/>
      <c r="AG626" s="314">
        <f t="shared" si="728"/>
        <v>0</v>
      </c>
      <c r="AH626" s="696">
        <f t="shared" si="729"/>
        <v>0</v>
      </c>
      <c r="AI626" s="314">
        <f t="shared" si="730"/>
        <v>0</v>
      </c>
      <c r="AJ626" s="314">
        <f t="shared" si="731"/>
        <v>0</v>
      </c>
      <c r="AK626" s="314">
        <f t="shared" si="732"/>
        <v>0</v>
      </c>
      <c r="AL626" s="314">
        <f t="shared" si="733"/>
        <v>0</v>
      </c>
      <c r="AM626" s="314">
        <f t="shared" si="734"/>
        <v>0</v>
      </c>
      <c r="AN626" s="314">
        <f t="shared" si="735"/>
        <v>0</v>
      </c>
      <c r="AO626" s="314">
        <f t="shared" si="736"/>
        <v>0</v>
      </c>
      <c r="AP626" s="314">
        <f t="shared" si="737"/>
        <v>0</v>
      </c>
    </row>
    <row r="627" spans="1:42" ht="69" outlineLevel="1">
      <c r="A627" s="583"/>
      <c r="B627" s="316" t="s">
        <v>1065</v>
      </c>
      <c r="C627" s="304"/>
      <c r="D627" s="304">
        <v>893</v>
      </c>
      <c r="E627" s="304">
        <f>F627+AC627</f>
        <v>893</v>
      </c>
      <c r="F627" s="304">
        <f>H627-AB627</f>
        <v>893</v>
      </c>
      <c r="G627" s="304">
        <f t="shared" si="778"/>
        <v>0</v>
      </c>
      <c r="H627" s="303">
        <f t="shared" si="781"/>
        <v>893</v>
      </c>
      <c r="I627" s="303">
        <f t="shared" si="782"/>
        <v>0</v>
      </c>
      <c r="J627" s="311"/>
      <c r="K627" s="311"/>
      <c r="L627" s="311"/>
      <c r="M627" s="303"/>
      <c r="N627" s="311"/>
      <c r="O627" s="311"/>
      <c r="P627" s="303">
        <f t="shared" si="783"/>
        <v>0</v>
      </c>
      <c r="Q627" s="311"/>
      <c r="R627" s="312"/>
      <c r="S627" s="303"/>
      <c r="T627" s="303">
        <f t="shared" si="784"/>
        <v>0</v>
      </c>
      <c r="U627" s="303"/>
      <c r="V627" s="303"/>
      <c r="W627" s="303">
        <f>Z627+AA627</f>
        <v>893</v>
      </c>
      <c r="X627" s="303">
        <v>19</v>
      </c>
      <c r="Y627" s="303">
        <v>47</v>
      </c>
      <c r="Z627" s="303">
        <v>893</v>
      </c>
      <c r="AA627" s="303"/>
      <c r="AB627" s="304"/>
      <c r="AC627" s="304"/>
      <c r="AD627" s="304"/>
      <c r="AE627" s="303"/>
      <c r="AF627" s="317"/>
      <c r="AG627" s="314">
        <f t="shared" si="728"/>
        <v>0</v>
      </c>
      <c r="AH627" s="696">
        <f t="shared" si="729"/>
        <v>0</v>
      </c>
      <c r="AI627" s="314">
        <f t="shared" si="730"/>
        <v>0</v>
      </c>
      <c r="AJ627" s="314">
        <f t="shared" si="731"/>
        <v>0</v>
      </c>
      <c r="AK627" s="314">
        <f t="shared" si="732"/>
        <v>0</v>
      </c>
      <c r="AL627" s="314">
        <f t="shared" si="733"/>
        <v>0</v>
      </c>
      <c r="AM627" s="314">
        <f t="shared" si="734"/>
        <v>0</v>
      </c>
      <c r="AN627" s="314">
        <f t="shared" si="735"/>
        <v>0</v>
      </c>
      <c r="AO627" s="314">
        <f t="shared" si="736"/>
        <v>0</v>
      </c>
      <c r="AP627" s="314">
        <f t="shared" si="737"/>
        <v>0</v>
      </c>
    </row>
    <row r="628" spans="1:42" ht="55.2" outlineLevel="1">
      <c r="A628" s="583"/>
      <c r="B628" s="316" t="s">
        <v>2177</v>
      </c>
      <c r="C628" s="304"/>
      <c r="D628" s="304"/>
      <c r="E628" s="304">
        <f t="shared" ref="E628:E629" si="785">F628+AC628</f>
        <v>400</v>
      </c>
      <c r="F628" s="304">
        <f t="shared" ref="F628:F629" si="786">H628-AB628</f>
        <v>400</v>
      </c>
      <c r="G628" s="304">
        <f t="shared" si="778"/>
        <v>400</v>
      </c>
      <c r="H628" s="303">
        <f t="shared" si="781"/>
        <v>400</v>
      </c>
      <c r="I628" s="303">
        <f t="shared" si="782"/>
        <v>0</v>
      </c>
      <c r="J628" s="311"/>
      <c r="K628" s="311"/>
      <c r="L628" s="311"/>
      <c r="M628" s="303"/>
      <c r="N628" s="311"/>
      <c r="O628" s="311"/>
      <c r="P628" s="303">
        <f t="shared" si="783"/>
        <v>0</v>
      </c>
      <c r="Q628" s="311"/>
      <c r="R628" s="312"/>
      <c r="S628" s="303"/>
      <c r="T628" s="303">
        <f t="shared" si="784"/>
        <v>0</v>
      </c>
      <c r="U628" s="303"/>
      <c r="V628" s="303"/>
      <c r="W628" s="303">
        <f t="shared" ref="W628:W629" si="787">Z628+AA628</f>
        <v>400</v>
      </c>
      <c r="X628" s="303"/>
      <c r="Y628" s="303"/>
      <c r="Z628" s="303"/>
      <c r="AA628" s="303">
        <v>400</v>
      </c>
      <c r="AB628" s="304"/>
      <c r="AC628" s="304"/>
      <c r="AD628" s="304"/>
      <c r="AE628" s="303"/>
      <c r="AF628" s="870" t="s">
        <v>2330</v>
      </c>
      <c r="AG628" s="314">
        <f t="shared" si="728"/>
        <v>0</v>
      </c>
      <c r="AH628" s="696">
        <f t="shared" si="729"/>
        <v>0</v>
      </c>
      <c r="AI628" s="314">
        <f t="shared" si="730"/>
        <v>0</v>
      </c>
      <c r="AJ628" s="314">
        <f t="shared" si="731"/>
        <v>0</v>
      </c>
      <c r="AK628" s="314">
        <f t="shared" si="732"/>
        <v>0</v>
      </c>
      <c r="AL628" s="314">
        <f t="shared" si="733"/>
        <v>0</v>
      </c>
      <c r="AM628" s="314">
        <f t="shared" si="734"/>
        <v>0</v>
      </c>
      <c r="AN628" s="314">
        <f t="shared" si="735"/>
        <v>0</v>
      </c>
      <c r="AO628" s="314">
        <f t="shared" si="736"/>
        <v>0</v>
      </c>
      <c r="AP628" s="314">
        <f t="shared" si="737"/>
        <v>0</v>
      </c>
    </row>
    <row r="629" spans="1:42" ht="82.8" outlineLevel="1">
      <c r="A629" s="583"/>
      <c r="B629" s="316" t="s">
        <v>2432</v>
      </c>
      <c r="C629" s="304"/>
      <c r="D629" s="304"/>
      <c r="E629" s="304">
        <f t="shared" si="785"/>
        <v>490</v>
      </c>
      <c r="F629" s="304">
        <f t="shared" si="786"/>
        <v>490</v>
      </c>
      <c r="G629" s="304">
        <f t="shared" si="778"/>
        <v>490</v>
      </c>
      <c r="H629" s="303">
        <f t="shared" si="781"/>
        <v>490</v>
      </c>
      <c r="I629" s="303">
        <f t="shared" si="782"/>
        <v>0</v>
      </c>
      <c r="J629" s="311"/>
      <c r="K629" s="311"/>
      <c r="L629" s="311"/>
      <c r="M629" s="303"/>
      <c r="N629" s="311"/>
      <c r="O629" s="311"/>
      <c r="P629" s="303">
        <f t="shared" si="783"/>
        <v>0</v>
      </c>
      <c r="Q629" s="311"/>
      <c r="R629" s="312"/>
      <c r="S629" s="303"/>
      <c r="T629" s="303">
        <f t="shared" si="784"/>
        <v>0</v>
      </c>
      <c r="U629" s="303"/>
      <c r="V629" s="303"/>
      <c r="W629" s="303">
        <f t="shared" si="787"/>
        <v>490</v>
      </c>
      <c r="X629" s="303"/>
      <c r="Y629" s="303"/>
      <c r="Z629" s="303"/>
      <c r="AA629" s="303">
        <v>490</v>
      </c>
      <c r="AB629" s="304"/>
      <c r="AC629" s="304"/>
      <c r="AD629" s="304"/>
      <c r="AE629" s="303"/>
      <c r="AF629" s="317" t="s">
        <v>2331</v>
      </c>
      <c r="AG629" s="314">
        <f t="shared" si="728"/>
        <v>0</v>
      </c>
      <c r="AH629" s="696">
        <f t="shared" si="729"/>
        <v>0</v>
      </c>
      <c r="AI629" s="314">
        <f t="shared" si="730"/>
        <v>0</v>
      </c>
      <c r="AJ629" s="314">
        <f t="shared" si="731"/>
        <v>0</v>
      </c>
      <c r="AK629" s="314">
        <f t="shared" si="732"/>
        <v>0</v>
      </c>
      <c r="AL629" s="314">
        <f t="shared" si="733"/>
        <v>0</v>
      </c>
      <c r="AM629" s="314">
        <f t="shared" si="734"/>
        <v>0</v>
      </c>
      <c r="AN629" s="314">
        <f t="shared" si="735"/>
        <v>0</v>
      </c>
      <c r="AO629" s="314">
        <f t="shared" si="736"/>
        <v>0</v>
      </c>
      <c r="AP629" s="314">
        <f t="shared" si="737"/>
        <v>0</v>
      </c>
    </row>
    <row r="630" spans="1:42" ht="27.6" hidden="1" outlineLevel="3">
      <c r="A630" s="583"/>
      <c r="B630" s="316" t="s">
        <v>1694</v>
      </c>
      <c r="C630" s="304"/>
      <c r="D630" s="304">
        <v>300</v>
      </c>
      <c r="E630" s="304">
        <f>F630+AC630</f>
        <v>0</v>
      </c>
      <c r="F630" s="304">
        <f>H630-AB630</f>
        <v>0</v>
      </c>
      <c r="G630" s="304">
        <f t="shared" si="778"/>
        <v>-300</v>
      </c>
      <c r="H630" s="303">
        <f t="shared" si="781"/>
        <v>0</v>
      </c>
      <c r="I630" s="303">
        <f t="shared" si="782"/>
        <v>0</v>
      </c>
      <c r="J630" s="311"/>
      <c r="K630" s="311"/>
      <c r="L630" s="311"/>
      <c r="M630" s="303"/>
      <c r="N630" s="311"/>
      <c r="O630" s="311"/>
      <c r="P630" s="303">
        <f t="shared" si="783"/>
        <v>0</v>
      </c>
      <c r="Q630" s="311"/>
      <c r="R630" s="312"/>
      <c r="S630" s="303"/>
      <c r="T630" s="303">
        <f t="shared" si="784"/>
        <v>0</v>
      </c>
      <c r="U630" s="303"/>
      <c r="V630" s="303"/>
      <c r="W630" s="303">
        <f>Z630+AA630</f>
        <v>0</v>
      </c>
      <c r="X630" s="303"/>
      <c r="Y630" s="303"/>
      <c r="Z630" s="303"/>
      <c r="AA630" s="303"/>
      <c r="AB630" s="304"/>
      <c r="AC630" s="304"/>
      <c r="AD630" s="304"/>
      <c r="AE630" s="303"/>
      <c r="AF630" s="1263" t="s">
        <v>1584</v>
      </c>
      <c r="AG630" s="314">
        <f t="shared" si="728"/>
        <v>0</v>
      </c>
      <c r="AH630" s="696">
        <f t="shared" si="729"/>
        <v>0</v>
      </c>
      <c r="AI630" s="314">
        <f t="shared" si="730"/>
        <v>0</v>
      </c>
      <c r="AJ630" s="314">
        <f t="shared" si="731"/>
        <v>0</v>
      </c>
      <c r="AK630" s="314">
        <f t="shared" si="732"/>
        <v>0</v>
      </c>
      <c r="AL630" s="314">
        <f t="shared" si="733"/>
        <v>0</v>
      </c>
      <c r="AM630" s="314">
        <f t="shared" si="734"/>
        <v>0</v>
      </c>
      <c r="AN630" s="314">
        <f t="shared" si="735"/>
        <v>0</v>
      </c>
      <c r="AO630" s="314">
        <f t="shared" si="736"/>
        <v>0</v>
      </c>
      <c r="AP630" s="314">
        <f t="shared" si="737"/>
        <v>0</v>
      </c>
    </row>
    <row r="631" spans="1:42" s="314" customFormat="1">
      <c r="A631" s="592" t="s">
        <v>26</v>
      </c>
      <c r="B631" s="320" t="s">
        <v>1066</v>
      </c>
      <c r="C631" s="298" t="s">
        <v>720</v>
      </c>
      <c r="D631" s="299">
        <f t="shared" ref="D631:AE631" si="788">D632+D635</f>
        <v>38132.6</v>
      </c>
      <c r="E631" s="299">
        <f>E632+E635</f>
        <v>38247</v>
      </c>
      <c r="F631" s="299">
        <f>F632+F635</f>
        <v>38247</v>
      </c>
      <c r="G631" s="299">
        <f t="shared" si="778"/>
        <v>114.40000000000146</v>
      </c>
      <c r="H631" s="299">
        <f t="shared" si="788"/>
        <v>43982</v>
      </c>
      <c r="I631" s="299">
        <f t="shared" si="788"/>
        <v>0</v>
      </c>
      <c r="J631" s="299">
        <f t="shared" si="788"/>
        <v>0</v>
      </c>
      <c r="K631" s="299">
        <f t="shared" si="788"/>
        <v>0</v>
      </c>
      <c r="L631" s="299">
        <f t="shared" si="788"/>
        <v>0</v>
      </c>
      <c r="M631" s="299">
        <f t="shared" si="788"/>
        <v>0</v>
      </c>
      <c r="N631" s="299">
        <f t="shared" si="788"/>
        <v>0</v>
      </c>
      <c r="O631" s="299">
        <f t="shared" si="788"/>
        <v>0</v>
      </c>
      <c r="P631" s="299">
        <f t="shared" si="788"/>
        <v>0</v>
      </c>
      <c r="Q631" s="299">
        <f t="shared" si="788"/>
        <v>0</v>
      </c>
      <c r="R631" s="299">
        <f t="shared" si="788"/>
        <v>0</v>
      </c>
      <c r="S631" s="299">
        <f t="shared" si="788"/>
        <v>0</v>
      </c>
      <c r="T631" s="299">
        <f t="shared" si="788"/>
        <v>0</v>
      </c>
      <c r="U631" s="299">
        <f t="shared" si="788"/>
        <v>0</v>
      </c>
      <c r="V631" s="299">
        <f t="shared" si="788"/>
        <v>0</v>
      </c>
      <c r="W631" s="299">
        <f>W632+W635</f>
        <v>43982</v>
      </c>
      <c r="X631" s="299">
        <f>X632+X635</f>
        <v>0</v>
      </c>
      <c r="Y631" s="299">
        <f>Y632+Y635</f>
        <v>0</v>
      </c>
      <c r="Z631" s="299">
        <f t="shared" si="788"/>
        <v>43982</v>
      </c>
      <c r="AA631" s="299">
        <f>AA632+AA635</f>
        <v>0</v>
      </c>
      <c r="AB631" s="299">
        <f>AB632+AB635</f>
        <v>5735</v>
      </c>
      <c r="AC631" s="299">
        <f t="shared" ref="AC631" si="789">AC632+AC635</f>
        <v>0</v>
      </c>
      <c r="AD631" s="299">
        <f t="shared" si="788"/>
        <v>516</v>
      </c>
      <c r="AE631" s="299">
        <f t="shared" si="788"/>
        <v>37731</v>
      </c>
      <c r="AF631" s="321"/>
      <c r="AG631" s="314">
        <f t="shared" si="728"/>
        <v>0</v>
      </c>
      <c r="AH631" s="696">
        <f t="shared" si="729"/>
        <v>0</v>
      </c>
      <c r="AI631" s="314">
        <f t="shared" si="730"/>
        <v>0</v>
      </c>
      <c r="AJ631" s="314">
        <f t="shared" si="731"/>
        <v>0</v>
      </c>
      <c r="AK631" s="314">
        <f t="shared" si="732"/>
        <v>0</v>
      </c>
      <c r="AL631" s="314">
        <f t="shared" si="733"/>
        <v>0</v>
      </c>
      <c r="AM631" s="314">
        <f t="shared" si="734"/>
        <v>0</v>
      </c>
      <c r="AN631" s="314">
        <f t="shared" si="735"/>
        <v>0</v>
      </c>
      <c r="AO631" s="314">
        <f t="shared" si="736"/>
        <v>0</v>
      </c>
      <c r="AP631" s="314">
        <f t="shared" si="737"/>
        <v>0</v>
      </c>
    </row>
    <row r="632" spans="1:42" s="314" customFormat="1" ht="27.6" outlineLevel="1">
      <c r="A632" s="592" t="s">
        <v>42</v>
      </c>
      <c r="B632" s="320" t="s">
        <v>1599</v>
      </c>
      <c r="C632" s="298"/>
      <c r="D632" s="297">
        <v>26588</v>
      </c>
      <c r="E632" s="297">
        <f>F632+AC632</f>
        <v>27170</v>
      </c>
      <c r="F632" s="297">
        <f>H632-AB632</f>
        <v>27170</v>
      </c>
      <c r="G632" s="297">
        <f t="shared" si="778"/>
        <v>582</v>
      </c>
      <c r="H632" s="299">
        <f t="shared" ref="H632:Y632" si="790">H633+H634</f>
        <v>32905</v>
      </c>
      <c r="I632" s="299">
        <f t="shared" si="790"/>
        <v>0</v>
      </c>
      <c r="J632" s="299">
        <f t="shared" si="790"/>
        <v>0</v>
      </c>
      <c r="K632" s="299">
        <f t="shared" si="790"/>
        <v>0</v>
      </c>
      <c r="L632" s="299">
        <f t="shared" si="790"/>
        <v>0</v>
      </c>
      <c r="M632" s="299">
        <f t="shared" si="790"/>
        <v>0</v>
      </c>
      <c r="N632" s="299">
        <f t="shared" si="790"/>
        <v>0</v>
      </c>
      <c r="O632" s="299">
        <f t="shared" si="790"/>
        <v>0</v>
      </c>
      <c r="P632" s="299">
        <f t="shared" si="790"/>
        <v>0</v>
      </c>
      <c r="Q632" s="299">
        <f t="shared" si="790"/>
        <v>0</v>
      </c>
      <c r="R632" s="299">
        <f t="shared" si="790"/>
        <v>0</v>
      </c>
      <c r="S632" s="299">
        <f t="shared" si="790"/>
        <v>0</v>
      </c>
      <c r="T632" s="299">
        <f t="shared" si="790"/>
        <v>0</v>
      </c>
      <c r="U632" s="299">
        <f t="shared" si="790"/>
        <v>0</v>
      </c>
      <c r="V632" s="299">
        <f t="shared" si="790"/>
        <v>0</v>
      </c>
      <c r="W632" s="299">
        <f t="shared" si="790"/>
        <v>32905</v>
      </c>
      <c r="X632" s="299">
        <f t="shared" si="790"/>
        <v>0</v>
      </c>
      <c r="Y632" s="299">
        <f t="shared" si="790"/>
        <v>0</v>
      </c>
      <c r="Z632" s="299">
        <f>Z633+Z634</f>
        <v>32905</v>
      </c>
      <c r="AA632" s="299"/>
      <c r="AB632" s="299">
        <v>5735</v>
      </c>
      <c r="AC632" s="299">
        <v>0</v>
      </c>
      <c r="AD632" s="299">
        <v>494</v>
      </c>
      <c r="AE632" s="299">
        <f>E632-AD632</f>
        <v>26676</v>
      </c>
      <c r="AF632" s="321"/>
      <c r="AG632" s="314">
        <f t="shared" si="728"/>
        <v>0</v>
      </c>
      <c r="AH632" s="696">
        <f t="shared" si="729"/>
        <v>0</v>
      </c>
      <c r="AI632" s="314">
        <f t="shared" si="730"/>
        <v>0</v>
      </c>
      <c r="AJ632" s="314">
        <f t="shared" si="731"/>
        <v>0</v>
      </c>
      <c r="AK632" s="314">
        <f t="shared" si="732"/>
        <v>0</v>
      </c>
      <c r="AL632" s="314">
        <f t="shared" si="733"/>
        <v>0</v>
      </c>
      <c r="AM632" s="314">
        <f t="shared" si="734"/>
        <v>0</v>
      </c>
      <c r="AN632" s="314">
        <f t="shared" si="735"/>
        <v>0</v>
      </c>
      <c r="AO632" s="314">
        <f t="shared" si="736"/>
        <v>0</v>
      </c>
      <c r="AP632" s="314">
        <f t="shared" si="737"/>
        <v>0</v>
      </c>
    </row>
    <row r="633" spans="1:42" ht="27.6" outlineLevel="2">
      <c r="A633" s="593" t="s">
        <v>23</v>
      </c>
      <c r="B633" s="316" t="s">
        <v>893</v>
      </c>
      <c r="C633" s="302"/>
      <c r="D633" s="304"/>
      <c r="E633" s="304">
        <f>F633+AC633</f>
        <v>0</v>
      </c>
      <c r="F633" s="304"/>
      <c r="G633" s="304">
        <f t="shared" si="778"/>
        <v>0</v>
      </c>
      <c r="H633" s="303">
        <f t="shared" ref="H633:H649" si="791">I633+W633</f>
        <v>27969</v>
      </c>
      <c r="I633" s="303"/>
      <c r="J633" s="303"/>
      <c r="K633" s="303"/>
      <c r="L633" s="303"/>
      <c r="M633" s="303"/>
      <c r="N633" s="303"/>
      <c r="O633" s="303"/>
      <c r="P633" s="303"/>
      <c r="Q633" s="303"/>
      <c r="R633" s="303"/>
      <c r="S633" s="303"/>
      <c r="T633" s="303"/>
      <c r="U633" s="303"/>
      <c r="V633" s="303"/>
      <c r="W633" s="303">
        <f t="shared" ref="W633:W642" si="792">Z633+AA633</f>
        <v>27969</v>
      </c>
      <c r="X633" s="303"/>
      <c r="Y633" s="303"/>
      <c r="Z633" s="303">
        <v>27969</v>
      </c>
      <c r="AA633" s="303"/>
      <c r="AB633" s="303"/>
      <c r="AC633" s="303"/>
      <c r="AD633" s="303"/>
      <c r="AE633" s="299"/>
      <c r="AF633" s="317"/>
      <c r="AG633" s="314">
        <f t="shared" si="728"/>
        <v>0</v>
      </c>
      <c r="AH633" s="696">
        <f t="shared" si="729"/>
        <v>-27969</v>
      </c>
      <c r="AI633" s="314">
        <f t="shared" si="730"/>
        <v>0</v>
      </c>
      <c r="AJ633" s="314">
        <f t="shared" si="731"/>
        <v>0</v>
      </c>
      <c r="AK633" s="314">
        <f t="shared" si="732"/>
        <v>0</v>
      </c>
      <c r="AL633" s="314">
        <f t="shared" si="733"/>
        <v>0</v>
      </c>
      <c r="AM633" s="314">
        <f t="shared" si="734"/>
        <v>0</v>
      </c>
      <c r="AN633" s="314">
        <f t="shared" si="735"/>
        <v>0</v>
      </c>
      <c r="AO633" s="314">
        <f t="shared" si="736"/>
        <v>0</v>
      </c>
      <c r="AP633" s="314">
        <f t="shared" si="737"/>
        <v>27969</v>
      </c>
    </row>
    <row r="634" spans="1:42" outlineLevel="2">
      <c r="A634" s="593" t="s">
        <v>23</v>
      </c>
      <c r="B634" s="316" t="s">
        <v>2178</v>
      </c>
      <c r="C634" s="302"/>
      <c r="D634" s="304"/>
      <c r="E634" s="304">
        <f>F634+AC634</f>
        <v>0</v>
      </c>
      <c r="F634" s="304"/>
      <c r="G634" s="304">
        <f t="shared" si="778"/>
        <v>0</v>
      </c>
      <c r="H634" s="303">
        <f t="shared" si="791"/>
        <v>4936</v>
      </c>
      <c r="I634" s="303"/>
      <c r="J634" s="303"/>
      <c r="K634" s="303"/>
      <c r="L634" s="303"/>
      <c r="M634" s="303"/>
      <c r="N634" s="303"/>
      <c r="O634" s="303"/>
      <c r="P634" s="303"/>
      <c r="Q634" s="303"/>
      <c r="R634" s="303"/>
      <c r="S634" s="303"/>
      <c r="T634" s="303"/>
      <c r="U634" s="303"/>
      <c r="V634" s="303"/>
      <c r="W634" s="303">
        <f t="shared" si="792"/>
        <v>4936</v>
      </c>
      <c r="X634" s="303"/>
      <c r="Y634" s="303"/>
      <c r="Z634" s="303">
        <f>ROUND(Z633/0.85*0.15,0)</f>
        <v>4936</v>
      </c>
      <c r="AA634" s="303"/>
      <c r="AB634" s="303"/>
      <c r="AC634" s="303"/>
      <c r="AD634" s="303"/>
      <c r="AE634" s="299"/>
      <c r="AF634" s="317"/>
      <c r="AG634" s="314">
        <f t="shared" si="728"/>
        <v>0</v>
      </c>
      <c r="AH634" s="696">
        <f t="shared" si="729"/>
        <v>-4936</v>
      </c>
      <c r="AI634" s="314">
        <f t="shared" si="730"/>
        <v>0</v>
      </c>
      <c r="AJ634" s="314">
        <f t="shared" si="731"/>
        <v>0</v>
      </c>
      <c r="AK634" s="314">
        <f t="shared" si="732"/>
        <v>0</v>
      </c>
      <c r="AL634" s="314">
        <f t="shared" si="733"/>
        <v>0</v>
      </c>
      <c r="AM634" s="314">
        <f t="shared" si="734"/>
        <v>0</v>
      </c>
      <c r="AN634" s="314">
        <f t="shared" si="735"/>
        <v>0</v>
      </c>
      <c r="AO634" s="314">
        <f t="shared" si="736"/>
        <v>0</v>
      </c>
      <c r="AP634" s="314">
        <f t="shared" si="737"/>
        <v>4936</v>
      </c>
    </row>
    <row r="635" spans="1:42" s="314" customFormat="1" outlineLevel="1">
      <c r="A635" s="592" t="s">
        <v>52</v>
      </c>
      <c r="B635" s="320" t="s">
        <v>1067</v>
      </c>
      <c r="C635" s="298"/>
      <c r="D635" s="297">
        <v>11544.6</v>
      </c>
      <c r="E635" s="299">
        <f>E636+E637+E638+E639+E640+E641+E642</f>
        <v>11077</v>
      </c>
      <c r="F635" s="299">
        <f>F636+F637+F638+F639+F640+F641+F642</f>
        <v>11077</v>
      </c>
      <c r="G635" s="299">
        <f>G636+G637+G638+G639+G640+G641+G642</f>
        <v>-467.6</v>
      </c>
      <c r="H635" s="299">
        <f t="shared" ref="H635:AA635" si="793">H636+H637+H638+H639+H640+H641+H642</f>
        <v>11077</v>
      </c>
      <c r="I635" s="299">
        <f t="shared" si="793"/>
        <v>0</v>
      </c>
      <c r="J635" s="299">
        <f t="shared" si="793"/>
        <v>0</v>
      </c>
      <c r="K635" s="299">
        <f t="shared" si="793"/>
        <v>0</v>
      </c>
      <c r="L635" s="299">
        <f t="shared" si="793"/>
        <v>0</v>
      </c>
      <c r="M635" s="299">
        <f t="shared" si="793"/>
        <v>0</v>
      </c>
      <c r="N635" s="299">
        <f t="shared" si="793"/>
        <v>0</v>
      </c>
      <c r="O635" s="299">
        <f t="shared" si="793"/>
        <v>0</v>
      </c>
      <c r="P635" s="299">
        <f t="shared" si="793"/>
        <v>0</v>
      </c>
      <c r="Q635" s="299">
        <f t="shared" si="793"/>
        <v>0</v>
      </c>
      <c r="R635" s="299">
        <f t="shared" si="793"/>
        <v>0</v>
      </c>
      <c r="S635" s="299">
        <f t="shared" si="793"/>
        <v>0</v>
      </c>
      <c r="T635" s="299">
        <f t="shared" si="793"/>
        <v>0</v>
      </c>
      <c r="U635" s="299">
        <f t="shared" si="793"/>
        <v>0</v>
      </c>
      <c r="V635" s="299">
        <f t="shared" si="793"/>
        <v>0</v>
      </c>
      <c r="W635" s="299">
        <f t="shared" si="793"/>
        <v>11077</v>
      </c>
      <c r="X635" s="299"/>
      <c r="Y635" s="299"/>
      <c r="Z635" s="299">
        <f t="shared" si="793"/>
        <v>11077</v>
      </c>
      <c r="AA635" s="299">
        <f t="shared" si="793"/>
        <v>0</v>
      </c>
      <c r="AB635" s="299"/>
      <c r="AC635" s="299"/>
      <c r="AD635" s="299">
        <v>22</v>
      </c>
      <c r="AE635" s="299">
        <f>E635-AD635</f>
        <v>11055</v>
      </c>
      <c r="AF635" s="321"/>
      <c r="AG635" s="314">
        <f t="shared" si="728"/>
        <v>0</v>
      </c>
      <c r="AH635" s="696">
        <f t="shared" si="729"/>
        <v>0</v>
      </c>
      <c r="AI635" s="314">
        <f t="shared" si="730"/>
        <v>0</v>
      </c>
      <c r="AJ635" s="314">
        <f t="shared" si="731"/>
        <v>0</v>
      </c>
      <c r="AK635" s="314">
        <f t="shared" si="732"/>
        <v>0</v>
      </c>
      <c r="AL635" s="314">
        <f t="shared" si="733"/>
        <v>0</v>
      </c>
      <c r="AM635" s="314">
        <f t="shared" si="734"/>
        <v>0</v>
      </c>
      <c r="AN635" s="314">
        <f t="shared" si="735"/>
        <v>0</v>
      </c>
      <c r="AO635" s="314">
        <f t="shared" si="736"/>
        <v>0</v>
      </c>
      <c r="AP635" s="314">
        <f t="shared" si="737"/>
        <v>0</v>
      </c>
    </row>
    <row r="636" spans="1:42" s="322" customFormat="1" ht="27.6" outlineLevel="1">
      <c r="A636" s="593" t="s">
        <v>23</v>
      </c>
      <c r="B636" s="316" t="s">
        <v>1068</v>
      </c>
      <c r="C636" s="302"/>
      <c r="D636" s="304">
        <v>836</v>
      </c>
      <c r="E636" s="304">
        <f t="shared" ref="E636:E642" si="794">F636+AC636</f>
        <v>1063</v>
      </c>
      <c r="F636" s="304">
        <f t="shared" ref="F636:F642" si="795">H636-AB636</f>
        <v>1063</v>
      </c>
      <c r="G636" s="304">
        <f t="shared" ref="G636:G644" si="796">F636-D636</f>
        <v>227</v>
      </c>
      <c r="H636" s="303">
        <f t="shared" si="791"/>
        <v>1063</v>
      </c>
      <c r="I636" s="303"/>
      <c r="J636" s="303"/>
      <c r="K636" s="303"/>
      <c r="L636" s="303"/>
      <c r="M636" s="303"/>
      <c r="N636" s="303"/>
      <c r="O636" s="303"/>
      <c r="P636" s="303"/>
      <c r="Q636" s="303"/>
      <c r="R636" s="303"/>
      <c r="S636" s="303"/>
      <c r="T636" s="303"/>
      <c r="U636" s="303"/>
      <c r="V636" s="303"/>
      <c r="W636" s="303">
        <f t="shared" si="792"/>
        <v>1063</v>
      </c>
      <c r="X636" s="303"/>
      <c r="Y636" s="303"/>
      <c r="Z636" s="303">
        <v>1063</v>
      </c>
      <c r="AA636" s="303"/>
      <c r="AB636" s="303"/>
      <c r="AC636" s="303"/>
      <c r="AD636" s="303"/>
      <c r="AE636" s="303"/>
      <c r="AF636" s="317" t="s">
        <v>1765</v>
      </c>
      <c r="AG636" s="314">
        <f t="shared" si="728"/>
        <v>0</v>
      </c>
      <c r="AH636" s="696">
        <f t="shared" si="729"/>
        <v>0</v>
      </c>
      <c r="AI636" s="314">
        <f t="shared" si="730"/>
        <v>0</v>
      </c>
      <c r="AJ636" s="314">
        <f t="shared" si="731"/>
        <v>0</v>
      </c>
      <c r="AK636" s="314">
        <f t="shared" si="732"/>
        <v>0</v>
      </c>
      <c r="AL636" s="314">
        <f t="shared" si="733"/>
        <v>0</v>
      </c>
      <c r="AM636" s="314">
        <f t="shared" si="734"/>
        <v>0</v>
      </c>
      <c r="AN636" s="314">
        <f t="shared" si="735"/>
        <v>0</v>
      </c>
      <c r="AO636" s="314">
        <f t="shared" si="736"/>
        <v>0</v>
      </c>
      <c r="AP636" s="314">
        <f t="shared" si="737"/>
        <v>0</v>
      </c>
    </row>
    <row r="637" spans="1:42" s="322" customFormat="1" outlineLevel="1">
      <c r="A637" s="593" t="s">
        <v>23</v>
      </c>
      <c r="B637" s="316" t="s">
        <v>1069</v>
      </c>
      <c r="C637" s="302"/>
      <c r="D637" s="304">
        <v>220</v>
      </c>
      <c r="E637" s="304">
        <f t="shared" si="794"/>
        <v>220</v>
      </c>
      <c r="F637" s="304">
        <f t="shared" si="795"/>
        <v>220</v>
      </c>
      <c r="G637" s="304">
        <f t="shared" si="796"/>
        <v>0</v>
      </c>
      <c r="H637" s="303">
        <f t="shared" si="791"/>
        <v>220</v>
      </c>
      <c r="I637" s="303"/>
      <c r="J637" s="303"/>
      <c r="K637" s="303"/>
      <c r="L637" s="303"/>
      <c r="M637" s="303"/>
      <c r="N637" s="303"/>
      <c r="O637" s="303"/>
      <c r="P637" s="303"/>
      <c r="Q637" s="303"/>
      <c r="R637" s="303"/>
      <c r="S637" s="303"/>
      <c r="T637" s="303"/>
      <c r="U637" s="303"/>
      <c r="V637" s="303"/>
      <c r="W637" s="303">
        <f t="shared" si="792"/>
        <v>220</v>
      </c>
      <c r="X637" s="303"/>
      <c r="Y637" s="303"/>
      <c r="Z637" s="303">
        <v>220</v>
      </c>
      <c r="AA637" s="303"/>
      <c r="AB637" s="303"/>
      <c r="AC637" s="303"/>
      <c r="AD637" s="303"/>
      <c r="AE637" s="303"/>
      <c r="AF637" s="317"/>
      <c r="AG637" s="314">
        <f t="shared" si="728"/>
        <v>0</v>
      </c>
      <c r="AH637" s="696">
        <f t="shared" si="729"/>
        <v>0</v>
      </c>
      <c r="AI637" s="314">
        <f t="shared" si="730"/>
        <v>0</v>
      </c>
      <c r="AJ637" s="314">
        <f t="shared" si="731"/>
        <v>0</v>
      </c>
      <c r="AK637" s="314">
        <f t="shared" si="732"/>
        <v>0</v>
      </c>
      <c r="AL637" s="314">
        <f t="shared" si="733"/>
        <v>0</v>
      </c>
      <c r="AM637" s="314">
        <f t="shared" si="734"/>
        <v>0</v>
      </c>
      <c r="AN637" s="314">
        <f t="shared" si="735"/>
        <v>0</v>
      </c>
      <c r="AO637" s="314">
        <f t="shared" si="736"/>
        <v>0</v>
      </c>
      <c r="AP637" s="314">
        <f t="shared" si="737"/>
        <v>0</v>
      </c>
    </row>
    <row r="638" spans="1:42" s="314" customFormat="1" ht="27.6" hidden="1" outlineLevel="3">
      <c r="A638" s="593" t="s">
        <v>23</v>
      </c>
      <c r="B638" s="335" t="s">
        <v>1070</v>
      </c>
      <c r="C638" s="334"/>
      <c r="D638" s="304">
        <v>48</v>
      </c>
      <c r="E638" s="304">
        <f t="shared" si="794"/>
        <v>0</v>
      </c>
      <c r="F638" s="304">
        <f t="shared" si="795"/>
        <v>0</v>
      </c>
      <c r="G638" s="304">
        <f t="shared" si="796"/>
        <v>-48</v>
      </c>
      <c r="H638" s="303">
        <f t="shared" si="791"/>
        <v>0</v>
      </c>
      <c r="I638" s="303"/>
      <c r="J638" s="311"/>
      <c r="K638" s="311"/>
      <c r="L638" s="311"/>
      <c r="M638" s="303"/>
      <c r="N638" s="311"/>
      <c r="O638" s="311"/>
      <c r="P638" s="303"/>
      <c r="Q638" s="311"/>
      <c r="R638" s="312"/>
      <c r="S638" s="303"/>
      <c r="T638" s="303"/>
      <c r="U638" s="303"/>
      <c r="V638" s="303"/>
      <c r="W638" s="303">
        <f t="shared" si="792"/>
        <v>0</v>
      </c>
      <c r="X638" s="303"/>
      <c r="Y638" s="303"/>
      <c r="Z638" s="303">
        <f>94-94</f>
        <v>0</v>
      </c>
      <c r="AA638" s="303"/>
      <c r="AB638" s="304"/>
      <c r="AC638" s="304"/>
      <c r="AD638" s="304"/>
      <c r="AE638" s="303"/>
      <c r="AF638" s="599" t="s">
        <v>1766</v>
      </c>
      <c r="AG638" s="314">
        <f t="shared" si="728"/>
        <v>0</v>
      </c>
      <c r="AH638" s="696">
        <f t="shared" si="729"/>
        <v>0</v>
      </c>
      <c r="AI638" s="314">
        <f t="shared" si="730"/>
        <v>0</v>
      </c>
      <c r="AJ638" s="314">
        <f t="shared" si="731"/>
        <v>0</v>
      </c>
      <c r="AK638" s="314">
        <f t="shared" si="732"/>
        <v>0</v>
      </c>
      <c r="AL638" s="314">
        <f t="shared" si="733"/>
        <v>0</v>
      </c>
      <c r="AM638" s="314">
        <f t="shared" si="734"/>
        <v>0</v>
      </c>
      <c r="AN638" s="314">
        <f t="shared" si="735"/>
        <v>0</v>
      </c>
      <c r="AO638" s="314">
        <f t="shared" si="736"/>
        <v>0</v>
      </c>
      <c r="AP638" s="314">
        <f t="shared" si="737"/>
        <v>0</v>
      </c>
    </row>
    <row r="639" spans="1:42" s="314" customFormat="1" ht="27.6" outlineLevel="1" collapsed="1">
      <c r="A639" s="583" t="s">
        <v>23</v>
      </c>
      <c r="B639" s="335" t="s">
        <v>1071</v>
      </c>
      <c r="C639" s="317"/>
      <c r="D639" s="304">
        <v>5523</v>
      </c>
      <c r="E639" s="304">
        <f t="shared" si="794"/>
        <v>5375</v>
      </c>
      <c r="F639" s="304">
        <f t="shared" si="795"/>
        <v>5375</v>
      </c>
      <c r="G639" s="304">
        <f t="shared" si="796"/>
        <v>-148</v>
      </c>
      <c r="H639" s="303">
        <f t="shared" si="791"/>
        <v>5375</v>
      </c>
      <c r="I639" s="303"/>
      <c r="J639" s="311"/>
      <c r="K639" s="311"/>
      <c r="L639" s="311"/>
      <c r="M639" s="303"/>
      <c r="N639" s="311"/>
      <c r="O639" s="311"/>
      <c r="P639" s="303"/>
      <c r="Q639" s="311"/>
      <c r="R639" s="312"/>
      <c r="S639" s="303"/>
      <c r="T639" s="303"/>
      <c r="U639" s="303"/>
      <c r="V639" s="303"/>
      <c r="W639" s="303">
        <f t="shared" si="792"/>
        <v>5375</v>
      </c>
      <c r="X639" s="303"/>
      <c r="Y639" s="303"/>
      <c r="Z639" s="303">
        <f>5523-148</f>
        <v>5375</v>
      </c>
      <c r="AA639" s="303"/>
      <c r="AB639" s="304"/>
      <c r="AC639" s="304"/>
      <c r="AD639" s="304"/>
      <c r="AE639" s="304"/>
      <c r="AF639" s="599" t="s">
        <v>1767</v>
      </c>
      <c r="AG639" s="314">
        <f t="shared" si="728"/>
        <v>0</v>
      </c>
      <c r="AH639" s="696">
        <f t="shared" si="729"/>
        <v>0</v>
      </c>
      <c r="AI639" s="314">
        <f t="shared" si="730"/>
        <v>0</v>
      </c>
      <c r="AJ639" s="314">
        <f t="shared" si="731"/>
        <v>0</v>
      </c>
      <c r="AK639" s="314">
        <f t="shared" si="732"/>
        <v>0</v>
      </c>
      <c r="AL639" s="314">
        <f t="shared" si="733"/>
        <v>0</v>
      </c>
      <c r="AM639" s="314">
        <f t="shared" si="734"/>
        <v>0</v>
      </c>
      <c r="AN639" s="314">
        <f t="shared" si="735"/>
        <v>0</v>
      </c>
      <c r="AO639" s="314">
        <f t="shared" si="736"/>
        <v>0</v>
      </c>
      <c r="AP639" s="314">
        <f t="shared" si="737"/>
        <v>0</v>
      </c>
    </row>
    <row r="640" spans="1:42" s="314" customFormat="1" ht="27.6" outlineLevel="1">
      <c r="A640" s="583" t="s">
        <v>23</v>
      </c>
      <c r="B640" s="335" t="s">
        <v>2179</v>
      </c>
      <c r="C640" s="317"/>
      <c r="D640" s="304">
        <v>3620</v>
      </c>
      <c r="E640" s="304">
        <f t="shared" si="794"/>
        <v>3620</v>
      </c>
      <c r="F640" s="304">
        <f t="shared" si="795"/>
        <v>3620</v>
      </c>
      <c r="G640" s="304">
        <f t="shared" si="796"/>
        <v>0</v>
      </c>
      <c r="H640" s="303">
        <f t="shared" si="791"/>
        <v>3620</v>
      </c>
      <c r="I640" s="303"/>
      <c r="J640" s="311"/>
      <c r="K640" s="311"/>
      <c r="L640" s="311"/>
      <c r="M640" s="303"/>
      <c r="N640" s="311"/>
      <c r="O640" s="311"/>
      <c r="P640" s="303"/>
      <c r="Q640" s="311"/>
      <c r="R640" s="312"/>
      <c r="S640" s="303"/>
      <c r="T640" s="303"/>
      <c r="U640" s="303"/>
      <c r="V640" s="303"/>
      <c r="W640" s="303">
        <f t="shared" si="792"/>
        <v>3620</v>
      </c>
      <c r="X640" s="303"/>
      <c r="Y640" s="303"/>
      <c r="Z640" s="303">
        <f>1191+2429</f>
        <v>3620</v>
      </c>
      <c r="AA640" s="303"/>
      <c r="AB640" s="304"/>
      <c r="AC640" s="304"/>
      <c r="AD640" s="304"/>
      <c r="AE640" s="304"/>
      <c r="AF640" s="599" t="s">
        <v>2180</v>
      </c>
      <c r="AG640" s="314">
        <f t="shared" si="728"/>
        <v>0</v>
      </c>
      <c r="AH640" s="696">
        <f t="shared" si="729"/>
        <v>0</v>
      </c>
      <c r="AI640" s="314">
        <f t="shared" si="730"/>
        <v>0</v>
      </c>
      <c r="AJ640" s="314">
        <f t="shared" si="731"/>
        <v>0</v>
      </c>
      <c r="AK640" s="314">
        <f t="shared" si="732"/>
        <v>0</v>
      </c>
      <c r="AL640" s="314">
        <f t="shared" si="733"/>
        <v>0</v>
      </c>
      <c r="AM640" s="314">
        <f t="shared" si="734"/>
        <v>0</v>
      </c>
      <c r="AN640" s="314">
        <f t="shared" si="735"/>
        <v>0</v>
      </c>
      <c r="AO640" s="314">
        <f t="shared" si="736"/>
        <v>0</v>
      </c>
      <c r="AP640" s="314">
        <f t="shared" si="737"/>
        <v>0</v>
      </c>
    </row>
    <row r="641" spans="1:42" s="314" customFormat="1" ht="27.6" outlineLevel="1">
      <c r="A641" s="583" t="s">
        <v>23</v>
      </c>
      <c r="B641" s="335" t="s">
        <v>1768</v>
      </c>
      <c r="C641" s="317"/>
      <c r="D641" s="304">
        <v>798.6</v>
      </c>
      <c r="E641" s="304">
        <f t="shared" si="794"/>
        <v>799</v>
      </c>
      <c r="F641" s="304">
        <f t="shared" si="795"/>
        <v>799</v>
      </c>
      <c r="G641" s="304">
        <f t="shared" si="796"/>
        <v>0.39999999999997726</v>
      </c>
      <c r="H641" s="303">
        <f t="shared" si="791"/>
        <v>799</v>
      </c>
      <c r="I641" s="303"/>
      <c r="J641" s="311"/>
      <c r="K641" s="311"/>
      <c r="L641" s="311"/>
      <c r="M641" s="303"/>
      <c r="N641" s="311"/>
      <c r="O641" s="311"/>
      <c r="P641" s="303"/>
      <c r="Q641" s="311"/>
      <c r="R641" s="312"/>
      <c r="S641" s="303"/>
      <c r="T641" s="303"/>
      <c r="U641" s="303"/>
      <c r="V641" s="303"/>
      <c r="W641" s="303">
        <f t="shared" si="792"/>
        <v>799</v>
      </c>
      <c r="X641" s="303">
        <f>ROUND(Z641/Y641/10,0)</f>
        <v>22</v>
      </c>
      <c r="Y641" s="328">
        <v>3.63</v>
      </c>
      <c r="Z641" s="303">
        <f>ROUND(22*10*3.63,0)</f>
        <v>799</v>
      </c>
      <c r="AA641" s="303"/>
      <c r="AB641" s="304"/>
      <c r="AC641" s="304"/>
      <c r="AD641" s="304"/>
      <c r="AE641" s="304"/>
      <c r="AF641" s="599" t="s">
        <v>1769</v>
      </c>
      <c r="AG641" s="314">
        <f t="shared" si="728"/>
        <v>0</v>
      </c>
      <c r="AH641" s="696">
        <f t="shared" si="729"/>
        <v>0</v>
      </c>
      <c r="AI641" s="314">
        <f t="shared" si="730"/>
        <v>0</v>
      </c>
      <c r="AJ641" s="314">
        <f t="shared" si="731"/>
        <v>0</v>
      </c>
      <c r="AK641" s="314">
        <f t="shared" si="732"/>
        <v>0</v>
      </c>
      <c r="AL641" s="314">
        <f t="shared" si="733"/>
        <v>0</v>
      </c>
      <c r="AM641" s="314">
        <f t="shared" si="734"/>
        <v>0</v>
      </c>
      <c r="AN641" s="314">
        <f t="shared" si="735"/>
        <v>0</v>
      </c>
      <c r="AO641" s="314">
        <f t="shared" si="736"/>
        <v>0</v>
      </c>
      <c r="AP641" s="314">
        <f t="shared" si="737"/>
        <v>0</v>
      </c>
    </row>
    <row r="642" spans="1:42" s="314" customFormat="1" ht="82.8" hidden="1" outlineLevel="3">
      <c r="A642" s="583" t="s">
        <v>23</v>
      </c>
      <c r="B642" s="335" t="s">
        <v>1813</v>
      </c>
      <c r="C642" s="317"/>
      <c r="D642" s="304">
        <v>499</v>
      </c>
      <c r="E642" s="304">
        <f t="shared" si="794"/>
        <v>0</v>
      </c>
      <c r="F642" s="304">
        <f t="shared" si="795"/>
        <v>0</v>
      </c>
      <c r="G642" s="304">
        <f t="shared" si="796"/>
        <v>-499</v>
      </c>
      <c r="H642" s="303">
        <f t="shared" si="791"/>
        <v>0</v>
      </c>
      <c r="I642" s="303"/>
      <c r="J642" s="311"/>
      <c r="K642" s="311"/>
      <c r="L642" s="311"/>
      <c r="M642" s="303"/>
      <c r="N642" s="311"/>
      <c r="O642" s="311"/>
      <c r="P642" s="303"/>
      <c r="Q642" s="311"/>
      <c r="R642" s="312"/>
      <c r="S642" s="303"/>
      <c r="T642" s="303"/>
      <c r="U642" s="303"/>
      <c r="V642" s="303"/>
      <c r="W642" s="303">
        <f t="shared" si="792"/>
        <v>0</v>
      </c>
      <c r="X642" s="303"/>
      <c r="Y642" s="328"/>
      <c r="Z642" s="303"/>
      <c r="AA642" s="303"/>
      <c r="AB642" s="304"/>
      <c r="AC642" s="304"/>
      <c r="AD642" s="304"/>
      <c r="AE642" s="304"/>
      <c r="AF642" s="599"/>
      <c r="AG642" s="314">
        <f t="shared" si="728"/>
        <v>0</v>
      </c>
      <c r="AH642" s="696">
        <f t="shared" si="729"/>
        <v>0</v>
      </c>
      <c r="AI642" s="314">
        <f t="shared" si="730"/>
        <v>0</v>
      </c>
      <c r="AJ642" s="314">
        <f t="shared" si="731"/>
        <v>0</v>
      </c>
      <c r="AK642" s="314">
        <f t="shared" si="732"/>
        <v>0</v>
      </c>
      <c r="AL642" s="314">
        <f t="shared" si="733"/>
        <v>0</v>
      </c>
      <c r="AM642" s="314">
        <f t="shared" si="734"/>
        <v>0</v>
      </c>
      <c r="AN642" s="314">
        <f t="shared" si="735"/>
        <v>0</v>
      </c>
      <c r="AO642" s="314">
        <f t="shared" si="736"/>
        <v>0</v>
      </c>
      <c r="AP642" s="314">
        <f t="shared" si="737"/>
        <v>0</v>
      </c>
    </row>
    <row r="643" spans="1:42" s="314" customFormat="1">
      <c r="A643" s="592" t="s">
        <v>59</v>
      </c>
      <c r="B643" s="320" t="s">
        <v>1072</v>
      </c>
      <c r="C643" s="298" t="s">
        <v>720</v>
      </c>
      <c r="D643" s="299">
        <f t="shared" ref="D643:AE643" si="797">D644+D645</f>
        <v>9651</v>
      </c>
      <c r="E643" s="299">
        <f>E644+E645</f>
        <v>10576</v>
      </c>
      <c r="F643" s="299">
        <f>F644+F645</f>
        <v>10534</v>
      </c>
      <c r="G643" s="299">
        <f t="shared" si="796"/>
        <v>883</v>
      </c>
      <c r="H643" s="299">
        <f t="shared" si="797"/>
        <v>10863</v>
      </c>
      <c r="I643" s="299">
        <f t="shared" si="797"/>
        <v>5923</v>
      </c>
      <c r="J643" s="299">
        <f t="shared" si="797"/>
        <v>38</v>
      </c>
      <c r="K643" s="299">
        <f t="shared" si="797"/>
        <v>36</v>
      </c>
      <c r="L643" s="299">
        <f t="shared" si="797"/>
        <v>2</v>
      </c>
      <c r="M643" s="299">
        <f t="shared" si="797"/>
        <v>4935</v>
      </c>
      <c r="N643" s="299">
        <f t="shared" si="797"/>
        <v>4825</v>
      </c>
      <c r="O643" s="299">
        <f t="shared" si="797"/>
        <v>110</v>
      </c>
      <c r="P643" s="299">
        <f t="shared" si="797"/>
        <v>988</v>
      </c>
      <c r="Q643" s="299"/>
      <c r="R643" s="299"/>
      <c r="S643" s="299">
        <f t="shared" si="797"/>
        <v>988</v>
      </c>
      <c r="T643" s="299">
        <f t="shared" si="797"/>
        <v>0</v>
      </c>
      <c r="U643" s="299">
        <f t="shared" si="797"/>
        <v>0</v>
      </c>
      <c r="V643" s="299">
        <f t="shared" si="797"/>
        <v>0</v>
      </c>
      <c r="W643" s="299">
        <f>W644+W645</f>
        <v>4940</v>
      </c>
      <c r="X643" s="299">
        <f>X644+X645</f>
        <v>0</v>
      </c>
      <c r="Y643" s="299">
        <f>Y644+Y645</f>
        <v>0</v>
      </c>
      <c r="Z643" s="299">
        <f t="shared" si="797"/>
        <v>1990</v>
      </c>
      <c r="AA643" s="299">
        <f>AA644+AA645</f>
        <v>2950</v>
      </c>
      <c r="AB643" s="299">
        <f>AB644+AB645</f>
        <v>329</v>
      </c>
      <c r="AC643" s="299">
        <f t="shared" ref="AC643" si="798">AC644+AC645</f>
        <v>42</v>
      </c>
      <c r="AD643" s="299">
        <f t="shared" si="797"/>
        <v>434</v>
      </c>
      <c r="AE643" s="299">
        <f t="shared" si="797"/>
        <v>10142</v>
      </c>
      <c r="AF643" s="321"/>
      <c r="AG643" s="314">
        <f t="shared" si="728"/>
        <v>0</v>
      </c>
      <c r="AH643" s="696">
        <f t="shared" si="729"/>
        <v>0</v>
      </c>
      <c r="AI643" s="314">
        <f t="shared" si="730"/>
        <v>0</v>
      </c>
      <c r="AJ643" s="314">
        <f t="shared" si="731"/>
        <v>0</v>
      </c>
      <c r="AK643" s="314">
        <f t="shared" si="732"/>
        <v>0</v>
      </c>
      <c r="AL643" s="314">
        <f t="shared" si="733"/>
        <v>0</v>
      </c>
      <c r="AM643" s="314">
        <f t="shared" si="734"/>
        <v>0</v>
      </c>
      <c r="AN643" s="314">
        <f t="shared" si="735"/>
        <v>0</v>
      </c>
      <c r="AO643" s="314">
        <f t="shared" si="736"/>
        <v>0</v>
      </c>
      <c r="AP643" s="314">
        <f t="shared" si="737"/>
        <v>0</v>
      </c>
    </row>
    <row r="644" spans="1:42" s="314" customFormat="1" outlineLevel="1">
      <c r="A644" s="592" t="s">
        <v>285</v>
      </c>
      <c r="B644" s="320" t="s">
        <v>1073</v>
      </c>
      <c r="C644" s="297"/>
      <c r="D644" s="297">
        <v>5457</v>
      </c>
      <c r="E644" s="297">
        <f>F644+AC644</f>
        <v>5636</v>
      </c>
      <c r="F644" s="297">
        <f>H644-AB644</f>
        <v>5594</v>
      </c>
      <c r="G644" s="304">
        <f t="shared" si="796"/>
        <v>137</v>
      </c>
      <c r="H644" s="299">
        <f t="shared" si="791"/>
        <v>5923</v>
      </c>
      <c r="I644" s="299">
        <f>M644+P644</f>
        <v>5923</v>
      </c>
      <c r="J644" s="300">
        <v>38</v>
      </c>
      <c r="K644" s="300">
        <v>36</v>
      </c>
      <c r="L644" s="300">
        <f>J644-K644</f>
        <v>2</v>
      </c>
      <c r="M644" s="297">
        <f>N644+O644</f>
        <v>4935</v>
      </c>
      <c r="N644" s="300">
        <v>4825</v>
      </c>
      <c r="O644" s="300">
        <v>110</v>
      </c>
      <c r="P644" s="299">
        <f>S644+T644</f>
        <v>988</v>
      </c>
      <c r="Q644" s="300">
        <v>26</v>
      </c>
      <c r="R644" s="301">
        <v>1</v>
      </c>
      <c r="S644" s="297">
        <f>ROUND(J644*Q644*R644,0)</f>
        <v>988</v>
      </c>
      <c r="T644" s="299">
        <f>U644+V644</f>
        <v>0</v>
      </c>
      <c r="U644" s="297"/>
      <c r="V644" s="297"/>
      <c r="W644" s="299">
        <f>Z644+AA644</f>
        <v>0</v>
      </c>
      <c r="X644" s="299"/>
      <c r="Y644" s="299"/>
      <c r="Z644" s="297"/>
      <c r="AA644" s="297"/>
      <c r="AB644" s="297">
        <v>329</v>
      </c>
      <c r="AC644" s="297">
        <v>42</v>
      </c>
      <c r="AD644" s="297">
        <v>66</v>
      </c>
      <c r="AE644" s="299">
        <f>E644-AD644</f>
        <v>5570</v>
      </c>
      <c r="AF644" s="321"/>
      <c r="AG644" s="314">
        <f t="shared" si="728"/>
        <v>0</v>
      </c>
      <c r="AH644" s="696">
        <f t="shared" si="729"/>
        <v>0</v>
      </c>
      <c r="AI644" s="314">
        <f t="shared" si="730"/>
        <v>0</v>
      </c>
      <c r="AJ644" s="314">
        <f t="shared" si="731"/>
        <v>0</v>
      </c>
      <c r="AK644" s="314">
        <f t="shared" si="732"/>
        <v>0</v>
      </c>
      <c r="AL644" s="314">
        <f t="shared" si="733"/>
        <v>0</v>
      </c>
      <c r="AM644" s="314">
        <f t="shared" si="734"/>
        <v>0</v>
      </c>
      <c r="AN644" s="314">
        <f t="shared" si="735"/>
        <v>0</v>
      </c>
      <c r="AO644" s="314">
        <f t="shared" si="736"/>
        <v>0</v>
      </c>
      <c r="AP644" s="314">
        <f t="shared" si="737"/>
        <v>0</v>
      </c>
    </row>
    <row r="645" spans="1:42" s="314" customFormat="1" outlineLevel="1">
      <c r="A645" s="592" t="s">
        <v>289</v>
      </c>
      <c r="B645" s="320" t="s">
        <v>1067</v>
      </c>
      <c r="C645" s="298"/>
      <c r="D645" s="297">
        <v>4194</v>
      </c>
      <c r="E645" s="297">
        <f t="shared" ref="E645:AA645" si="799">SUM(E646:E664)</f>
        <v>4940</v>
      </c>
      <c r="F645" s="297">
        <f t="shared" si="799"/>
        <v>4940</v>
      </c>
      <c r="G645" s="297">
        <f t="shared" si="799"/>
        <v>746</v>
      </c>
      <c r="H645" s="297">
        <f t="shared" si="799"/>
        <v>4940</v>
      </c>
      <c r="I645" s="297">
        <f t="shared" si="799"/>
        <v>0</v>
      </c>
      <c r="J645" s="297">
        <f t="shared" si="799"/>
        <v>0</v>
      </c>
      <c r="K645" s="297">
        <f t="shared" si="799"/>
        <v>0</v>
      </c>
      <c r="L645" s="297">
        <f t="shared" si="799"/>
        <v>0</v>
      </c>
      <c r="M645" s="297">
        <f t="shared" si="799"/>
        <v>0</v>
      </c>
      <c r="N645" s="297">
        <f t="shared" si="799"/>
        <v>0</v>
      </c>
      <c r="O645" s="297">
        <f t="shared" si="799"/>
        <v>0</v>
      </c>
      <c r="P645" s="297">
        <f t="shared" si="799"/>
        <v>0</v>
      </c>
      <c r="Q645" s="297">
        <f t="shared" si="799"/>
        <v>0</v>
      </c>
      <c r="R645" s="297">
        <f t="shared" si="799"/>
        <v>0</v>
      </c>
      <c r="S645" s="297">
        <f t="shared" si="799"/>
        <v>0</v>
      </c>
      <c r="T645" s="297">
        <f t="shared" si="799"/>
        <v>0</v>
      </c>
      <c r="U645" s="297">
        <f t="shared" si="799"/>
        <v>0</v>
      </c>
      <c r="V645" s="297">
        <f t="shared" si="799"/>
        <v>0</v>
      </c>
      <c r="W645" s="297">
        <f t="shared" si="799"/>
        <v>4940</v>
      </c>
      <c r="X645" s="297">
        <f t="shared" si="799"/>
        <v>0</v>
      </c>
      <c r="Y645" s="297">
        <f t="shared" si="799"/>
        <v>0</v>
      </c>
      <c r="Z645" s="297">
        <f t="shared" si="799"/>
        <v>1990</v>
      </c>
      <c r="AA645" s="297">
        <f t="shared" si="799"/>
        <v>2950</v>
      </c>
      <c r="AB645" s="297">
        <f>AB662+AB646+AB647+AB657+AB650+AB658+AB659+AB663+AB664+AB648</f>
        <v>0</v>
      </c>
      <c r="AC645" s="299"/>
      <c r="AD645" s="299">
        <v>368</v>
      </c>
      <c r="AE645" s="299">
        <f>E645-AD645</f>
        <v>4572</v>
      </c>
      <c r="AF645" s="321"/>
      <c r="AG645" s="314">
        <f t="shared" si="728"/>
        <v>0</v>
      </c>
      <c r="AH645" s="696">
        <f t="shared" si="729"/>
        <v>0</v>
      </c>
      <c r="AI645" s="314">
        <f t="shared" si="730"/>
        <v>0</v>
      </c>
      <c r="AJ645" s="314">
        <f t="shared" si="731"/>
        <v>0</v>
      </c>
      <c r="AK645" s="314">
        <f t="shared" si="732"/>
        <v>0</v>
      </c>
      <c r="AL645" s="314">
        <f t="shared" si="733"/>
        <v>0</v>
      </c>
      <c r="AM645" s="314">
        <f t="shared" si="734"/>
        <v>0</v>
      </c>
      <c r="AN645" s="314">
        <f t="shared" si="735"/>
        <v>0</v>
      </c>
      <c r="AO645" s="314">
        <f t="shared" si="736"/>
        <v>0</v>
      </c>
      <c r="AP645" s="314">
        <f t="shared" si="737"/>
        <v>0</v>
      </c>
    </row>
    <row r="646" spans="1:42" outlineLevel="1">
      <c r="A646" s="593" t="s">
        <v>23</v>
      </c>
      <c r="B646" s="316" t="s">
        <v>1851</v>
      </c>
      <c r="C646" s="302"/>
      <c r="D646" s="304">
        <v>527</v>
      </c>
      <c r="E646" s="304">
        <f t="shared" ref="E646:E664" si="800">F646+AC646</f>
        <v>30</v>
      </c>
      <c r="F646" s="304">
        <f t="shared" ref="F646:F664" si="801">H646-AB646</f>
        <v>30</v>
      </c>
      <c r="G646" s="304">
        <f t="shared" ref="G646:G683" si="802">F646-D646</f>
        <v>-497</v>
      </c>
      <c r="H646" s="303">
        <f t="shared" si="791"/>
        <v>30</v>
      </c>
      <c r="I646" s="303"/>
      <c r="J646" s="311"/>
      <c r="K646" s="311"/>
      <c r="L646" s="311"/>
      <c r="M646" s="303"/>
      <c r="N646" s="311"/>
      <c r="O646" s="311"/>
      <c r="P646" s="303"/>
      <c r="Q646" s="311"/>
      <c r="R646" s="312"/>
      <c r="S646" s="303"/>
      <c r="T646" s="303"/>
      <c r="U646" s="303"/>
      <c r="V646" s="303"/>
      <c r="W646" s="303">
        <f t="shared" ref="W646:W649" si="803">Z646+AA646</f>
        <v>30</v>
      </c>
      <c r="X646" s="303"/>
      <c r="Y646" s="303"/>
      <c r="Z646" s="303">
        <v>30</v>
      </c>
      <c r="AA646" s="303"/>
      <c r="AB646" s="304"/>
      <c r="AC646" s="304"/>
      <c r="AD646" s="304"/>
      <c r="AE646" s="304"/>
      <c r="AF646" s="316"/>
      <c r="AG646" s="314">
        <f t="shared" si="728"/>
        <v>0</v>
      </c>
      <c r="AH646" s="696">
        <f t="shared" si="729"/>
        <v>0</v>
      </c>
      <c r="AI646" s="314">
        <f t="shared" si="730"/>
        <v>0</v>
      </c>
      <c r="AJ646" s="314">
        <f t="shared" si="731"/>
        <v>0</v>
      </c>
      <c r="AK646" s="314">
        <f t="shared" si="732"/>
        <v>0</v>
      </c>
      <c r="AL646" s="314">
        <f t="shared" si="733"/>
        <v>0</v>
      </c>
      <c r="AM646" s="314">
        <f t="shared" si="734"/>
        <v>0</v>
      </c>
      <c r="AN646" s="314">
        <f t="shared" si="735"/>
        <v>0</v>
      </c>
      <c r="AO646" s="314">
        <f t="shared" si="736"/>
        <v>0</v>
      </c>
      <c r="AP646" s="314">
        <f t="shared" si="737"/>
        <v>0</v>
      </c>
    </row>
    <row r="647" spans="1:42" outlineLevel="1">
      <c r="A647" s="593" t="s">
        <v>23</v>
      </c>
      <c r="B647" s="316" t="s">
        <v>1852</v>
      </c>
      <c r="C647" s="302"/>
      <c r="D647" s="304">
        <v>587</v>
      </c>
      <c r="E647" s="304">
        <f t="shared" si="800"/>
        <v>30</v>
      </c>
      <c r="F647" s="304">
        <f t="shared" si="801"/>
        <v>30</v>
      </c>
      <c r="G647" s="304">
        <f t="shared" si="802"/>
        <v>-557</v>
      </c>
      <c r="H647" s="303">
        <f t="shared" si="791"/>
        <v>30</v>
      </c>
      <c r="I647" s="303"/>
      <c r="J647" s="311"/>
      <c r="K647" s="311"/>
      <c r="L647" s="311"/>
      <c r="M647" s="303"/>
      <c r="N647" s="311"/>
      <c r="O647" s="311"/>
      <c r="P647" s="303"/>
      <c r="Q647" s="311"/>
      <c r="R647" s="312"/>
      <c r="S647" s="303"/>
      <c r="T647" s="303"/>
      <c r="U647" s="303"/>
      <c r="V647" s="303"/>
      <c r="W647" s="303">
        <f t="shared" si="803"/>
        <v>30</v>
      </c>
      <c r="X647" s="303"/>
      <c r="Y647" s="303"/>
      <c r="Z647" s="303">
        <v>30</v>
      </c>
      <c r="AA647" s="303"/>
      <c r="AB647" s="304"/>
      <c r="AC647" s="304"/>
      <c r="AD647" s="304"/>
      <c r="AE647" s="304"/>
      <c r="AF647" s="316"/>
      <c r="AG647" s="314">
        <f t="shared" si="728"/>
        <v>0</v>
      </c>
      <c r="AH647" s="696">
        <f t="shared" si="729"/>
        <v>0</v>
      </c>
      <c r="AI647" s="314">
        <f t="shared" si="730"/>
        <v>0</v>
      </c>
      <c r="AJ647" s="314">
        <f t="shared" si="731"/>
        <v>0</v>
      </c>
      <c r="AK647" s="314">
        <f t="shared" si="732"/>
        <v>0</v>
      </c>
      <c r="AL647" s="314">
        <f t="shared" si="733"/>
        <v>0</v>
      </c>
      <c r="AM647" s="314">
        <f t="shared" si="734"/>
        <v>0</v>
      </c>
      <c r="AN647" s="314">
        <f t="shared" si="735"/>
        <v>0</v>
      </c>
      <c r="AO647" s="314">
        <f t="shared" si="736"/>
        <v>0</v>
      </c>
      <c r="AP647" s="314">
        <f t="shared" si="737"/>
        <v>0</v>
      </c>
    </row>
    <row r="648" spans="1:42" outlineLevel="1">
      <c r="A648" s="593" t="s">
        <v>23</v>
      </c>
      <c r="B648" s="316" t="s">
        <v>1853</v>
      </c>
      <c r="C648" s="302"/>
      <c r="D648" s="304">
        <v>450</v>
      </c>
      <c r="E648" s="304">
        <f t="shared" si="800"/>
        <v>1200</v>
      </c>
      <c r="F648" s="304">
        <f t="shared" si="801"/>
        <v>1200</v>
      </c>
      <c r="G648" s="304">
        <f t="shared" si="802"/>
        <v>750</v>
      </c>
      <c r="H648" s="303">
        <f t="shared" si="791"/>
        <v>1200</v>
      </c>
      <c r="I648" s="303"/>
      <c r="J648" s="311"/>
      <c r="K648" s="311"/>
      <c r="L648" s="311"/>
      <c r="M648" s="303"/>
      <c r="N648" s="311"/>
      <c r="O648" s="311"/>
      <c r="P648" s="303"/>
      <c r="Q648" s="311"/>
      <c r="R648" s="312"/>
      <c r="S648" s="303"/>
      <c r="T648" s="303"/>
      <c r="U648" s="303"/>
      <c r="V648" s="303"/>
      <c r="W648" s="303">
        <f t="shared" si="803"/>
        <v>1200</v>
      </c>
      <c r="X648" s="303"/>
      <c r="Y648" s="303"/>
      <c r="Z648" s="303">
        <v>1200</v>
      </c>
      <c r="AA648" s="303"/>
      <c r="AB648" s="304"/>
      <c r="AC648" s="304"/>
      <c r="AD648" s="304"/>
      <c r="AE648" s="304"/>
      <c r="AF648" s="316"/>
      <c r="AG648" s="314">
        <f t="shared" si="728"/>
        <v>0</v>
      </c>
      <c r="AH648" s="696">
        <f t="shared" si="729"/>
        <v>0</v>
      </c>
      <c r="AI648" s="314">
        <f t="shared" si="730"/>
        <v>0</v>
      </c>
      <c r="AJ648" s="314">
        <f t="shared" si="731"/>
        <v>0</v>
      </c>
      <c r="AK648" s="314">
        <f t="shared" si="732"/>
        <v>0</v>
      </c>
      <c r="AL648" s="314">
        <f t="shared" si="733"/>
        <v>0</v>
      </c>
      <c r="AM648" s="314">
        <f t="shared" si="734"/>
        <v>0</v>
      </c>
      <c r="AN648" s="314">
        <f t="shared" si="735"/>
        <v>0</v>
      </c>
      <c r="AO648" s="314">
        <f t="shared" si="736"/>
        <v>0</v>
      </c>
      <c r="AP648" s="314">
        <f t="shared" si="737"/>
        <v>0</v>
      </c>
    </row>
    <row r="649" spans="1:42" outlineLevel="1">
      <c r="A649" s="593" t="s">
        <v>23</v>
      </c>
      <c r="B649" s="316" t="s">
        <v>2181</v>
      </c>
      <c r="C649" s="302"/>
      <c r="D649" s="304"/>
      <c r="E649" s="304">
        <f t="shared" si="800"/>
        <v>600</v>
      </c>
      <c r="F649" s="304">
        <f t="shared" si="801"/>
        <v>600</v>
      </c>
      <c r="G649" s="304">
        <f t="shared" si="802"/>
        <v>600</v>
      </c>
      <c r="H649" s="303">
        <f t="shared" si="791"/>
        <v>600</v>
      </c>
      <c r="I649" s="303"/>
      <c r="J649" s="311"/>
      <c r="K649" s="311"/>
      <c r="L649" s="311"/>
      <c r="M649" s="303"/>
      <c r="N649" s="311"/>
      <c r="O649" s="311"/>
      <c r="P649" s="303"/>
      <c r="Q649" s="311"/>
      <c r="R649" s="312"/>
      <c r="S649" s="303"/>
      <c r="T649" s="303"/>
      <c r="U649" s="303"/>
      <c r="V649" s="303"/>
      <c r="W649" s="303">
        <f t="shared" si="803"/>
        <v>600</v>
      </c>
      <c r="X649" s="303"/>
      <c r="Y649" s="303"/>
      <c r="Z649" s="303">
        <v>600</v>
      </c>
      <c r="AA649" s="303"/>
      <c r="AB649" s="304"/>
      <c r="AC649" s="304"/>
      <c r="AD649" s="304"/>
      <c r="AE649" s="304"/>
      <c r="AF649" s="316"/>
      <c r="AG649" s="314">
        <f t="shared" si="728"/>
        <v>0</v>
      </c>
      <c r="AH649" s="696">
        <f t="shared" si="729"/>
        <v>0</v>
      </c>
      <c r="AI649" s="314">
        <f t="shared" si="730"/>
        <v>0</v>
      </c>
      <c r="AJ649" s="314">
        <f t="shared" si="731"/>
        <v>0</v>
      </c>
      <c r="AK649" s="314">
        <f t="shared" si="732"/>
        <v>0</v>
      </c>
      <c r="AL649" s="314">
        <f t="shared" si="733"/>
        <v>0</v>
      </c>
      <c r="AM649" s="314">
        <f t="shared" si="734"/>
        <v>0</v>
      </c>
      <c r="AN649" s="314">
        <f t="shared" si="735"/>
        <v>0</v>
      </c>
      <c r="AO649" s="314">
        <f t="shared" si="736"/>
        <v>0</v>
      </c>
      <c r="AP649" s="314">
        <f t="shared" si="737"/>
        <v>0</v>
      </c>
    </row>
    <row r="650" spans="1:42" outlineLevel="1">
      <c r="A650" s="593" t="s">
        <v>23</v>
      </c>
      <c r="B650" s="316" t="s">
        <v>1076</v>
      </c>
      <c r="C650" s="302"/>
      <c r="D650" s="304">
        <v>130</v>
      </c>
      <c r="E650" s="304">
        <f t="shared" si="800"/>
        <v>130</v>
      </c>
      <c r="F650" s="304">
        <f t="shared" si="801"/>
        <v>130</v>
      </c>
      <c r="G650" s="304">
        <f t="shared" si="802"/>
        <v>0</v>
      </c>
      <c r="H650" s="303">
        <f>I650+W650</f>
        <v>130</v>
      </c>
      <c r="I650" s="303"/>
      <c r="J650" s="311"/>
      <c r="K650" s="311"/>
      <c r="L650" s="311"/>
      <c r="M650" s="303"/>
      <c r="N650" s="311"/>
      <c r="O650" s="311"/>
      <c r="P650" s="303"/>
      <c r="Q650" s="311"/>
      <c r="R650" s="312"/>
      <c r="S650" s="303"/>
      <c r="T650" s="303"/>
      <c r="U650" s="303"/>
      <c r="V650" s="303"/>
      <c r="W650" s="303">
        <f>Z650+AA650</f>
        <v>130</v>
      </c>
      <c r="X650" s="303"/>
      <c r="Y650" s="303"/>
      <c r="Z650" s="303">
        <v>130</v>
      </c>
      <c r="AA650" s="303"/>
      <c r="AB650" s="304"/>
      <c r="AC650" s="304"/>
      <c r="AD650" s="304"/>
      <c r="AE650" s="304"/>
      <c r="AF650" s="317"/>
      <c r="AG650" s="314">
        <f t="shared" si="728"/>
        <v>0</v>
      </c>
      <c r="AH650" s="696">
        <f t="shared" si="729"/>
        <v>0</v>
      </c>
      <c r="AI650" s="314">
        <f t="shared" si="730"/>
        <v>0</v>
      </c>
      <c r="AJ650" s="314">
        <f t="shared" si="731"/>
        <v>0</v>
      </c>
      <c r="AK650" s="314">
        <f t="shared" si="732"/>
        <v>0</v>
      </c>
      <c r="AL650" s="314">
        <f t="shared" si="733"/>
        <v>0</v>
      </c>
      <c r="AM650" s="314">
        <f t="shared" si="734"/>
        <v>0</v>
      </c>
      <c r="AN650" s="314">
        <f t="shared" si="735"/>
        <v>0</v>
      </c>
      <c r="AO650" s="314">
        <f t="shared" si="736"/>
        <v>0</v>
      </c>
      <c r="AP650" s="314">
        <f t="shared" si="737"/>
        <v>0</v>
      </c>
    </row>
    <row r="651" spans="1:42" ht="41.4" outlineLevel="1">
      <c r="A651" s="593" t="s">
        <v>23</v>
      </c>
      <c r="B651" s="316" t="s">
        <v>2182</v>
      </c>
      <c r="C651" s="302"/>
      <c r="D651" s="304"/>
      <c r="E651" s="304">
        <f t="shared" si="800"/>
        <v>736</v>
      </c>
      <c r="F651" s="304">
        <f t="shared" si="801"/>
        <v>736</v>
      </c>
      <c r="G651" s="304">
        <f t="shared" si="802"/>
        <v>736</v>
      </c>
      <c r="H651" s="303">
        <f t="shared" ref="H651:H656" si="804">I651+W651</f>
        <v>736</v>
      </c>
      <c r="I651" s="303"/>
      <c r="J651" s="311"/>
      <c r="K651" s="311"/>
      <c r="L651" s="311"/>
      <c r="M651" s="303"/>
      <c r="N651" s="311"/>
      <c r="O651" s="311"/>
      <c r="P651" s="303"/>
      <c r="Q651" s="311"/>
      <c r="R651" s="312"/>
      <c r="S651" s="303"/>
      <c r="T651" s="303"/>
      <c r="U651" s="303"/>
      <c r="V651" s="303"/>
      <c r="W651" s="303">
        <f t="shared" ref="W651:W656" si="805">Z651+AA651</f>
        <v>736</v>
      </c>
      <c r="X651" s="303"/>
      <c r="Y651" s="303"/>
      <c r="Z651" s="303"/>
      <c r="AA651" s="303">
        <v>736</v>
      </c>
      <c r="AB651" s="304"/>
      <c r="AC651" s="304"/>
      <c r="AD651" s="304"/>
      <c r="AE651" s="304"/>
      <c r="AF651" s="1294" t="s">
        <v>2452</v>
      </c>
      <c r="AG651" s="314">
        <f t="shared" si="728"/>
        <v>0</v>
      </c>
      <c r="AH651" s="696">
        <f t="shared" si="729"/>
        <v>0</v>
      </c>
      <c r="AI651" s="314">
        <f t="shared" si="730"/>
        <v>0</v>
      </c>
      <c r="AJ651" s="314">
        <f t="shared" si="731"/>
        <v>0</v>
      </c>
      <c r="AK651" s="314">
        <f t="shared" si="732"/>
        <v>0</v>
      </c>
      <c r="AL651" s="314">
        <f t="shared" si="733"/>
        <v>0</v>
      </c>
      <c r="AM651" s="314">
        <f t="shared" si="734"/>
        <v>0</v>
      </c>
      <c r="AN651" s="314">
        <f t="shared" si="735"/>
        <v>0</v>
      </c>
      <c r="AO651" s="314">
        <f t="shared" si="736"/>
        <v>0</v>
      </c>
      <c r="AP651" s="314">
        <f t="shared" si="737"/>
        <v>0</v>
      </c>
    </row>
    <row r="652" spans="1:42" ht="41.4" outlineLevel="1">
      <c r="A652" s="593" t="s">
        <v>23</v>
      </c>
      <c r="B652" s="316" t="s">
        <v>2183</v>
      </c>
      <c r="C652" s="302"/>
      <c r="D652" s="304"/>
      <c r="E652" s="304">
        <f t="shared" si="800"/>
        <v>509</v>
      </c>
      <c r="F652" s="304">
        <f t="shared" si="801"/>
        <v>509</v>
      </c>
      <c r="G652" s="304">
        <f t="shared" si="802"/>
        <v>509</v>
      </c>
      <c r="H652" s="303">
        <f t="shared" si="804"/>
        <v>509</v>
      </c>
      <c r="I652" s="303"/>
      <c r="J652" s="311"/>
      <c r="K652" s="311"/>
      <c r="L652" s="311"/>
      <c r="M652" s="303"/>
      <c r="N652" s="311"/>
      <c r="O652" s="311"/>
      <c r="P652" s="303"/>
      <c r="Q652" s="311"/>
      <c r="R652" s="312"/>
      <c r="S652" s="303"/>
      <c r="T652" s="303"/>
      <c r="U652" s="303"/>
      <c r="V652" s="303"/>
      <c r="W652" s="303">
        <f t="shared" si="805"/>
        <v>509</v>
      </c>
      <c r="X652" s="303"/>
      <c r="Y652" s="303"/>
      <c r="Z652" s="303"/>
      <c r="AA652" s="303">
        <v>509</v>
      </c>
      <c r="AB652" s="304"/>
      <c r="AC652" s="304"/>
      <c r="AD652" s="304"/>
      <c r="AE652" s="304"/>
      <c r="AF652" s="870" t="s">
        <v>2558</v>
      </c>
      <c r="AG652" s="314">
        <f t="shared" si="728"/>
        <v>0</v>
      </c>
      <c r="AH652" s="696">
        <f t="shared" si="729"/>
        <v>0</v>
      </c>
      <c r="AI652" s="314">
        <f t="shared" si="730"/>
        <v>0</v>
      </c>
      <c r="AJ652" s="314">
        <f t="shared" si="731"/>
        <v>0</v>
      </c>
      <c r="AK652" s="314">
        <f t="shared" si="732"/>
        <v>0</v>
      </c>
      <c r="AL652" s="314">
        <f t="shared" si="733"/>
        <v>0</v>
      </c>
      <c r="AM652" s="314">
        <f t="shared" si="734"/>
        <v>0</v>
      </c>
      <c r="AN652" s="314">
        <f t="shared" si="735"/>
        <v>0</v>
      </c>
      <c r="AO652" s="314">
        <f t="shared" si="736"/>
        <v>0</v>
      </c>
      <c r="AP652" s="314">
        <f t="shared" si="737"/>
        <v>0</v>
      </c>
    </row>
    <row r="653" spans="1:42" ht="41.4" outlineLevel="1">
      <c r="A653" s="593" t="s">
        <v>23</v>
      </c>
      <c r="B653" s="316" t="s">
        <v>2184</v>
      </c>
      <c r="C653" s="302"/>
      <c r="D653" s="304"/>
      <c r="E653" s="304">
        <f t="shared" si="800"/>
        <v>74</v>
      </c>
      <c r="F653" s="304">
        <f t="shared" si="801"/>
        <v>74</v>
      </c>
      <c r="G653" s="304">
        <f t="shared" si="802"/>
        <v>74</v>
      </c>
      <c r="H653" s="303">
        <f t="shared" si="804"/>
        <v>74</v>
      </c>
      <c r="I653" s="303"/>
      <c r="J653" s="311"/>
      <c r="K653" s="311"/>
      <c r="L653" s="311"/>
      <c r="M653" s="303"/>
      <c r="N653" s="311"/>
      <c r="O653" s="311"/>
      <c r="P653" s="303"/>
      <c r="Q653" s="311"/>
      <c r="R653" s="312"/>
      <c r="S653" s="303"/>
      <c r="T653" s="303"/>
      <c r="U653" s="303"/>
      <c r="V653" s="303"/>
      <c r="W653" s="303">
        <f t="shared" si="805"/>
        <v>74</v>
      </c>
      <c r="X653" s="303"/>
      <c r="Y653" s="303"/>
      <c r="Z653" s="303"/>
      <c r="AA653" s="303">
        <v>74</v>
      </c>
      <c r="AB653" s="304"/>
      <c r="AC653" s="304"/>
      <c r="AD653" s="304"/>
      <c r="AE653" s="304"/>
      <c r="AF653" s="870"/>
      <c r="AG653" s="314">
        <f t="shared" si="728"/>
        <v>0</v>
      </c>
      <c r="AH653" s="696">
        <f t="shared" si="729"/>
        <v>0</v>
      </c>
      <c r="AI653" s="314">
        <f t="shared" si="730"/>
        <v>0</v>
      </c>
      <c r="AJ653" s="314">
        <f t="shared" si="731"/>
        <v>0</v>
      </c>
      <c r="AK653" s="314">
        <f t="shared" si="732"/>
        <v>0</v>
      </c>
      <c r="AL653" s="314">
        <f t="shared" si="733"/>
        <v>0</v>
      </c>
      <c r="AM653" s="314">
        <f t="shared" si="734"/>
        <v>0</v>
      </c>
      <c r="AN653" s="314">
        <f t="shared" si="735"/>
        <v>0</v>
      </c>
      <c r="AO653" s="314">
        <f t="shared" si="736"/>
        <v>0</v>
      </c>
      <c r="AP653" s="314">
        <f t="shared" si="737"/>
        <v>0</v>
      </c>
    </row>
    <row r="654" spans="1:42" ht="55.2" outlineLevel="1">
      <c r="A654" s="593" t="s">
        <v>23</v>
      </c>
      <c r="B654" s="316" t="s">
        <v>2433</v>
      </c>
      <c r="C654" s="302"/>
      <c r="D654" s="304"/>
      <c r="E654" s="304">
        <f t="shared" si="800"/>
        <v>496</v>
      </c>
      <c r="F654" s="304">
        <f t="shared" si="801"/>
        <v>496</v>
      </c>
      <c r="G654" s="304">
        <f t="shared" si="802"/>
        <v>496</v>
      </c>
      <c r="H654" s="303">
        <f t="shared" si="804"/>
        <v>496</v>
      </c>
      <c r="I654" s="303"/>
      <c r="J654" s="311"/>
      <c r="K654" s="311"/>
      <c r="L654" s="311"/>
      <c r="M654" s="303"/>
      <c r="N654" s="311"/>
      <c r="O654" s="311"/>
      <c r="P654" s="303"/>
      <c r="Q654" s="311"/>
      <c r="R654" s="312"/>
      <c r="S654" s="303"/>
      <c r="T654" s="303"/>
      <c r="U654" s="303"/>
      <c r="V654" s="303"/>
      <c r="W654" s="303">
        <f t="shared" si="805"/>
        <v>496</v>
      </c>
      <c r="X654" s="303"/>
      <c r="Y654" s="303"/>
      <c r="Z654" s="303"/>
      <c r="AA654" s="303">
        <v>496</v>
      </c>
      <c r="AB654" s="304"/>
      <c r="AC654" s="304"/>
      <c r="AD654" s="304"/>
      <c r="AE654" s="304"/>
      <c r="AF654" s="870"/>
      <c r="AG654" s="314">
        <f t="shared" si="728"/>
        <v>0</v>
      </c>
      <c r="AH654" s="696">
        <f t="shared" si="729"/>
        <v>0</v>
      </c>
      <c r="AI654" s="314">
        <f t="shared" si="730"/>
        <v>0</v>
      </c>
      <c r="AJ654" s="314">
        <f t="shared" si="731"/>
        <v>0</v>
      </c>
      <c r="AK654" s="314">
        <f t="shared" si="732"/>
        <v>0</v>
      </c>
      <c r="AL654" s="314">
        <f t="shared" si="733"/>
        <v>0</v>
      </c>
      <c r="AM654" s="314">
        <f t="shared" si="734"/>
        <v>0</v>
      </c>
      <c r="AN654" s="314">
        <f t="shared" si="735"/>
        <v>0</v>
      </c>
      <c r="AO654" s="314">
        <f t="shared" si="736"/>
        <v>0</v>
      </c>
      <c r="AP654" s="314">
        <f t="shared" si="737"/>
        <v>0</v>
      </c>
    </row>
    <row r="655" spans="1:42" ht="110.4" outlineLevel="1">
      <c r="A655" s="593" t="s">
        <v>23</v>
      </c>
      <c r="B655" s="316" t="s">
        <v>2445</v>
      </c>
      <c r="C655" s="302"/>
      <c r="D655" s="304"/>
      <c r="E655" s="304">
        <f t="shared" si="800"/>
        <v>1135</v>
      </c>
      <c r="F655" s="304">
        <f t="shared" si="801"/>
        <v>1135</v>
      </c>
      <c r="G655" s="304">
        <f t="shared" si="802"/>
        <v>1135</v>
      </c>
      <c r="H655" s="303">
        <f t="shared" si="804"/>
        <v>1135</v>
      </c>
      <c r="I655" s="303"/>
      <c r="J655" s="311"/>
      <c r="K655" s="311"/>
      <c r="L655" s="311"/>
      <c r="M655" s="303"/>
      <c r="N655" s="311"/>
      <c r="O655" s="311"/>
      <c r="P655" s="303"/>
      <c r="Q655" s="311"/>
      <c r="R655" s="312"/>
      <c r="S655" s="303"/>
      <c r="T655" s="303"/>
      <c r="U655" s="303"/>
      <c r="V655" s="303"/>
      <c r="W655" s="303">
        <f t="shared" si="805"/>
        <v>1135</v>
      </c>
      <c r="X655" s="303"/>
      <c r="Y655" s="303"/>
      <c r="Z655" s="303"/>
      <c r="AA655" s="303">
        <v>1135</v>
      </c>
      <c r="AB655" s="304"/>
      <c r="AC655" s="304"/>
      <c r="AD655" s="304"/>
      <c r="AE655" s="304"/>
      <c r="AF655" s="1327" t="s">
        <v>2533</v>
      </c>
      <c r="AG655" s="314">
        <f t="shared" si="728"/>
        <v>0</v>
      </c>
      <c r="AH655" s="696">
        <f t="shared" si="729"/>
        <v>0</v>
      </c>
      <c r="AI655" s="314">
        <f t="shared" si="730"/>
        <v>0</v>
      </c>
      <c r="AJ655" s="314">
        <f t="shared" si="731"/>
        <v>0</v>
      </c>
      <c r="AK655" s="314">
        <f t="shared" si="732"/>
        <v>0</v>
      </c>
      <c r="AL655" s="314">
        <f t="shared" si="733"/>
        <v>0</v>
      </c>
      <c r="AM655" s="314">
        <f t="shared" si="734"/>
        <v>0</v>
      </c>
      <c r="AN655" s="314">
        <f t="shared" si="735"/>
        <v>0</v>
      </c>
      <c r="AO655" s="314">
        <f t="shared" si="736"/>
        <v>0</v>
      </c>
      <c r="AP655" s="314">
        <f t="shared" si="737"/>
        <v>0</v>
      </c>
    </row>
    <row r="656" spans="1:42" hidden="1" outlineLevel="3">
      <c r="A656" s="593" t="s">
        <v>23</v>
      </c>
      <c r="B656" s="316" t="s">
        <v>2446</v>
      </c>
      <c r="C656" s="302"/>
      <c r="D656" s="304"/>
      <c r="E656" s="304">
        <f t="shared" si="800"/>
        <v>0</v>
      </c>
      <c r="F656" s="304">
        <f t="shared" si="801"/>
        <v>0</v>
      </c>
      <c r="G656" s="304">
        <f t="shared" si="802"/>
        <v>0</v>
      </c>
      <c r="H656" s="303">
        <f t="shared" si="804"/>
        <v>0</v>
      </c>
      <c r="I656" s="303"/>
      <c r="J656" s="311"/>
      <c r="K656" s="311"/>
      <c r="L656" s="311"/>
      <c r="M656" s="303"/>
      <c r="N656" s="311"/>
      <c r="O656" s="311"/>
      <c r="P656" s="303"/>
      <c r="Q656" s="311"/>
      <c r="R656" s="312"/>
      <c r="S656" s="303"/>
      <c r="T656" s="303"/>
      <c r="U656" s="303"/>
      <c r="V656" s="303"/>
      <c r="W656" s="303">
        <f t="shared" si="805"/>
        <v>0</v>
      </c>
      <c r="X656" s="303"/>
      <c r="Y656" s="303"/>
      <c r="Z656" s="303"/>
      <c r="AA656" s="303"/>
      <c r="AB656" s="304"/>
      <c r="AC656" s="304"/>
      <c r="AD656" s="304"/>
      <c r="AE656" s="304"/>
      <c r="AF656" s="1321"/>
      <c r="AG656" s="314">
        <f t="shared" si="728"/>
        <v>0</v>
      </c>
      <c r="AH656" s="696">
        <f t="shared" si="729"/>
        <v>0</v>
      </c>
      <c r="AI656" s="314">
        <f t="shared" si="730"/>
        <v>0</v>
      </c>
      <c r="AJ656" s="314">
        <f t="shared" si="731"/>
        <v>0</v>
      </c>
      <c r="AK656" s="314">
        <f t="shared" si="732"/>
        <v>0</v>
      </c>
      <c r="AL656" s="314">
        <f t="shared" si="733"/>
        <v>0</v>
      </c>
      <c r="AM656" s="314">
        <f t="shared" si="734"/>
        <v>0</v>
      </c>
      <c r="AN656" s="314">
        <f t="shared" si="735"/>
        <v>0</v>
      </c>
      <c r="AO656" s="314">
        <f t="shared" si="736"/>
        <v>0</v>
      </c>
      <c r="AP656" s="314">
        <f t="shared" si="737"/>
        <v>0</v>
      </c>
    </row>
    <row r="657" spans="1:42" hidden="1" outlineLevel="3">
      <c r="A657" s="593" t="s">
        <v>23</v>
      </c>
      <c r="B657" s="316" t="s">
        <v>1075</v>
      </c>
      <c r="C657" s="302"/>
      <c r="D657" s="304">
        <v>472</v>
      </c>
      <c r="E657" s="304">
        <f>F657+AC657</f>
        <v>0</v>
      </c>
      <c r="F657" s="304">
        <f>H657-AB657</f>
        <v>0</v>
      </c>
      <c r="G657" s="304">
        <f>F657-D657</f>
        <v>-472</v>
      </c>
      <c r="H657" s="303">
        <f>I657+W657</f>
        <v>0</v>
      </c>
      <c r="I657" s="303"/>
      <c r="J657" s="311"/>
      <c r="K657" s="311"/>
      <c r="L657" s="311"/>
      <c r="M657" s="303"/>
      <c r="N657" s="311"/>
      <c r="O657" s="311"/>
      <c r="P657" s="303"/>
      <c r="Q657" s="311"/>
      <c r="R657" s="312"/>
      <c r="S657" s="303"/>
      <c r="T657" s="303"/>
      <c r="U657" s="303"/>
      <c r="V657" s="303"/>
      <c r="W657" s="303">
        <f>Z657+AA657</f>
        <v>0</v>
      </c>
      <c r="X657" s="303"/>
      <c r="Y657" s="303"/>
      <c r="Z657" s="303"/>
      <c r="AA657" s="303"/>
      <c r="AB657" s="304"/>
      <c r="AC657" s="304"/>
      <c r="AD657" s="304"/>
      <c r="AE657" s="304"/>
      <c r="AF657" s="1625"/>
      <c r="AG657" s="314">
        <f t="shared" si="728"/>
        <v>0</v>
      </c>
      <c r="AH657" s="696">
        <f t="shared" si="729"/>
        <v>0</v>
      </c>
      <c r="AI657" s="314">
        <f t="shared" si="730"/>
        <v>0</v>
      </c>
      <c r="AJ657" s="314">
        <f t="shared" si="731"/>
        <v>0</v>
      </c>
      <c r="AK657" s="314">
        <f t="shared" si="732"/>
        <v>0</v>
      </c>
      <c r="AL657" s="314">
        <f t="shared" si="733"/>
        <v>0</v>
      </c>
      <c r="AM657" s="314">
        <f t="shared" si="734"/>
        <v>0</v>
      </c>
      <c r="AN657" s="314">
        <f t="shared" si="735"/>
        <v>0</v>
      </c>
      <c r="AO657" s="314">
        <f t="shared" si="736"/>
        <v>0</v>
      </c>
      <c r="AP657" s="314">
        <f t="shared" si="737"/>
        <v>0</v>
      </c>
    </row>
    <row r="658" spans="1:42" hidden="1" outlineLevel="3">
      <c r="A658" s="593" t="s">
        <v>23</v>
      </c>
      <c r="B658" s="316" t="s">
        <v>1642</v>
      </c>
      <c r="C658" s="302"/>
      <c r="D658" s="304">
        <v>158</v>
      </c>
      <c r="E658" s="304">
        <f>F658+AC658</f>
        <v>0</v>
      </c>
      <c r="F658" s="304">
        <f>H658-AB658</f>
        <v>0</v>
      </c>
      <c r="G658" s="304">
        <f>F658-D658</f>
        <v>-158</v>
      </c>
      <c r="H658" s="303">
        <f>I658+W658</f>
        <v>0</v>
      </c>
      <c r="I658" s="303"/>
      <c r="J658" s="311"/>
      <c r="K658" s="311"/>
      <c r="L658" s="311"/>
      <c r="M658" s="303"/>
      <c r="N658" s="311"/>
      <c r="O658" s="311"/>
      <c r="P658" s="303"/>
      <c r="Q658" s="311"/>
      <c r="R658" s="312"/>
      <c r="S658" s="303"/>
      <c r="T658" s="303"/>
      <c r="U658" s="303"/>
      <c r="V658" s="303"/>
      <c r="W658" s="303">
        <f>Z658+AA658</f>
        <v>0</v>
      </c>
      <c r="X658" s="303"/>
      <c r="Y658" s="303"/>
      <c r="Z658" s="303"/>
      <c r="AA658" s="303"/>
      <c r="AB658" s="304"/>
      <c r="AC658" s="304"/>
      <c r="AD658" s="304"/>
      <c r="AE658" s="304"/>
      <c r="AF658" s="1625"/>
      <c r="AG658" s="314">
        <f t="shared" si="728"/>
        <v>0</v>
      </c>
      <c r="AH658" s="696">
        <f t="shared" si="729"/>
        <v>0</v>
      </c>
      <c r="AI658" s="314">
        <f t="shared" si="730"/>
        <v>0</v>
      </c>
      <c r="AJ658" s="314">
        <f t="shared" si="731"/>
        <v>0</v>
      </c>
      <c r="AK658" s="314">
        <f t="shared" si="732"/>
        <v>0</v>
      </c>
      <c r="AL658" s="314">
        <f t="shared" si="733"/>
        <v>0</v>
      </c>
      <c r="AM658" s="314">
        <f t="shared" si="734"/>
        <v>0</v>
      </c>
      <c r="AN658" s="314">
        <f t="shared" si="735"/>
        <v>0</v>
      </c>
      <c r="AO658" s="314">
        <f t="shared" si="736"/>
        <v>0</v>
      </c>
      <c r="AP658" s="314">
        <f t="shared" si="737"/>
        <v>0</v>
      </c>
    </row>
    <row r="659" spans="1:42" hidden="1" outlineLevel="3">
      <c r="A659" s="593" t="s">
        <v>23</v>
      </c>
      <c r="B659" s="316" t="s">
        <v>1643</v>
      </c>
      <c r="C659" s="302"/>
      <c r="D659" s="304">
        <v>55</v>
      </c>
      <c r="E659" s="304">
        <f>F659+AC659</f>
        <v>0</v>
      </c>
      <c r="F659" s="304">
        <f>H659-AB659</f>
        <v>0</v>
      </c>
      <c r="G659" s="304">
        <f>F659-D659</f>
        <v>-55</v>
      </c>
      <c r="H659" s="303">
        <f>I659+W659</f>
        <v>0</v>
      </c>
      <c r="I659" s="303"/>
      <c r="J659" s="311"/>
      <c r="K659" s="311"/>
      <c r="L659" s="311"/>
      <c r="M659" s="303"/>
      <c r="N659" s="311"/>
      <c r="O659" s="311"/>
      <c r="P659" s="303"/>
      <c r="Q659" s="311"/>
      <c r="R659" s="312"/>
      <c r="S659" s="303"/>
      <c r="T659" s="303"/>
      <c r="U659" s="303"/>
      <c r="V659" s="303"/>
      <c r="W659" s="303">
        <f>Z659+AA659</f>
        <v>0</v>
      </c>
      <c r="X659" s="303"/>
      <c r="Y659" s="303"/>
      <c r="Z659" s="303"/>
      <c r="AA659" s="303"/>
      <c r="AB659" s="304"/>
      <c r="AC659" s="304"/>
      <c r="AD659" s="304"/>
      <c r="AE659" s="304"/>
      <c r="AF659" s="1625"/>
      <c r="AG659" s="314">
        <f t="shared" si="728"/>
        <v>0</v>
      </c>
      <c r="AH659" s="696">
        <f t="shared" si="729"/>
        <v>0</v>
      </c>
      <c r="AI659" s="314">
        <f t="shared" si="730"/>
        <v>0</v>
      </c>
      <c r="AJ659" s="314">
        <f t="shared" si="731"/>
        <v>0</v>
      </c>
      <c r="AK659" s="314">
        <f t="shared" si="732"/>
        <v>0</v>
      </c>
      <c r="AL659" s="314">
        <f t="shared" si="733"/>
        <v>0</v>
      </c>
      <c r="AM659" s="314">
        <f t="shared" si="734"/>
        <v>0</v>
      </c>
      <c r="AN659" s="314">
        <f t="shared" si="735"/>
        <v>0</v>
      </c>
      <c r="AO659" s="314">
        <f t="shared" si="736"/>
        <v>0</v>
      </c>
      <c r="AP659" s="314">
        <f t="shared" si="737"/>
        <v>0</v>
      </c>
    </row>
    <row r="660" spans="1:42" ht="27.6" hidden="1" outlineLevel="3">
      <c r="A660" s="593" t="s">
        <v>23</v>
      </c>
      <c r="B660" s="316" t="s">
        <v>1854</v>
      </c>
      <c r="C660" s="302"/>
      <c r="D660" s="304">
        <v>37</v>
      </c>
      <c r="E660" s="304">
        <f>F660+AC660</f>
        <v>0</v>
      </c>
      <c r="F660" s="304">
        <f>H660-AB660</f>
        <v>0</v>
      </c>
      <c r="G660" s="304">
        <f>F660-D660</f>
        <v>-37</v>
      </c>
      <c r="H660" s="303">
        <f t="shared" ref="H660:H661" si="806">I660+W660</f>
        <v>0</v>
      </c>
      <c r="I660" s="303"/>
      <c r="J660" s="311"/>
      <c r="K660" s="311"/>
      <c r="L660" s="311"/>
      <c r="M660" s="303"/>
      <c r="N660" s="311"/>
      <c r="O660" s="311"/>
      <c r="P660" s="303"/>
      <c r="Q660" s="311"/>
      <c r="R660" s="312"/>
      <c r="S660" s="303"/>
      <c r="T660" s="303"/>
      <c r="U660" s="303"/>
      <c r="V660" s="303"/>
      <c r="W660" s="303">
        <f t="shared" ref="W660:W661" si="807">Z660+AA660</f>
        <v>0</v>
      </c>
      <c r="X660" s="303"/>
      <c r="Y660" s="303"/>
      <c r="Z660" s="303"/>
      <c r="AA660" s="303"/>
      <c r="AB660" s="304"/>
      <c r="AC660" s="304"/>
      <c r="AD660" s="304"/>
      <c r="AE660" s="304"/>
      <c r="AF660" s="1625"/>
      <c r="AG660" s="314">
        <f t="shared" ref="AG660:AG725" si="808">E660-F660-AC660</f>
        <v>0</v>
      </c>
      <c r="AH660" s="696">
        <f t="shared" ref="AH660:AH725" si="809">F660-H660+AB660</f>
        <v>0</v>
      </c>
      <c r="AI660" s="314">
        <f t="shared" ref="AI660:AI725" si="810">H660-I660-W660</f>
        <v>0</v>
      </c>
      <c r="AJ660" s="314">
        <f t="shared" ref="AJ660:AJ725" si="811">I660-M660-P660</f>
        <v>0</v>
      </c>
      <c r="AK660" s="314">
        <f t="shared" ref="AK660:AK725" si="812">J660-K660-L660</f>
        <v>0</v>
      </c>
      <c r="AL660" s="314">
        <f t="shared" ref="AL660:AL725" si="813">M660-N660-O660</f>
        <v>0</v>
      </c>
      <c r="AM660" s="314">
        <f t="shared" ref="AM660:AM725" si="814">P660-S660-T660</f>
        <v>0</v>
      </c>
      <c r="AN660" s="314">
        <f t="shared" ref="AN660:AN725" si="815">T660-U660-V660</f>
        <v>0</v>
      </c>
      <c r="AO660" s="314">
        <f t="shared" ref="AO660:AO725" si="816">W660-Z660-AA660</f>
        <v>0</v>
      </c>
      <c r="AP660" s="314">
        <f t="shared" ref="AP660:AP725" si="817">AC660+AA660+Z660+V660+U660+S660+O660+N660-AB660-E660</f>
        <v>0</v>
      </c>
    </row>
    <row r="661" spans="1:42" ht="27.6" hidden="1" outlineLevel="3">
      <c r="A661" s="593" t="s">
        <v>23</v>
      </c>
      <c r="B661" s="316" t="s">
        <v>1866</v>
      </c>
      <c r="C661" s="302"/>
      <c r="D661" s="304">
        <v>40</v>
      </c>
      <c r="E661" s="304">
        <f>F661+AC661</f>
        <v>0</v>
      </c>
      <c r="F661" s="304">
        <f>H661-AB661</f>
        <v>0</v>
      </c>
      <c r="G661" s="304">
        <f>F661-D661</f>
        <v>-40</v>
      </c>
      <c r="H661" s="303">
        <f t="shared" si="806"/>
        <v>0</v>
      </c>
      <c r="I661" s="303"/>
      <c r="J661" s="311"/>
      <c r="K661" s="311"/>
      <c r="L661" s="311"/>
      <c r="M661" s="303"/>
      <c r="N661" s="311"/>
      <c r="O661" s="311"/>
      <c r="P661" s="303"/>
      <c r="Q661" s="311"/>
      <c r="R661" s="312"/>
      <c r="S661" s="303"/>
      <c r="T661" s="303"/>
      <c r="U661" s="303"/>
      <c r="V661" s="303"/>
      <c r="W661" s="303">
        <f t="shared" si="807"/>
        <v>0</v>
      </c>
      <c r="X661" s="303"/>
      <c r="Y661" s="303"/>
      <c r="Z661" s="303"/>
      <c r="AA661" s="303"/>
      <c r="AB661" s="304"/>
      <c r="AC661" s="304"/>
      <c r="AD661" s="304"/>
      <c r="AE661" s="304"/>
      <c r="AF661" s="1643"/>
      <c r="AG661" s="314">
        <f t="shared" si="808"/>
        <v>0</v>
      </c>
      <c r="AH661" s="696">
        <f t="shared" si="809"/>
        <v>0</v>
      </c>
      <c r="AI661" s="314">
        <f t="shared" si="810"/>
        <v>0</v>
      </c>
      <c r="AJ661" s="314">
        <f t="shared" si="811"/>
        <v>0</v>
      </c>
      <c r="AK661" s="314">
        <f t="shared" si="812"/>
        <v>0</v>
      </c>
      <c r="AL661" s="314">
        <f t="shared" si="813"/>
        <v>0</v>
      </c>
      <c r="AM661" s="314">
        <f t="shared" si="814"/>
        <v>0</v>
      </c>
      <c r="AN661" s="314">
        <f t="shared" si="815"/>
        <v>0</v>
      </c>
      <c r="AO661" s="314">
        <f t="shared" si="816"/>
        <v>0</v>
      </c>
      <c r="AP661" s="314">
        <f t="shared" si="817"/>
        <v>0</v>
      </c>
    </row>
    <row r="662" spans="1:42" hidden="1" outlineLevel="3">
      <c r="A662" s="593" t="s">
        <v>23</v>
      </c>
      <c r="B662" s="316" t="s">
        <v>1074</v>
      </c>
      <c r="C662" s="302"/>
      <c r="D662" s="304">
        <v>100</v>
      </c>
      <c r="E662" s="304">
        <f t="shared" si="800"/>
        <v>0</v>
      </c>
      <c r="F662" s="304">
        <f t="shared" si="801"/>
        <v>0</v>
      </c>
      <c r="G662" s="304">
        <f t="shared" si="802"/>
        <v>-100</v>
      </c>
      <c r="H662" s="303">
        <f>I662+W662</f>
        <v>0</v>
      </c>
      <c r="I662" s="303"/>
      <c r="J662" s="311"/>
      <c r="K662" s="311"/>
      <c r="L662" s="311"/>
      <c r="M662" s="303"/>
      <c r="N662" s="311"/>
      <c r="O662" s="311"/>
      <c r="P662" s="303"/>
      <c r="Q662" s="311"/>
      <c r="R662" s="312"/>
      <c r="S662" s="303"/>
      <c r="T662" s="303"/>
      <c r="U662" s="303"/>
      <c r="V662" s="303"/>
      <c r="W662" s="303">
        <f>Z662+AA662</f>
        <v>0</v>
      </c>
      <c r="X662" s="303"/>
      <c r="Y662" s="303"/>
      <c r="Z662" s="303"/>
      <c r="AA662" s="303"/>
      <c r="AB662" s="304"/>
      <c r="AC662" s="304"/>
      <c r="AD662" s="304"/>
      <c r="AE662" s="304"/>
      <c r="AG662" s="314">
        <f t="shared" si="808"/>
        <v>0</v>
      </c>
      <c r="AH662" s="696">
        <f t="shared" si="809"/>
        <v>0</v>
      </c>
      <c r="AI662" s="314">
        <f t="shared" si="810"/>
        <v>0</v>
      </c>
      <c r="AJ662" s="314">
        <f t="shared" si="811"/>
        <v>0</v>
      </c>
      <c r="AK662" s="314">
        <f t="shared" si="812"/>
        <v>0</v>
      </c>
      <c r="AL662" s="314">
        <f t="shared" si="813"/>
        <v>0</v>
      </c>
      <c r="AM662" s="314">
        <f t="shared" si="814"/>
        <v>0</v>
      </c>
      <c r="AN662" s="314">
        <f t="shared" si="815"/>
        <v>0</v>
      </c>
      <c r="AO662" s="314">
        <f t="shared" si="816"/>
        <v>0</v>
      </c>
      <c r="AP662" s="314">
        <f t="shared" si="817"/>
        <v>0</v>
      </c>
    </row>
    <row r="663" spans="1:42" ht="69" hidden="1" outlineLevel="3">
      <c r="A663" s="593" t="s">
        <v>23</v>
      </c>
      <c r="B663" s="316" t="s">
        <v>1814</v>
      </c>
      <c r="C663" s="302"/>
      <c r="D663" s="304">
        <v>495</v>
      </c>
      <c r="E663" s="304">
        <f t="shared" si="800"/>
        <v>0</v>
      </c>
      <c r="F663" s="304">
        <f t="shared" si="801"/>
        <v>0</v>
      </c>
      <c r="G663" s="304">
        <f t="shared" si="802"/>
        <v>-495</v>
      </c>
      <c r="H663" s="303">
        <f t="shared" ref="H663:H664" si="818">I663+W663</f>
        <v>0</v>
      </c>
      <c r="I663" s="303"/>
      <c r="J663" s="311"/>
      <c r="K663" s="311"/>
      <c r="L663" s="311"/>
      <c r="M663" s="303"/>
      <c r="N663" s="311"/>
      <c r="O663" s="311"/>
      <c r="P663" s="303"/>
      <c r="Q663" s="311"/>
      <c r="R663" s="312"/>
      <c r="S663" s="303"/>
      <c r="T663" s="303"/>
      <c r="U663" s="303"/>
      <c r="V663" s="303"/>
      <c r="W663" s="303">
        <f t="shared" ref="W663:W664" si="819">Z663+AA663</f>
        <v>0</v>
      </c>
      <c r="X663" s="303"/>
      <c r="Y663" s="303"/>
      <c r="Z663" s="303"/>
      <c r="AA663" s="303"/>
      <c r="AB663" s="304"/>
      <c r="AC663" s="304"/>
      <c r="AD663" s="304"/>
      <c r="AE663" s="304"/>
      <c r="AF663" s="317"/>
      <c r="AG663" s="314">
        <f t="shared" si="808"/>
        <v>0</v>
      </c>
      <c r="AH663" s="696">
        <f t="shared" si="809"/>
        <v>0</v>
      </c>
      <c r="AI663" s="314">
        <f t="shared" si="810"/>
        <v>0</v>
      </c>
      <c r="AJ663" s="314">
        <f t="shared" si="811"/>
        <v>0</v>
      </c>
      <c r="AK663" s="314">
        <f t="shared" si="812"/>
        <v>0</v>
      </c>
      <c r="AL663" s="314">
        <f t="shared" si="813"/>
        <v>0</v>
      </c>
      <c r="AM663" s="314">
        <f t="shared" si="814"/>
        <v>0</v>
      </c>
      <c r="AN663" s="314">
        <f t="shared" si="815"/>
        <v>0</v>
      </c>
      <c r="AO663" s="314">
        <f t="shared" si="816"/>
        <v>0</v>
      </c>
      <c r="AP663" s="314">
        <f t="shared" si="817"/>
        <v>0</v>
      </c>
    </row>
    <row r="664" spans="1:42" ht="41.4" hidden="1" outlineLevel="3">
      <c r="A664" s="593" t="s">
        <v>23</v>
      </c>
      <c r="B664" s="316" t="s">
        <v>1815</v>
      </c>
      <c r="C664" s="302"/>
      <c r="D664" s="304">
        <v>1143</v>
      </c>
      <c r="E664" s="304">
        <f t="shared" si="800"/>
        <v>0</v>
      </c>
      <c r="F664" s="304">
        <f t="shared" si="801"/>
        <v>0</v>
      </c>
      <c r="G664" s="304">
        <f t="shared" si="802"/>
        <v>-1143</v>
      </c>
      <c r="H664" s="303">
        <f t="shared" si="818"/>
        <v>0</v>
      </c>
      <c r="I664" s="303"/>
      <c r="J664" s="311"/>
      <c r="K664" s="311"/>
      <c r="L664" s="311"/>
      <c r="M664" s="303"/>
      <c r="N664" s="311"/>
      <c r="O664" s="311"/>
      <c r="P664" s="303"/>
      <c r="Q664" s="311"/>
      <c r="R664" s="312"/>
      <c r="S664" s="303"/>
      <c r="T664" s="303"/>
      <c r="U664" s="303"/>
      <c r="V664" s="303"/>
      <c r="W664" s="303">
        <f t="shared" si="819"/>
        <v>0</v>
      </c>
      <c r="X664" s="303"/>
      <c r="Y664" s="303"/>
      <c r="Z664" s="303"/>
      <c r="AA664" s="303"/>
      <c r="AB664" s="304"/>
      <c r="AC664" s="304"/>
      <c r="AD664" s="304"/>
      <c r="AE664" s="304"/>
      <c r="AF664" s="317"/>
      <c r="AG664" s="314">
        <f t="shared" si="808"/>
        <v>0</v>
      </c>
      <c r="AH664" s="696">
        <f t="shared" si="809"/>
        <v>0</v>
      </c>
      <c r="AI664" s="314">
        <f t="shared" si="810"/>
        <v>0</v>
      </c>
      <c r="AJ664" s="314">
        <f t="shared" si="811"/>
        <v>0</v>
      </c>
      <c r="AK664" s="314">
        <f t="shared" si="812"/>
        <v>0</v>
      </c>
      <c r="AL664" s="314">
        <f t="shared" si="813"/>
        <v>0</v>
      </c>
      <c r="AM664" s="314">
        <f t="shared" si="814"/>
        <v>0</v>
      </c>
      <c r="AN664" s="314">
        <f t="shared" si="815"/>
        <v>0</v>
      </c>
      <c r="AO664" s="314">
        <f t="shared" si="816"/>
        <v>0</v>
      </c>
      <c r="AP664" s="314">
        <f t="shared" si="817"/>
        <v>0</v>
      </c>
    </row>
    <row r="665" spans="1:42" s="314" customFormat="1">
      <c r="A665" s="592" t="s">
        <v>73</v>
      </c>
      <c r="B665" s="320" t="s">
        <v>1077</v>
      </c>
      <c r="C665" s="298" t="s">
        <v>749</v>
      </c>
      <c r="D665" s="299">
        <v>18381</v>
      </c>
      <c r="E665" s="299">
        <f>E666+E673</f>
        <v>22105</v>
      </c>
      <c r="F665" s="299">
        <f>F666+F673</f>
        <v>22105</v>
      </c>
      <c r="G665" s="299">
        <f t="shared" si="802"/>
        <v>3724</v>
      </c>
      <c r="H665" s="299">
        <f t="shared" ref="H665:AE665" si="820">H666+H673</f>
        <v>23275</v>
      </c>
      <c r="I665" s="299">
        <f t="shared" si="820"/>
        <v>0</v>
      </c>
      <c r="J665" s="299">
        <f t="shared" si="820"/>
        <v>0</v>
      </c>
      <c r="K665" s="299">
        <f t="shared" si="820"/>
        <v>0</v>
      </c>
      <c r="L665" s="299">
        <f t="shared" si="820"/>
        <v>0</v>
      </c>
      <c r="M665" s="299">
        <f t="shared" si="820"/>
        <v>0</v>
      </c>
      <c r="N665" s="299">
        <f t="shared" si="820"/>
        <v>0</v>
      </c>
      <c r="O665" s="299">
        <f t="shared" si="820"/>
        <v>0</v>
      </c>
      <c r="P665" s="299">
        <f t="shared" si="820"/>
        <v>0</v>
      </c>
      <c r="Q665" s="299">
        <f t="shared" si="820"/>
        <v>0</v>
      </c>
      <c r="R665" s="299">
        <f t="shared" si="820"/>
        <v>0</v>
      </c>
      <c r="S665" s="299">
        <f t="shared" si="820"/>
        <v>0</v>
      </c>
      <c r="T665" s="299">
        <f t="shared" si="820"/>
        <v>0</v>
      </c>
      <c r="U665" s="299">
        <f t="shared" si="820"/>
        <v>0</v>
      </c>
      <c r="V665" s="299">
        <f t="shared" si="820"/>
        <v>0</v>
      </c>
      <c r="W665" s="299">
        <f>W666+W673</f>
        <v>23275</v>
      </c>
      <c r="X665" s="299">
        <f>X666+X673</f>
        <v>0</v>
      </c>
      <c r="Y665" s="299">
        <f>Y666+Y673</f>
        <v>0</v>
      </c>
      <c r="Z665" s="299">
        <f t="shared" si="820"/>
        <v>21040</v>
      </c>
      <c r="AA665" s="299">
        <f>AA666+AA673</f>
        <v>2235</v>
      </c>
      <c r="AB665" s="299">
        <f>AB666+AB673</f>
        <v>1170</v>
      </c>
      <c r="AC665" s="299">
        <f t="shared" ref="AC665" si="821">AC666+AC673</f>
        <v>0</v>
      </c>
      <c r="AD665" s="299">
        <f t="shared" si="820"/>
        <v>408</v>
      </c>
      <c r="AE665" s="299">
        <f t="shared" si="820"/>
        <v>21697</v>
      </c>
      <c r="AF665" s="321"/>
      <c r="AG665" s="314">
        <f t="shared" si="808"/>
        <v>0</v>
      </c>
      <c r="AH665" s="696">
        <f t="shared" si="809"/>
        <v>0</v>
      </c>
      <c r="AI665" s="314">
        <f t="shared" si="810"/>
        <v>0</v>
      </c>
      <c r="AJ665" s="314">
        <f t="shared" si="811"/>
        <v>0</v>
      </c>
      <c r="AK665" s="314">
        <f t="shared" si="812"/>
        <v>0</v>
      </c>
      <c r="AL665" s="314">
        <f t="shared" si="813"/>
        <v>0</v>
      </c>
      <c r="AM665" s="314">
        <f t="shared" si="814"/>
        <v>0</v>
      </c>
      <c r="AN665" s="314">
        <f t="shared" si="815"/>
        <v>0</v>
      </c>
      <c r="AO665" s="314">
        <f t="shared" si="816"/>
        <v>0</v>
      </c>
      <c r="AP665" s="314">
        <f t="shared" si="817"/>
        <v>0</v>
      </c>
    </row>
    <row r="666" spans="1:42" s="314" customFormat="1" outlineLevel="1">
      <c r="A666" s="592" t="s">
        <v>393</v>
      </c>
      <c r="B666" s="320" t="s">
        <v>1073</v>
      </c>
      <c r="C666" s="298"/>
      <c r="D666" s="297">
        <v>15926</v>
      </c>
      <c r="E666" s="297">
        <f t="shared" ref="E666:E679" si="822">F666+AC666</f>
        <v>17420</v>
      </c>
      <c r="F666" s="297">
        <f>H666-AB666</f>
        <v>17420</v>
      </c>
      <c r="G666" s="304">
        <f t="shared" si="802"/>
        <v>1494</v>
      </c>
      <c r="H666" s="299">
        <f t="shared" ref="H666:V666" si="823">H667+H668+H669+H670+H671+H672</f>
        <v>18590</v>
      </c>
      <c r="I666" s="299">
        <f t="shared" si="823"/>
        <v>0</v>
      </c>
      <c r="J666" s="299">
        <f t="shared" si="823"/>
        <v>0</v>
      </c>
      <c r="K666" s="299">
        <f t="shared" si="823"/>
        <v>0</v>
      </c>
      <c r="L666" s="299">
        <f t="shared" si="823"/>
        <v>0</v>
      </c>
      <c r="M666" s="299">
        <f t="shared" si="823"/>
        <v>0</v>
      </c>
      <c r="N666" s="299">
        <f t="shared" si="823"/>
        <v>0</v>
      </c>
      <c r="O666" s="299">
        <f t="shared" si="823"/>
        <v>0</v>
      </c>
      <c r="P666" s="299">
        <f t="shared" si="823"/>
        <v>0</v>
      </c>
      <c r="Q666" s="299">
        <f t="shared" si="823"/>
        <v>0</v>
      </c>
      <c r="R666" s="299">
        <f t="shared" si="823"/>
        <v>0</v>
      </c>
      <c r="S666" s="299">
        <f t="shared" si="823"/>
        <v>0</v>
      </c>
      <c r="T666" s="299">
        <f t="shared" si="823"/>
        <v>0</v>
      </c>
      <c r="U666" s="299">
        <f t="shared" si="823"/>
        <v>0</v>
      </c>
      <c r="V666" s="299">
        <f t="shared" si="823"/>
        <v>0</v>
      </c>
      <c r="W666" s="299">
        <f>W667+W668+W669+W670+W671+W672</f>
        <v>18590</v>
      </c>
      <c r="X666" s="299"/>
      <c r="Y666" s="299"/>
      <c r="Z666" s="299">
        <f t="shared" ref="Z666" si="824">Z667+Z668+Z669+Z670+Z671+Z672</f>
        <v>18590</v>
      </c>
      <c r="AA666" s="299">
        <f>AA667+AA668+AA669+AA670+AA671+AA672</f>
        <v>0</v>
      </c>
      <c r="AB666" s="299">
        <v>1170</v>
      </c>
      <c r="AC666" s="299">
        <v>0</v>
      </c>
      <c r="AD666" s="299">
        <v>400</v>
      </c>
      <c r="AE666" s="299">
        <f>E666-AD666</f>
        <v>17020</v>
      </c>
      <c r="AF666" s="321"/>
      <c r="AG666" s="314">
        <f t="shared" si="808"/>
        <v>0</v>
      </c>
      <c r="AH666" s="696">
        <f t="shared" si="809"/>
        <v>0</v>
      </c>
      <c r="AI666" s="314">
        <f t="shared" si="810"/>
        <v>0</v>
      </c>
      <c r="AJ666" s="314">
        <f t="shared" si="811"/>
        <v>0</v>
      </c>
      <c r="AK666" s="314">
        <f t="shared" si="812"/>
        <v>0</v>
      </c>
      <c r="AL666" s="314">
        <f t="shared" si="813"/>
        <v>0</v>
      </c>
      <c r="AM666" s="314">
        <f t="shared" si="814"/>
        <v>0</v>
      </c>
      <c r="AN666" s="314">
        <f t="shared" si="815"/>
        <v>0</v>
      </c>
      <c r="AO666" s="314">
        <f t="shared" si="816"/>
        <v>0</v>
      </c>
      <c r="AP666" s="314">
        <f t="shared" si="817"/>
        <v>0</v>
      </c>
    </row>
    <row r="667" spans="1:42" ht="41.4" outlineLevel="1">
      <c r="A667" s="593" t="s">
        <v>23</v>
      </c>
      <c r="B667" s="316" t="s">
        <v>1078</v>
      </c>
      <c r="C667" s="302"/>
      <c r="D667" s="304"/>
      <c r="E667" s="304">
        <f t="shared" si="822"/>
        <v>0</v>
      </c>
      <c r="F667" s="304"/>
      <c r="G667" s="304">
        <f t="shared" si="802"/>
        <v>0</v>
      </c>
      <c r="H667" s="303">
        <f t="shared" ref="H667:H679" si="825">I667+W667</f>
        <v>1473</v>
      </c>
      <c r="I667" s="303"/>
      <c r="J667" s="311"/>
      <c r="K667" s="311"/>
      <c r="L667" s="311"/>
      <c r="M667" s="303"/>
      <c r="N667" s="311"/>
      <c r="O667" s="311"/>
      <c r="P667" s="303"/>
      <c r="Q667" s="311"/>
      <c r="R667" s="312"/>
      <c r="S667" s="303"/>
      <c r="T667" s="303"/>
      <c r="U667" s="303"/>
      <c r="V667" s="303"/>
      <c r="W667" s="303">
        <f t="shared" ref="W667:W672" si="826">Z667+AA667</f>
        <v>1473</v>
      </c>
      <c r="X667" s="303">
        <v>640.5</v>
      </c>
      <c r="Y667" s="325">
        <v>2.2999999999999998</v>
      </c>
      <c r="Z667" s="304">
        <f>ROUND(X667*Y667,0)</f>
        <v>1473</v>
      </c>
      <c r="AA667" s="303"/>
      <c r="AB667" s="304"/>
      <c r="AC667" s="304"/>
      <c r="AD667" s="304"/>
      <c r="AE667" s="304"/>
      <c r="AF667" s="317"/>
      <c r="AG667" s="314">
        <f t="shared" si="808"/>
        <v>0</v>
      </c>
      <c r="AH667" s="696">
        <f t="shared" si="809"/>
        <v>-1473</v>
      </c>
      <c r="AI667" s="314">
        <f t="shared" si="810"/>
        <v>0</v>
      </c>
      <c r="AJ667" s="314">
        <f t="shared" si="811"/>
        <v>0</v>
      </c>
      <c r="AK667" s="314">
        <f t="shared" si="812"/>
        <v>0</v>
      </c>
      <c r="AL667" s="314">
        <f t="shared" si="813"/>
        <v>0</v>
      </c>
      <c r="AM667" s="314">
        <f t="shared" si="814"/>
        <v>0</v>
      </c>
      <c r="AN667" s="314">
        <f t="shared" si="815"/>
        <v>0</v>
      </c>
      <c r="AO667" s="314">
        <f t="shared" si="816"/>
        <v>0</v>
      </c>
      <c r="AP667" s="314">
        <f t="shared" si="817"/>
        <v>1473</v>
      </c>
    </row>
    <row r="668" spans="1:42" ht="41.4" outlineLevel="1">
      <c r="A668" s="593" t="s">
        <v>23</v>
      </c>
      <c r="B668" s="316" t="s">
        <v>1079</v>
      </c>
      <c r="C668" s="302"/>
      <c r="D668" s="304"/>
      <c r="E668" s="304">
        <f t="shared" si="822"/>
        <v>0</v>
      </c>
      <c r="F668" s="304"/>
      <c r="G668" s="304">
        <f t="shared" si="802"/>
        <v>0</v>
      </c>
      <c r="H668" s="303">
        <f t="shared" si="825"/>
        <v>1745</v>
      </c>
      <c r="I668" s="303"/>
      <c r="J668" s="311"/>
      <c r="K668" s="311"/>
      <c r="L668" s="311"/>
      <c r="M668" s="303"/>
      <c r="N668" s="311"/>
      <c r="O668" s="311"/>
      <c r="P668" s="303"/>
      <c r="Q668" s="311"/>
      <c r="R668" s="312"/>
      <c r="S668" s="303"/>
      <c r="T668" s="303"/>
      <c r="U668" s="303"/>
      <c r="V668" s="303"/>
      <c r="W668" s="303">
        <f t="shared" si="826"/>
        <v>1745</v>
      </c>
      <c r="X668" s="303">
        <v>1163</v>
      </c>
      <c r="Y668" s="325">
        <v>1.5</v>
      </c>
      <c r="Z668" s="304">
        <f t="shared" ref="Z668:Z672" si="827">ROUND(X668*Y668,0)</f>
        <v>1745</v>
      </c>
      <c r="AA668" s="303"/>
      <c r="AB668" s="304"/>
      <c r="AC668" s="304"/>
      <c r="AD668" s="304"/>
      <c r="AE668" s="304"/>
      <c r="AF668" s="317"/>
      <c r="AG668" s="314">
        <f t="shared" si="808"/>
        <v>0</v>
      </c>
      <c r="AH668" s="696">
        <f t="shared" si="809"/>
        <v>-1745</v>
      </c>
      <c r="AI668" s="314">
        <f t="shared" si="810"/>
        <v>0</v>
      </c>
      <c r="AJ668" s="314">
        <f t="shared" si="811"/>
        <v>0</v>
      </c>
      <c r="AK668" s="314">
        <f t="shared" si="812"/>
        <v>0</v>
      </c>
      <c r="AL668" s="314">
        <f t="shared" si="813"/>
        <v>0</v>
      </c>
      <c r="AM668" s="314">
        <f t="shared" si="814"/>
        <v>0</v>
      </c>
      <c r="AN668" s="314">
        <f t="shared" si="815"/>
        <v>0</v>
      </c>
      <c r="AO668" s="314">
        <f t="shared" si="816"/>
        <v>0</v>
      </c>
      <c r="AP668" s="314">
        <f t="shared" si="817"/>
        <v>1745</v>
      </c>
    </row>
    <row r="669" spans="1:42" ht="41.4" outlineLevel="1">
      <c r="A669" s="593" t="s">
        <v>23</v>
      </c>
      <c r="B669" s="316" t="s">
        <v>1080</v>
      </c>
      <c r="C669" s="302"/>
      <c r="D669" s="304"/>
      <c r="E669" s="304">
        <f t="shared" si="822"/>
        <v>0</v>
      </c>
      <c r="F669" s="304"/>
      <c r="G669" s="304">
        <f t="shared" si="802"/>
        <v>0</v>
      </c>
      <c r="H669" s="303">
        <f t="shared" si="825"/>
        <v>13585</v>
      </c>
      <c r="I669" s="303"/>
      <c r="J669" s="311"/>
      <c r="K669" s="311"/>
      <c r="L669" s="311"/>
      <c r="M669" s="303"/>
      <c r="N669" s="311"/>
      <c r="O669" s="311"/>
      <c r="P669" s="303"/>
      <c r="Q669" s="311"/>
      <c r="R669" s="312"/>
      <c r="S669" s="303"/>
      <c r="T669" s="303"/>
      <c r="U669" s="303"/>
      <c r="V669" s="303"/>
      <c r="W669" s="303">
        <f t="shared" si="826"/>
        <v>13585</v>
      </c>
      <c r="X669" s="303">
        <v>1861</v>
      </c>
      <c r="Y669" s="325">
        <v>7.3</v>
      </c>
      <c r="Z669" s="304">
        <f t="shared" si="827"/>
        <v>13585</v>
      </c>
      <c r="AA669" s="303"/>
      <c r="AB669" s="304"/>
      <c r="AC669" s="304"/>
      <c r="AD669" s="304"/>
      <c r="AE669" s="304"/>
      <c r="AF669" s="317"/>
      <c r="AG669" s="314">
        <f t="shared" si="808"/>
        <v>0</v>
      </c>
      <c r="AH669" s="696">
        <f t="shared" si="809"/>
        <v>-13585</v>
      </c>
      <c r="AI669" s="314">
        <f t="shared" si="810"/>
        <v>0</v>
      </c>
      <c r="AJ669" s="314">
        <f t="shared" si="811"/>
        <v>0</v>
      </c>
      <c r="AK669" s="314">
        <f t="shared" si="812"/>
        <v>0</v>
      </c>
      <c r="AL669" s="314">
        <f t="shared" si="813"/>
        <v>0</v>
      </c>
      <c r="AM669" s="314">
        <f t="shared" si="814"/>
        <v>0</v>
      </c>
      <c r="AN669" s="314">
        <f t="shared" si="815"/>
        <v>0</v>
      </c>
      <c r="AO669" s="314">
        <f t="shared" si="816"/>
        <v>0</v>
      </c>
      <c r="AP669" s="314">
        <f t="shared" si="817"/>
        <v>13585</v>
      </c>
    </row>
    <row r="670" spans="1:42" ht="41.4" outlineLevel="1">
      <c r="A670" s="593" t="s">
        <v>23</v>
      </c>
      <c r="B670" s="316" t="s">
        <v>1081</v>
      </c>
      <c r="C670" s="302"/>
      <c r="D670" s="304"/>
      <c r="E670" s="304">
        <f t="shared" si="822"/>
        <v>0</v>
      </c>
      <c r="F670" s="304"/>
      <c r="G670" s="304">
        <f t="shared" si="802"/>
        <v>0</v>
      </c>
      <c r="H670" s="303">
        <f t="shared" si="825"/>
        <v>854</v>
      </c>
      <c r="I670" s="303"/>
      <c r="J670" s="311"/>
      <c r="K670" s="311"/>
      <c r="L670" s="311"/>
      <c r="M670" s="303"/>
      <c r="N670" s="311"/>
      <c r="O670" s="311"/>
      <c r="P670" s="303"/>
      <c r="Q670" s="311"/>
      <c r="R670" s="312"/>
      <c r="S670" s="303"/>
      <c r="T670" s="303"/>
      <c r="U670" s="303"/>
      <c r="V670" s="303"/>
      <c r="W670" s="303">
        <f t="shared" si="826"/>
        <v>854</v>
      </c>
      <c r="X670" s="303">
        <v>117</v>
      </c>
      <c r="Y670" s="325">
        <v>7.3</v>
      </c>
      <c r="Z670" s="304">
        <f t="shared" si="827"/>
        <v>854</v>
      </c>
      <c r="AA670" s="303"/>
      <c r="AB670" s="304"/>
      <c r="AC670" s="304"/>
      <c r="AD670" s="304"/>
      <c r="AE670" s="304"/>
      <c r="AF670" s="317"/>
      <c r="AG670" s="314">
        <f t="shared" si="808"/>
        <v>0</v>
      </c>
      <c r="AH670" s="696">
        <f t="shared" si="809"/>
        <v>-854</v>
      </c>
      <c r="AI670" s="314">
        <f t="shared" si="810"/>
        <v>0</v>
      </c>
      <c r="AJ670" s="314">
        <f t="shared" si="811"/>
        <v>0</v>
      </c>
      <c r="AK670" s="314">
        <f t="shared" si="812"/>
        <v>0</v>
      </c>
      <c r="AL670" s="314">
        <f t="shared" si="813"/>
        <v>0</v>
      </c>
      <c r="AM670" s="314">
        <f t="shared" si="814"/>
        <v>0</v>
      </c>
      <c r="AN670" s="314">
        <f t="shared" si="815"/>
        <v>0</v>
      </c>
      <c r="AO670" s="314">
        <f t="shared" si="816"/>
        <v>0</v>
      </c>
      <c r="AP670" s="314">
        <f t="shared" si="817"/>
        <v>854</v>
      </c>
    </row>
    <row r="671" spans="1:42" ht="27.6" outlineLevel="1">
      <c r="A671" s="593" t="s">
        <v>23</v>
      </c>
      <c r="B671" s="316" t="s">
        <v>1082</v>
      </c>
      <c r="C671" s="302"/>
      <c r="D671" s="304"/>
      <c r="E671" s="304">
        <f t="shared" si="822"/>
        <v>0</v>
      </c>
      <c r="F671" s="304"/>
      <c r="G671" s="304">
        <f t="shared" si="802"/>
        <v>0</v>
      </c>
      <c r="H671" s="303">
        <f t="shared" si="825"/>
        <v>460</v>
      </c>
      <c r="I671" s="303"/>
      <c r="J671" s="311"/>
      <c r="K671" s="311"/>
      <c r="L671" s="311"/>
      <c r="M671" s="303"/>
      <c r="N671" s="311"/>
      <c r="O671" s="311"/>
      <c r="P671" s="303"/>
      <c r="Q671" s="311"/>
      <c r="R671" s="312"/>
      <c r="S671" s="303"/>
      <c r="T671" s="303"/>
      <c r="U671" s="303"/>
      <c r="V671" s="303"/>
      <c r="W671" s="303">
        <f t="shared" si="826"/>
        <v>460</v>
      </c>
      <c r="X671" s="303">
        <v>6570</v>
      </c>
      <c r="Y671" s="328">
        <v>7.0000000000000007E-2</v>
      </c>
      <c r="Z671" s="304">
        <f t="shared" si="827"/>
        <v>460</v>
      </c>
      <c r="AA671" s="303"/>
      <c r="AB671" s="304"/>
      <c r="AC671" s="304"/>
      <c r="AD671" s="304"/>
      <c r="AE671" s="304"/>
      <c r="AF671" s="317"/>
      <c r="AG671" s="314">
        <f t="shared" si="808"/>
        <v>0</v>
      </c>
      <c r="AH671" s="696">
        <f t="shared" si="809"/>
        <v>-460</v>
      </c>
      <c r="AI671" s="314">
        <f t="shared" si="810"/>
        <v>0</v>
      </c>
      <c r="AJ671" s="314">
        <f t="shared" si="811"/>
        <v>0</v>
      </c>
      <c r="AK671" s="314">
        <f t="shared" si="812"/>
        <v>0</v>
      </c>
      <c r="AL671" s="314">
        <f t="shared" si="813"/>
        <v>0</v>
      </c>
      <c r="AM671" s="314">
        <f t="shared" si="814"/>
        <v>0</v>
      </c>
      <c r="AN671" s="314">
        <f t="shared" si="815"/>
        <v>0</v>
      </c>
      <c r="AO671" s="314">
        <f t="shared" si="816"/>
        <v>0</v>
      </c>
      <c r="AP671" s="314">
        <f t="shared" si="817"/>
        <v>460</v>
      </c>
    </row>
    <row r="672" spans="1:42" ht="27.6" outlineLevel="1">
      <c r="A672" s="593" t="s">
        <v>23</v>
      </c>
      <c r="B672" s="316" t="s">
        <v>1364</v>
      </c>
      <c r="C672" s="302"/>
      <c r="D672" s="304"/>
      <c r="E672" s="304">
        <f t="shared" si="822"/>
        <v>0</v>
      </c>
      <c r="F672" s="304"/>
      <c r="G672" s="304">
        <f t="shared" si="802"/>
        <v>0</v>
      </c>
      <c r="H672" s="303">
        <f t="shared" si="825"/>
        <v>473</v>
      </c>
      <c r="I672" s="303"/>
      <c r="J672" s="311"/>
      <c r="K672" s="311"/>
      <c r="L672" s="311"/>
      <c r="M672" s="303"/>
      <c r="N672" s="311"/>
      <c r="O672" s="311"/>
      <c r="P672" s="303"/>
      <c r="Q672" s="311"/>
      <c r="R672" s="312"/>
      <c r="S672" s="303"/>
      <c r="T672" s="303"/>
      <c r="U672" s="303"/>
      <c r="V672" s="303"/>
      <c r="W672" s="303">
        <f t="shared" si="826"/>
        <v>473</v>
      </c>
      <c r="X672" s="303">
        <v>6752.5</v>
      </c>
      <c r="Y672" s="328">
        <v>7.0000000000000007E-2</v>
      </c>
      <c r="Z672" s="304">
        <f t="shared" si="827"/>
        <v>473</v>
      </c>
      <c r="AA672" s="303"/>
      <c r="AB672" s="304"/>
      <c r="AC672" s="304"/>
      <c r="AD672" s="304"/>
      <c r="AE672" s="304"/>
      <c r="AF672" s="317"/>
      <c r="AG672" s="314">
        <f t="shared" si="808"/>
        <v>0</v>
      </c>
      <c r="AH672" s="696">
        <f t="shared" si="809"/>
        <v>-473</v>
      </c>
      <c r="AI672" s="314">
        <f t="shared" si="810"/>
        <v>0</v>
      </c>
      <c r="AJ672" s="314">
        <f t="shared" si="811"/>
        <v>0</v>
      </c>
      <c r="AK672" s="314">
        <f t="shared" si="812"/>
        <v>0</v>
      </c>
      <c r="AL672" s="314">
        <f t="shared" si="813"/>
        <v>0</v>
      </c>
      <c r="AM672" s="314">
        <f t="shared" si="814"/>
        <v>0</v>
      </c>
      <c r="AN672" s="314">
        <f t="shared" si="815"/>
        <v>0</v>
      </c>
      <c r="AO672" s="314">
        <f t="shared" si="816"/>
        <v>0</v>
      </c>
      <c r="AP672" s="314">
        <f t="shared" si="817"/>
        <v>473</v>
      </c>
    </row>
    <row r="673" spans="1:42" s="314" customFormat="1" outlineLevel="1">
      <c r="A673" s="592" t="s">
        <v>396</v>
      </c>
      <c r="B673" s="320" t="s">
        <v>1067</v>
      </c>
      <c r="C673" s="298"/>
      <c r="D673" s="297">
        <v>2455</v>
      </c>
      <c r="E673" s="297">
        <f>F673+AC673</f>
        <v>4685</v>
      </c>
      <c r="F673" s="297">
        <f>H673-AB673</f>
        <v>4685</v>
      </c>
      <c r="G673" s="297">
        <f>F673-D673</f>
        <v>2230</v>
      </c>
      <c r="H673" s="299">
        <f>I673+W673</f>
        <v>4685</v>
      </c>
      <c r="I673" s="299"/>
      <c r="J673" s="318"/>
      <c r="K673" s="318"/>
      <c r="L673" s="318"/>
      <c r="M673" s="299"/>
      <c r="N673" s="318"/>
      <c r="O673" s="318"/>
      <c r="P673" s="299"/>
      <c r="Q673" s="318"/>
      <c r="R673" s="319"/>
      <c r="S673" s="299"/>
      <c r="T673" s="299"/>
      <c r="U673" s="299"/>
      <c r="V673" s="299"/>
      <c r="W673" s="299">
        <f>Z673+AA673</f>
        <v>4685</v>
      </c>
      <c r="X673" s="299"/>
      <c r="Y673" s="871"/>
      <c r="Z673" s="299">
        <f>Z674+Z675+Z676+Z677+Z678+Z679</f>
        <v>2450</v>
      </c>
      <c r="AA673" s="299">
        <f>AA674+AA675+AA676+AA677+AA678+AA679</f>
        <v>2235</v>
      </c>
      <c r="AB673" s="297"/>
      <c r="AC673" s="297"/>
      <c r="AD673" s="297">
        <v>8</v>
      </c>
      <c r="AE673" s="299">
        <f>E673-AD673</f>
        <v>4677</v>
      </c>
      <c r="AF673" s="321"/>
      <c r="AG673" s="314">
        <f t="shared" si="808"/>
        <v>0</v>
      </c>
      <c r="AH673" s="696">
        <f t="shared" si="809"/>
        <v>0</v>
      </c>
      <c r="AI673" s="314">
        <f t="shared" si="810"/>
        <v>0</v>
      </c>
      <c r="AJ673" s="314">
        <f t="shared" si="811"/>
        <v>0</v>
      </c>
      <c r="AK673" s="314">
        <f t="shared" si="812"/>
        <v>0</v>
      </c>
      <c r="AL673" s="314">
        <f t="shared" si="813"/>
        <v>0</v>
      </c>
      <c r="AM673" s="314">
        <f t="shared" si="814"/>
        <v>0</v>
      </c>
      <c r="AN673" s="314">
        <f t="shared" si="815"/>
        <v>0</v>
      </c>
      <c r="AO673" s="314">
        <f t="shared" si="816"/>
        <v>0</v>
      </c>
      <c r="AP673" s="314">
        <f t="shared" si="817"/>
        <v>0</v>
      </c>
    </row>
    <row r="674" spans="1:42" ht="27.6" outlineLevel="1">
      <c r="A674" s="593" t="s">
        <v>23</v>
      </c>
      <c r="B674" s="324" t="s">
        <v>1083</v>
      </c>
      <c r="C674" s="302"/>
      <c r="D674" s="304">
        <v>2300</v>
      </c>
      <c r="E674" s="304">
        <f t="shared" si="822"/>
        <v>4500</v>
      </c>
      <c r="F674" s="304">
        <f t="shared" ref="F674:F679" si="828">H674-AB674</f>
        <v>4500</v>
      </c>
      <c r="G674" s="304">
        <f t="shared" si="802"/>
        <v>2200</v>
      </c>
      <c r="H674" s="303">
        <f t="shared" si="825"/>
        <v>4500</v>
      </c>
      <c r="I674" s="303"/>
      <c r="J674" s="311"/>
      <c r="K674" s="311"/>
      <c r="L674" s="311"/>
      <c r="M674" s="303"/>
      <c r="N674" s="311"/>
      <c r="O674" s="311"/>
      <c r="P674" s="303"/>
      <c r="Q674" s="311"/>
      <c r="R674" s="312"/>
      <c r="S674" s="303"/>
      <c r="T674" s="303"/>
      <c r="U674" s="303"/>
      <c r="V674" s="303"/>
      <c r="W674" s="303">
        <f t="shared" ref="W674:W679" si="829">Z674+AA674</f>
        <v>4500</v>
      </c>
      <c r="X674" s="303"/>
      <c r="Y674" s="303"/>
      <c r="Z674" s="303">
        <v>2300</v>
      </c>
      <c r="AA674" s="303">
        <v>2200</v>
      </c>
      <c r="AB674" s="304"/>
      <c r="AC674" s="304"/>
      <c r="AD674" s="304"/>
      <c r="AE674" s="304"/>
      <c r="AF674" s="317" t="s">
        <v>2332</v>
      </c>
      <c r="AG674" s="314">
        <f t="shared" si="808"/>
        <v>0</v>
      </c>
      <c r="AH674" s="696">
        <f t="shared" si="809"/>
        <v>0</v>
      </c>
      <c r="AI674" s="314">
        <f t="shared" si="810"/>
        <v>0</v>
      </c>
      <c r="AJ674" s="314">
        <f t="shared" si="811"/>
        <v>0</v>
      </c>
      <c r="AK674" s="314">
        <f t="shared" si="812"/>
        <v>0</v>
      </c>
      <c r="AL674" s="314">
        <f t="shared" si="813"/>
        <v>0</v>
      </c>
      <c r="AM674" s="314">
        <f t="shared" si="814"/>
        <v>0</v>
      </c>
      <c r="AN674" s="314">
        <f t="shared" si="815"/>
        <v>0</v>
      </c>
      <c r="AO674" s="314">
        <f t="shared" si="816"/>
        <v>0</v>
      </c>
      <c r="AP674" s="314">
        <f t="shared" si="817"/>
        <v>0</v>
      </c>
    </row>
    <row r="675" spans="1:42" ht="41.4" outlineLevel="1">
      <c r="A675" s="593" t="s">
        <v>23</v>
      </c>
      <c r="B675" s="324" t="s">
        <v>2185</v>
      </c>
      <c r="C675" s="302"/>
      <c r="D675" s="304">
        <v>100</v>
      </c>
      <c r="E675" s="304">
        <f t="shared" si="822"/>
        <v>100</v>
      </c>
      <c r="F675" s="304">
        <f t="shared" si="828"/>
        <v>100</v>
      </c>
      <c r="G675" s="304">
        <f t="shared" si="802"/>
        <v>0</v>
      </c>
      <c r="H675" s="303">
        <f t="shared" si="825"/>
        <v>100</v>
      </c>
      <c r="I675" s="303"/>
      <c r="J675" s="311"/>
      <c r="K675" s="311"/>
      <c r="L675" s="311"/>
      <c r="M675" s="303"/>
      <c r="N675" s="311"/>
      <c r="O675" s="311"/>
      <c r="P675" s="303"/>
      <c r="Q675" s="311"/>
      <c r="R675" s="312"/>
      <c r="S675" s="303"/>
      <c r="T675" s="303"/>
      <c r="U675" s="303"/>
      <c r="V675" s="303"/>
      <c r="W675" s="303">
        <f t="shared" si="829"/>
        <v>100</v>
      </c>
      <c r="X675" s="303"/>
      <c r="Y675" s="303"/>
      <c r="Z675" s="303">
        <f>75+25</f>
        <v>100</v>
      </c>
      <c r="AA675" s="303"/>
      <c r="AB675" s="304"/>
      <c r="AC675" s="304"/>
      <c r="AD675" s="304"/>
      <c r="AE675" s="304"/>
      <c r="AF675" s="317"/>
      <c r="AG675" s="314">
        <f t="shared" si="808"/>
        <v>0</v>
      </c>
      <c r="AH675" s="696">
        <f t="shared" si="809"/>
        <v>0</v>
      </c>
      <c r="AI675" s="314">
        <f t="shared" si="810"/>
        <v>0</v>
      </c>
      <c r="AJ675" s="314">
        <f t="shared" si="811"/>
        <v>0</v>
      </c>
      <c r="AK675" s="314">
        <f t="shared" si="812"/>
        <v>0</v>
      </c>
      <c r="AL675" s="314">
        <f t="shared" si="813"/>
        <v>0</v>
      </c>
      <c r="AM675" s="314">
        <f t="shared" si="814"/>
        <v>0</v>
      </c>
      <c r="AN675" s="314">
        <f t="shared" si="815"/>
        <v>0</v>
      </c>
      <c r="AO675" s="314">
        <f t="shared" si="816"/>
        <v>0</v>
      </c>
      <c r="AP675" s="314">
        <f t="shared" si="817"/>
        <v>0</v>
      </c>
    </row>
    <row r="676" spans="1:42" outlineLevel="1">
      <c r="A676" s="593" t="s">
        <v>23</v>
      </c>
      <c r="B676" s="310" t="s">
        <v>838</v>
      </c>
      <c r="C676" s="308"/>
      <c r="D676" s="304">
        <v>10</v>
      </c>
      <c r="E676" s="304">
        <f t="shared" si="822"/>
        <v>10</v>
      </c>
      <c r="F676" s="304">
        <f t="shared" si="828"/>
        <v>10</v>
      </c>
      <c r="G676" s="304">
        <f t="shared" si="802"/>
        <v>0</v>
      </c>
      <c r="H676" s="303">
        <f t="shared" si="825"/>
        <v>10</v>
      </c>
      <c r="I676" s="303">
        <f t="shared" ref="I676:I679" si="830">M676+P676</f>
        <v>0</v>
      </c>
      <c r="J676" s="311"/>
      <c r="K676" s="311"/>
      <c r="L676" s="311"/>
      <c r="M676" s="303"/>
      <c r="N676" s="311"/>
      <c r="O676" s="311"/>
      <c r="P676" s="303">
        <f t="shared" ref="P676:P678" si="831">S676+T676</f>
        <v>0</v>
      </c>
      <c r="Q676" s="311"/>
      <c r="R676" s="312"/>
      <c r="S676" s="304"/>
      <c r="T676" s="303">
        <f t="shared" ref="T676:T678" si="832">U676+V676</f>
        <v>0</v>
      </c>
      <c r="U676" s="304"/>
      <c r="V676" s="304"/>
      <c r="W676" s="303">
        <f t="shared" si="829"/>
        <v>10</v>
      </c>
      <c r="X676" s="303"/>
      <c r="Y676" s="303"/>
      <c r="Z676" s="304">
        <v>10</v>
      </c>
      <c r="AA676" s="304"/>
      <c r="AB676" s="304"/>
      <c r="AC676" s="304"/>
      <c r="AD676" s="304"/>
      <c r="AE676" s="304"/>
      <c r="AF676" s="332"/>
      <c r="AG676" s="314">
        <f t="shared" si="808"/>
        <v>0</v>
      </c>
      <c r="AH676" s="696">
        <f t="shared" si="809"/>
        <v>0</v>
      </c>
      <c r="AI676" s="314">
        <f t="shared" si="810"/>
        <v>0</v>
      </c>
      <c r="AJ676" s="314">
        <f t="shared" si="811"/>
        <v>0</v>
      </c>
      <c r="AK676" s="314">
        <f t="shared" si="812"/>
        <v>0</v>
      </c>
      <c r="AL676" s="314">
        <f t="shared" si="813"/>
        <v>0</v>
      </c>
      <c r="AM676" s="314">
        <f t="shared" si="814"/>
        <v>0</v>
      </c>
      <c r="AN676" s="314">
        <f t="shared" si="815"/>
        <v>0</v>
      </c>
      <c r="AO676" s="314">
        <f t="shared" si="816"/>
        <v>0</v>
      </c>
      <c r="AP676" s="314">
        <f t="shared" si="817"/>
        <v>0</v>
      </c>
    </row>
    <row r="677" spans="1:42" ht="41.4" outlineLevel="1">
      <c r="A677" s="593" t="s">
        <v>23</v>
      </c>
      <c r="B677" s="310" t="s">
        <v>2150</v>
      </c>
      <c r="C677" s="308"/>
      <c r="D677" s="304"/>
      <c r="E677" s="304">
        <f t="shared" si="822"/>
        <v>40</v>
      </c>
      <c r="F677" s="304">
        <f t="shared" si="828"/>
        <v>40</v>
      </c>
      <c r="G677" s="304">
        <f t="shared" si="802"/>
        <v>40</v>
      </c>
      <c r="H677" s="303">
        <f t="shared" si="825"/>
        <v>40</v>
      </c>
      <c r="I677" s="303">
        <f t="shared" si="830"/>
        <v>0</v>
      </c>
      <c r="J677" s="311"/>
      <c r="K677" s="311"/>
      <c r="L677" s="311"/>
      <c r="M677" s="303"/>
      <c r="N677" s="311"/>
      <c r="O677" s="311"/>
      <c r="P677" s="303">
        <f t="shared" si="831"/>
        <v>0</v>
      </c>
      <c r="Q677" s="311"/>
      <c r="R677" s="312"/>
      <c r="S677" s="304"/>
      <c r="T677" s="303">
        <f t="shared" si="832"/>
        <v>0</v>
      </c>
      <c r="U677" s="304"/>
      <c r="V677" s="304"/>
      <c r="W677" s="303">
        <f t="shared" si="829"/>
        <v>40</v>
      </c>
      <c r="X677" s="303"/>
      <c r="Y677" s="303"/>
      <c r="Z677" s="304">
        <v>40</v>
      </c>
      <c r="AA677" s="304"/>
      <c r="AB677" s="304"/>
      <c r="AC677" s="304"/>
      <c r="AD677" s="304"/>
      <c r="AE677" s="304"/>
      <c r="AF677" s="332" t="s">
        <v>2151</v>
      </c>
      <c r="AG677" s="314">
        <f t="shared" si="808"/>
        <v>0</v>
      </c>
      <c r="AH677" s="696">
        <f t="shared" si="809"/>
        <v>0</v>
      </c>
      <c r="AI677" s="314">
        <f t="shared" si="810"/>
        <v>0</v>
      </c>
      <c r="AJ677" s="314">
        <f t="shared" si="811"/>
        <v>0</v>
      </c>
      <c r="AK677" s="314">
        <f t="shared" si="812"/>
        <v>0</v>
      </c>
      <c r="AL677" s="314">
        <f t="shared" si="813"/>
        <v>0</v>
      </c>
      <c r="AM677" s="314">
        <f t="shared" si="814"/>
        <v>0</v>
      </c>
      <c r="AN677" s="314">
        <f t="shared" si="815"/>
        <v>0</v>
      </c>
      <c r="AO677" s="314">
        <f t="shared" si="816"/>
        <v>0</v>
      </c>
      <c r="AP677" s="314">
        <f t="shared" si="817"/>
        <v>0</v>
      </c>
    </row>
    <row r="678" spans="1:42" ht="27.6" hidden="1" outlineLevel="3">
      <c r="A678" s="593" t="s">
        <v>23</v>
      </c>
      <c r="B678" s="310" t="s">
        <v>1695</v>
      </c>
      <c r="C678" s="308"/>
      <c r="D678" s="304">
        <v>45</v>
      </c>
      <c r="E678" s="304">
        <f t="shared" si="822"/>
        <v>0</v>
      </c>
      <c r="F678" s="304">
        <f t="shared" si="828"/>
        <v>0</v>
      </c>
      <c r="G678" s="304">
        <f t="shared" si="802"/>
        <v>-45</v>
      </c>
      <c r="H678" s="303">
        <f t="shared" si="825"/>
        <v>0</v>
      </c>
      <c r="I678" s="303">
        <f t="shared" si="830"/>
        <v>0</v>
      </c>
      <c r="J678" s="311"/>
      <c r="K678" s="311"/>
      <c r="L678" s="311"/>
      <c r="M678" s="303"/>
      <c r="N678" s="311"/>
      <c r="O678" s="311"/>
      <c r="P678" s="303">
        <f t="shared" si="831"/>
        <v>0</v>
      </c>
      <c r="Q678" s="311"/>
      <c r="R678" s="312"/>
      <c r="S678" s="304"/>
      <c r="T678" s="303">
        <f t="shared" si="832"/>
        <v>0</v>
      </c>
      <c r="U678" s="304"/>
      <c r="V678" s="304"/>
      <c r="W678" s="303">
        <f t="shared" si="829"/>
        <v>0</v>
      </c>
      <c r="X678" s="303"/>
      <c r="Y678" s="303"/>
      <c r="Z678" s="304"/>
      <c r="AA678" s="304"/>
      <c r="AB678" s="304"/>
      <c r="AC678" s="304"/>
      <c r="AD678" s="304"/>
      <c r="AE678" s="304"/>
      <c r="AF678" s="332"/>
      <c r="AG678" s="314">
        <f t="shared" si="808"/>
        <v>0</v>
      </c>
      <c r="AH678" s="696">
        <f t="shared" si="809"/>
        <v>0</v>
      </c>
      <c r="AI678" s="314">
        <f t="shared" si="810"/>
        <v>0</v>
      </c>
      <c r="AJ678" s="314">
        <f t="shared" si="811"/>
        <v>0</v>
      </c>
      <c r="AK678" s="314">
        <f t="shared" si="812"/>
        <v>0</v>
      </c>
      <c r="AL678" s="314">
        <f t="shared" si="813"/>
        <v>0</v>
      </c>
      <c r="AM678" s="314">
        <f t="shared" si="814"/>
        <v>0</v>
      </c>
      <c r="AN678" s="314">
        <f t="shared" si="815"/>
        <v>0</v>
      </c>
      <c r="AO678" s="314">
        <f t="shared" si="816"/>
        <v>0</v>
      </c>
      <c r="AP678" s="314">
        <f t="shared" si="817"/>
        <v>0</v>
      </c>
    </row>
    <row r="679" spans="1:42" ht="55.2" outlineLevel="1" collapsed="1">
      <c r="A679" s="593" t="s">
        <v>23</v>
      </c>
      <c r="B679" s="310" t="s">
        <v>2188</v>
      </c>
      <c r="C679" s="308"/>
      <c r="D679" s="304"/>
      <c r="E679" s="304">
        <f t="shared" si="822"/>
        <v>35</v>
      </c>
      <c r="F679" s="304">
        <f t="shared" si="828"/>
        <v>35</v>
      </c>
      <c r="G679" s="304">
        <f t="shared" si="802"/>
        <v>35</v>
      </c>
      <c r="H679" s="303">
        <f t="shared" si="825"/>
        <v>35</v>
      </c>
      <c r="I679" s="303">
        <f t="shared" si="830"/>
        <v>0</v>
      </c>
      <c r="J679" s="311"/>
      <c r="K679" s="311"/>
      <c r="L679" s="311"/>
      <c r="M679" s="303"/>
      <c r="N679" s="311"/>
      <c r="O679" s="311"/>
      <c r="P679" s="303"/>
      <c r="Q679" s="311"/>
      <c r="R679" s="312"/>
      <c r="S679" s="304"/>
      <c r="T679" s="303"/>
      <c r="U679" s="304"/>
      <c r="V679" s="304"/>
      <c r="W679" s="303">
        <f t="shared" si="829"/>
        <v>35</v>
      </c>
      <c r="X679" s="303"/>
      <c r="Y679" s="303"/>
      <c r="Z679" s="304"/>
      <c r="AA679" s="304">
        <v>35</v>
      </c>
      <c r="AB679" s="304"/>
      <c r="AC679" s="304"/>
      <c r="AD679" s="304"/>
      <c r="AE679" s="304"/>
      <c r="AF679" s="332" t="s">
        <v>2438</v>
      </c>
      <c r="AG679" s="314"/>
      <c r="AH679" s="696"/>
      <c r="AI679" s="314"/>
      <c r="AJ679" s="314"/>
      <c r="AK679" s="314"/>
      <c r="AL679" s="314"/>
      <c r="AM679" s="314"/>
      <c r="AN679" s="314"/>
      <c r="AO679" s="314"/>
      <c r="AP679" s="314"/>
    </row>
    <row r="680" spans="1:42" s="314" customFormat="1">
      <c r="A680" s="592" t="s">
        <v>74</v>
      </c>
      <c r="B680" s="320" t="s">
        <v>639</v>
      </c>
      <c r="C680" s="297"/>
      <c r="D680" s="299">
        <f>D681+D685</f>
        <v>5216</v>
      </c>
      <c r="E680" s="299">
        <f>E681+E685</f>
        <v>7280</v>
      </c>
      <c r="F680" s="299">
        <f>F681+F685</f>
        <v>6813</v>
      </c>
      <c r="G680" s="299">
        <f t="shared" si="802"/>
        <v>1597</v>
      </c>
      <c r="H680" s="299">
        <f t="shared" ref="H680:P680" si="833">H681+H685</f>
        <v>6813</v>
      </c>
      <c r="I680" s="299">
        <f t="shared" si="833"/>
        <v>3413</v>
      </c>
      <c r="J680" s="318">
        <f t="shared" si="833"/>
        <v>18</v>
      </c>
      <c r="K680" s="318">
        <f t="shared" si="833"/>
        <v>18</v>
      </c>
      <c r="L680" s="318">
        <f t="shared" si="833"/>
        <v>0</v>
      </c>
      <c r="M680" s="299">
        <f t="shared" si="833"/>
        <v>2247</v>
      </c>
      <c r="N680" s="318">
        <f t="shared" si="833"/>
        <v>2247</v>
      </c>
      <c r="O680" s="318">
        <f t="shared" si="833"/>
        <v>0</v>
      </c>
      <c r="P680" s="299">
        <f t="shared" si="833"/>
        <v>1166</v>
      </c>
      <c r="Q680" s="318"/>
      <c r="R680" s="318"/>
      <c r="S680" s="299">
        <f>S681+S685</f>
        <v>1166</v>
      </c>
      <c r="T680" s="299">
        <f>T681+T685</f>
        <v>0</v>
      </c>
      <c r="U680" s="299">
        <f>U681+U685</f>
        <v>0</v>
      </c>
      <c r="V680" s="299">
        <f>V681+V685</f>
        <v>0</v>
      </c>
      <c r="W680" s="299">
        <f>W681+W685</f>
        <v>3400</v>
      </c>
      <c r="X680" s="299"/>
      <c r="Y680" s="299"/>
      <c r="Z680" s="299">
        <f t="shared" ref="Z680:AE680" si="834">Z681+Z685</f>
        <v>1840</v>
      </c>
      <c r="AA680" s="299">
        <f t="shared" si="834"/>
        <v>1560</v>
      </c>
      <c r="AB680" s="299">
        <f t="shared" si="834"/>
        <v>0</v>
      </c>
      <c r="AC680" s="299">
        <f t="shared" si="834"/>
        <v>467</v>
      </c>
      <c r="AD680" s="299">
        <f t="shared" si="834"/>
        <v>388</v>
      </c>
      <c r="AE680" s="299">
        <f t="shared" si="834"/>
        <v>6892</v>
      </c>
      <c r="AF680" s="321"/>
      <c r="AG680" s="314">
        <f t="shared" si="808"/>
        <v>0</v>
      </c>
      <c r="AH680" s="696">
        <f t="shared" si="809"/>
        <v>0</v>
      </c>
      <c r="AI680" s="314">
        <f t="shared" si="810"/>
        <v>0</v>
      </c>
      <c r="AJ680" s="314">
        <f t="shared" si="811"/>
        <v>0</v>
      </c>
      <c r="AK680" s="314">
        <f t="shared" si="812"/>
        <v>0</v>
      </c>
      <c r="AL680" s="314">
        <f t="shared" si="813"/>
        <v>0</v>
      </c>
      <c r="AM680" s="314">
        <f t="shared" si="814"/>
        <v>0</v>
      </c>
      <c r="AN680" s="314">
        <f t="shared" si="815"/>
        <v>0</v>
      </c>
      <c r="AO680" s="314">
        <f t="shared" si="816"/>
        <v>0</v>
      </c>
      <c r="AP680" s="314">
        <f t="shared" si="817"/>
        <v>0</v>
      </c>
    </row>
    <row r="681" spans="1:42" s="314" customFormat="1">
      <c r="A681" s="592" t="s">
        <v>880</v>
      </c>
      <c r="B681" s="320" t="s">
        <v>826</v>
      </c>
      <c r="C681" s="298" t="s">
        <v>756</v>
      </c>
      <c r="D681" s="297">
        <f t="shared" ref="D681" si="835">D682+D684+D683</f>
        <v>3376</v>
      </c>
      <c r="E681" s="297">
        <f>E682+E684+E683</f>
        <v>3880</v>
      </c>
      <c r="F681" s="297">
        <f>F682+F684+F683</f>
        <v>3413</v>
      </c>
      <c r="G681" s="297">
        <f t="shared" si="802"/>
        <v>37</v>
      </c>
      <c r="H681" s="297">
        <f t="shared" ref="H681:Z681" si="836">H682+H684+H683</f>
        <v>3413</v>
      </c>
      <c r="I681" s="297">
        <f t="shared" si="836"/>
        <v>3413</v>
      </c>
      <c r="J681" s="297">
        <f t="shared" si="836"/>
        <v>18</v>
      </c>
      <c r="K681" s="297">
        <f t="shared" si="836"/>
        <v>18</v>
      </c>
      <c r="L681" s="297">
        <f t="shared" si="836"/>
        <v>0</v>
      </c>
      <c r="M681" s="297">
        <f t="shared" si="836"/>
        <v>2247</v>
      </c>
      <c r="N681" s="297">
        <f t="shared" si="836"/>
        <v>2247</v>
      </c>
      <c r="O681" s="297">
        <f t="shared" si="836"/>
        <v>0</v>
      </c>
      <c r="P681" s="297">
        <f t="shared" si="836"/>
        <v>1166</v>
      </c>
      <c r="Q681" s="297"/>
      <c r="R681" s="297"/>
      <c r="S681" s="297">
        <f t="shared" si="836"/>
        <v>1166</v>
      </c>
      <c r="T681" s="297">
        <f t="shared" si="836"/>
        <v>0</v>
      </c>
      <c r="U681" s="297">
        <f t="shared" si="836"/>
        <v>0</v>
      </c>
      <c r="V681" s="297">
        <f t="shared" si="836"/>
        <v>0</v>
      </c>
      <c r="W681" s="297">
        <f>W682+W684+W683</f>
        <v>0</v>
      </c>
      <c r="X681" s="297"/>
      <c r="Y681" s="297"/>
      <c r="Z681" s="297">
        <f t="shared" si="836"/>
        <v>0</v>
      </c>
      <c r="AA681" s="297">
        <f>AA682+AA684+AA683</f>
        <v>0</v>
      </c>
      <c r="AB681" s="297">
        <f>AB682+AB684+AB683</f>
        <v>0</v>
      </c>
      <c r="AC681" s="297">
        <f t="shared" ref="AC681:AE681" si="837">AC682+AC684+AC683</f>
        <v>467</v>
      </c>
      <c r="AD681" s="297">
        <f t="shared" si="837"/>
        <v>100</v>
      </c>
      <c r="AE681" s="297">
        <f t="shared" si="837"/>
        <v>3780</v>
      </c>
      <c r="AF681" s="321"/>
      <c r="AG681" s="314">
        <f t="shared" si="808"/>
        <v>0</v>
      </c>
      <c r="AH681" s="696">
        <f t="shared" si="809"/>
        <v>0</v>
      </c>
      <c r="AI681" s="314">
        <f t="shared" si="810"/>
        <v>0</v>
      </c>
      <c r="AJ681" s="314">
        <f t="shared" si="811"/>
        <v>0</v>
      </c>
      <c r="AK681" s="314">
        <f t="shared" si="812"/>
        <v>0</v>
      </c>
      <c r="AL681" s="314">
        <f t="shared" si="813"/>
        <v>0</v>
      </c>
      <c r="AM681" s="314">
        <f t="shared" si="814"/>
        <v>0</v>
      </c>
      <c r="AN681" s="314">
        <f t="shared" si="815"/>
        <v>0</v>
      </c>
      <c r="AO681" s="314">
        <f t="shared" si="816"/>
        <v>0</v>
      </c>
      <c r="AP681" s="314">
        <f t="shared" si="817"/>
        <v>0</v>
      </c>
    </row>
    <row r="682" spans="1:42">
      <c r="A682" s="583" t="s">
        <v>45</v>
      </c>
      <c r="B682" s="324" t="s">
        <v>862</v>
      </c>
      <c r="C682" s="304"/>
      <c r="D682" s="304">
        <v>3236</v>
      </c>
      <c r="E682" s="304">
        <f>F682+AC682</f>
        <v>3880</v>
      </c>
      <c r="F682" s="304">
        <f>H682-AB682</f>
        <v>3413</v>
      </c>
      <c r="G682" s="304">
        <f t="shared" si="802"/>
        <v>177</v>
      </c>
      <c r="H682" s="303">
        <f t="shared" ref="H682:H683" si="838">I682+W682</f>
        <v>3413</v>
      </c>
      <c r="I682" s="303">
        <f>M682+P682</f>
        <v>3413</v>
      </c>
      <c r="J682" s="294">
        <v>18</v>
      </c>
      <c r="K682" s="294">
        <v>18</v>
      </c>
      <c r="L682" s="294">
        <f>J682-K682</f>
        <v>0</v>
      </c>
      <c r="M682" s="304">
        <f>N682+O682</f>
        <v>2247</v>
      </c>
      <c r="N682" s="294">
        <v>2247</v>
      </c>
      <c r="O682" s="294">
        <v>0</v>
      </c>
      <c r="P682" s="303">
        <f>S682+T682</f>
        <v>1166</v>
      </c>
      <c r="Q682" s="294">
        <v>36</v>
      </c>
      <c r="R682" s="305">
        <v>1.8</v>
      </c>
      <c r="S682" s="304">
        <f>ROUND(J682*Q682*R682,0)</f>
        <v>1166</v>
      </c>
      <c r="T682" s="303">
        <f>U682+V682</f>
        <v>0</v>
      </c>
      <c r="U682" s="304"/>
      <c r="V682" s="304"/>
      <c r="W682" s="303">
        <f>Z682+AA682</f>
        <v>0</v>
      </c>
      <c r="X682" s="303"/>
      <c r="Y682" s="303"/>
      <c r="Z682" s="304"/>
      <c r="AA682" s="304"/>
      <c r="AB682" s="304"/>
      <c r="AC682" s="304">
        <v>467</v>
      </c>
      <c r="AD682" s="304">
        <v>112</v>
      </c>
      <c r="AE682" s="303">
        <f>E682-AD682</f>
        <v>3768</v>
      </c>
      <c r="AF682" s="317"/>
      <c r="AG682" s="314">
        <f t="shared" si="808"/>
        <v>0</v>
      </c>
      <c r="AH682" s="696">
        <f t="shared" si="809"/>
        <v>0</v>
      </c>
      <c r="AI682" s="314">
        <f t="shared" si="810"/>
        <v>0</v>
      </c>
      <c r="AJ682" s="314">
        <f t="shared" si="811"/>
        <v>0</v>
      </c>
      <c r="AK682" s="314">
        <f t="shared" si="812"/>
        <v>0</v>
      </c>
      <c r="AL682" s="314">
        <f t="shared" si="813"/>
        <v>0</v>
      </c>
      <c r="AM682" s="314">
        <f t="shared" si="814"/>
        <v>0</v>
      </c>
      <c r="AN682" s="314">
        <f t="shared" si="815"/>
        <v>0</v>
      </c>
      <c r="AO682" s="314">
        <f t="shared" si="816"/>
        <v>0</v>
      </c>
      <c r="AP682" s="314">
        <f t="shared" si="817"/>
        <v>0</v>
      </c>
    </row>
    <row r="683" spans="1:42" ht="27.6" hidden="1" outlineLevel="3">
      <c r="A683" s="583" t="s">
        <v>47</v>
      </c>
      <c r="B683" s="324" t="s">
        <v>1521</v>
      </c>
      <c r="C683" s="304"/>
      <c r="D683" s="304">
        <v>140</v>
      </c>
      <c r="E683" s="304">
        <f>F683+AC683</f>
        <v>0</v>
      </c>
      <c r="F683" s="304">
        <f>H683-AB683</f>
        <v>0</v>
      </c>
      <c r="G683" s="304">
        <f t="shared" si="802"/>
        <v>-140</v>
      </c>
      <c r="H683" s="303">
        <f t="shared" si="838"/>
        <v>0</v>
      </c>
      <c r="I683" s="303">
        <f t="shared" ref="I683" si="839">M683+P683</f>
        <v>0</v>
      </c>
      <c r="J683" s="294"/>
      <c r="K683" s="294">
        <v>0</v>
      </c>
      <c r="L683" s="294"/>
      <c r="M683" s="304">
        <f t="shared" ref="M683" si="840">N683+O683</f>
        <v>0</v>
      </c>
      <c r="N683" s="294"/>
      <c r="O683" s="294"/>
      <c r="P683" s="303">
        <f t="shared" ref="P683" si="841">S683+T683</f>
        <v>0</v>
      </c>
      <c r="Q683" s="311">
        <v>0</v>
      </c>
      <c r="R683" s="305"/>
      <c r="S683" s="304">
        <f>J683*Q683</f>
        <v>0</v>
      </c>
      <c r="T683" s="303">
        <f t="shared" ref="T683" si="842">U683+V683</f>
        <v>0</v>
      </c>
      <c r="U683" s="304"/>
      <c r="V683" s="304"/>
      <c r="W683" s="303">
        <f>Z683+AA683</f>
        <v>0</v>
      </c>
      <c r="X683" s="303"/>
      <c r="Y683" s="303"/>
      <c r="Z683" s="304"/>
      <c r="AA683" s="304"/>
      <c r="AB683" s="304"/>
      <c r="AC683" s="304"/>
      <c r="AD683" s="304">
        <v>-12</v>
      </c>
      <c r="AE683" s="303">
        <f>E683-AD683</f>
        <v>12</v>
      </c>
      <c r="AF683" s="317"/>
      <c r="AG683" s="314">
        <f t="shared" si="808"/>
        <v>0</v>
      </c>
      <c r="AH683" s="696">
        <f t="shared" si="809"/>
        <v>0</v>
      </c>
      <c r="AI683" s="314">
        <f t="shared" si="810"/>
        <v>0</v>
      </c>
      <c r="AJ683" s="314">
        <f t="shared" si="811"/>
        <v>0</v>
      </c>
      <c r="AK683" s="314">
        <f t="shared" si="812"/>
        <v>0</v>
      </c>
      <c r="AL683" s="314">
        <f t="shared" si="813"/>
        <v>0</v>
      </c>
      <c r="AM683" s="314">
        <f t="shared" si="814"/>
        <v>0</v>
      </c>
      <c r="AN683" s="314">
        <f t="shared" si="815"/>
        <v>0</v>
      </c>
      <c r="AO683" s="314">
        <f t="shared" si="816"/>
        <v>0</v>
      </c>
      <c r="AP683" s="314">
        <f t="shared" si="817"/>
        <v>0</v>
      </c>
    </row>
    <row r="684" spans="1:42" ht="27.6" hidden="1" outlineLevel="3">
      <c r="A684" s="583" t="s">
        <v>49</v>
      </c>
      <c r="B684" s="1273" t="s">
        <v>1737</v>
      </c>
      <c r="C684" s="304"/>
      <c r="D684" s="304"/>
      <c r="E684" s="304">
        <f>F684+AC684</f>
        <v>0</v>
      </c>
      <c r="F684" s="304"/>
      <c r="G684" s="304"/>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4"/>
      <c r="AD684" s="304"/>
      <c r="AE684" s="303"/>
      <c r="AF684" s="317"/>
      <c r="AG684" s="314">
        <f t="shared" si="808"/>
        <v>0</v>
      </c>
      <c r="AH684" s="696">
        <f t="shared" si="809"/>
        <v>0</v>
      </c>
      <c r="AI684" s="314">
        <f t="shared" si="810"/>
        <v>0</v>
      </c>
      <c r="AJ684" s="314">
        <f t="shared" si="811"/>
        <v>0</v>
      </c>
      <c r="AK684" s="314">
        <f t="shared" si="812"/>
        <v>0</v>
      </c>
      <c r="AL684" s="314">
        <f t="shared" si="813"/>
        <v>0</v>
      </c>
      <c r="AM684" s="314">
        <f t="shared" si="814"/>
        <v>0</v>
      </c>
      <c r="AN684" s="314">
        <f t="shared" si="815"/>
        <v>0</v>
      </c>
      <c r="AO684" s="314">
        <f t="shared" si="816"/>
        <v>0</v>
      </c>
      <c r="AP684" s="314">
        <f t="shared" si="817"/>
        <v>0</v>
      </c>
    </row>
    <row r="685" spans="1:42" s="314" customFormat="1" collapsed="1">
      <c r="A685" s="592" t="s">
        <v>881</v>
      </c>
      <c r="B685" s="320" t="s">
        <v>1021</v>
      </c>
      <c r="C685" s="298" t="s">
        <v>728</v>
      </c>
      <c r="D685" s="299">
        <v>1840</v>
      </c>
      <c r="E685" s="299">
        <f t="shared" ref="E685:V685" si="843">SUM(E686:E691)</f>
        <v>3400</v>
      </c>
      <c r="F685" s="299">
        <f t="shared" si="843"/>
        <v>3400</v>
      </c>
      <c r="G685" s="299">
        <f t="shared" si="843"/>
        <v>0</v>
      </c>
      <c r="H685" s="299">
        <f t="shared" si="843"/>
        <v>3400</v>
      </c>
      <c r="I685" s="299">
        <f t="shared" si="843"/>
        <v>0</v>
      </c>
      <c r="J685" s="299">
        <f t="shared" si="843"/>
        <v>0</v>
      </c>
      <c r="K685" s="299">
        <f t="shared" si="843"/>
        <v>0</v>
      </c>
      <c r="L685" s="299">
        <f t="shared" si="843"/>
        <v>0</v>
      </c>
      <c r="M685" s="299">
        <f t="shared" si="843"/>
        <v>0</v>
      </c>
      <c r="N685" s="299">
        <f t="shared" si="843"/>
        <v>0</v>
      </c>
      <c r="O685" s="299">
        <f t="shared" si="843"/>
        <v>0</v>
      </c>
      <c r="P685" s="299">
        <f t="shared" si="843"/>
        <v>0</v>
      </c>
      <c r="Q685" s="299">
        <f t="shared" si="843"/>
        <v>0</v>
      </c>
      <c r="R685" s="299">
        <f t="shared" si="843"/>
        <v>0</v>
      </c>
      <c r="S685" s="299">
        <f t="shared" si="843"/>
        <v>0</v>
      </c>
      <c r="T685" s="299">
        <f t="shared" si="843"/>
        <v>0</v>
      </c>
      <c r="U685" s="299">
        <f t="shared" si="843"/>
        <v>0</v>
      </c>
      <c r="V685" s="299">
        <f t="shared" si="843"/>
        <v>0</v>
      </c>
      <c r="W685" s="299">
        <f>SUM(W686:W691)</f>
        <v>3400</v>
      </c>
      <c r="X685" s="299">
        <f t="shared" ref="X685:Y685" si="844">SUM(X686:X689)</f>
        <v>0</v>
      </c>
      <c r="Y685" s="299">
        <f t="shared" si="844"/>
        <v>0</v>
      </c>
      <c r="Z685" s="299">
        <f>SUM(Z686:Z691)</f>
        <v>1840</v>
      </c>
      <c r="AA685" s="299">
        <f>AA690+AA691</f>
        <v>1560</v>
      </c>
      <c r="AB685" s="299">
        <f>SUM(AB686:AB688)</f>
        <v>0</v>
      </c>
      <c r="AC685" s="299"/>
      <c r="AD685" s="299">
        <v>288</v>
      </c>
      <c r="AE685" s="299">
        <f>E685-AD685</f>
        <v>3112</v>
      </c>
      <c r="AF685" s="321"/>
      <c r="AG685" s="314">
        <f t="shared" si="808"/>
        <v>0</v>
      </c>
      <c r="AH685" s="696">
        <f t="shared" si="809"/>
        <v>0</v>
      </c>
      <c r="AI685" s="314">
        <f t="shared" si="810"/>
        <v>0</v>
      </c>
      <c r="AJ685" s="314">
        <f t="shared" si="811"/>
        <v>0</v>
      </c>
      <c r="AK685" s="314">
        <f t="shared" si="812"/>
        <v>0</v>
      </c>
      <c r="AL685" s="314">
        <f t="shared" si="813"/>
        <v>0</v>
      </c>
      <c r="AM685" s="314">
        <f t="shared" si="814"/>
        <v>0</v>
      </c>
      <c r="AN685" s="314">
        <f t="shared" si="815"/>
        <v>0</v>
      </c>
      <c r="AO685" s="314">
        <f t="shared" si="816"/>
        <v>0</v>
      </c>
      <c r="AP685" s="314">
        <f t="shared" si="817"/>
        <v>0</v>
      </c>
    </row>
    <row r="686" spans="1:42" ht="55.2" outlineLevel="1">
      <c r="A686" s="583" t="s">
        <v>23</v>
      </c>
      <c r="B686" s="316" t="s">
        <v>1644</v>
      </c>
      <c r="C686" s="304"/>
      <c r="D686" s="304">
        <v>520</v>
      </c>
      <c r="E686" s="304">
        <f t="shared" ref="E686:E691" si="845">F686+AC686</f>
        <v>520</v>
      </c>
      <c r="F686" s="304">
        <f t="shared" ref="F686:F691" si="846">H686-AB686</f>
        <v>520</v>
      </c>
      <c r="G686" s="304">
        <f>F686-D686</f>
        <v>0</v>
      </c>
      <c r="H686" s="303">
        <f t="shared" ref="H686" si="847">I686+W686</f>
        <v>520</v>
      </c>
      <c r="I686" s="303">
        <f t="shared" ref="I686" si="848">M686+P686</f>
        <v>0</v>
      </c>
      <c r="J686" s="311"/>
      <c r="K686" s="311"/>
      <c r="L686" s="311"/>
      <c r="M686" s="303"/>
      <c r="N686" s="311"/>
      <c r="O686" s="311"/>
      <c r="P686" s="303">
        <f t="shared" ref="P686" si="849">S686+T686</f>
        <v>0</v>
      </c>
      <c r="Q686" s="311"/>
      <c r="R686" s="312"/>
      <c r="S686" s="304"/>
      <c r="T686" s="303"/>
      <c r="U686" s="304"/>
      <c r="V686" s="304"/>
      <c r="W686" s="303">
        <f t="shared" ref="W686:W691" si="850">Z686+AA686</f>
        <v>520</v>
      </c>
      <c r="X686" s="303"/>
      <c r="Y686" s="303"/>
      <c r="Z686" s="304">
        <f>230+290</f>
        <v>520</v>
      </c>
      <c r="AA686" s="304"/>
      <c r="AB686" s="304"/>
      <c r="AC686" s="304"/>
      <c r="AD686" s="304"/>
      <c r="AE686" s="304"/>
      <c r="AF686" s="317" t="s">
        <v>1770</v>
      </c>
      <c r="AG686" s="314">
        <f t="shared" si="808"/>
        <v>0</v>
      </c>
      <c r="AH686" s="696">
        <f t="shared" si="809"/>
        <v>0</v>
      </c>
      <c r="AI686" s="314">
        <f t="shared" si="810"/>
        <v>0</v>
      </c>
      <c r="AJ686" s="314">
        <f t="shared" si="811"/>
        <v>0</v>
      </c>
      <c r="AK686" s="314">
        <f t="shared" si="812"/>
        <v>0</v>
      </c>
      <c r="AL686" s="314">
        <f t="shared" si="813"/>
        <v>0</v>
      </c>
      <c r="AM686" s="314">
        <f t="shared" si="814"/>
        <v>0</v>
      </c>
      <c r="AN686" s="314">
        <f t="shared" si="815"/>
        <v>0</v>
      </c>
      <c r="AO686" s="314">
        <f t="shared" si="816"/>
        <v>0</v>
      </c>
      <c r="AP686" s="314">
        <f t="shared" si="817"/>
        <v>0</v>
      </c>
    </row>
    <row r="687" spans="1:42" ht="69" outlineLevel="1">
      <c r="A687" s="583" t="s">
        <v>23</v>
      </c>
      <c r="B687" s="316" t="s">
        <v>1485</v>
      </c>
      <c r="C687" s="304"/>
      <c r="D687" s="304">
        <v>325</v>
      </c>
      <c r="E687" s="304">
        <f t="shared" si="845"/>
        <v>325</v>
      </c>
      <c r="F687" s="304">
        <f t="shared" si="846"/>
        <v>325</v>
      </c>
      <c r="G687" s="304">
        <f>F687-D687</f>
        <v>0</v>
      </c>
      <c r="H687" s="303">
        <f>I687+W687</f>
        <v>325</v>
      </c>
      <c r="I687" s="303">
        <f>M687+P687</f>
        <v>0</v>
      </c>
      <c r="J687" s="311"/>
      <c r="K687" s="311"/>
      <c r="L687" s="311"/>
      <c r="M687" s="303"/>
      <c r="N687" s="311"/>
      <c r="O687" s="311"/>
      <c r="P687" s="303">
        <f>S687+T687</f>
        <v>0</v>
      </c>
      <c r="Q687" s="311"/>
      <c r="R687" s="312"/>
      <c r="S687" s="304"/>
      <c r="T687" s="303"/>
      <c r="U687" s="304"/>
      <c r="V687" s="304"/>
      <c r="W687" s="303">
        <f t="shared" si="850"/>
        <v>325</v>
      </c>
      <c r="X687" s="303"/>
      <c r="Y687" s="303"/>
      <c r="Z687" s="304">
        <v>325</v>
      </c>
      <c r="AA687" s="304"/>
      <c r="AB687" s="304"/>
      <c r="AC687" s="304"/>
      <c r="AD687" s="304"/>
      <c r="AE687" s="304"/>
      <c r="AF687" s="317"/>
      <c r="AG687" s="314">
        <f t="shared" si="808"/>
        <v>0</v>
      </c>
      <c r="AH687" s="696">
        <f t="shared" si="809"/>
        <v>0</v>
      </c>
      <c r="AI687" s="314">
        <f t="shared" si="810"/>
        <v>0</v>
      </c>
      <c r="AJ687" s="314">
        <f t="shared" si="811"/>
        <v>0</v>
      </c>
      <c r="AK687" s="314">
        <f t="shared" si="812"/>
        <v>0</v>
      </c>
      <c r="AL687" s="314">
        <f t="shared" si="813"/>
        <v>0</v>
      </c>
      <c r="AM687" s="314">
        <f t="shared" si="814"/>
        <v>0</v>
      </c>
      <c r="AN687" s="314">
        <f t="shared" si="815"/>
        <v>0</v>
      </c>
      <c r="AO687" s="314">
        <f t="shared" si="816"/>
        <v>0</v>
      </c>
      <c r="AP687" s="314">
        <f t="shared" si="817"/>
        <v>0</v>
      </c>
    </row>
    <row r="688" spans="1:42" ht="55.2" outlineLevel="1">
      <c r="A688" s="583" t="s">
        <v>23</v>
      </c>
      <c r="B688" s="316" t="s">
        <v>2186</v>
      </c>
      <c r="C688" s="304"/>
      <c r="D688" s="304">
        <v>497</v>
      </c>
      <c r="E688" s="304">
        <f t="shared" si="845"/>
        <v>497</v>
      </c>
      <c r="F688" s="304">
        <f t="shared" si="846"/>
        <v>497</v>
      </c>
      <c r="G688" s="304">
        <f>F688-D688</f>
        <v>0</v>
      </c>
      <c r="H688" s="303">
        <f t="shared" ref="H688:H691" si="851">I688+W688</f>
        <v>497</v>
      </c>
      <c r="I688" s="303">
        <f t="shared" ref="I688" si="852">M688+P688</f>
        <v>0</v>
      </c>
      <c r="J688" s="311"/>
      <c r="K688" s="311"/>
      <c r="L688" s="311"/>
      <c r="M688" s="303"/>
      <c r="N688" s="311"/>
      <c r="O688" s="311"/>
      <c r="P688" s="303">
        <f t="shared" ref="P688" si="853">S688+T688</f>
        <v>0</v>
      </c>
      <c r="Q688" s="311"/>
      <c r="R688" s="312"/>
      <c r="S688" s="304"/>
      <c r="T688" s="303"/>
      <c r="U688" s="304"/>
      <c r="V688" s="304"/>
      <c r="W688" s="303">
        <f t="shared" si="850"/>
        <v>497</v>
      </c>
      <c r="X688" s="303"/>
      <c r="Y688" s="303"/>
      <c r="Z688" s="304">
        <v>497</v>
      </c>
      <c r="AA688" s="304"/>
      <c r="AB688" s="304"/>
      <c r="AC688" s="304"/>
      <c r="AD688" s="304"/>
      <c r="AE688" s="304"/>
      <c r="AF688" s="317"/>
      <c r="AG688" s="314">
        <f t="shared" si="808"/>
        <v>0</v>
      </c>
      <c r="AH688" s="696">
        <f t="shared" si="809"/>
        <v>0</v>
      </c>
      <c r="AI688" s="314">
        <f t="shared" si="810"/>
        <v>0</v>
      </c>
      <c r="AJ688" s="314">
        <f t="shared" si="811"/>
        <v>0</v>
      </c>
      <c r="AK688" s="314">
        <f t="shared" si="812"/>
        <v>0</v>
      </c>
      <c r="AL688" s="314">
        <f t="shared" si="813"/>
        <v>0</v>
      </c>
      <c r="AM688" s="314">
        <f t="shared" si="814"/>
        <v>0</v>
      </c>
      <c r="AN688" s="314">
        <f t="shared" si="815"/>
        <v>0</v>
      </c>
      <c r="AO688" s="314">
        <f t="shared" si="816"/>
        <v>0</v>
      </c>
      <c r="AP688" s="314">
        <f t="shared" si="817"/>
        <v>0</v>
      </c>
    </row>
    <row r="689" spans="1:42" ht="41.4" outlineLevel="1">
      <c r="A689" s="583" t="s">
        <v>200</v>
      </c>
      <c r="B689" s="316" t="s">
        <v>2187</v>
      </c>
      <c r="C689" s="304"/>
      <c r="D689" s="304">
        <v>498</v>
      </c>
      <c r="E689" s="304">
        <f t="shared" si="845"/>
        <v>498</v>
      </c>
      <c r="F689" s="304">
        <f t="shared" si="846"/>
        <v>498</v>
      </c>
      <c r="G689" s="304"/>
      <c r="H689" s="303">
        <f t="shared" si="851"/>
        <v>498</v>
      </c>
      <c r="I689" s="303"/>
      <c r="J689" s="311"/>
      <c r="K689" s="311"/>
      <c r="L689" s="311"/>
      <c r="M689" s="303"/>
      <c r="N689" s="311"/>
      <c r="O689" s="311"/>
      <c r="P689" s="303"/>
      <c r="Q689" s="311"/>
      <c r="R689" s="312"/>
      <c r="S689" s="304"/>
      <c r="T689" s="303"/>
      <c r="U689" s="304"/>
      <c r="V689" s="304"/>
      <c r="W689" s="303">
        <f t="shared" si="850"/>
        <v>498</v>
      </c>
      <c r="X689" s="303"/>
      <c r="Y689" s="303"/>
      <c r="Z689" s="304">
        <v>498</v>
      </c>
      <c r="AA689" s="304"/>
      <c r="AB689" s="304"/>
      <c r="AC689" s="304"/>
      <c r="AD689" s="304"/>
      <c r="AE689" s="304"/>
      <c r="AF689" s="317"/>
      <c r="AG689" s="314">
        <f t="shared" si="808"/>
        <v>0</v>
      </c>
      <c r="AH689" s="696">
        <f t="shared" si="809"/>
        <v>0</v>
      </c>
      <c r="AI689" s="314">
        <f t="shared" si="810"/>
        <v>0</v>
      </c>
      <c r="AJ689" s="314">
        <f t="shared" si="811"/>
        <v>0</v>
      </c>
      <c r="AK689" s="314">
        <f t="shared" si="812"/>
        <v>0</v>
      </c>
      <c r="AL689" s="314">
        <f t="shared" si="813"/>
        <v>0</v>
      </c>
      <c r="AM689" s="314">
        <f t="shared" si="814"/>
        <v>0</v>
      </c>
      <c r="AN689" s="314">
        <f t="shared" si="815"/>
        <v>0</v>
      </c>
      <c r="AO689" s="314">
        <f t="shared" si="816"/>
        <v>0</v>
      </c>
      <c r="AP689" s="314">
        <f t="shared" si="817"/>
        <v>0</v>
      </c>
    </row>
    <row r="690" spans="1:42" ht="27.6" outlineLevel="1">
      <c r="A690" s="593" t="s">
        <v>23</v>
      </c>
      <c r="B690" s="316" t="s">
        <v>2188</v>
      </c>
      <c r="C690" s="302"/>
      <c r="D690" s="304"/>
      <c r="E690" s="304">
        <f t="shared" si="845"/>
        <v>1497</v>
      </c>
      <c r="F690" s="304">
        <f t="shared" si="846"/>
        <v>1497</v>
      </c>
      <c r="G690" s="304"/>
      <c r="H690" s="303">
        <f t="shared" si="851"/>
        <v>1497</v>
      </c>
      <c r="I690" s="303"/>
      <c r="J690" s="311"/>
      <c r="K690" s="311"/>
      <c r="L690" s="311"/>
      <c r="M690" s="303"/>
      <c r="N690" s="311"/>
      <c r="O690" s="311"/>
      <c r="P690" s="303"/>
      <c r="Q690" s="311"/>
      <c r="R690" s="312"/>
      <c r="S690" s="304"/>
      <c r="T690" s="303"/>
      <c r="U690" s="304"/>
      <c r="V690" s="304"/>
      <c r="W690" s="303">
        <f t="shared" si="850"/>
        <v>1497</v>
      </c>
      <c r="X690" s="303"/>
      <c r="Y690" s="303"/>
      <c r="Z690" s="303"/>
      <c r="AA690" s="303">
        <v>1497</v>
      </c>
      <c r="AB690" s="304"/>
      <c r="AC690" s="304"/>
      <c r="AD690" s="304"/>
      <c r="AE690" s="304"/>
      <c r="AF690" s="317"/>
      <c r="AG690" s="314">
        <f t="shared" si="808"/>
        <v>0</v>
      </c>
      <c r="AH690" s="696">
        <f t="shared" si="809"/>
        <v>0</v>
      </c>
      <c r="AI690" s="314">
        <f t="shared" si="810"/>
        <v>0</v>
      </c>
      <c r="AJ690" s="314">
        <f t="shared" si="811"/>
        <v>0</v>
      </c>
      <c r="AK690" s="314">
        <f t="shared" si="812"/>
        <v>0</v>
      </c>
      <c r="AL690" s="314">
        <f t="shared" si="813"/>
        <v>0</v>
      </c>
      <c r="AM690" s="314">
        <f t="shared" si="814"/>
        <v>0</v>
      </c>
      <c r="AN690" s="314">
        <f t="shared" si="815"/>
        <v>0</v>
      </c>
      <c r="AO690" s="314">
        <f t="shared" si="816"/>
        <v>0</v>
      </c>
      <c r="AP690" s="314">
        <f t="shared" si="817"/>
        <v>0</v>
      </c>
    </row>
    <row r="691" spans="1:42" ht="69" outlineLevel="1">
      <c r="A691" s="593" t="s">
        <v>23</v>
      </c>
      <c r="B691" s="316" t="s">
        <v>2410</v>
      </c>
      <c r="C691" s="302"/>
      <c r="D691" s="304"/>
      <c r="E691" s="304">
        <f t="shared" si="845"/>
        <v>63</v>
      </c>
      <c r="F691" s="304">
        <f t="shared" si="846"/>
        <v>63</v>
      </c>
      <c r="G691" s="304"/>
      <c r="H691" s="303">
        <f t="shared" si="851"/>
        <v>63</v>
      </c>
      <c r="I691" s="303"/>
      <c r="J691" s="311"/>
      <c r="K691" s="311"/>
      <c r="L691" s="311"/>
      <c r="M691" s="303"/>
      <c r="N691" s="311"/>
      <c r="O691" s="311"/>
      <c r="P691" s="303"/>
      <c r="Q691" s="311"/>
      <c r="R691" s="312"/>
      <c r="S691" s="304"/>
      <c r="T691" s="303"/>
      <c r="U691" s="304"/>
      <c r="V691" s="304"/>
      <c r="W691" s="303">
        <f t="shared" si="850"/>
        <v>63</v>
      </c>
      <c r="X691" s="303"/>
      <c r="Y691" s="303"/>
      <c r="Z691" s="303"/>
      <c r="AA691" s="303">
        <v>63</v>
      </c>
      <c r="AB691" s="304"/>
      <c r="AC691" s="304"/>
      <c r="AD691" s="304"/>
      <c r="AE691" s="304"/>
      <c r="AF691" s="317" t="s">
        <v>2411</v>
      </c>
      <c r="AG691" s="314">
        <f t="shared" si="808"/>
        <v>0</v>
      </c>
      <c r="AH691" s="696">
        <f t="shared" si="809"/>
        <v>0</v>
      </c>
      <c r="AI691" s="314">
        <f t="shared" si="810"/>
        <v>0</v>
      </c>
      <c r="AJ691" s="314">
        <f t="shared" si="811"/>
        <v>0</v>
      </c>
      <c r="AK691" s="314">
        <f t="shared" si="812"/>
        <v>0</v>
      </c>
      <c r="AL691" s="314">
        <f t="shared" si="813"/>
        <v>0</v>
      </c>
      <c r="AM691" s="314">
        <f t="shared" si="814"/>
        <v>0</v>
      </c>
      <c r="AN691" s="314">
        <f t="shared" si="815"/>
        <v>0</v>
      </c>
      <c r="AO691" s="314">
        <f t="shared" si="816"/>
        <v>0</v>
      </c>
      <c r="AP691" s="314">
        <f t="shared" si="817"/>
        <v>0</v>
      </c>
    </row>
    <row r="692" spans="1:42" s="314" customFormat="1">
      <c r="A692" s="592" t="s">
        <v>75</v>
      </c>
      <c r="B692" s="320" t="s">
        <v>1645</v>
      </c>
      <c r="C692" s="297"/>
      <c r="D692" s="299">
        <f>D693+D699+D702</f>
        <v>8447</v>
      </c>
      <c r="E692" s="299">
        <f>E693+E699+E702</f>
        <v>9260</v>
      </c>
      <c r="F692" s="299">
        <f>F693+F699+F702</f>
        <v>8798</v>
      </c>
      <c r="G692" s="299">
        <f>F692-D692</f>
        <v>351</v>
      </c>
      <c r="H692" s="299">
        <f t="shared" ref="H692:P692" si="854">H693+H699+H702</f>
        <v>8798</v>
      </c>
      <c r="I692" s="299">
        <f t="shared" si="854"/>
        <v>7614</v>
      </c>
      <c r="J692" s="318">
        <f t="shared" si="854"/>
        <v>18</v>
      </c>
      <c r="K692" s="318">
        <f t="shared" si="854"/>
        <v>18</v>
      </c>
      <c r="L692" s="318">
        <f t="shared" si="854"/>
        <v>0</v>
      </c>
      <c r="M692" s="299">
        <f t="shared" si="854"/>
        <v>2221</v>
      </c>
      <c r="N692" s="318">
        <f t="shared" si="854"/>
        <v>2221</v>
      </c>
      <c r="O692" s="318">
        <f t="shared" si="854"/>
        <v>0</v>
      </c>
      <c r="P692" s="299">
        <f t="shared" si="854"/>
        <v>5393</v>
      </c>
      <c r="Q692" s="318"/>
      <c r="R692" s="318"/>
      <c r="S692" s="299">
        <f>S693+S699+S702</f>
        <v>842</v>
      </c>
      <c r="T692" s="299">
        <f>T693+T699+T702</f>
        <v>4551</v>
      </c>
      <c r="U692" s="299">
        <f>U693+U699+U702</f>
        <v>3600</v>
      </c>
      <c r="V692" s="299">
        <f>V693+V699+V702</f>
        <v>951</v>
      </c>
      <c r="W692" s="299">
        <f>W693+W699+W702</f>
        <v>1184</v>
      </c>
      <c r="X692" s="299"/>
      <c r="Y692" s="299"/>
      <c r="Z692" s="299">
        <f t="shared" ref="Z692:AE692" si="855">Z693+Z699+Z702</f>
        <v>1087</v>
      </c>
      <c r="AA692" s="299">
        <f t="shared" si="855"/>
        <v>97</v>
      </c>
      <c r="AB692" s="299">
        <f t="shared" si="855"/>
        <v>0</v>
      </c>
      <c r="AC692" s="299">
        <f t="shared" si="855"/>
        <v>462</v>
      </c>
      <c r="AD692" s="299">
        <f t="shared" si="855"/>
        <v>648</v>
      </c>
      <c r="AE692" s="299">
        <f t="shared" si="855"/>
        <v>8612</v>
      </c>
      <c r="AF692" s="321"/>
      <c r="AG692" s="314">
        <f t="shared" si="808"/>
        <v>0</v>
      </c>
      <c r="AH692" s="696">
        <f t="shared" si="809"/>
        <v>0</v>
      </c>
      <c r="AI692" s="314">
        <f t="shared" si="810"/>
        <v>0</v>
      </c>
      <c r="AJ692" s="314">
        <f t="shared" si="811"/>
        <v>0</v>
      </c>
      <c r="AK692" s="314">
        <f t="shared" si="812"/>
        <v>0</v>
      </c>
      <c r="AL692" s="314">
        <f t="shared" si="813"/>
        <v>0</v>
      </c>
      <c r="AM692" s="314">
        <f t="shared" si="814"/>
        <v>0</v>
      </c>
      <c r="AN692" s="314">
        <f t="shared" si="815"/>
        <v>0</v>
      </c>
      <c r="AO692" s="314">
        <f t="shared" si="816"/>
        <v>0</v>
      </c>
      <c r="AP692" s="314">
        <f t="shared" si="817"/>
        <v>0</v>
      </c>
    </row>
    <row r="693" spans="1:42" s="314" customFormat="1">
      <c r="A693" s="592" t="s">
        <v>888</v>
      </c>
      <c r="B693" s="320" t="s">
        <v>861</v>
      </c>
      <c r="C693" s="298" t="s">
        <v>756</v>
      </c>
      <c r="D693" s="297">
        <f t="shared" ref="D693" si="856">D694+D696+D695</f>
        <v>3760</v>
      </c>
      <c r="E693" s="297">
        <f>E694+E696+E695</f>
        <v>3551</v>
      </c>
      <c r="F693" s="297">
        <f>F694+F696+F695</f>
        <v>3089</v>
      </c>
      <c r="G693" s="297">
        <f>F693-D693</f>
        <v>-671</v>
      </c>
      <c r="H693" s="297">
        <f>H694+H696+H695</f>
        <v>3089</v>
      </c>
      <c r="I693" s="297">
        <f t="shared" ref="I693:Z693" si="857">I694+I696+I695</f>
        <v>3089</v>
      </c>
      <c r="J693" s="297">
        <f t="shared" si="857"/>
        <v>18</v>
      </c>
      <c r="K693" s="297">
        <f t="shared" si="857"/>
        <v>18</v>
      </c>
      <c r="L693" s="297">
        <f t="shared" si="857"/>
        <v>0</v>
      </c>
      <c r="M693" s="297">
        <f t="shared" si="857"/>
        <v>2221</v>
      </c>
      <c r="N693" s="297">
        <f t="shared" si="857"/>
        <v>2221</v>
      </c>
      <c r="O693" s="297">
        <f t="shared" si="857"/>
        <v>0</v>
      </c>
      <c r="P693" s="297">
        <f t="shared" si="857"/>
        <v>868</v>
      </c>
      <c r="Q693" s="297"/>
      <c r="R693" s="297"/>
      <c r="S693" s="297">
        <f t="shared" si="857"/>
        <v>842</v>
      </c>
      <c r="T693" s="297">
        <f t="shared" si="857"/>
        <v>26</v>
      </c>
      <c r="U693" s="297">
        <f t="shared" si="857"/>
        <v>0</v>
      </c>
      <c r="V693" s="297">
        <f t="shared" si="857"/>
        <v>26</v>
      </c>
      <c r="W693" s="297">
        <f>W694+W696+W695</f>
        <v>0</v>
      </c>
      <c r="X693" s="297"/>
      <c r="Y693" s="297"/>
      <c r="Z693" s="297">
        <f t="shared" si="857"/>
        <v>0</v>
      </c>
      <c r="AA693" s="297">
        <f>AA694+AA696+AA695</f>
        <v>0</v>
      </c>
      <c r="AB693" s="297">
        <f>AB694+AB696+AB695</f>
        <v>0</v>
      </c>
      <c r="AC693" s="297">
        <f t="shared" ref="AC693:AE693" si="858">AC694+AC696+AC695</f>
        <v>462</v>
      </c>
      <c r="AD693" s="297">
        <f t="shared" si="858"/>
        <v>77</v>
      </c>
      <c r="AE693" s="297">
        <f t="shared" si="858"/>
        <v>3474</v>
      </c>
      <c r="AF693" s="321"/>
      <c r="AG693" s="314">
        <f t="shared" si="808"/>
        <v>0</v>
      </c>
      <c r="AH693" s="696">
        <f t="shared" si="809"/>
        <v>0</v>
      </c>
      <c r="AI693" s="314">
        <f t="shared" si="810"/>
        <v>0</v>
      </c>
      <c r="AJ693" s="314">
        <f t="shared" si="811"/>
        <v>0</v>
      </c>
      <c r="AK693" s="314">
        <f t="shared" si="812"/>
        <v>0</v>
      </c>
      <c r="AL693" s="314">
        <f t="shared" si="813"/>
        <v>0</v>
      </c>
      <c r="AM693" s="314">
        <f t="shared" si="814"/>
        <v>0</v>
      </c>
      <c r="AN693" s="314">
        <f t="shared" si="815"/>
        <v>0</v>
      </c>
      <c r="AO693" s="314">
        <f t="shared" si="816"/>
        <v>0</v>
      </c>
      <c r="AP693" s="314">
        <f t="shared" si="817"/>
        <v>0</v>
      </c>
    </row>
    <row r="694" spans="1:42">
      <c r="A694" s="583" t="s">
        <v>45</v>
      </c>
      <c r="B694" s="324" t="s">
        <v>862</v>
      </c>
      <c r="C694" s="304"/>
      <c r="D694" s="304">
        <v>2800</v>
      </c>
      <c r="E694" s="304">
        <f>F694+AC694</f>
        <v>3525</v>
      </c>
      <c r="F694" s="304">
        <f>H694-AB694</f>
        <v>3063</v>
      </c>
      <c r="G694" s="304">
        <f>F694-D694</f>
        <v>263</v>
      </c>
      <c r="H694" s="303">
        <f t="shared" ref="H694:H695" si="859">I694+W694</f>
        <v>3063</v>
      </c>
      <c r="I694" s="303">
        <f>M694+P694</f>
        <v>3063</v>
      </c>
      <c r="J694" s="294">
        <v>18</v>
      </c>
      <c r="K694" s="294">
        <v>18</v>
      </c>
      <c r="L694" s="294">
        <f>J694-K694</f>
        <v>0</v>
      </c>
      <c r="M694" s="304">
        <f>N694+O694</f>
        <v>2221</v>
      </c>
      <c r="N694" s="294">
        <v>2221</v>
      </c>
      <c r="O694" s="294">
        <v>0</v>
      </c>
      <c r="P694" s="303">
        <f>S694+T694</f>
        <v>842</v>
      </c>
      <c r="Q694" s="294">
        <v>36</v>
      </c>
      <c r="R694" s="305">
        <v>1.3</v>
      </c>
      <c r="S694" s="304">
        <f>ROUND(J694*Q694*R694,0)</f>
        <v>842</v>
      </c>
      <c r="T694" s="303">
        <f>U694+V694</f>
        <v>0</v>
      </c>
      <c r="U694" s="304"/>
      <c r="V694" s="304"/>
      <c r="W694" s="303">
        <f>Z694+AA694</f>
        <v>0</v>
      </c>
      <c r="X694" s="303"/>
      <c r="Y694" s="303"/>
      <c r="Z694" s="304"/>
      <c r="AA694" s="304"/>
      <c r="AB694" s="304"/>
      <c r="AC694" s="304">
        <v>462</v>
      </c>
      <c r="AD694" s="304">
        <v>84</v>
      </c>
      <c r="AE694" s="303">
        <f>E694-AD694</f>
        <v>3441</v>
      </c>
      <c r="AF694" s="317"/>
      <c r="AG694" s="314">
        <f t="shared" si="808"/>
        <v>0</v>
      </c>
      <c r="AH694" s="696">
        <f t="shared" si="809"/>
        <v>0</v>
      </c>
      <c r="AI694" s="314">
        <f t="shared" si="810"/>
        <v>0</v>
      </c>
      <c r="AJ694" s="314">
        <f t="shared" si="811"/>
        <v>0</v>
      </c>
      <c r="AK694" s="314">
        <f t="shared" si="812"/>
        <v>0</v>
      </c>
      <c r="AL694" s="314">
        <f t="shared" si="813"/>
        <v>0</v>
      </c>
      <c r="AM694" s="314">
        <f t="shared" si="814"/>
        <v>0</v>
      </c>
      <c r="AN694" s="314">
        <f t="shared" si="815"/>
        <v>0</v>
      </c>
      <c r="AO694" s="314">
        <f t="shared" si="816"/>
        <v>0</v>
      </c>
      <c r="AP694" s="314">
        <f t="shared" si="817"/>
        <v>0</v>
      </c>
    </row>
    <row r="695" spans="1:42" ht="27.6" hidden="1" outlineLevel="3">
      <c r="A695" s="583" t="s">
        <v>47</v>
      </c>
      <c r="B695" s="324" t="s">
        <v>1521</v>
      </c>
      <c r="C695" s="304"/>
      <c r="D695" s="304">
        <v>140</v>
      </c>
      <c r="E695" s="304">
        <f>F695+AC695</f>
        <v>0</v>
      </c>
      <c r="F695" s="304">
        <f>H695-AB695</f>
        <v>0</v>
      </c>
      <c r="G695" s="304">
        <f>F695-D695</f>
        <v>-140</v>
      </c>
      <c r="H695" s="303">
        <f t="shared" si="859"/>
        <v>0</v>
      </c>
      <c r="I695" s="303">
        <f t="shared" ref="I695" si="860">M695+P695</f>
        <v>0</v>
      </c>
      <c r="J695" s="294"/>
      <c r="K695" s="294">
        <v>0</v>
      </c>
      <c r="L695" s="294"/>
      <c r="M695" s="304">
        <f t="shared" ref="M695" si="861">N695+O695</f>
        <v>0</v>
      </c>
      <c r="N695" s="294"/>
      <c r="O695" s="294"/>
      <c r="P695" s="303">
        <f t="shared" ref="P695" si="862">S695+T695</f>
        <v>0</v>
      </c>
      <c r="Q695" s="311">
        <v>0</v>
      </c>
      <c r="R695" s="305"/>
      <c r="S695" s="304">
        <f>J695*Q695</f>
        <v>0</v>
      </c>
      <c r="T695" s="303">
        <f t="shared" ref="T695" si="863">U695+V695</f>
        <v>0</v>
      </c>
      <c r="U695" s="304"/>
      <c r="V695" s="304"/>
      <c r="W695" s="303">
        <f>Z695+AA695</f>
        <v>0</v>
      </c>
      <c r="X695" s="303"/>
      <c r="Y695" s="303"/>
      <c r="Z695" s="304"/>
      <c r="AA695" s="304"/>
      <c r="AB695" s="304"/>
      <c r="AC695" s="304"/>
      <c r="AD695" s="304">
        <v>-7</v>
      </c>
      <c r="AE695" s="303">
        <f>E695-AD695</f>
        <v>7</v>
      </c>
      <c r="AF695" s="317"/>
      <c r="AG695" s="314">
        <f t="shared" si="808"/>
        <v>0</v>
      </c>
      <c r="AH695" s="696">
        <f t="shared" si="809"/>
        <v>0</v>
      </c>
      <c r="AI695" s="314">
        <f t="shared" si="810"/>
        <v>0</v>
      </c>
      <c r="AJ695" s="314">
        <f t="shared" si="811"/>
        <v>0</v>
      </c>
      <c r="AK695" s="314">
        <f t="shared" si="812"/>
        <v>0</v>
      </c>
      <c r="AL695" s="314">
        <f t="shared" si="813"/>
        <v>0</v>
      </c>
      <c r="AM695" s="314">
        <f t="shared" si="814"/>
        <v>0</v>
      </c>
      <c r="AN695" s="314">
        <f t="shared" si="815"/>
        <v>0</v>
      </c>
      <c r="AO695" s="314">
        <f t="shared" si="816"/>
        <v>0</v>
      </c>
      <c r="AP695" s="314">
        <f t="shared" si="817"/>
        <v>0</v>
      </c>
    </row>
    <row r="696" spans="1:42" ht="27.6" collapsed="1">
      <c r="A696" s="583" t="s">
        <v>47</v>
      </c>
      <c r="B696" s="324" t="s">
        <v>1737</v>
      </c>
      <c r="C696" s="304"/>
      <c r="D696" s="304">
        <v>820</v>
      </c>
      <c r="E696" s="304">
        <f>F696+AC696</f>
        <v>26</v>
      </c>
      <c r="F696" s="304">
        <f>F697+F698</f>
        <v>26</v>
      </c>
      <c r="G696" s="304">
        <f t="shared" ref="G696:AE696" si="864">G697+G698</f>
        <v>-794</v>
      </c>
      <c r="H696" s="304">
        <f t="shared" si="864"/>
        <v>26</v>
      </c>
      <c r="I696" s="304">
        <f t="shared" si="864"/>
        <v>26</v>
      </c>
      <c r="J696" s="304">
        <f t="shared" si="864"/>
        <v>0</v>
      </c>
      <c r="K696" s="304">
        <f t="shared" si="864"/>
        <v>0</v>
      </c>
      <c r="L696" s="304">
        <f t="shared" si="864"/>
        <v>0</v>
      </c>
      <c r="M696" s="304">
        <f t="shared" si="864"/>
        <v>0</v>
      </c>
      <c r="N696" s="304">
        <f t="shared" si="864"/>
        <v>0</v>
      </c>
      <c r="O696" s="304">
        <f t="shared" si="864"/>
        <v>0</v>
      </c>
      <c r="P696" s="304">
        <f t="shared" si="864"/>
        <v>26</v>
      </c>
      <c r="Q696" s="304">
        <f t="shared" si="864"/>
        <v>0</v>
      </c>
      <c r="R696" s="304">
        <f t="shared" si="864"/>
        <v>0</v>
      </c>
      <c r="S696" s="304">
        <f t="shared" si="864"/>
        <v>0</v>
      </c>
      <c r="T696" s="304">
        <f t="shared" si="864"/>
        <v>26</v>
      </c>
      <c r="U696" s="304">
        <f t="shared" si="864"/>
        <v>0</v>
      </c>
      <c r="V696" s="304">
        <f t="shared" si="864"/>
        <v>26</v>
      </c>
      <c r="W696" s="304">
        <f t="shared" si="864"/>
        <v>0</v>
      </c>
      <c r="X696" s="304">
        <f t="shared" si="864"/>
        <v>0</v>
      </c>
      <c r="Y696" s="304">
        <f t="shared" si="864"/>
        <v>0</v>
      </c>
      <c r="Z696" s="304">
        <f t="shared" si="864"/>
        <v>0</v>
      </c>
      <c r="AA696" s="304">
        <f t="shared" si="864"/>
        <v>0</v>
      </c>
      <c r="AB696" s="304">
        <f t="shared" si="864"/>
        <v>0</v>
      </c>
      <c r="AC696" s="304">
        <f t="shared" si="864"/>
        <v>0</v>
      </c>
      <c r="AD696" s="304">
        <f t="shared" si="864"/>
        <v>0</v>
      </c>
      <c r="AE696" s="304">
        <f t="shared" si="864"/>
        <v>26</v>
      </c>
      <c r="AF696" s="317"/>
      <c r="AG696" s="314">
        <f t="shared" si="808"/>
        <v>0</v>
      </c>
      <c r="AH696" s="696">
        <f t="shared" si="809"/>
        <v>0</v>
      </c>
      <c r="AI696" s="314">
        <f t="shared" si="810"/>
        <v>0</v>
      </c>
      <c r="AJ696" s="314">
        <f t="shared" si="811"/>
        <v>0</v>
      </c>
      <c r="AK696" s="314">
        <f t="shared" si="812"/>
        <v>0</v>
      </c>
      <c r="AL696" s="314">
        <f t="shared" si="813"/>
        <v>0</v>
      </c>
      <c r="AM696" s="314">
        <f t="shared" si="814"/>
        <v>0</v>
      </c>
      <c r="AN696" s="314">
        <f t="shared" si="815"/>
        <v>0</v>
      </c>
      <c r="AO696" s="314">
        <f t="shared" si="816"/>
        <v>0</v>
      </c>
      <c r="AP696" s="314">
        <f t="shared" si="817"/>
        <v>0</v>
      </c>
    </row>
    <row r="697" spans="1:42" ht="27.6" hidden="1" outlineLevel="3">
      <c r="A697" s="583" t="s">
        <v>23</v>
      </c>
      <c r="B697" s="1273" t="s">
        <v>1855</v>
      </c>
      <c r="C697" s="304"/>
      <c r="D697" s="304">
        <v>820</v>
      </c>
      <c r="E697" s="304">
        <f>F697+AC697</f>
        <v>0</v>
      </c>
      <c r="F697" s="304">
        <f>H697-AB697</f>
        <v>0</v>
      </c>
      <c r="G697" s="304">
        <f t="shared" ref="G697:G707" si="865">F697-D697</f>
        <v>-820</v>
      </c>
      <c r="H697" s="303">
        <f>I697+W697</f>
        <v>0</v>
      </c>
      <c r="I697" s="303">
        <f>M697+P697</f>
        <v>0</v>
      </c>
      <c r="J697" s="294"/>
      <c r="K697" s="294"/>
      <c r="L697" s="294"/>
      <c r="M697" s="304"/>
      <c r="N697" s="294"/>
      <c r="O697" s="294"/>
      <c r="P697" s="303">
        <f>S697+T697</f>
        <v>0</v>
      </c>
      <c r="Q697" s="294"/>
      <c r="R697" s="305"/>
      <c r="S697" s="304"/>
      <c r="T697" s="303">
        <f>U697+V697</f>
        <v>0</v>
      </c>
      <c r="U697" s="303"/>
      <c r="V697" s="303"/>
      <c r="W697" s="303"/>
      <c r="X697" s="303"/>
      <c r="Y697" s="303"/>
      <c r="Z697" s="303"/>
      <c r="AA697" s="303"/>
      <c r="AB697" s="303"/>
      <c r="AC697" s="304"/>
      <c r="AD697" s="304"/>
      <c r="AE697" s="303"/>
      <c r="AF697" s="317"/>
      <c r="AG697" s="314">
        <f t="shared" si="808"/>
        <v>0</v>
      </c>
      <c r="AH697" s="696">
        <f t="shared" si="809"/>
        <v>0</v>
      </c>
      <c r="AI697" s="314">
        <f t="shared" si="810"/>
        <v>0</v>
      </c>
      <c r="AJ697" s="314">
        <f t="shared" si="811"/>
        <v>0</v>
      </c>
      <c r="AK697" s="314">
        <f t="shared" si="812"/>
        <v>0</v>
      </c>
      <c r="AL697" s="314">
        <f t="shared" si="813"/>
        <v>0</v>
      </c>
      <c r="AM697" s="314">
        <f t="shared" si="814"/>
        <v>0</v>
      </c>
      <c r="AN697" s="314">
        <f t="shared" si="815"/>
        <v>0</v>
      </c>
      <c r="AO697" s="314">
        <f t="shared" si="816"/>
        <v>0</v>
      </c>
      <c r="AP697" s="314">
        <f t="shared" si="817"/>
        <v>0</v>
      </c>
    </row>
    <row r="698" spans="1:42" ht="41.4" outlineLevel="1" collapsed="1">
      <c r="A698" s="583" t="s">
        <v>23</v>
      </c>
      <c r="B698" s="316" t="s">
        <v>2188</v>
      </c>
      <c r="C698" s="302"/>
      <c r="D698" s="304"/>
      <c r="E698" s="304">
        <f>F698+AC698</f>
        <v>26</v>
      </c>
      <c r="F698" s="304">
        <f>H698-AB698</f>
        <v>26</v>
      </c>
      <c r="G698" s="304">
        <f t="shared" si="865"/>
        <v>26</v>
      </c>
      <c r="H698" s="303">
        <f>I698+W698</f>
        <v>26</v>
      </c>
      <c r="I698" s="303">
        <f>M698+P698</f>
        <v>26</v>
      </c>
      <c r="J698" s="311"/>
      <c r="K698" s="311"/>
      <c r="L698" s="311"/>
      <c r="M698" s="303"/>
      <c r="N698" s="311"/>
      <c r="O698" s="311"/>
      <c r="P698" s="303">
        <f>S698+T698</f>
        <v>26</v>
      </c>
      <c r="Q698" s="311"/>
      <c r="R698" s="312"/>
      <c r="S698" s="303"/>
      <c r="T698" s="303">
        <f>U698+V698</f>
        <v>26</v>
      </c>
      <c r="U698" s="303"/>
      <c r="V698" s="303">
        <v>26</v>
      </c>
      <c r="W698" s="303"/>
      <c r="X698" s="303"/>
      <c r="Y698" s="303"/>
      <c r="Z698" s="303"/>
      <c r="AA698" s="303"/>
      <c r="AB698" s="304"/>
      <c r="AC698" s="304"/>
      <c r="AD698" s="304"/>
      <c r="AE698" s="303">
        <f>E698-AD698</f>
        <v>26</v>
      </c>
      <c r="AF698" s="1263" t="s">
        <v>2441</v>
      </c>
      <c r="AG698" s="314"/>
      <c r="AH698" s="696"/>
      <c r="AI698" s="314"/>
      <c r="AJ698" s="314"/>
      <c r="AK698" s="314"/>
      <c r="AL698" s="314"/>
      <c r="AM698" s="314"/>
      <c r="AN698" s="314"/>
      <c r="AO698" s="314"/>
      <c r="AP698" s="314"/>
    </row>
    <row r="699" spans="1:42" s="314" customFormat="1">
      <c r="A699" s="592" t="s">
        <v>903</v>
      </c>
      <c r="B699" s="320" t="s">
        <v>1021</v>
      </c>
      <c r="C699" s="298" t="s">
        <v>728</v>
      </c>
      <c r="D699" s="297">
        <v>1087</v>
      </c>
      <c r="E699" s="297">
        <f t="shared" ref="E699:F699" si="866">E700+E701</f>
        <v>1184</v>
      </c>
      <c r="F699" s="297">
        <f t="shared" si="866"/>
        <v>1184</v>
      </c>
      <c r="G699" s="297">
        <f t="shared" si="865"/>
        <v>97</v>
      </c>
      <c r="H699" s="297">
        <f>H700+H701</f>
        <v>1184</v>
      </c>
      <c r="I699" s="297">
        <f t="shared" ref="I699:AB699" si="867">I700+I701</f>
        <v>0</v>
      </c>
      <c r="J699" s="297">
        <f t="shared" si="867"/>
        <v>0</v>
      </c>
      <c r="K699" s="297">
        <f t="shared" si="867"/>
        <v>0</v>
      </c>
      <c r="L699" s="297">
        <f t="shared" si="867"/>
        <v>0</v>
      </c>
      <c r="M699" s="297">
        <f t="shared" si="867"/>
        <v>0</v>
      </c>
      <c r="N699" s="297">
        <f t="shared" si="867"/>
        <v>0</v>
      </c>
      <c r="O699" s="297">
        <f t="shared" si="867"/>
        <v>0</v>
      </c>
      <c r="P699" s="297">
        <f t="shared" si="867"/>
        <v>0</v>
      </c>
      <c r="Q699" s="297">
        <f t="shared" si="867"/>
        <v>0</v>
      </c>
      <c r="R699" s="297">
        <f t="shared" si="867"/>
        <v>0</v>
      </c>
      <c r="S699" s="297">
        <f t="shared" si="867"/>
        <v>0</v>
      </c>
      <c r="T699" s="297">
        <f t="shared" si="867"/>
        <v>0</v>
      </c>
      <c r="U699" s="297">
        <f t="shared" si="867"/>
        <v>0</v>
      </c>
      <c r="V699" s="297">
        <f t="shared" si="867"/>
        <v>0</v>
      </c>
      <c r="W699" s="297">
        <f t="shared" si="867"/>
        <v>1184</v>
      </c>
      <c r="X699" s="297">
        <f t="shared" si="867"/>
        <v>0</v>
      </c>
      <c r="Y699" s="297">
        <f t="shared" si="867"/>
        <v>0</v>
      </c>
      <c r="Z699" s="297">
        <f t="shared" si="867"/>
        <v>1087</v>
      </c>
      <c r="AA699" s="297">
        <f t="shared" si="867"/>
        <v>97</v>
      </c>
      <c r="AB699" s="297">
        <f t="shared" si="867"/>
        <v>0</v>
      </c>
      <c r="AC699" s="299"/>
      <c r="AD699" s="299">
        <v>118</v>
      </c>
      <c r="AE699" s="299">
        <f>E699-AD699</f>
        <v>1066</v>
      </c>
      <c r="AF699" s="321"/>
      <c r="AG699" s="314">
        <f t="shared" si="808"/>
        <v>0</v>
      </c>
      <c r="AH699" s="696">
        <f t="shared" si="809"/>
        <v>0</v>
      </c>
      <c r="AI699" s="314">
        <f t="shared" si="810"/>
        <v>0</v>
      </c>
      <c r="AJ699" s="314">
        <f t="shared" si="811"/>
        <v>0</v>
      </c>
      <c r="AK699" s="314">
        <f t="shared" si="812"/>
        <v>0</v>
      </c>
      <c r="AL699" s="314">
        <f t="shared" si="813"/>
        <v>0</v>
      </c>
      <c r="AM699" s="314">
        <f t="shared" si="814"/>
        <v>0</v>
      </c>
      <c r="AN699" s="314">
        <f t="shared" si="815"/>
        <v>0</v>
      </c>
      <c r="AO699" s="314">
        <f t="shared" si="816"/>
        <v>0</v>
      </c>
      <c r="AP699" s="314">
        <f t="shared" si="817"/>
        <v>0</v>
      </c>
    </row>
    <row r="700" spans="1:42" ht="82.8" outlineLevel="1">
      <c r="A700" s="593" t="s">
        <v>23</v>
      </c>
      <c r="B700" s="316" t="s">
        <v>1085</v>
      </c>
      <c r="C700" s="302"/>
      <c r="D700" s="304">
        <v>1014</v>
      </c>
      <c r="E700" s="304">
        <f>F700+AC700</f>
        <v>1084</v>
      </c>
      <c r="F700" s="304">
        <f>H700-AB700</f>
        <v>1084</v>
      </c>
      <c r="G700" s="304">
        <f t="shared" si="865"/>
        <v>70</v>
      </c>
      <c r="H700" s="303">
        <f t="shared" ref="H700:H701" si="868">I700+W700</f>
        <v>1084</v>
      </c>
      <c r="I700" s="303">
        <f t="shared" ref="I700:I704" si="869">M700+P700</f>
        <v>0</v>
      </c>
      <c r="J700" s="311"/>
      <c r="K700" s="311"/>
      <c r="L700" s="311"/>
      <c r="M700" s="303"/>
      <c r="N700" s="311"/>
      <c r="O700" s="311"/>
      <c r="P700" s="303">
        <f t="shared" ref="P700:P704" si="870">S700+T700</f>
        <v>0</v>
      </c>
      <c r="Q700" s="311"/>
      <c r="R700" s="312"/>
      <c r="S700" s="303"/>
      <c r="T700" s="303">
        <f t="shared" ref="T700:T704" si="871">U700+V700</f>
        <v>0</v>
      </c>
      <c r="U700" s="303"/>
      <c r="V700" s="303"/>
      <c r="W700" s="303">
        <f>Z700+AA700</f>
        <v>1084</v>
      </c>
      <c r="X700" s="303"/>
      <c r="Y700" s="303"/>
      <c r="Z700" s="303">
        <v>987</v>
      </c>
      <c r="AA700" s="303">
        <v>97</v>
      </c>
      <c r="AB700" s="304"/>
      <c r="AC700" s="304"/>
      <c r="AD700" s="304"/>
      <c r="AE700" s="304"/>
      <c r="AF700" s="1263" t="s">
        <v>2189</v>
      </c>
      <c r="AG700" s="314">
        <f t="shared" si="808"/>
        <v>0</v>
      </c>
      <c r="AH700" s="696">
        <f t="shared" si="809"/>
        <v>0</v>
      </c>
      <c r="AI700" s="314">
        <f t="shared" si="810"/>
        <v>0</v>
      </c>
      <c r="AJ700" s="314">
        <f t="shared" si="811"/>
        <v>0</v>
      </c>
      <c r="AK700" s="314">
        <f t="shared" si="812"/>
        <v>0</v>
      </c>
      <c r="AL700" s="314">
        <f t="shared" si="813"/>
        <v>0</v>
      </c>
      <c r="AM700" s="314">
        <f t="shared" si="814"/>
        <v>0</v>
      </c>
      <c r="AN700" s="314">
        <f t="shared" si="815"/>
        <v>0</v>
      </c>
      <c r="AO700" s="314">
        <f t="shared" si="816"/>
        <v>0</v>
      </c>
      <c r="AP700" s="314">
        <f t="shared" si="817"/>
        <v>0</v>
      </c>
    </row>
    <row r="701" spans="1:42" ht="96.6" outlineLevel="1">
      <c r="A701" s="593" t="s">
        <v>23</v>
      </c>
      <c r="B701" s="316" t="s">
        <v>1086</v>
      </c>
      <c r="C701" s="302"/>
      <c r="D701" s="304">
        <v>73</v>
      </c>
      <c r="E701" s="304">
        <f>F701+AC701</f>
        <v>100</v>
      </c>
      <c r="F701" s="304">
        <f>H701-AB701</f>
        <v>100</v>
      </c>
      <c r="G701" s="304">
        <f t="shared" si="865"/>
        <v>27</v>
      </c>
      <c r="H701" s="303">
        <f t="shared" si="868"/>
        <v>100</v>
      </c>
      <c r="I701" s="303">
        <f t="shared" si="869"/>
        <v>0</v>
      </c>
      <c r="J701" s="311"/>
      <c r="K701" s="311"/>
      <c r="L701" s="311"/>
      <c r="M701" s="303"/>
      <c r="N701" s="311"/>
      <c r="O701" s="311"/>
      <c r="P701" s="303">
        <f t="shared" si="870"/>
        <v>0</v>
      </c>
      <c r="Q701" s="311"/>
      <c r="R701" s="312"/>
      <c r="S701" s="303"/>
      <c r="T701" s="303">
        <f t="shared" si="871"/>
        <v>0</v>
      </c>
      <c r="U701" s="303"/>
      <c r="V701" s="303"/>
      <c r="W701" s="303">
        <f>Z701+AA701</f>
        <v>100</v>
      </c>
      <c r="X701" s="303"/>
      <c r="Y701" s="303"/>
      <c r="Z701" s="303">
        <v>100</v>
      </c>
      <c r="AA701" s="303"/>
      <c r="AB701" s="304"/>
      <c r="AC701" s="304"/>
      <c r="AD701" s="304"/>
      <c r="AE701" s="304"/>
      <c r="AF701" s="317" t="s">
        <v>2190</v>
      </c>
      <c r="AG701" s="314">
        <f t="shared" si="808"/>
        <v>0</v>
      </c>
      <c r="AH701" s="696">
        <f t="shared" si="809"/>
        <v>0</v>
      </c>
      <c r="AI701" s="314">
        <f t="shared" si="810"/>
        <v>0</v>
      </c>
      <c r="AJ701" s="314">
        <f t="shared" si="811"/>
        <v>0</v>
      </c>
      <c r="AK701" s="314">
        <f t="shared" si="812"/>
        <v>0</v>
      </c>
      <c r="AL701" s="314">
        <f t="shared" si="813"/>
        <v>0</v>
      </c>
      <c r="AM701" s="314">
        <f t="shared" si="814"/>
        <v>0</v>
      </c>
      <c r="AN701" s="314">
        <f t="shared" si="815"/>
        <v>0</v>
      </c>
      <c r="AO701" s="314">
        <f t="shared" si="816"/>
        <v>0</v>
      </c>
      <c r="AP701" s="314">
        <f t="shared" si="817"/>
        <v>0</v>
      </c>
    </row>
    <row r="702" spans="1:42" s="314" customFormat="1">
      <c r="A702" s="592" t="s">
        <v>904</v>
      </c>
      <c r="B702" s="645" t="s">
        <v>1087</v>
      </c>
      <c r="C702" s="298" t="s">
        <v>756</v>
      </c>
      <c r="D702" s="297">
        <v>3600</v>
      </c>
      <c r="E702" s="297">
        <f t="shared" ref="E702:F702" si="872">E703+E704</f>
        <v>4525</v>
      </c>
      <c r="F702" s="297">
        <f t="shared" si="872"/>
        <v>4525</v>
      </c>
      <c r="G702" s="297">
        <f t="shared" si="865"/>
        <v>925</v>
      </c>
      <c r="H702" s="297">
        <f>H703+H704</f>
        <v>4525</v>
      </c>
      <c r="I702" s="297">
        <f t="shared" ref="I702:AE702" si="873">I703+I704</f>
        <v>4525</v>
      </c>
      <c r="J702" s="297">
        <f t="shared" si="873"/>
        <v>0</v>
      </c>
      <c r="K702" s="297">
        <f t="shared" si="873"/>
        <v>0</v>
      </c>
      <c r="L702" s="297">
        <f t="shared" si="873"/>
        <v>0</v>
      </c>
      <c r="M702" s="297">
        <f t="shared" si="873"/>
        <v>0</v>
      </c>
      <c r="N702" s="297">
        <f t="shared" si="873"/>
        <v>0</v>
      </c>
      <c r="O702" s="297">
        <f t="shared" si="873"/>
        <v>0</v>
      </c>
      <c r="P702" s="297">
        <f t="shared" si="873"/>
        <v>4525</v>
      </c>
      <c r="Q702" s="297">
        <f t="shared" si="873"/>
        <v>0</v>
      </c>
      <c r="R702" s="297">
        <f t="shared" si="873"/>
        <v>0</v>
      </c>
      <c r="S702" s="297">
        <f t="shared" si="873"/>
        <v>0</v>
      </c>
      <c r="T702" s="297">
        <f t="shared" si="873"/>
        <v>4525</v>
      </c>
      <c r="U702" s="297">
        <f t="shared" si="873"/>
        <v>3600</v>
      </c>
      <c r="V702" s="297">
        <f t="shared" si="873"/>
        <v>925</v>
      </c>
      <c r="W702" s="297">
        <f t="shared" si="873"/>
        <v>0</v>
      </c>
      <c r="X702" s="297">
        <f t="shared" si="873"/>
        <v>0</v>
      </c>
      <c r="Y702" s="297">
        <f t="shared" si="873"/>
        <v>0</v>
      </c>
      <c r="Z702" s="297">
        <f t="shared" si="873"/>
        <v>0</v>
      </c>
      <c r="AA702" s="297">
        <f t="shared" si="873"/>
        <v>0</v>
      </c>
      <c r="AB702" s="297">
        <f t="shared" si="873"/>
        <v>0</v>
      </c>
      <c r="AC702" s="299">
        <f t="shared" si="873"/>
        <v>0</v>
      </c>
      <c r="AD702" s="299">
        <f t="shared" si="873"/>
        <v>453</v>
      </c>
      <c r="AE702" s="299">
        <f t="shared" si="873"/>
        <v>4072</v>
      </c>
      <c r="AF702" s="1271"/>
      <c r="AG702" s="314">
        <f t="shared" si="808"/>
        <v>0</v>
      </c>
      <c r="AH702" s="696">
        <f t="shared" si="809"/>
        <v>0</v>
      </c>
      <c r="AI702" s="314">
        <f t="shared" si="810"/>
        <v>0</v>
      </c>
      <c r="AJ702" s="314">
        <f t="shared" si="811"/>
        <v>0</v>
      </c>
      <c r="AK702" s="314">
        <f t="shared" si="812"/>
        <v>0</v>
      </c>
      <c r="AL702" s="314">
        <f t="shared" si="813"/>
        <v>0</v>
      </c>
      <c r="AM702" s="314">
        <f t="shared" si="814"/>
        <v>0</v>
      </c>
      <c r="AN702" s="314">
        <f t="shared" si="815"/>
        <v>0</v>
      </c>
      <c r="AO702" s="314">
        <f t="shared" si="816"/>
        <v>0</v>
      </c>
      <c r="AP702" s="314">
        <f t="shared" si="817"/>
        <v>0</v>
      </c>
    </row>
    <row r="703" spans="1:42" ht="28.5" customHeight="1">
      <c r="A703" s="593" t="s">
        <v>45</v>
      </c>
      <c r="B703" s="646" t="s">
        <v>1886</v>
      </c>
      <c r="C703" s="302"/>
      <c r="D703" s="304">
        <v>700</v>
      </c>
      <c r="E703" s="304">
        <f>F703+AC703</f>
        <v>625</v>
      </c>
      <c r="F703" s="304">
        <f>H703-AB703</f>
        <v>625</v>
      </c>
      <c r="G703" s="304">
        <f t="shared" si="865"/>
        <v>-75</v>
      </c>
      <c r="H703" s="303">
        <f t="shared" ref="H703:H704" si="874">I703+W703</f>
        <v>625</v>
      </c>
      <c r="I703" s="303">
        <f t="shared" si="869"/>
        <v>625</v>
      </c>
      <c r="J703" s="311"/>
      <c r="K703" s="311"/>
      <c r="L703" s="311"/>
      <c r="M703" s="303"/>
      <c r="N703" s="311"/>
      <c r="O703" s="311"/>
      <c r="P703" s="303">
        <f t="shared" si="870"/>
        <v>625</v>
      </c>
      <c r="Q703" s="311"/>
      <c r="R703" s="312"/>
      <c r="S703" s="303"/>
      <c r="T703" s="303">
        <f t="shared" si="871"/>
        <v>625</v>
      </c>
      <c r="U703" s="303">
        <v>625</v>
      </c>
      <c r="V703" s="303"/>
      <c r="W703" s="303">
        <f>Z703+AA703</f>
        <v>0</v>
      </c>
      <c r="X703" s="303"/>
      <c r="Y703" s="303"/>
      <c r="Z703" s="303"/>
      <c r="AA703" s="303"/>
      <c r="AB703" s="304"/>
      <c r="AC703" s="304"/>
      <c r="AD703" s="304">
        <v>63</v>
      </c>
      <c r="AE703" s="303">
        <f>E703-AD703</f>
        <v>562</v>
      </c>
      <c r="AF703" s="1632" t="s">
        <v>2191</v>
      </c>
      <c r="AG703" s="314">
        <f t="shared" si="808"/>
        <v>0</v>
      </c>
      <c r="AH703" s="696">
        <f t="shared" si="809"/>
        <v>0</v>
      </c>
      <c r="AI703" s="314">
        <f t="shared" si="810"/>
        <v>0</v>
      </c>
      <c r="AJ703" s="314">
        <f t="shared" si="811"/>
        <v>0</v>
      </c>
      <c r="AK703" s="314">
        <f t="shared" si="812"/>
        <v>0</v>
      </c>
      <c r="AL703" s="314">
        <f t="shared" si="813"/>
        <v>0</v>
      </c>
      <c r="AM703" s="314">
        <f t="shared" si="814"/>
        <v>0</v>
      </c>
      <c r="AN703" s="314">
        <f t="shared" si="815"/>
        <v>0</v>
      </c>
      <c r="AO703" s="314">
        <f t="shared" si="816"/>
        <v>0</v>
      </c>
      <c r="AP703" s="314">
        <f t="shared" si="817"/>
        <v>0</v>
      </c>
    </row>
    <row r="704" spans="1:42" ht="28.5" customHeight="1">
      <c r="A704" s="593" t="s">
        <v>47</v>
      </c>
      <c r="B704" s="646" t="s">
        <v>1088</v>
      </c>
      <c r="C704" s="302"/>
      <c r="D704" s="304">
        <v>2900</v>
      </c>
      <c r="E704" s="304">
        <f>F704+AC704</f>
        <v>3900</v>
      </c>
      <c r="F704" s="304">
        <f>H704-AB704</f>
        <v>3900</v>
      </c>
      <c r="G704" s="304">
        <f t="shared" si="865"/>
        <v>1000</v>
      </c>
      <c r="H704" s="303">
        <f t="shared" si="874"/>
        <v>3900</v>
      </c>
      <c r="I704" s="303">
        <f t="shared" si="869"/>
        <v>3900</v>
      </c>
      <c r="J704" s="311"/>
      <c r="K704" s="311"/>
      <c r="L704" s="311"/>
      <c r="M704" s="303"/>
      <c r="N704" s="311"/>
      <c r="O704" s="311"/>
      <c r="P704" s="303">
        <f t="shared" si="870"/>
        <v>3900</v>
      </c>
      <c r="Q704" s="311"/>
      <c r="R704" s="312"/>
      <c r="S704" s="303"/>
      <c r="T704" s="303">
        <f t="shared" si="871"/>
        <v>3900</v>
      </c>
      <c r="U704" s="303">
        <v>2975</v>
      </c>
      <c r="V704" s="303">
        <v>925</v>
      </c>
      <c r="W704" s="303">
        <f>Z704+AA704</f>
        <v>0</v>
      </c>
      <c r="X704" s="303"/>
      <c r="Y704" s="303"/>
      <c r="Z704" s="303"/>
      <c r="AA704" s="303"/>
      <c r="AB704" s="304"/>
      <c r="AC704" s="304"/>
      <c r="AD704" s="304">
        <v>390</v>
      </c>
      <c r="AE704" s="303">
        <f>E704-AD704</f>
        <v>3510</v>
      </c>
      <c r="AF704" s="1633"/>
      <c r="AG704" s="314">
        <f t="shared" si="808"/>
        <v>0</v>
      </c>
      <c r="AH704" s="696">
        <f t="shared" si="809"/>
        <v>0</v>
      </c>
      <c r="AI704" s="314">
        <f t="shared" si="810"/>
        <v>0</v>
      </c>
      <c r="AJ704" s="314">
        <f t="shared" si="811"/>
        <v>0</v>
      </c>
      <c r="AK704" s="314">
        <f t="shared" si="812"/>
        <v>0</v>
      </c>
      <c r="AL704" s="314">
        <f t="shared" si="813"/>
        <v>0</v>
      </c>
      <c r="AM704" s="314">
        <f t="shared" si="814"/>
        <v>0</v>
      </c>
      <c r="AN704" s="314">
        <f t="shared" si="815"/>
        <v>0</v>
      </c>
      <c r="AO704" s="314">
        <f t="shared" si="816"/>
        <v>0</v>
      </c>
      <c r="AP704" s="314">
        <f t="shared" si="817"/>
        <v>0</v>
      </c>
    </row>
    <row r="705" spans="1:42" s="314" customFormat="1">
      <c r="A705" s="592" t="s">
        <v>76</v>
      </c>
      <c r="B705" s="320" t="s">
        <v>1089</v>
      </c>
      <c r="C705" s="298" t="s">
        <v>756</v>
      </c>
      <c r="D705" s="297">
        <f t="shared" ref="D705:AE705" si="875">D706+D708+D707</f>
        <v>7029</v>
      </c>
      <c r="E705" s="297">
        <f>E706+E708+E707</f>
        <v>8387</v>
      </c>
      <c r="F705" s="297">
        <f>F706+F708+F707</f>
        <v>7389</v>
      </c>
      <c r="G705" s="297">
        <f t="shared" si="865"/>
        <v>360</v>
      </c>
      <c r="H705" s="297">
        <f t="shared" si="875"/>
        <v>7389</v>
      </c>
      <c r="I705" s="297">
        <f t="shared" si="875"/>
        <v>7389</v>
      </c>
      <c r="J705" s="297">
        <f t="shared" si="875"/>
        <v>33</v>
      </c>
      <c r="K705" s="297">
        <f t="shared" si="875"/>
        <v>32</v>
      </c>
      <c r="L705" s="297">
        <f t="shared" si="875"/>
        <v>1</v>
      </c>
      <c r="M705" s="297">
        <f t="shared" si="875"/>
        <v>4799</v>
      </c>
      <c r="N705" s="297">
        <f t="shared" si="875"/>
        <v>4734</v>
      </c>
      <c r="O705" s="297">
        <f t="shared" si="875"/>
        <v>65</v>
      </c>
      <c r="P705" s="297">
        <f t="shared" si="875"/>
        <v>2590</v>
      </c>
      <c r="Q705" s="297"/>
      <c r="R705" s="297"/>
      <c r="S705" s="297">
        <f t="shared" si="875"/>
        <v>1795</v>
      </c>
      <c r="T705" s="297">
        <f t="shared" si="875"/>
        <v>795</v>
      </c>
      <c r="U705" s="297">
        <f t="shared" si="875"/>
        <v>695</v>
      </c>
      <c r="V705" s="297">
        <f t="shared" si="875"/>
        <v>100</v>
      </c>
      <c r="W705" s="297">
        <f>W706+W708+W707</f>
        <v>0</v>
      </c>
      <c r="X705" s="297"/>
      <c r="Y705" s="297"/>
      <c r="Z705" s="297">
        <f t="shared" si="875"/>
        <v>0</v>
      </c>
      <c r="AA705" s="297">
        <f>AA706+AA708+AA707</f>
        <v>0</v>
      </c>
      <c r="AB705" s="297">
        <f>AB706+AB708+AB707</f>
        <v>0</v>
      </c>
      <c r="AC705" s="297">
        <f t="shared" ref="AC705" si="876">AC706+AC708+AC707</f>
        <v>998</v>
      </c>
      <c r="AD705" s="297">
        <f t="shared" si="875"/>
        <v>245</v>
      </c>
      <c r="AE705" s="297">
        <f t="shared" si="875"/>
        <v>8142</v>
      </c>
      <c r="AF705" s="317"/>
      <c r="AG705" s="314">
        <f t="shared" si="808"/>
        <v>0</v>
      </c>
      <c r="AH705" s="696">
        <f t="shared" si="809"/>
        <v>0</v>
      </c>
      <c r="AI705" s="314">
        <f t="shared" si="810"/>
        <v>0</v>
      </c>
      <c r="AJ705" s="314">
        <f t="shared" si="811"/>
        <v>0</v>
      </c>
      <c r="AK705" s="314">
        <f t="shared" si="812"/>
        <v>0</v>
      </c>
      <c r="AL705" s="314">
        <f t="shared" si="813"/>
        <v>0</v>
      </c>
      <c r="AM705" s="314">
        <f t="shared" si="814"/>
        <v>0</v>
      </c>
      <c r="AN705" s="314">
        <f t="shared" si="815"/>
        <v>0</v>
      </c>
      <c r="AO705" s="314">
        <f t="shared" si="816"/>
        <v>0</v>
      </c>
      <c r="AP705" s="314">
        <f t="shared" si="817"/>
        <v>0</v>
      </c>
    </row>
    <row r="706" spans="1:42">
      <c r="A706" s="583" t="s">
        <v>45</v>
      </c>
      <c r="B706" s="316" t="s">
        <v>862</v>
      </c>
      <c r="C706" s="304"/>
      <c r="D706" s="304">
        <v>6014</v>
      </c>
      <c r="E706" s="304">
        <f t="shared" ref="E706:E716" si="877">F706+AC706</f>
        <v>7592</v>
      </c>
      <c r="F706" s="304">
        <f>H706-AB706</f>
        <v>6594</v>
      </c>
      <c r="G706" s="304">
        <f t="shared" si="865"/>
        <v>580</v>
      </c>
      <c r="H706" s="303">
        <f t="shared" ref="H706:H707" si="878">I706+W706</f>
        <v>6594</v>
      </c>
      <c r="I706" s="303">
        <f>M706+P706</f>
        <v>6594</v>
      </c>
      <c r="J706" s="330">
        <v>33</v>
      </c>
      <c r="K706" s="330">
        <v>32</v>
      </c>
      <c r="L706" s="294">
        <f>J706-K706</f>
        <v>1</v>
      </c>
      <c r="M706" s="304">
        <f>N706+O706</f>
        <v>4799</v>
      </c>
      <c r="N706" s="294">
        <v>4734</v>
      </c>
      <c r="O706" s="294">
        <v>65</v>
      </c>
      <c r="P706" s="303">
        <f>S706+T706</f>
        <v>1795</v>
      </c>
      <c r="Q706" s="294">
        <v>34</v>
      </c>
      <c r="R706" s="331">
        <v>1.6</v>
      </c>
      <c r="S706" s="304">
        <f>ROUND(J706*Q706*R706,0)</f>
        <v>1795</v>
      </c>
      <c r="T706" s="303">
        <f>U706+V706</f>
        <v>0</v>
      </c>
      <c r="U706" s="304"/>
      <c r="V706" s="304"/>
      <c r="W706" s="303">
        <f>Z706+AA706</f>
        <v>0</v>
      </c>
      <c r="X706" s="303"/>
      <c r="Y706" s="303"/>
      <c r="Z706" s="304"/>
      <c r="AA706" s="304"/>
      <c r="AB706" s="304"/>
      <c r="AC706" s="304">
        <v>998</v>
      </c>
      <c r="AD706" s="304">
        <v>180</v>
      </c>
      <c r="AE706" s="303">
        <f>E706-AD706</f>
        <v>7412</v>
      </c>
      <c r="AF706" s="317"/>
      <c r="AG706" s="314">
        <f t="shared" si="808"/>
        <v>0</v>
      </c>
      <c r="AH706" s="696">
        <f t="shared" si="809"/>
        <v>0</v>
      </c>
      <c r="AI706" s="314">
        <f t="shared" si="810"/>
        <v>0</v>
      </c>
      <c r="AJ706" s="314">
        <f t="shared" si="811"/>
        <v>0</v>
      </c>
      <c r="AK706" s="314">
        <f t="shared" si="812"/>
        <v>0</v>
      </c>
      <c r="AL706" s="314">
        <f t="shared" si="813"/>
        <v>0</v>
      </c>
      <c r="AM706" s="314">
        <f t="shared" si="814"/>
        <v>0</v>
      </c>
      <c r="AN706" s="314">
        <f t="shared" si="815"/>
        <v>0</v>
      </c>
      <c r="AO706" s="314">
        <f t="shared" si="816"/>
        <v>0</v>
      </c>
      <c r="AP706" s="314">
        <f t="shared" si="817"/>
        <v>0</v>
      </c>
    </row>
    <row r="707" spans="1:42" ht="27.6" hidden="1" outlineLevel="3">
      <c r="A707" s="583" t="s">
        <v>47</v>
      </c>
      <c r="B707" s="324" t="s">
        <v>1521</v>
      </c>
      <c r="C707" s="304"/>
      <c r="D707" s="304">
        <v>210</v>
      </c>
      <c r="E707" s="304">
        <f t="shared" si="877"/>
        <v>0</v>
      </c>
      <c r="F707" s="304">
        <f>H707-AB707</f>
        <v>0</v>
      </c>
      <c r="G707" s="304">
        <f t="shared" si="865"/>
        <v>-210</v>
      </c>
      <c r="H707" s="303">
        <f t="shared" si="878"/>
        <v>0</v>
      </c>
      <c r="I707" s="303">
        <f t="shared" ref="I707" si="879">M707+P707</f>
        <v>0</v>
      </c>
      <c r="J707" s="294"/>
      <c r="K707" s="294">
        <v>0</v>
      </c>
      <c r="L707" s="294"/>
      <c r="M707" s="304">
        <f t="shared" ref="M707" si="880">N707+O707</f>
        <v>0</v>
      </c>
      <c r="N707" s="294"/>
      <c r="O707" s="294"/>
      <c r="P707" s="303">
        <f t="shared" ref="P707" si="881">S707+T707</f>
        <v>0</v>
      </c>
      <c r="Q707" s="294">
        <v>0</v>
      </c>
      <c r="R707" s="305"/>
      <c r="S707" s="304">
        <f>J707*Q707</f>
        <v>0</v>
      </c>
      <c r="T707" s="303">
        <f t="shared" ref="T707" si="882">U707+V707</f>
        <v>0</v>
      </c>
      <c r="U707" s="304"/>
      <c r="V707" s="304"/>
      <c r="W707" s="303">
        <f>Z707+AA707</f>
        <v>0</v>
      </c>
      <c r="X707" s="303"/>
      <c r="Y707" s="303"/>
      <c r="Z707" s="304"/>
      <c r="AA707" s="304"/>
      <c r="AB707" s="304"/>
      <c r="AC707" s="304"/>
      <c r="AD707" s="304">
        <v>-15</v>
      </c>
      <c r="AE707" s="303">
        <f>E707-AD707</f>
        <v>15</v>
      </c>
      <c r="AF707" s="317"/>
      <c r="AG707" s="314">
        <f t="shared" si="808"/>
        <v>0</v>
      </c>
      <c r="AH707" s="696">
        <f t="shared" si="809"/>
        <v>0</v>
      </c>
      <c r="AI707" s="314">
        <f t="shared" si="810"/>
        <v>0</v>
      </c>
      <c r="AJ707" s="314">
        <f t="shared" si="811"/>
        <v>0</v>
      </c>
      <c r="AK707" s="314">
        <f t="shared" si="812"/>
        <v>0</v>
      </c>
      <c r="AL707" s="314">
        <f t="shared" si="813"/>
        <v>0</v>
      </c>
      <c r="AM707" s="314">
        <f t="shared" si="814"/>
        <v>0</v>
      </c>
      <c r="AN707" s="314">
        <f t="shared" si="815"/>
        <v>0</v>
      </c>
      <c r="AO707" s="314">
        <f t="shared" si="816"/>
        <v>0</v>
      </c>
      <c r="AP707" s="314">
        <f t="shared" si="817"/>
        <v>0</v>
      </c>
    </row>
    <row r="708" spans="1:42" ht="27.6" collapsed="1">
      <c r="A708" s="583" t="s">
        <v>47</v>
      </c>
      <c r="B708" s="1273" t="s">
        <v>1737</v>
      </c>
      <c r="C708" s="304"/>
      <c r="D708" s="303">
        <v>805</v>
      </c>
      <c r="E708" s="303">
        <f t="shared" si="877"/>
        <v>795</v>
      </c>
      <c r="F708" s="303">
        <f>F709+F714+F715+F716</f>
        <v>795</v>
      </c>
      <c r="G708" s="303">
        <f>G709+G714+G715+G716</f>
        <v>-110</v>
      </c>
      <c r="H708" s="303">
        <f t="shared" ref="H708:AB708" si="883">H709+H714+H715+H716</f>
        <v>795</v>
      </c>
      <c r="I708" s="303">
        <f t="shared" si="883"/>
        <v>795</v>
      </c>
      <c r="J708" s="303">
        <f t="shared" si="883"/>
        <v>0</v>
      </c>
      <c r="K708" s="303">
        <f t="shared" si="883"/>
        <v>0</v>
      </c>
      <c r="L708" s="303">
        <f t="shared" si="883"/>
        <v>0</v>
      </c>
      <c r="M708" s="303">
        <f t="shared" si="883"/>
        <v>0</v>
      </c>
      <c r="N708" s="303">
        <f t="shared" si="883"/>
        <v>0</v>
      </c>
      <c r="O708" s="303">
        <f t="shared" si="883"/>
        <v>0</v>
      </c>
      <c r="P708" s="303">
        <f t="shared" si="883"/>
        <v>795</v>
      </c>
      <c r="Q708" s="303">
        <f t="shared" si="883"/>
        <v>0</v>
      </c>
      <c r="R708" s="303">
        <f t="shared" si="883"/>
        <v>0</v>
      </c>
      <c r="S708" s="303">
        <f t="shared" si="883"/>
        <v>0</v>
      </c>
      <c r="T708" s="303">
        <f t="shared" si="883"/>
        <v>795</v>
      </c>
      <c r="U708" s="303">
        <f t="shared" si="883"/>
        <v>695</v>
      </c>
      <c r="V708" s="303">
        <f t="shared" si="883"/>
        <v>100</v>
      </c>
      <c r="W708" s="303">
        <f t="shared" si="883"/>
        <v>0</v>
      </c>
      <c r="X708" s="303">
        <f t="shared" si="883"/>
        <v>0</v>
      </c>
      <c r="Y708" s="303">
        <f t="shared" si="883"/>
        <v>0</v>
      </c>
      <c r="Z708" s="303">
        <f t="shared" si="883"/>
        <v>0</v>
      </c>
      <c r="AA708" s="303">
        <f t="shared" si="883"/>
        <v>0</v>
      </c>
      <c r="AB708" s="303">
        <f t="shared" si="883"/>
        <v>0</v>
      </c>
      <c r="AC708" s="304"/>
      <c r="AD708" s="304">
        <v>80</v>
      </c>
      <c r="AE708" s="303">
        <f>E708-AD708</f>
        <v>715</v>
      </c>
      <c r="AF708" s="317"/>
      <c r="AG708" s="314">
        <f t="shared" si="808"/>
        <v>0</v>
      </c>
      <c r="AH708" s="696">
        <f t="shared" si="809"/>
        <v>0</v>
      </c>
      <c r="AI708" s="314">
        <f t="shared" si="810"/>
        <v>0</v>
      </c>
      <c r="AJ708" s="314">
        <f t="shared" si="811"/>
        <v>0</v>
      </c>
      <c r="AK708" s="314">
        <f t="shared" si="812"/>
        <v>0</v>
      </c>
      <c r="AL708" s="314">
        <f t="shared" si="813"/>
        <v>0</v>
      </c>
      <c r="AM708" s="314">
        <f t="shared" si="814"/>
        <v>0</v>
      </c>
      <c r="AN708" s="314">
        <f t="shared" si="815"/>
        <v>0</v>
      </c>
      <c r="AO708" s="314">
        <f t="shared" si="816"/>
        <v>0</v>
      </c>
      <c r="AP708" s="314">
        <f t="shared" si="817"/>
        <v>0</v>
      </c>
    </row>
    <row r="709" spans="1:42" ht="69" outlineLevel="1">
      <c r="A709" s="600" t="s">
        <v>23</v>
      </c>
      <c r="B709" s="324" t="s">
        <v>2192</v>
      </c>
      <c r="C709" s="304"/>
      <c r="D709" s="304">
        <v>383</v>
      </c>
      <c r="E709" s="304">
        <f t="shared" si="877"/>
        <v>483</v>
      </c>
      <c r="F709" s="304">
        <f>H709-AB709</f>
        <v>483</v>
      </c>
      <c r="G709" s="304">
        <f>G710+G711+G712+G713</f>
        <v>0</v>
      </c>
      <c r="H709" s="303">
        <f>I709+W709</f>
        <v>483</v>
      </c>
      <c r="I709" s="303">
        <f t="shared" ref="I709:I716" si="884">M709+P709</f>
        <v>483</v>
      </c>
      <c r="J709" s="304">
        <f t="shared" ref="J709:U709" si="885">J710+J711+J712+J713</f>
        <v>0</v>
      </c>
      <c r="K709" s="304">
        <f t="shared" si="885"/>
        <v>0</v>
      </c>
      <c r="L709" s="304">
        <f t="shared" si="885"/>
        <v>0</v>
      </c>
      <c r="M709" s="304">
        <f t="shared" si="885"/>
        <v>0</v>
      </c>
      <c r="N709" s="304">
        <f t="shared" si="885"/>
        <v>0</v>
      </c>
      <c r="O709" s="304">
        <f t="shared" si="885"/>
        <v>0</v>
      </c>
      <c r="P709" s="303">
        <f t="shared" ref="P709:P716" si="886">S709+T709</f>
        <v>483</v>
      </c>
      <c r="Q709" s="304">
        <f t="shared" si="885"/>
        <v>0</v>
      </c>
      <c r="R709" s="304">
        <f t="shared" si="885"/>
        <v>0</v>
      </c>
      <c r="S709" s="304">
        <f t="shared" si="885"/>
        <v>0</v>
      </c>
      <c r="T709" s="303">
        <f t="shared" ref="T709:T716" si="887">U709+V709</f>
        <v>483</v>
      </c>
      <c r="U709" s="304">
        <f t="shared" si="885"/>
        <v>383</v>
      </c>
      <c r="V709" s="304">
        <v>100</v>
      </c>
      <c r="W709" s="303"/>
      <c r="X709" s="303"/>
      <c r="Y709" s="303"/>
      <c r="Z709" s="303"/>
      <c r="AA709" s="303"/>
      <c r="AB709" s="303"/>
      <c r="AC709" s="303"/>
      <c r="AD709" s="303"/>
      <c r="AE709" s="304"/>
      <c r="AF709" s="317"/>
      <c r="AG709" s="314">
        <f t="shared" si="808"/>
        <v>0</v>
      </c>
      <c r="AH709" s="696">
        <f t="shared" si="809"/>
        <v>0</v>
      </c>
      <c r="AI709" s="314">
        <f t="shared" si="810"/>
        <v>0</v>
      </c>
      <c r="AJ709" s="314">
        <f t="shared" si="811"/>
        <v>0</v>
      </c>
      <c r="AK709" s="314">
        <f t="shared" si="812"/>
        <v>0</v>
      </c>
      <c r="AL709" s="314">
        <f t="shared" si="813"/>
        <v>0</v>
      </c>
      <c r="AM709" s="314">
        <f t="shared" si="814"/>
        <v>0</v>
      </c>
      <c r="AN709" s="314">
        <f t="shared" si="815"/>
        <v>0</v>
      </c>
      <c r="AO709" s="314">
        <f t="shared" si="816"/>
        <v>0</v>
      </c>
      <c r="AP709" s="314">
        <f t="shared" si="817"/>
        <v>0</v>
      </c>
    </row>
    <row r="710" spans="1:42" s="322" customFormat="1" hidden="1" outlineLevel="3">
      <c r="A710" s="600"/>
      <c r="B710" s="601" t="s">
        <v>1090</v>
      </c>
      <c r="C710" s="336"/>
      <c r="D710" s="304">
        <v>50</v>
      </c>
      <c r="E710" s="304">
        <f t="shared" si="877"/>
        <v>50</v>
      </c>
      <c r="F710" s="304">
        <f t="shared" ref="F710:F716" si="888">H710-AB710</f>
        <v>50</v>
      </c>
      <c r="G710" s="304">
        <f t="shared" ref="G710:G720" si="889">F710-D710</f>
        <v>0</v>
      </c>
      <c r="H710" s="303">
        <f t="shared" ref="H710:H713" si="890">I710+W710</f>
        <v>50</v>
      </c>
      <c r="I710" s="337">
        <f t="shared" si="884"/>
        <v>50</v>
      </c>
      <c r="J710" s="338"/>
      <c r="K710" s="338"/>
      <c r="L710" s="338"/>
      <c r="M710" s="336"/>
      <c r="N710" s="338"/>
      <c r="O710" s="338"/>
      <c r="P710" s="337">
        <f t="shared" si="886"/>
        <v>50</v>
      </c>
      <c r="Q710" s="338"/>
      <c r="R710" s="339"/>
      <c r="S710" s="336"/>
      <c r="T710" s="337">
        <f t="shared" si="887"/>
        <v>50</v>
      </c>
      <c r="U710" s="336">
        <v>50</v>
      </c>
      <c r="V710" s="336"/>
      <c r="W710" s="337">
        <f>Z710+AA710</f>
        <v>0</v>
      </c>
      <c r="X710" s="337"/>
      <c r="Y710" s="337"/>
      <c r="Z710" s="336"/>
      <c r="AA710" s="336"/>
      <c r="AB710" s="336"/>
      <c r="AC710" s="336"/>
      <c r="AD710" s="336"/>
      <c r="AE710" s="336"/>
      <c r="AF710" s="602"/>
      <c r="AG710" s="314">
        <f t="shared" si="808"/>
        <v>0</v>
      </c>
      <c r="AH710" s="696">
        <f t="shared" si="809"/>
        <v>0</v>
      </c>
      <c r="AI710" s="314">
        <f t="shared" si="810"/>
        <v>0</v>
      </c>
      <c r="AJ710" s="314">
        <f t="shared" si="811"/>
        <v>0</v>
      </c>
      <c r="AK710" s="314">
        <f t="shared" si="812"/>
        <v>0</v>
      </c>
      <c r="AL710" s="314">
        <f t="shared" si="813"/>
        <v>0</v>
      </c>
      <c r="AM710" s="314">
        <f t="shared" si="814"/>
        <v>0</v>
      </c>
      <c r="AN710" s="314">
        <f t="shared" si="815"/>
        <v>0</v>
      </c>
      <c r="AO710" s="314">
        <f t="shared" si="816"/>
        <v>0</v>
      </c>
      <c r="AP710" s="314">
        <f t="shared" si="817"/>
        <v>0</v>
      </c>
    </row>
    <row r="711" spans="1:42" s="322" customFormat="1" hidden="1" outlineLevel="3">
      <c r="A711" s="600"/>
      <c r="B711" s="340" t="s">
        <v>1091</v>
      </c>
      <c r="C711" s="336"/>
      <c r="D711" s="304">
        <v>150</v>
      </c>
      <c r="E711" s="304">
        <f t="shared" si="877"/>
        <v>150</v>
      </c>
      <c r="F711" s="304">
        <f t="shared" si="888"/>
        <v>150</v>
      </c>
      <c r="G711" s="304">
        <f t="shared" si="889"/>
        <v>0</v>
      </c>
      <c r="H711" s="303">
        <f t="shared" si="890"/>
        <v>150</v>
      </c>
      <c r="I711" s="337">
        <f t="shared" si="884"/>
        <v>150</v>
      </c>
      <c r="J711" s="338"/>
      <c r="K711" s="338"/>
      <c r="L711" s="338"/>
      <c r="M711" s="336"/>
      <c r="N711" s="338"/>
      <c r="O711" s="338"/>
      <c r="P711" s="337">
        <f t="shared" si="886"/>
        <v>150</v>
      </c>
      <c r="Q711" s="338"/>
      <c r="R711" s="339"/>
      <c r="S711" s="336"/>
      <c r="T711" s="337">
        <f t="shared" si="887"/>
        <v>150</v>
      </c>
      <c r="U711" s="336">
        <f>100+50</f>
        <v>150</v>
      </c>
      <c r="V711" s="336"/>
      <c r="W711" s="337"/>
      <c r="X711" s="337"/>
      <c r="Y711" s="337"/>
      <c r="Z711" s="336"/>
      <c r="AA711" s="336"/>
      <c r="AB711" s="336"/>
      <c r="AC711" s="336"/>
      <c r="AD711" s="336"/>
      <c r="AE711" s="336"/>
      <c r="AF711" s="602"/>
      <c r="AG711" s="314">
        <f t="shared" si="808"/>
        <v>0</v>
      </c>
      <c r="AH711" s="696">
        <f t="shared" si="809"/>
        <v>0</v>
      </c>
      <c r="AI711" s="314">
        <f t="shared" si="810"/>
        <v>0</v>
      </c>
      <c r="AJ711" s="314">
        <f t="shared" si="811"/>
        <v>0</v>
      </c>
      <c r="AK711" s="314">
        <f t="shared" si="812"/>
        <v>0</v>
      </c>
      <c r="AL711" s="314">
        <f t="shared" si="813"/>
        <v>0</v>
      </c>
      <c r="AM711" s="314">
        <f t="shared" si="814"/>
        <v>0</v>
      </c>
      <c r="AN711" s="314">
        <f t="shared" si="815"/>
        <v>0</v>
      </c>
      <c r="AO711" s="314">
        <f t="shared" si="816"/>
        <v>0</v>
      </c>
      <c r="AP711" s="314">
        <f t="shared" si="817"/>
        <v>0</v>
      </c>
    </row>
    <row r="712" spans="1:42" s="322" customFormat="1" ht="27.6" hidden="1" outlineLevel="3">
      <c r="A712" s="600"/>
      <c r="B712" s="340" t="s">
        <v>1092</v>
      </c>
      <c r="C712" s="336"/>
      <c r="D712" s="304">
        <v>90</v>
      </c>
      <c r="E712" s="304">
        <f t="shared" si="877"/>
        <v>90</v>
      </c>
      <c r="F712" s="304">
        <f t="shared" si="888"/>
        <v>90</v>
      </c>
      <c r="G712" s="304">
        <f t="shared" si="889"/>
        <v>0</v>
      </c>
      <c r="H712" s="303">
        <f t="shared" si="890"/>
        <v>90</v>
      </c>
      <c r="I712" s="337">
        <f t="shared" si="884"/>
        <v>90</v>
      </c>
      <c r="J712" s="338"/>
      <c r="K712" s="338"/>
      <c r="L712" s="338"/>
      <c r="M712" s="336"/>
      <c r="N712" s="338"/>
      <c r="O712" s="338"/>
      <c r="P712" s="337">
        <f t="shared" si="886"/>
        <v>90</v>
      </c>
      <c r="Q712" s="338"/>
      <c r="R712" s="339"/>
      <c r="S712" s="336"/>
      <c r="T712" s="337">
        <f t="shared" si="887"/>
        <v>90</v>
      </c>
      <c r="U712" s="336">
        <v>90</v>
      </c>
      <c r="V712" s="336"/>
      <c r="W712" s="337"/>
      <c r="X712" s="337"/>
      <c r="Y712" s="337"/>
      <c r="Z712" s="336"/>
      <c r="AA712" s="336"/>
      <c r="AB712" s="336"/>
      <c r="AC712" s="336"/>
      <c r="AD712" s="336"/>
      <c r="AE712" s="336"/>
      <c r="AF712" s="602"/>
      <c r="AG712" s="314">
        <f t="shared" si="808"/>
        <v>0</v>
      </c>
      <c r="AH712" s="696">
        <f t="shared" si="809"/>
        <v>0</v>
      </c>
      <c r="AI712" s="314">
        <f t="shared" si="810"/>
        <v>0</v>
      </c>
      <c r="AJ712" s="314">
        <f t="shared" si="811"/>
        <v>0</v>
      </c>
      <c r="AK712" s="314">
        <f t="shared" si="812"/>
        <v>0</v>
      </c>
      <c r="AL712" s="314">
        <f t="shared" si="813"/>
        <v>0</v>
      </c>
      <c r="AM712" s="314">
        <f t="shared" si="814"/>
        <v>0</v>
      </c>
      <c r="AN712" s="314">
        <f t="shared" si="815"/>
        <v>0</v>
      </c>
      <c r="AO712" s="314">
        <f t="shared" si="816"/>
        <v>0</v>
      </c>
      <c r="AP712" s="314">
        <f t="shared" si="817"/>
        <v>0</v>
      </c>
    </row>
    <row r="713" spans="1:42" s="322" customFormat="1" hidden="1" outlineLevel="3">
      <c r="A713" s="600"/>
      <c r="B713" s="340" t="s">
        <v>1732</v>
      </c>
      <c r="C713" s="336"/>
      <c r="D713" s="304">
        <v>93</v>
      </c>
      <c r="E713" s="304">
        <f t="shared" si="877"/>
        <v>93</v>
      </c>
      <c r="F713" s="304">
        <f t="shared" si="888"/>
        <v>93</v>
      </c>
      <c r="G713" s="304">
        <f t="shared" si="889"/>
        <v>0</v>
      </c>
      <c r="H713" s="303">
        <f t="shared" si="890"/>
        <v>93</v>
      </c>
      <c r="I713" s="337">
        <f t="shared" si="884"/>
        <v>93</v>
      </c>
      <c r="J713" s="338"/>
      <c r="K713" s="338"/>
      <c r="L713" s="338"/>
      <c r="M713" s="336"/>
      <c r="N713" s="338"/>
      <c r="O713" s="338"/>
      <c r="P713" s="337">
        <f t="shared" si="886"/>
        <v>93</v>
      </c>
      <c r="Q713" s="338"/>
      <c r="R713" s="339"/>
      <c r="S713" s="336"/>
      <c r="T713" s="337">
        <f t="shared" si="887"/>
        <v>93</v>
      </c>
      <c r="U713" s="336">
        <v>93</v>
      </c>
      <c r="V713" s="336"/>
      <c r="W713" s="337"/>
      <c r="X713" s="337"/>
      <c r="Y713" s="337"/>
      <c r="Z713" s="336"/>
      <c r="AA713" s="336"/>
      <c r="AB713" s="336"/>
      <c r="AC713" s="336"/>
      <c r="AD713" s="336"/>
      <c r="AE713" s="336"/>
      <c r="AF713" s="602"/>
      <c r="AG713" s="314">
        <f t="shared" si="808"/>
        <v>0</v>
      </c>
      <c r="AH713" s="696">
        <f t="shared" si="809"/>
        <v>0</v>
      </c>
      <c r="AI713" s="314">
        <f t="shared" si="810"/>
        <v>0</v>
      </c>
      <c r="AJ713" s="314">
        <f t="shared" si="811"/>
        <v>0</v>
      </c>
      <c r="AK713" s="314">
        <f t="shared" si="812"/>
        <v>0</v>
      </c>
      <c r="AL713" s="314">
        <f t="shared" si="813"/>
        <v>0</v>
      </c>
      <c r="AM713" s="314">
        <f t="shared" si="814"/>
        <v>0</v>
      </c>
      <c r="AN713" s="314">
        <f t="shared" si="815"/>
        <v>0</v>
      </c>
      <c r="AO713" s="314">
        <f t="shared" si="816"/>
        <v>0</v>
      </c>
      <c r="AP713" s="314">
        <f t="shared" si="817"/>
        <v>0</v>
      </c>
    </row>
    <row r="714" spans="1:42" ht="55.2" outlineLevel="1" collapsed="1">
      <c r="A714" s="583" t="s">
        <v>23</v>
      </c>
      <c r="B714" s="316" t="s">
        <v>1891</v>
      </c>
      <c r="C714" s="304"/>
      <c r="D714" s="304">
        <v>197</v>
      </c>
      <c r="E714" s="304">
        <f t="shared" si="877"/>
        <v>197</v>
      </c>
      <c r="F714" s="304">
        <f>H714-AB714</f>
        <v>197</v>
      </c>
      <c r="G714" s="304">
        <f t="shared" si="889"/>
        <v>0</v>
      </c>
      <c r="H714" s="303">
        <f>I714+W714</f>
        <v>197</v>
      </c>
      <c r="I714" s="303">
        <f t="shared" si="884"/>
        <v>197</v>
      </c>
      <c r="J714" s="294"/>
      <c r="K714" s="294"/>
      <c r="L714" s="294"/>
      <c r="M714" s="304"/>
      <c r="N714" s="294"/>
      <c r="O714" s="294"/>
      <c r="P714" s="303">
        <f t="shared" si="886"/>
        <v>197</v>
      </c>
      <c r="Q714" s="294"/>
      <c r="R714" s="305"/>
      <c r="S714" s="304"/>
      <c r="T714" s="303">
        <f t="shared" si="887"/>
        <v>197</v>
      </c>
      <c r="U714" s="304">
        <v>197</v>
      </c>
      <c r="V714" s="304"/>
      <c r="W714" s="303"/>
      <c r="X714" s="303"/>
      <c r="Y714" s="303"/>
      <c r="Z714" s="304"/>
      <c r="AA714" s="304"/>
      <c r="AB714" s="304"/>
      <c r="AC714" s="304"/>
      <c r="AD714" s="304"/>
      <c r="AE714" s="304"/>
      <c r="AF714" s="317"/>
      <c r="AG714" s="314">
        <f t="shared" si="808"/>
        <v>0</v>
      </c>
      <c r="AH714" s="696">
        <f t="shared" si="809"/>
        <v>0</v>
      </c>
      <c r="AI714" s="314">
        <f t="shared" si="810"/>
        <v>0</v>
      </c>
      <c r="AJ714" s="314">
        <f t="shared" si="811"/>
        <v>0</v>
      </c>
      <c r="AK714" s="314">
        <f t="shared" si="812"/>
        <v>0</v>
      </c>
      <c r="AL714" s="314">
        <f t="shared" si="813"/>
        <v>0</v>
      </c>
      <c r="AM714" s="314">
        <f t="shared" si="814"/>
        <v>0</v>
      </c>
      <c r="AN714" s="314">
        <f t="shared" si="815"/>
        <v>0</v>
      </c>
      <c r="AO714" s="314">
        <f t="shared" si="816"/>
        <v>0</v>
      </c>
      <c r="AP714" s="314">
        <f t="shared" si="817"/>
        <v>0</v>
      </c>
    </row>
    <row r="715" spans="1:42" ht="27.6" outlineLevel="1">
      <c r="A715" s="583" t="s">
        <v>23</v>
      </c>
      <c r="B715" s="316" t="s">
        <v>1646</v>
      </c>
      <c r="C715" s="304"/>
      <c r="D715" s="304">
        <v>115</v>
      </c>
      <c r="E715" s="304">
        <f t="shared" si="877"/>
        <v>115</v>
      </c>
      <c r="F715" s="304">
        <f t="shared" si="888"/>
        <v>115</v>
      </c>
      <c r="G715" s="304">
        <f t="shared" si="889"/>
        <v>0</v>
      </c>
      <c r="H715" s="303">
        <f t="shared" ref="H715:H716" si="891">I715+W715</f>
        <v>115</v>
      </c>
      <c r="I715" s="303">
        <f t="shared" si="884"/>
        <v>115</v>
      </c>
      <c r="J715" s="294"/>
      <c r="K715" s="294"/>
      <c r="L715" s="294"/>
      <c r="M715" s="304"/>
      <c r="N715" s="294"/>
      <c r="O715" s="294"/>
      <c r="P715" s="303">
        <f t="shared" si="886"/>
        <v>115</v>
      </c>
      <c r="Q715" s="294"/>
      <c r="R715" s="305"/>
      <c r="S715" s="304"/>
      <c r="T715" s="303">
        <f t="shared" si="887"/>
        <v>115</v>
      </c>
      <c r="U715" s="304">
        <v>115</v>
      </c>
      <c r="V715" s="304"/>
      <c r="W715" s="303"/>
      <c r="X715" s="303"/>
      <c r="Y715" s="303"/>
      <c r="Z715" s="304"/>
      <c r="AA715" s="304"/>
      <c r="AB715" s="304"/>
      <c r="AC715" s="304"/>
      <c r="AD715" s="304"/>
      <c r="AE715" s="304"/>
      <c r="AF715" s="317"/>
      <c r="AG715" s="314">
        <f t="shared" si="808"/>
        <v>0</v>
      </c>
      <c r="AH715" s="696">
        <f t="shared" si="809"/>
        <v>0</v>
      </c>
      <c r="AI715" s="314">
        <f t="shared" si="810"/>
        <v>0</v>
      </c>
      <c r="AJ715" s="314">
        <f t="shared" si="811"/>
        <v>0</v>
      </c>
      <c r="AK715" s="314">
        <f t="shared" si="812"/>
        <v>0</v>
      </c>
      <c r="AL715" s="314">
        <f t="shared" si="813"/>
        <v>0</v>
      </c>
      <c r="AM715" s="314">
        <f t="shared" si="814"/>
        <v>0</v>
      </c>
      <c r="AN715" s="314">
        <f t="shared" si="815"/>
        <v>0</v>
      </c>
      <c r="AO715" s="314">
        <f t="shared" si="816"/>
        <v>0</v>
      </c>
      <c r="AP715" s="314">
        <f t="shared" si="817"/>
        <v>0</v>
      </c>
    </row>
    <row r="716" spans="1:42" hidden="1" outlineLevel="3">
      <c r="A716" s="583" t="s">
        <v>23</v>
      </c>
      <c r="B716" s="316" t="s">
        <v>839</v>
      </c>
      <c r="C716" s="304"/>
      <c r="D716" s="304">
        <v>110</v>
      </c>
      <c r="E716" s="304">
        <f t="shared" si="877"/>
        <v>0</v>
      </c>
      <c r="F716" s="304">
        <f t="shared" si="888"/>
        <v>0</v>
      </c>
      <c r="G716" s="304">
        <f t="shared" si="889"/>
        <v>-110</v>
      </c>
      <c r="H716" s="303">
        <f t="shared" si="891"/>
        <v>0</v>
      </c>
      <c r="I716" s="303">
        <f t="shared" si="884"/>
        <v>0</v>
      </c>
      <c r="J716" s="294"/>
      <c r="K716" s="294"/>
      <c r="L716" s="294"/>
      <c r="M716" s="304"/>
      <c r="N716" s="294"/>
      <c r="O716" s="294"/>
      <c r="P716" s="303">
        <f t="shared" si="886"/>
        <v>0</v>
      </c>
      <c r="Q716" s="294"/>
      <c r="R716" s="305"/>
      <c r="S716" s="304"/>
      <c r="T716" s="303">
        <f t="shared" si="887"/>
        <v>0</v>
      </c>
      <c r="U716" s="304"/>
      <c r="V716" s="304"/>
      <c r="W716" s="303"/>
      <c r="X716" s="303"/>
      <c r="Y716" s="303"/>
      <c r="Z716" s="304"/>
      <c r="AA716" s="304"/>
      <c r="AB716" s="304"/>
      <c r="AC716" s="304"/>
      <c r="AD716" s="304"/>
      <c r="AE716" s="304"/>
      <c r="AF716" s="317"/>
      <c r="AG716" s="314">
        <f t="shared" si="808"/>
        <v>0</v>
      </c>
      <c r="AH716" s="696">
        <f t="shared" si="809"/>
        <v>0</v>
      </c>
      <c r="AI716" s="314">
        <f t="shared" si="810"/>
        <v>0</v>
      </c>
      <c r="AJ716" s="314">
        <f t="shared" si="811"/>
        <v>0</v>
      </c>
      <c r="AK716" s="314">
        <f t="shared" si="812"/>
        <v>0</v>
      </c>
      <c r="AL716" s="314">
        <f t="shared" si="813"/>
        <v>0</v>
      </c>
      <c r="AM716" s="314">
        <f t="shared" si="814"/>
        <v>0</v>
      </c>
      <c r="AN716" s="314">
        <f t="shared" si="815"/>
        <v>0</v>
      </c>
      <c r="AO716" s="314">
        <f t="shared" si="816"/>
        <v>0</v>
      </c>
      <c r="AP716" s="314">
        <f t="shared" si="817"/>
        <v>0</v>
      </c>
    </row>
    <row r="717" spans="1:42" s="314" customFormat="1">
      <c r="A717" s="592" t="s">
        <v>77</v>
      </c>
      <c r="B717" s="320" t="s">
        <v>1093</v>
      </c>
      <c r="C717" s="298" t="s">
        <v>756</v>
      </c>
      <c r="D717" s="299">
        <f>D718+D724+D725</f>
        <v>15719</v>
      </c>
      <c r="E717" s="299">
        <f>E718+E724+E725</f>
        <v>17559</v>
      </c>
      <c r="F717" s="299">
        <f>F718+F724+F725</f>
        <v>16429</v>
      </c>
      <c r="G717" s="299">
        <f t="shared" si="889"/>
        <v>710</v>
      </c>
      <c r="H717" s="299">
        <f>H718+H724+H725</f>
        <v>16429</v>
      </c>
      <c r="I717" s="299">
        <f t="shared" ref="I717:W717" si="892">I718+I724+I725</f>
        <v>16429</v>
      </c>
      <c r="J717" s="299">
        <f t="shared" si="892"/>
        <v>42</v>
      </c>
      <c r="K717" s="299">
        <f t="shared" si="892"/>
        <v>40</v>
      </c>
      <c r="L717" s="299">
        <f t="shared" si="892"/>
        <v>2</v>
      </c>
      <c r="M717" s="299">
        <f t="shared" si="892"/>
        <v>5431</v>
      </c>
      <c r="N717" s="299">
        <f t="shared" si="892"/>
        <v>5300</v>
      </c>
      <c r="O717" s="299">
        <f t="shared" si="892"/>
        <v>131</v>
      </c>
      <c r="P717" s="299">
        <f t="shared" si="892"/>
        <v>10998</v>
      </c>
      <c r="Q717" s="299">
        <f t="shared" si="892"/>
        <v>0</v>
      </c>
      <c r="R717" s="299">
        <f t="shared" si="892"/>
        <v>0</v>
      </c>
      <c r="S717" s="299">
        <f t="shared" si="892"/>
        <v>3856</v>
      </c>
      <c r="T717" s="299">
        <f t="shared" si="892"/>
        <v>7142</v>
      </c>
      <c r="U717" s="299">
        <f t="shared" si="892"/>
        <v>6636</v>
      </c>
      <c r="V717" s="299">
        <f t="shared" si="892"/>
        <v>506</v>
      </c>
      <c r="W717" s="299">
        <f t="shared" si="892"/>
        <v>0</v>
      </c>
      <c r="X717" s="299"/>
      <c r="Y717" s="299"/>
      <c r="Z717" s="299">
        <f t="shared" ref="Z717:AE717" si="893">Z718+Z724+Z725</f>
        <v>0</v>
      </c>
      <c r="AA717" s="299">
        <f t="shared" si="893"/>
        <v>0</v>
      </c>
      <c r="AB717" s="299">
        <f t="shared" si="893"/>
        <v>0</v>
      </c>
      <c r="AC717" s="299">
        <f t="shared" si="893"/>
        <v>1130</v>
      </c>
      <c r="AD717" s="299">
        <f t="shared" si="893"/>
        <v>1031</v>
      </c>
      <c r="AE717" s="299">
        <f t="shared" si="893"/>
        <v>16528</v>
      </c>
      <c r="AF717" s="321"/>
      <c r="AG717" s="314">
        <f t="shared" si="808"/>
        <v>0</v>
      </c>
      <c r="AH717" s="696">
        <f t="shared" si="809"/>
        <v>0</v>
      </c>
      <c r="AI717" s="314">
        <f t="shared" si="810"/>
        <v>0</v>
      </c>
      <c r="AJ717" s="314">
        <f t="shared" si="811"/>
        <v>0</v>
      </c>
      <c r="AK717" s="314">
        <f t="shared" si="812"/>
        <v>0</v>
      </c>
      <c r="AL717" s="314">
        <f t="shared" si="813"/>
        <v>0</v>
      </c>
      <c r="AM717" s="314">
        <f t="shared" si="814"/>
        <v>0</v>
      </c>
      <c r="AN717" s="314">
        <f t="shared" si="815"/>
        <v>0</v>
      </c>
      <c r="AO717" s="314">
        <f t="shared" si="816"/>
        <v>0</v>
      </c>
      <c r="AP717" s="314">
        <f t="shared" si="817"/>
        <v>0</v>
      </c>
    </row>
    <row r="718" spans="1:42" s="314" customFormat="1">
      <c r="A718" s="592" t="s">
        <v>932</v>
      </c>
      <c r="B718" s="320" t="s">
        <v>1094</v>
      </c>
      <c r="C718" s="298"/>
      <c r="D718" s="297">
        <f t="shared" ref="D718" si="894">D719+D721+D720</f>
        <v>8919</v>
      </c>
      <c r="E718" s="297">
        <f>E719+E721+E720</f>
        <v>10930</v>
      </c>
      <c r="F718" s="297">
        <f>F719+F721+F720</f>
        <v>9800</v>
      </c>
      <c r="G718" s="297">
        <f t="shared" si="889"/>
        <v>881</v>
      </c>
      <c r="H718" s="297">
        <f t="shared" ref="H718:Z718" si="895">H719+H721+H720</f>
        <v>9800</v>
      </c>
      <c r="I718" s="297">
        <f t="shared" si="895"/>
        <v>9800</v>
      </c>
      <c r="J718" s="297">
        <f t="shared" si="895"/>
        <v>42</v>
      </c>
      <c r="K718" s="297">
        <f t="shared" si="895"/>
        <v>40</v>
      </c>
      <c r="L718" s="297">
        <f t="shared" si="895"/>
        <v>2</v>
      </c>
      <c r="M718" s="297">
        <f t="shared" si="895"/>
        <v>5431</v>
      </c>
      <c r="N718" s="297">
        <f t="shared" si="895"/>
        <v>5300</v>
      </c>
      <c r="O718" s="297">
        <f t="shared" si="895"/>
        <v>131</v>
      </c>
      <c r="P718" s="297">
        <f t="shared" si="895"/>
        <v>4369</v>
      </c>
      <c r="Q718" s="297"/>
      <c r="R718" s="297"/>
      <c r="S718" s="297">
        <f t="shared" si="895"/>
        <v>3856</v>
      </c>
      <c r="T718" s="297">
        <f t="shared" si="895"/>
        <v>513</v>
      </c>
      <c r="U718" s="297">
        <f t="shared" si="895"/>
        <v>100</v>
      </c>
      <c r="V718" s="297">
        <f t="shared" si="895"/>
        <v>413</v>
      </c>
      <c r="W718" s="297">
        <f>W719+W721+W720</f>
        <v>0</v>
      </c>
      <c r="X718" s="297"/>
      <c r="Y718" s="297"/>
      <c r="Z718" s="297">
        <f t="shared" si="895"/>
        <v>0</v>
      </c>
      <c r="AA718" s="297">
        <f>AA719+AA721+AA720</f>
        <v>0</v>
      </c>
      <c r="AB718" s="297">
        <f>AB719+AB721+AB720</f>
        <v>0</v>
      </c>
      <c r="AC718" s="297">
        <f t="shared" ref="AC718:AE718" si="896">AC719+AC721+AC720</f>
        <v>1130</v>
      </c>
      <c r="AD718" s="297">
        <f t="shared" si="896"/>
        <v>368</v>
      </c>
      <c r="AE718" s="297">
        <f t="shared" si="896"/>
        <v>10562</v>
      </c>
      <c r="AF718" s="321"/>
      <c r="AG718" s="314">
        <f t="shared" si="808"/>
        <v>0</v>
      </c>
      <c r="AH718" s="696">
        <f t="shared" si="809"/>
        <v>0</v>
      </c>
      <c r="AI718" s="314">
        <f t="shared" si="810"/>
        <v>0</v>
      </c>
      <c r="AJ718" s="314">
        <f t="shared" si="811"/>
        <v>0</v>
      </c>
      <c r="AK718" s="314">
        <f t="shared" si="812"/>
        <v>0</v>
      </c>
      <c r="AL718" s="314">
        <f t="shared" si="813"/>
        <v>0</v>
      </c>
      <c r="AM718" s="314">
        <f t="shared" si="814"/>
        <v>0</v>
      </c>
      <c r="AN718" s="314">
        <f t="shared" si="815"/>
        <v>0</v>
      </c>
      <c r="AO718" s="314">
        <f t="shared" si="816"/>
        <v>0</v>
      </c>
      <c r="AP718" s="314">
        <f t="shared" si="817"/>
        <v>0</v>
      </c>
    </row>
    <row r="719" spans="1:42">
      <c r="A719" s="583" t="s">
        <v>45</v>
      </c>
      <c r="B719" s="324" t="s">
        <v>862</v>
      </c>
      <c r="C719" s="304"/>
      <c r="D719" s="304">
        <v>8189</v>
      </c>
      <c r="E719" s="304">
        <f t="shared" ref="E719:E725" si="897">F719+AC719</f>
        <v>10417</v>
      </c>
      <c r="F719" s="304">
        <f>H719-AB719</f>
        <v>9287</v>
      </c>
      <c r="G719" s="304">
        <f t="shared" si="889"/>
        <v>1098</v>
      </c>
      <c r="H719" s="303">
        <f t="shared" ref="H719:H720" si="898">I719+W719</f>
        <v>9287</v>
      </c>
      <c r="I719" s="303">
        <f>M719+P719</f>
        <v>9287</v>
      </c>
      <c r="J719" s="294">
        <v>42</v>
      </c>
      <c r="K719" s="294">
        <v>40</v>
      </c>
      <c r="L719" s="294">
        <f>J719-K719</f>
        <v>2</v>
      </c>
      <c r="M719" s="304">
        <f>N719+O719</f>
        <v>5431</v>
      </c>
      <c r="N719" s="294">
        <v>5300</v>
      </c>
      <c r="O719" s="294">
        <v>131</v>
      </c>
      <c r="P719" s="303">
        <f>S719+T719</f>
        <v>3856</v>
      </c>
      <c r="Q719" s="294">
        <v>34</v>
      </c>
      <c r="R719" s="305">
        <v>2.7</v>
      </c>
      <c r="S719" s="304">
        <f>ROUND(J719*Q719*R719,0)</f>
        <v>3856</v>
      </c>
      <c r="T719" s="303">
        <f>U719+V719</f>
        <v>0</v>
      </c>
      <c r="U719" s="304"/>
      <c r="V719" s="304"/>
      <c r="W719" s="303">
        <f>Z719+AA719</f>
        <v>0</v>
      </c>
      <c r="X719" s="303"/>
      <c r="Y719" s="303"/>
      <c r="Z719" s="304"/>
      <c r="AA719" s="304"/>
      <c r="AB719" s="304"/>
      <c r="AC719" s="304">
        <v>1130</v>
      </c>
      <c r="AD719" s="304">
        <v>386</v>
      </c>
      <c r="AE719" s="303">
        <f>E719-AD719</f>
        <v>10031</v>
      </c>
      <c r="AF719" s="317"/>
      <c r="AG719" s="314">
        <f t="shared" si="808"/>
        <v>0</v>
      </c>
      <c r="AH719" s="696">
        <f t="shared" si="809"/>
        <v>0</v>
      </c>
      <c r="AI719" s="314">
        <f t="shared" si="810"/>
        <v>0</v>
      </c>
      <c r="AJ719" s="314">
        <f t="shared" si="811"/>
        <v>0</v>
      </c>
      <c r="AK719" s="314">
        <f t="shared" si="812"/>
        <v>0</v>
      </c>
      <c r="AL719" s="314">
        <f t="shared" si="813"/>
        <v>0</v>
      </c>
      <c r="AM719" s="314">
        <f t="shared" si="814"/>
        <v>0</v>
      </c>
      <c r="AN719" s="314">
        <f t="shared" si="815"/>
        <v>0</v>
      </c>
      <c r="AO719" s="314">
        <f t="shared" si="816"/>
        <v>0</v>
      </c>
      <c r="AP719" s="314">
        <f t="shared" si="817"/>
        <v>0</v>
      </c>
    </row>
    <row r="720" spans="1:42" ht="27.6" hidden="1" outlineLevel="3">
      <c r="A720" s="583" t="s">
        <v>47</v>
      </c>
      <c r="B720" s="324" t="s">
        <v>1521</v>
      </c>
      <c r="C720" s="304"/>
      <c r="D720" s="304">
        <v>630</v>
      </c>
      <c r="E720" s="304">
        <f t="shared" si="897"/>
        <v>0</v>
      </c>
      <c r="F720" s="304">
        <f>H720-AB720</f>
        <v>0</v>
      </c>
      <c r="G720" s="304">
        <f t="shared" si="889"/>
        <v>-630</v>
      </c>
      <c r="H720" s="303">
        <f t="shared" si="898"/>
        <v>0</v>
      </c>
      <c r="I720" s="303">
        <f t="shared" ref="I720" si="899">M720+P720</f>
        <v>0</v>
      </c>
      <c r="J720" s="294"/>
      <c r="K720" s="294">
        <v>0</v>
      </c>
      <c r="L720" s="294"/>
      <c r="M720" s="304">
        <f t="shared" ref="M720" si="900">N720+O720</f>
        <v>0</v>
      </c>
      <c r="N720" s="294"/>
      <c r="O720" s="294"/>
      <c r="P720" s="303">
        <f t="shared" ref="P720" si="901">S720+T720</f>
        <v>0</v>
      </c>
      <c r="Q720" s="311">
        <v>0</v>
      </c>
      <c r="R720" s="305"/>
      <c r="S720" s="304">
        <f>J720*Q720</f>
        <v>0</v>
      </c>
      <c r="T720" s="303">
        <f t="shared" ref="T720" si="902">U720+V720</f>
        <v>0</v>
      </c>
      <c r="U720" s="304"/>
      <c r="V720" s="304"/>
      <c r="W720" s="303">
        <f>Z720+AA720</f>
        <v>0</v>
      </c>
      <c r="X720" s="303"/>
      <c r="Y720" s="303"/>
      <c r="Z720" s="304"/>
      <c r="AA720" s="304"/>
      <c r="AB720" s="304"/>
      <c r="AC720" s="304"/>
      <c r="AD720" s="304">
        <v>-59</v>
      </c>
      <c r="AE720" s="303">
        <f>E720-AD720</f>
        <v>59</v>
      </c>
      <c r="AF720" s="317"/>
      <c r="AG720" s="314">
        <f t="shared" si="808"/>
        <v>0</v>
      </c>
      <c r="AH720" s="696">
        <f t="shared" si="809"/>
        <v>0</v>
      </c>
      <c r="AI720" s="314">
        <f t="shared" si="810"/>
        <v>0</v>
      </c>
      <c r="AJ720" s="314">
        <f t="shared" si="811"/>
        <v>0</v>
      </c>
      <c r="AK720" s="314">
        <f t="shared" si="812"/>
        <v>0</v>
      </c>
      <c r="AL720" s="314">
        <f t="shared" si="813"/>
        <v>0</v>
      </c>
      <c r="AM720" s="314">
        <f t="shared" si="814"/>
        <v>0</v>
      </c>
      <c r="AN720" s="314">
        <f t="shared" si="815"/>
        <v>0</v>
      </c>
      <c r="AO720" s="314">
        <f t="shared" si="816"/>
        <v>0</v>
      </c>
      <c r="AP720" s="314">
        <f t="shared" si="817"/>
        <v>0</v>
      </c>
    </row>
    <row r="721" spans="1:42" ht="27.6" collapsed="1">
      <c r="A721" s="583" t="s">
        <v>47</v>
      </c>
      <c r="B721" s="1273" t="s">
        <v>1737</v>
      </c>
      <c r="C721" s="304"/>
      <c r="D721" s="303">
        <v>100</v>
      </c>
      <c r="E721" s="303">
        <f>E722+E723</f>
        <v>513</v>
      </c>
      <c r="F721" s="303">
        <f t="shared" ref="F721:AC721" si="903">F722+F723</f>
        <v>513</v>
      </c>
      <c r="G721" s="303">
        <f t="shared" si="903"/>
        <v>413</v>
      </c>
      <c r="H721" s="303">
        <f t="shared" si="903"/>
        <v>513</v>
      </c>
      <c r="I721" s="303">
        <f t="shared" si="903"/>
        <v>513</v>
      </c>
      <c r="J721" s="303">
        <f t="shared" si="903"/>
        <v>0</v>
      </c>
      <c r="K721" s="303">
        <f t="shared" si="903"/>
        <v>0</v>
      </c>
      <c r="L721" s="303">
        <f t="shared" si="903"/>
        <v>0</v>
      </c>
      <c r="M721" s="303">
        <f t="shared" si="903"/>
        <v>0</v>
      </c>
      <c r="N721" s="303">
        <f t="shared" si="903"/>
        <v>0</v>
      </c>
      <c r="O721" s="303">
        <f t="shared" si="903"/>
        <v>0</v>
      </c>
      <c r="P721" s="303">
        <f t="shared" si="903"/>
        <v>513</v>
      </c>
      <c r="Q721" s="303">
        <f t="shared" si="903"/>
        <v>0</v>
      </c>
      <c r="R721" s="303">
        <f t="shared" si="903"/>
        <v>0</v>
      </c>
      <c r="S721" s="303">
        <f t="shared" si="903"/>
        <v>0</v>
      </c>
      <c r="T721" s="303">
        <f t="shared" si="903"/>
        <v>513</v>
      </c>
      <c r="U721" s="303">
        <f t="shared" si="903"/>
        <v>100</v>
      </c>
      <c r="V721" s="303">
        <f t="shared" si="903"/>
        <v>413</v>
      </c>
      <c r="W721" s="303">
        <f t="shared" si="903"/>
        <v>0</v>
      </c>
      <c r="X721" s="303">
        <f t="shared" si="903"/>
        <v>0</v>
      </c>
      <c r="Y721" s="303">
        <f t="shared" si="903"/>
        <v>0</v>
      </c>
      <c r="Z721" s="303">
        <f t="shared" si="903"/>
        <v>0</v>
      </c>
      <c r="AA721" s="303">
        <f t="shared" si="903"/>
        <v>0</v>
      </c>
      <c r="AB721" s="303">
        <f t="shared" si="903"/>
        <v>0</v>
      </c>
      <c r="AC721" s="303">
        <f t="shared" si="903"/>
        <v>0</v>
      </c>
      <c r="AD721" s="304">
        <v>41</v>
      </c>
      <c r="AE721" s="303">
        <f>E721-AD721</f>
        <v>472</v>
      </c>
      <c r="AF721" s="317"/>
      <c r="AG721" s="314">
        <f t="shared" si="808"/>
        <v>0</v>
      </c>
      <c r="AH721" s="696">
        <f t="shared" si="809"/>
        <v>0</v>
      </c>
      <c r="AI721" s="314">
        <f t="shared" si="810"/>
        <v>0</v>
      </c>
      <c r="AJ721" s="314">
        <f t="shared" si="811"/>
        <v>0</v>
      </c>
      <c r="AK721" s="314">
        <f t="shared" si="812"/>
        <v>0</v>
      </c>
      <c r="AL721" s="314">
        <f t="shared" si="813"/>
        <v>0</v>
      </c>
      <c r="AM721" s="314">
        <f t="shared" si="814"/>
        <v>0</v>
      </c>
      <c r="AN721" s="314">
        <f t="shared" si="815"/>
        <v>0</v>
      </c>
      <c r="AO721" s="314">
        <f t="shared" si="816"/>
        <v>0</v>
      </c>
      <c r="AP721" s="314">
        <f t="shared" si="817"/>
        <v>0</v>
      </c>
    </row>
    <row r="722" spans="1:42" ht="27.6" outlineLevel="1">
      <c r="A722" s="600" t="s">
        <v>23</v>
      </c>
      <c r="B722" s="310" t="s">
        <v>1095</v>
      </c>
      <c r="C722" s="308"/>
      <c r="D722" s="304">
        <v>100</v>
      </c>
      <c r="E722" s="304">
        <f t="shared" si="897"/>
        <v>100</v>
      </c>
      <c r="F722" s="304">
        <f>H722-AB722</f>
        <v>100</v>
      </c>
      <c r="G722" s="304">
        <f t="shared" ref="G722:G729" si="904">F722-D722</f>
        <v>0</v>
      </c>
      <c r="H722" s="303">
        <f t="shared" ref="H722:H725" si="905">I722+W722</f>
        <v>100</v>
      </c>
      <c r="I722" s="303">
        <f t="shared" ref="I722:I724" si="906">M722+P722</f>
        <v>100</v>
      </c>
      <c r="J722" s="294"/>
      <c r="K722" s="294"/>
      <c r="L722" s="294"/>
      <c r="M722" s="304"/>
      <c r="N722" s="294"/>
      <c r="O722" s="294"/>
      <c r="P722" s="303">
        <f t="shared" ref="P722:P724" si="907">S722+T722</f>
        <v>100</v>
      </c>
      <c r="Q722" s="294"/>
      <c r="R722" s="305"/>
      <c r="S722" s="304"/>
      <c r="T722" s="303">
        <f t="shared" ref="T722:T724" si="908">U722+V722</f>
        <v>100</v>
      </c>
      <c r="U722" s="304">
        <v>100</v>
      </c>
      <c r="V722" s="304"/>
      <c r="W722" s="303"/>
      <c r="X722" s="303"/>
      <c r="Y722" s="303"/>
      <c r="Z722" s="304"/>
      <c r="AA722" s="304"/>
      <c r="AB722" s="304"/>
      <c r="AC722" s="304"/>
      <c r="AD722" s="304"/>
      <c r="AE722" s="304"/>
      <c r="AF722" s="332"/>
      <c r="AG722" s="314">
        <f t="shared" si="808"/>
        <v>0</v>
      </c>
      <c r="AH722" s="696">
        <f t="shared" si="809"/>
        <v>0</v>
      </c>
      <c r="AI722" s="314">
        <f t="shared" si="810"/>
        <v>0</v>
      </c>
      <c r="AJ722" s="314">
        <f t="shared" si="811"/>
        <v>0</v>
      </c>
      <c r="AK722" s="314">
        <f t="shared" si="812"/>
        <v>0</v>
      </c>
      <c r="AL722" s="314">
        <f t="shared" si="813"/>
        <v>0</v>
      </c>
      <c r="AM722" s="314">
        <f t="shared" si="814"/>
        <v>0</v>
      </c>
      <c r="AN722" s="314">
        <f t="shared" si="815"/>
        <v>0</v>
      </c>
      <c r="AO722" s="314">
        <f t="shared" si="816"/>
        <v>0</v>
      </c>
      <c r="AP722" s="314">
        <f t="shared" si="817"/>
        <v>0</v>
      </c>
    </row>
    <row r="723" spans="1:42" ht="41.4" outlineLevel="1">
      <c r="A723" s="600"/>
      <c r="B723" s="310" t="s">
        <v>2193</v>
      </c>
      <c r="C723" s="308"/>
      <c r="D723" s="304"/>
      <c r="E723" s="304">
        <f t="shared" si="897"/>
        <v>413</v>
      </c>
      <c r="F723" s="304">
        <f>H723-AB723</f>
        <v>413</v>
      </c>
      <c r="G723" s="304">
        <f t="shared" si="904"/>
        <v>413</v>
      </c>
      <c r="H723" s="303">
        <f t="shared" si="905"/>
        <v>413</v>
      </c>
      <c r="I723" s="303">
        <f t="shared" si="906"/>
        <v>413</v>
      </c>
      <c r="J723" s="294"/>
      <c r="K723" s="294"/>
      <c r="L723" s="294"/>
      <c r="M723" s="304"/>
      <c r="N723" s="294"/>
      <c r="O723" s="294"/>
      <c r="P723" s="303">
        <f t="shared" si="907"/>
        <v>413</v>
      </c>
      <c r="Q723" s="294"/>
      <c r="R723" s="305"/>
      <c r="S723" s="304"/>
      <c r="T723" s="303">
        <f t="shared" si="908"/>
        <v>413</v>
      </c>
      <c r="U723" s="304"/>
      <c r="V723" s="304">
        <v>413</v>
      </c>
      <c r="W723" s="303"/>
      <c r="X723" s="303"/>
      <c r="Y723" s="303"/>
      <c r="Z723" s="304"/>
      <c r="AA723" s="304"/>
      <c r="AB723" s="304"/>
      <c r="AC723" s="304"/>
      <c r="AD723" s="304"/>
      <c r="AE723" s="304"/>
      <c r="AF723" s="332"/>
      <c r="AG723" s="314">
        <f t="shared" si="808"/>
        <v>0</v>
      </c>
      <c r="AH723" s="696">
        <f t="shared" si="809"/>
        <v>0</v>
      </c>
      <c r="AI723" s="314">
        <f t="shared" si="810"/>
        <v>0</v>
      </c>
      <c r="AJ723" s="314">
        <f t="shared" si="811"/>
        <v>0</v>
      </c>
      <c r="AK723" s="314">
        <f t="shared" si="812"/>
        <v>0</v>
      </c>
      <c r="AL723" s="314">
        <f t="shared" si="813"/>
        <v>0</v>
      </c>
      <c r="AM723" s="314">
        <f t="shared" si="814"/>
        <v>0</v>
      </c>
      <c r="AN723" s="314">
        <f t="shared" si="815"/>
        <v>0</v>
      </c>
      <c r="AO723" s="314">
        <f t="shared" si="816"/>
        <v>0</v>
      </c>
      <c r="AP723" s="314">
        <f t="shared" si="817"/>
        <v>0</v>
      </c>
    </row>
    <row r="724" spans="1:42" s="314" customFormat="1" ht="41.4">
      <c r="A724" s="592" t="s">
        <v>933</v>
      </c>
      <c r="B724" s="320" t="s">
        <v>1096</v>
      </c>
      <c r="C724" s="298"/>
      <c r="D724" s="297">
        <v>6200</v>
      </c>
      <c r="E724" s="297">
        <f t="shared" si="897"/>
        <v>6029</v>
      </c>
      <c r="F724" s="297">
        <f>H724-AB724</f>
        <v>6029</v>
      </c>
      <c r="G724" s="297">
        <f t="shared" si="904"/>
        <v>-171</v>
      </c>
      <c r="H724" s="299">
        <f t="shared" si="905"/>
        <v>6029</v>
      </c>
      <c r="I724" s="299">
        <f t="shared" si="906"/>
        <v>6029</v>
      </c>
      <c r="J724" s="318"/>
      <c r="K724" s="318"/>
      <c r="L724" s="318"/>
      <c r="M724" s="299"/>
      <c r="N724" s="318"/>
      <c r="O724" s="318"/>
      <c r="P724" s="299">
        <f t="shared" si="907"/>
        <v>6029</v>
      </c>
      <c r="Q724" s="318"/>
      <c r="R724" s="319"/>
      <c r="S724" s="299"/>
      <c r="T724" s="299">
        <f t="shared" si="908"/>
        <v>6029</v>
      </c>
      <c r="U724" s="299">
        <f>5400+500+100+200-264</f>
        <v>5936</v>
      </c>
      <c r="V724" s="299">
        <v>93</v>
      </c>
      <c r="W724" s="299">
        <f>Z724+AA724</f>
        <v>0</v>
      </c>
      <c r="X724" s="299"/>
      <c r="Y724" s="299"/>
      <c r="Z724" s="299"/>
      <c r="AA724" s="299"/>
      <c r="AB724" s="304"/>
      <c r="AC724" s="297"/>
      <c r="AD724" s="297">
        <v>603</v>
      </c>
      <c r="AE724" s="299">
        <f>E724-AD724</f>
        <v>5426</v>
      </c>
      <c r="AF724" s="317" t="s">
        <v>2194</v>
      </c>
      <c r="AG724" s="314">
        <f t="shared" si="808"/>
        <v>0</v>
      </c>
      <c r="AH724" s="696">
        <f t="shared" si="809"/>
        <v>0</v>
      </c>
      <c r="AI724" s="314">
        <f t="shared" si="810"/>
        <v>0</v>
      </c>
      <c r="AJ724" s="314">
        <f t="shared" si="811"/>
        <v>0</v>
      </c>
      <c r="AK724" s="314">
        <f t="shared" si="812"/>
        <v>0</v>
      </c>
      <c r="AL724" s="314">
        <f t="shared" si="813"/>
        <v>0</v>
      </c>
      <c r="AM724" s="314">
        <f t="shared" si="814"/>
        <v>0</v>
      </c>
      <c r="AN724" s="314">
        <f t="shared" si="815"/>
        <v>0</v>
      </c>
      <c r="AO724" s="314">
        <f t="shared" si="816"/>
        <v>0</v>
      </c>
      <c r="AP724" s="314">
        <f t="shared" si="817"/>
        <v>0</v>
      </c>
    </row>
    <row r="725" spans="1:42" s="314" customFormat="1" ht="27.6">
      <c r="A725" s="592" t="s">
        <v>946</v>
      </c>
      <c r="B725" s="357" t="s">
        <v>1097</v>
      </c>
      <c r="C725" s="298"/>
      <c r="D725" s="297">
        <v>600</v>
      </c>
      <c r="E725" s="297">
        <f t="shared" si="897"/>
        <v>600</v>
      </c>
      <c r="F725" s="297">
        <f>H725-AB725</f>
        <v>600</v>
      </c>
      <c r="G725" s="297">
        <f t="shared" si="904"/>
        <v>0</v>
      </c>
      <c r="H725" s="299">
        <f t="shared" si="905"/>
        <v>600</v>
      </c>
      <c r="I725" s="299">
        <f>M725+P725</f>
        <v>600</v>
      </c>
      <c r="J725" s="300"/>
      <c r="K725" s="300"/>
      <c r="L725" s="300"/>
      <c r="M725" s="297"/>
      <c r="N725" s="300"/>
      <c r="O725" s="300"/>
      <c r="P725" s="299">
        <f>S725+T725</f>
        <v>600</v>
      </c>
      <c r="Q725" s="300"/>
      <c r="R725" s="301"/>
      <c r="S725" s="297"/>
      <c r="T725" s="299">
        <f>U725+V725</f>
        <v>600</v>
      </c>
      <c r="U725" s="297">
        <f>300+100+200</f>
        <v>600</v>
      </c>
      <c r="V725" s="297"/>
      <c r="W725" s="299">
        <f>Z725+AA725</f>
        <v>0</v>
      </c>
      <c r="X725" s="299"/>
      <c r="Y725" s="299"/>
      <c r="Z725" s="297"/>
      <c r="AA725" s="297"/>
      <c r="AB725" s="299"/>
      <c r="AC725" s="299"/>
      <c r="AD725" s="299">
        <v>60</v>
      </c>
      <c r="AE725" s="299">
        <f>E725-AD725</f>
        <v>540</v>
      </c>
      <c r="AF725" s="317"/>
      <c r="AG725" s="314">
        <f t="shared" si="808"/>
        <v>0</v>
      </c>
      <c r="AH725" s="696">
        <f t="shared" si="809"/>
        <v>0</v>
      </c>
      <c r="AI725" s="314">
        <f t="shared" si="810"/>
        <v>0</v>
      </c>
      <c r="AJ725" s="314">
        <f t="shared" si="811"/>
        <v>0</v>
      </c>
      <c r="AK725" s="314">
        <f t="shared" si="812"/>
        <v>0</v>
      </c>
      <c r="AL725" s="314">
        <f t="shared" si="813"/>
        <v>0</v>
      </c>
      <c r="AM725" s="314">
        <f t="shared" si="814"/>
        <v>0</v>
      </c>
      <c r="AN725" s="314">
        <f t="shared" si="815"/>
        <v>0</v>
      </c>
      <c r="AO725" s="314">
        <f t="shared" si="816"/>
        <v>0</v>
      </c>
      <c r="AP725" s="314">
        <f t="shared" si="817"/>
        <v>0</v>
      </c>
    </row>
    <row r="726" spans="1:42" s="314" customFormat="1">
      <c r="A726" s="592" t="s">
        <v>78</v>
      </c>
      <c r="B726" s="320" t="s">
        <v>1098</v>
      </c>
      <c r="C726" s="297"/>
      <c r="D726" s="299">
        <f>D727+D737</f>
        <v>13748</v>
      </c>
      <c r="E726" s="299">
        <f>E727+E737</f>
        <v>15133</v>
      </c>
      <c r="F726" s="299">
        <f>F727+F737</f>
        <v>13887</v>
      </c>
      <c r="G726" s="299">
        <f t="shared" si="904"/>
        <v>139</v>
      </c>
      <c r="H726" s="299">
        <f>H727+H737</f>
        <v>13887</v>
      </c>
      <c r="I726" s="299">
        <f t="shared" ref="I726:P726" si="909">I727+I737</f>
        <v>10476</v>
      </c>
      <c r="J726" s="318">
        <f t="shared" si="909"/>
        <v>55</v>
      </c>
      <c r="K726" s="318">
        <f t="shared" si="909"/>
        <v>52</v>
      </c>
      <c r="L726" s="318">
        <f t="shared" si="909"/>
        <v>3</v>
      </c>
      <c r="M726" s="299">
        <f t="shared" si="909"/>
        <v>6136</v>
      </c>
      <c r="N726" s="318">
        <f t="shared" si="909"/>
        <v>5940</v>
      </c>
      <c r="O726" s="318">
        <f t="shared" si="909"/>
        <v>196</v>
      </c>
      <c r="P726" s="299">
        <f t="shared" si="909"/>
        <v>4340</v>
      </c>
      <c r="Q726" s="318"/>
      <c r="R726" s="318"/>
      <c r="S726" s="299">
        <f>S727+S737</f>
        <v>3161</v>
      </c>
      <c r="T726" s="299">
        <f>T727+T737</f>
        <v>1179</v>
      </c>
      <c r="U726" s="299">
        <f>U727+U737</f>
        <v>851</v>
      </c>
      <c r="V726" s="299">
        <f>V727+V737</f>
        <v>328</v>
      </c>
      <c r="W726" s="299">
        <f>W727+W737</f>
        <v>3411</v>
      </c>
      <c r="X726" s="299"/>
      <c r="Y726" s="299"/>
      <c r="Z726" s="299">
        <f t="shared" ref="Z726:AE726" si="910">Z727+Z737</f>
        <v>2764</v>
      </c>
      <c r="AA726" s="299">
        <f t="shared" si="910"/>
        <v>647</v>
      </c>
      <c r="AB726" s="299">
        <f t="shared" si="910"/>
        <v>0</v>
      </c>
      <c r="AC726" s="299">
        <f t="shared" si="910"/>
        <v>1246</v>
      </c>
      <c r="AD726" s="299">
        <f t="shared" si="910"/>
        <v>719</v>
      </c>
      <c r="AE726" s="299">
        <f t="shared" si="910"/>
        <v>14414</v>
      </c>
      <c r="AF726" s="321"/>
      <c r="AG726" s="314">
        <f t="shared" ref="AG726:AG789" si="911">E726-F726-AC726</f>
        <v>0</v>
      </c>
      <c r="AH726" s="696">
        <f t="shared" ref="AH726:AH789" si="912">F726-H726+AB726</f>
        <v>0</v>
      </c>
      <c r="AI726" s="314">
        <f t="shared" ref="AI726:AI789" si="913">H726-I726-W726</f>
        <v>0</v>
      </c>
      <c r="AJ726" s="314">
        <f t="shared" ref="AJ726:AJ789" si="914">I726-M726-P726</f>
        <v>0</v>
      </c>
      <c r="AK726" s="314">
        <f t="shared" ref="AK726:AK789" si="915">J726-K726-L726</f>
        <v>0</v>
      </c>
      <c r="AL726" s="314">
        <f t="shared" ref="AL726:AL789" si="916">M726-N726-O726</f>
        <v>0</v>
      </c>
      <c r="AM726" s="314">
        <f t="shared" ref="AM726:AM789" si="917">P726-S726-T726</f>
        <v>0</v>
      </c>
      <c r="AN726" s="314">
        <f t="shared" ref="AN726:AN789" si="918">T726-U726-V726</f>
        <v>0</v>
      </c>
      <c r="AO726" s="314">
        <f t="shared" ref="AO726:AO789" si="919">W726-Z726-AA726</f>
        <v>0</v>
      </c>
      <c r="AP726" s="314">
        <f t="shared" ref="AP726:AP789" si="920">AC726+AA726+Z726+V726+U726+S726+O726+N726-AB726-E726</f>
        <v>0</v>
      </c>
    </row>
    <row r="727" spans="1:42" s="314" customFormat="1">
      <c r="A727" s="592" t="s">
        <v>781</v>
      </c>
      <c r="B727" s="320" t="s">
        <v>826</v>
      </c>
      <c r="C727" s="298" t="s">
        <v>756</v>
      </c>
      <c r="D727" s="306">
        <f t="shared" ref="D727" si="921">D728+D730+D729</f>
        <v>9099</v>
      </c>
      <c r="E727" s="306">
        <f>E728+E730+E729</f>
        <v>10440</v>
      </c>
      <c r="F727" s="306">
        <f>F728+F730+F729</f>
        <v>9360</v>
      </c>
      <c r="G727" s="306">
        <f t="shared" si="904"/>
        <v>261</v>
      </c>
      <c r="H727" s="306">
        <f t="shared" ref="H727:Z727" si="922">H728+H730+H729</f>
        <v>9360</v>
      </c>
      <c r="I727" s="306">
        <f t="shared" si="922"/>
        <v>9360</v>
      </c>
      <c r="J727" s="306">
        <f t="shared" si="922"/>
        <v>44</v>
      </c>
      <c r="K727" s="306">
        <f t="shared" si="922"/>
        <v>41</v>
      </c>
      <c r="L727" s="306">
        <f t="shared" si="922"/>
        <v>3</v>
      </c>
      <c r="M727" s="306">
        <f t="shared" si="922"/>
        <v>5339</v>
      </c>
      <c r="N727" s="306">
        <f t="shared" si="922"/>
        <v>5143</v>
      </c>
      <c r="O727" s="306">
        <f t="shared" si="922"/>
        <v>196</v>
      </c>
      <c r="P727" s="306">
        <f t="shared" si="922"/>
        <v>4021</v>
      </c>
      <c r="Q727" s="306"/>
      <c r="R727" s="306"/>
      <c r="S727" s="306">
        <f t="shared" si="922"/>
        <v>2842</v>
      </c>
      <c r="T727" s="306">
        <f t="shared" si="922"/>
        <v>1179</v>
      </c>
      <c r="U727" s="306">
        <f t="shared" si="922"/>
        <v>851</v>
      </c>
      <c r="V727" s="306">
        <f t="shared" si="922"/>
        <v>328</v>
      </c>
      <c r="W727" s="306">
        <f>W728+W730+W729</f>
        <v>0</v>
      </c>
      <c r="X727" s="306"/>
      <c r="Y727" s="306"/>
      <c r="Z727" s="306">
        <f t="shared" si="922"/>
        <v>0</v>
      </c>
      <c r="AA727" s="306">
        <f>AA728+AA730+AA729</f>
        <v>0</v>
      </c>
      <c r="AB727" s="306">
        <f>AB728+AB730+AB729</f>
        <v>0</v>
      </c>
      <c r="AC727" s="306">
        <f t="shared" ref="AC727:AE727" si="923">AC728+AC730+AC729</f>
        <v>1080</v>
      </c>
      <c r="AD727" s="306">
        <f t="shared" si="923"/>
        <v>386</v>
      </c>
      <c r="AE727" s="306">
        <f t="shared" si="923"/>
        <v>10054</v>
      </c>
      <c r="AF727" s="321"/>
      <c r="AG727" s="314">
        <f t="shared" si="911"/>
        <v>0</v>
      </c>
      <c r="AH727" s="696">
        <f t="shared" si="912"/>
        <v>0</v>
      </c>
      <c r="AI727" s="314">
        <f t="shared" si="913"/>
        <v>0</v>
      </c>
      <c r="AJ727" s="314">
        <f t="shared" si="914"/>
        <v>0</v>
      </c>
      <c r="AK727" s="314">
        <f t="shared" si="915"/>
        <v>0</v>
      </c>
      <c r="AL727" s="314">
        <f t="shared" si="916"/>
        <v>0</v>
      </c>
      <c r="AM727" s="314">
        <f t="shared" si="917"/>
        <v>0</v>
      </c>
      <c r="AN727" s="314">
        <f t="shared" si="918"/>
        <v>0</v>
      </c>
      <c r="AO727" s="314">
        <f t="shared" si="919"/>
        <v>0</v>
      </c>
      <c r="AP727" s="314">
        <f t="shared" si="920"/>
        <v>0</v>
      </c>
    </row>
    <row r="728" spans="1:42">
      <c r="A728" s="583" t="s">
        <v>45</v>
      </c>
      <c r="B728" s="324" t="s">
        <v>862</v>
      </c>
      <c r="C728" s="304"/>
      <c r="D728" s="304">
        <v>7608</v>
      </c>
      <c r="E728" s="304">
        <f t="shared" ref="E728:E736" si="924">F728+AC728</f>
        <v>9261</v>
      </c>
      <c r="F728" s="304">
        <f>H728-AB728</f>
        <v>8181</v>
      </c>
      <c r="G728" s="304">
        <f t="shared" si="904"/>
        <v>573</v>
      </c>
      <c r="H728" s="303">
        <f t="shared" ref="H728:H729" si="925">I728+W728</f>
        <v>8181</v>
      </c>
      <c r="I728" s="303">
        <f>M728+P728</f>
        <v>8181</v>
      </c>
      <c r="J728" s="330">
        <v>44</v>
      </c>
      <c r="K728" s="330">
        <v>41</v>
      </c>
      <c r="L728" s="294">
        <f>J728-K728</f>
        <v>3</v>
      </c>
      <c r="M728" s="304">
        <f>N728+O728</f>
        <v>5339</v>
      </c>
      <c r="N728" s="294">
        <v>5143</v>
      </c>
      <c r="O728" s="294">
        <v>196</v>
      </c>
      <c r="P728" s="303">
        <f>S728+T728</f>
        <v>2842</v>
      </c>
      <c r="Q728" s="294">
        <v>34</v>
      </c>
      <c r="R728" s="331">
        <v>1.9000000000000001</v>
      </c>
      <c r="S728" s="304">
        <f>ROUND(J728*Q728*R728,0)</f>
        <v>2842</v>
      </c>
      <c r="T728" s="303">
        <f>U728+V728</f>
        <v>0</v>
      </c>
      <c r="U728" s="304"/>
      <c r="V728" s="304"/>
      <c r="W728" s="303">
        <f>Z728+AA728</f>
        <v>0</v>
      </c>
      <c r="X728" s="303"/>
      <c r="Y728" s="303"/>
      <c r="Z728" s="304"/>
      <c r="AA728" s="304"/>
      <c r="AB728" s="304"/>
      <c r="AC728" s="304">
        <v>1080</v>
      </c>
      <c r="AD728" s="304">
        <v>284</v>
      </c>
      <c r="AE728" s="303">
        <f>E728-AD728</f>
        <v>8977</v>
      </c>
      <c r="AF728" s="317"/>
      <c r="AG728" s="314">
        <f t="shared" si="911"/>
        <v>0</v>
      </c>
      <c r="AH728" s="696">
        <f t="shared" si="912"/>
        <v>0</v>
      </c>
      <c r="AI728" s="314">
        <f t="shared" si="913"/>
        <v>0</v>
      </c>
      <c r="AJ728" s="314">
        <f t="shared" si="914"/>
        <v>0</v>
      </c>
      <c r="AK728" s="314">
        <f t="shared" si="915"/>
        <v>0</v>
      </c>
      <c r="AL728" s="314">
        <f t="shared" si="916"/>
        <v>0</v>
      </c>
      <c r="AM728" s="314">
        <f t="shared" si="917"/>
        <v>0</v>
      </c>
      <c r="AN728" s="314">
        <f t="shared" si="918"/>
        <v>0</v>
      </c>
      <c r="AO728" s="314">
        <f t="shared" si="919"/>
        <v>0</v>
      </c>
      <c r="AP728" s="314">
        <f t="shared" si="920"/>
        <v>0</v>
      </c>
    </row>
    <row r="729" spans="1:42" ht="27.6" hidden="1" outlineLevel="3">
      <c r="A729" s="583" t="s">
        <v>47</v>
      </c>
      <c r="B729" s="324" t="s">
        <v>1521</v>
      </c>
      <c r="C729" s="304"/>
      <c r="D729" s="304">
        <v>210</v>
      </c>
      <c r="E729" s="304">
        <f t="shared" si="924"/>
        <v>0</v>
      </c>
      <c r="F729" s="304">
        <f>H729-AB729</f>
        <v>0</v>
      </c>
      <c r="G729" s="304">
        <f t="shared" si="904"/>
        <v>-210</v>
      </c>
      <c r="H729" s="303">
        <f t="shared" si="925"/>
        <v>0</v>
      </c>
      <c r="I729" s="303">
        <f t="shared" ref="I729" si="926">M729+P729</f>
        <v>0</v>
      </c>
      <c r="J729" s="294"/>
      <c r="K729" s="294">
        <v>0</v>
      </c>
      <c r="L729" s="294"/>
      <c r="M729" s="304">
        <f t="shared" ref="M729" si="927">N729+O729</f>
        <v>0</v>
      </c>
      <c r="N729" s="294"/>
      <c r="O729" s="294"/>
      <c r="P729" s="303">
        <f t="shared" ref="P729" si="928">S729+T729</f>
        <v>0</v>
      </c>
      <c r="Q729" s="311">
        <v>0</v>
      </c>
      <c r="R729" s="305"/>
      <c r="S729" s="304">
        <f>J729*Q729</f>
        <v>0</v>
      </c>
      <c r="T729" s="303">
        <f t="shared" ref="T729" si="929">U729+V729</f>
        <v>0</v>
      </c>
      <c r="U729" s="304"/>
      <c r="V729" s="304"/>
      <c r="W729" s="303">
        <f>Z729+AA729</f>
        <v>0</v>
      </c>
      <c r="X729" s="303"/>
      <c r="Y729" s="303"/>
      <c r="Z729" s="304"/>
      <c r="AA729" s="304"/>
      <c r="AB729" s="304"/>
      <c r="AC729" s="304"/>
      <c r="AD729" s="304">
        <v>-16</v>
      </c>
      <c r="AE729" s="303">
        <f>E729-AD729</f>
        <v>16</v>
      </c>
      <c r="AF729" s="317"/>
      <c r="AG729" s="314">
        <f t="shared" si="911"/>
        <v>0</v>
      </c>
      <c r="AH729" s="696">
        <f t="shared" si="912"/>
        <v>0</v>
      </c>
      <c r="AI729" s="314">
        <f t="shared" si="913"/>
        <v>0</v>
      </c>
      <c r="AJ729" s="314">
        <f t="shared" si="914"/>
        <v>0</v>
      </c>
      <c r="AK729" s="314">
        <f t="shared" si="915"/>
        <v>0</v>
      </c>
      <c r="AL729" s="314">
        <f t="shared" si="916"/>
        <v>0</v>
      </c>
      <c r="AM729" s="314">
        <f t="shared" si="917"/>
        <v>0</v>
      </c>
      <c r="AN729" s="314">
        <f t="shared" si="918"/>
        <v>0</v>
      </c>
      <c r="AO729" s="314">
        <f t="shared" si="919"/>
        <v>0</v>
      </c>
      <c r="AP729" s="314">
        <f t="shared" si="920"/>
        <v>0</v>
      </c>
    </row>
    <row r="730" spans="1:42" ht="27.6" collapsed="1">
      <c r="A730" s="583" t="s">
        <v>47</v>
      </c>
      <c r="B730" s="1273" t="s">
        <v>1737</v>
      </c>
      <c r="C730" s="304"/>
      <c r="D730" s="303">
        <v>1281</v>
      </c>
      <c r="E730" s="303">
        <f>E731+E732+E733+E734</f>
        <v>1179</v>
      </c>
      <c r="F730" s="303">
        <f t="shared" ref="F730:AC730" si="930">F731+F732+F733+F734</f>
        <v>1179</v>
      </c>
      <c r="G730" s="303">
        <f t="shared" si="930"/>
        <v>328</v>
      </c>
      <c r="H730" s="303">
        <f t="shared" si="930"/>
        <v>1179</v>
      </c>
      <c r="I730" s="303">
        <f t="shared" si="930"/>
        <v>1179</v>
      </c>
      <c r="J730" s="303">
        <f t="shared" si="930"/>
        <v>0</v>
      </c>
      <c r="K730" s="303">
        <f t="shared" si="930"/>
        <v>0</v>
      </c>
      <c r="L730" s="303">
        <f t="shared" si="930"/>
        <v>0</v>
      </c>
      <c r="M730" s="303">
        <f t="shared" si="930"/>
        <v>0</v>
      </c>
      <c r="N730" s="303">
        <f t="shared" si="930"/>
        <v>0</v>
      </c>
      <c r="O730" s="303">
        <f t="shared" si="930"/>
        <v>0</v>
      </c>
      <c r="P730" s="303">
        <f t="shared" si="930"/>
        <v>1179</v>
      </c>
      <c r="Q730" s="303">
        <f t="shared" si="930"/>
        <v>0</v>
      </c>
      <c r="R730" s="303">
        <f t="shared" si="930"/>
        <v>0</v>
      </c>
      <c r="S730" s="303">
        <f t="shared" si="930"/>
        <v>0</v>
      </c>
      <c r="T730" s="303">
        <f t="shared" si="930"/>
        <v>1179</v>
      </c>
      <c r="U730" s="303">
        <f t="shared" si="930"/>
        <v>851</v>
      </c>
      <c r="V730" s="303">
        <f>V731+V732+V733+V734</f>
        <v>328</v>
      </c>
      <c r="W730" s="303">
        <f t="shared" si="930"/>
        <v>0</v>
      </c>
      <c r="X730" s="303">
        <f t="shared" si="930"/>
        <v>0</v>
      </c>
      <c r="Y730" s="303">
        <f t="shared" si="930"/>
        <v>0</v>
      </c>
      <c r="Z730" s="303">
        <f t="shared" si="930"/>
        <v>0</v>
      </c>
      <c r="AA730" s="303">
        <f t="shared" si="930"/>
        <v>0</v>
      </c>
      <c r="AB730" s="303">
        <f t="shared" si="930"/>
        <v>0</v>
      </c>
      <c r="AC730" s="303">
        <f t="shared" si="930"/>
        <v>0</v>
      </c>
      <c r="AD730" s="304">
        <v>118</v>
      </c>
      <c r="AE730" s="303">
        <f>E730-AD730</f>
        <v>1061</v>
      </c>
      <c r="AF730" s="317"/>
      <c r="AG730" s="314">
        <f t="shared" si="911"/>
        <v>0</v>
      </c>
      <c r="AH730" s="696">
        <f t="shared" si="912"/>
        <v>0</v>
      </c>
      <c r="AI730" s="314">
        <f t="shared" si="913"/>
        <v>0</v>
      </c>
      <c r="AJ730" s="314">
        <f t="shared" si="914"/>
        <v>0</v>
      </c>
      <c r="AK730" s="314">
        <f t="shared" si="915"/>
        <v>0</v>
      </c>
      <c r="AL730" s="314">
        <f t="shared" si="916"/>
        <v>0</v>
      </c>
      <c r="AM730" s="314">
        <f t="shared" si="917"/>
        <v>0</v>
      </c>
      <c r="AN730" s="314">
        <f t="shared" si="918"/>
        <v>0</v>
      </c>
      <c r="AO730" s="314">
        <f t="shared" si="919"/>
        <v>0</v>
      </c>
      <c r="AP730" s="314">
        <f t="shared" si="920"/>
        <v>0</v>
      </c>
    </row>
    <row r="731" spans="1:42" ht="27.6" outlineLevel="1">
      <c r="A731" s="583" t="s">
        <v>23</v>
      </c>
      <c r="B731" s="324" t="s">
        <v>2195</v>
      </c>
      <c r="C731" s="304"/>
      <c r="D731" s="304">
        <v>401</v>
      </c>
      <c r="E731" s="304">
        <f t="shared" si="924"/>
        <v>401</v>
      </c>
      <c r="F731" s="304">
        <f>H731-AB731</f>
        <v>401</v>
      </c>
      <c r="G731" s="304">
        <f t="shared" ref="G731:G739" si="931">F731-D731</f>
        <v>0</v>
      </c>
      <c r="H731" s="303">
        <f t="shared" ref="H731" si="932">I731+W731</f>
        <v>401</v>
      </c>
      <c r="I731" s="303">
        <f>M731+P731</f>
        <v>401</v>
      </c>
      <c r="J731" s="294"/>
      <c r="K731" s="294"/>
      <c r="L731" s="294"/>
      <c r="M731" s="304"/>
      <c r="N731" s="294"/>
      <c r="O731" s="294"/>
      <c r="P731" s="303">
        <f>S731+T731</f>
        <v>401</v>
      </c>
      <c r="Q731" s="294"/>
      <c r="R731" s="305"/>
      <c r="S731" s="304"/>
      <c r="T731" s="303">
        <f>U731+V731</f>
        <v>401</v>
      </c>
      <c r="U731" s="304">
        <v>401</v>
      </c>
      <c r="V731" s="304"/>
      <c r="W731" s="303"/>
      <c r="X731" s="303"/>
      <c r="Y731" s="303"/>
      <c r="Z731" s="304"/>
      <c r="AA731" s="304"/>
      <c r="AB731" s="304"/>
      <c r="AC731" s="304"/>
      <c r="AD731" s="304"/>
      <c r="AE731" s="304"/>
      <c r="AF731" s="317"/>
      <c r="AG731" s="314">
        <f t="shared" si="911"/>
        <v>0</v>
      </c>
      <c r="AH731" s="696">
        <f t="shared" si="912"/>
        <v>0</v>
      </c>
      <c r="AI731" s="314">
        <f t="shared" si="913"/>
        <v>0</v>
      </c>
      <c r="AJ731" s="314">
        <f t="shared" si="914"/>
        <v>0</v>
      </c>
      <c r="AK731" s="314">
        <f t="shared" si="915"/>
        <v>0</v>
      </c>
      <c r="AL731" s="314">
        <f t="shared" si="916"/>
        <v>0</v>
      </c>
      <c r="AM731" s="314">
        <f t="shared" si="917"/>
        <v>0</v>
      </c>
      <c r="AN731" s="314">
        <f t="shared" si="918"/>
        <v>0</v>
      </c>
      <c r="AO731" s="314">
        <f t="shared" si="919"/>
        <v>0</v>
      </c>
      <c r="AP731" s="314">
        <f t="shared" si="920"/>
        <v>0</v>
      </c>
    </row>
    <row r="732" spans="1:42" ht="55.2" outlineLevel="1" collapsed="1">
      <c r="A732" s="583" t="s">
        <v>23</v>
      </c>
      <c r="B732" s="1275" t="s">
        <v>2447</v>
      </c>
      <c r="C732" s="304"/>
      <c r="D732" s="304">
        <v>450</v>
      </c>
      <c r="E732" s="304">
        <f t="shared" si="924"/>
        <v>540</v>
      </c>
      <c r="F732" s="304">
        <f>H732-AB732</f>
        <v>540</v>
      </c>
      <c r="G732" s="304">
        <f t="shared" si="931"/>
        <v>90</v>
      </c>
      <c r="H732" s="303">
        <f>I732+W732</f>
        <v>540</v>
      </c>
      <c r="I732" s="303">
        <f>M732+P732</f>
        <v>540</v>
      </c>
      <c r="J732" s="311"/>
      <c r="K732" s="311"/>
      <c r="L732" s="311"/>
      <c r="M732" s="303"/>
      <c r="N732" s="311"/>
      <c r="O732" s="311"/>
      <c r="P732" s="303">
        <f>S732+T732</f>
        <v>540</v>
      </c>
      <c r="Q732" s="311"/>
      <c r="R732" s="312"/>
      <c r="S732" s="303"/>
      <c r="T732" s="303">
        <f>U732+V732</f>
        <v>540</v>
      </c>
      <c r="U732" s="303">
        <v>450</v>
      </c>
      <c r="V732" s="303">
        <v>90</v>
      </c>
      <c r="W732" s="303">
        <f>Z732+AA732</f>
        <v>0</v>
      </c>
      <c r="X732" s="303"/>
      <c r="Y732" s="303"/>
      <c r="Z732" s="303"/>
      <c r="AA732" s="303"/>
      <c r="AB732" s="303"/>
      <c r="AC732" s="303"/>
      <c r="AD732" s="303"/>
      <c r="AE732" s="303"/>
      <c r="AF732" s="1263" t="s">
        <v>2333</v>
      </c>
      <c r="AG732" s="314">
        <f t="shared" si="911"/>
        <v>0</v>
      </c>
      <c r="AH732" s="696">
        <f t="shared" si="912"/>
        <v>0</v>
      </c>
      <c r="AI732" s="314">
        <f t="shared" si="913"/>
        <v>0</v>
      </c>
      <c r="AJ732" s="314">
        <f t="shared" si="914"/>
        <v>0</v>
      </c>
      <c r="AK732" s="314">
        <f t="shared" si="915"/>
        <v>0</v>
      </c>
      <c r="AL732" s="314">
        <f t="shared" si="916"/>
        <v>0</v>
      </c>
      <c r="AM732" s="314">
        <f t="shared" si="917"/>
        <v>0</v>
      </c>
      <c r="AN732" s="314">
        <f t="shared" si="918"/>
        <v>0</v>
      </c>
      <c r="AO732" s="314">
        <f t="shared" si="919"/>
        <v>0</v>
      </c>
      <c r="AP732" s="314">
        <f t="shared" si="920"/>
        <v>0</v>
      </c>
    </row>
    <row r="733" spans="1:42" ht="55.2" outlineLevel="1">
      <c r="A733" s="583" t="s">
        <v>23</v>
      </c>
      <c r="B733" s="1275" t="s">
        <v>2196</v>
      </c>
      <c r="C733" s="304"/>
      <c r="D733" s="304"/>
      <c r="E733" s="304">
        <f t="shared" si="924"/>
        <v>38</v>
      </c>
      <c r="F733" s="304">
        <f t="shared" ref="F733:F734" si="933">H733-AB733</f>
        <v>38</v>
      </c>
      <c r="G733" s="304">
        <f t="shared" si="931"/>
        <v>38</v>
      </c>
      <c r="H733" s="303">
        <f t="shared" ref="H733:H734" si="934">I733+W733</f>
        <v>38</v>
      </c>
      <c r="I733" s="303">
        <f t="shared" ref="I733:I734" si="935">M733+P733</f>
        <v>38</v>
      </c>
      <c r="J733" s="311"/>
      <c r="K733" s="311"/>
      <c r="L733" s="311"/>
      <c r="M733" s="303"/>
      <c r="N733" s="311"/>
      <c r="O733" s="311"/>
      <c r="P733" s="303">
        <f t="shared" ref="P733:P734" si="936">S733+T733</f>
        <v>38</v>
      </c>
      <c r="Q733" s="311"/>
      <c r="R733" s="312"/>
      <c r="S733" s="303"/>
      <c r="T733" s="303">
        <f t="shared" ref="T733:T734" si="937">U733+V733</f>
        <v>38</v>
      </c>
      <c r="U733" s="303"/>
      <c r="V733" s="303">
        <v>38</v>
      </c>
      <c r="W733" s="303"/>
      <c r="X733" s="303"/>
      <c r="Y733" s="303"/>
      <c r="Z733" s="303"/>
      <c r="AA733" s="303"/>
      <c r="AB733" s="303"/>
      <c r="AC733" s="303"/>
      <c r="AD733" s="303"/>
      <c r="AE733" s="303"/>
      <c r="AF733" s="1263" t="s">
        <v>2334</v>
      </c>
      <c r="AG733" s="314">
        <f t="shared" si="911"/>
        <v>0</v>
      </c>
      <c r="AH733" s="696">
        <f t="shared" si="912"/>
        <v>0</v>
      </c>
      <c r="AI733" s="314">
        <f t="shared" si="913"/>
        <v>0</v>
      </c>
      <c r="AJ733" s="314">
        <f t="shared" si="914"/>
        <v>0</v>
      </c>
      <c r="AK733" s="314">
        <f t="shared" si="915"/>
        <v>0</v>
      </c>
      <c r="AL733" s="314">
        <f t="shared" si="916"/>
        <v>0</v>
      </c>
      <c r="AM733" s="314">
        <f t="shared" si="917"/>
        <v>0</v>
      </c>
      <c r="AN733" s="314">
        <f t="shared" si="918"/>
        <v>0</v>
      </c>
      <c r="AO733" s="314">
        <f t="shared" si="919"/>
        <v>0</v>
      </c>
      <c r="AP733" s="314">
        <f t="shared" si="920"/>
        <v>0</v>
      </c>
    </row>
    <row r="734" spans="1:42" ht="41.4" outlineLevel="1">
      <c r="A734" s="583" t="s">
        <v>23</v>
      </c>
      <c r="B734" s="1275" t="s">
        <v>2197</v>
      </c>
      <c r="C734" s="304"/>
      <c r="D734" s="304"/>
      <c r="E734" s="304">
        <f t="shared" si="924"/>
        <v>200</v>
      </c>
      <c r="F734" s="304">
        <f t="shared" si="933"/>
        <v>200</v>
      </c>
      <c r="G734" s="304">
        <f t="shared" si="931"/>
        <v>200</v>
      </c>
      <c r="H734" s="303">
        <f t="shared" si="934"/>
        <v>200</v>
      </c>
      <c r="I734" s="303">
        <f t="shared" si="935"/>
        <v>200</v>
      </c>
      <c r="J734" s="311"/>
      <c r="K734" s="311"/>
      <c r="L734" s="311"/>
      <c r="M734" s="303"/>
      <c r="N734" s="311"/>
      <c r="O734" s="311"/>
      <c r="P734" s="303">
        <f t="shared" si="936"/>
        <v>200</v>
      </c>
      <c r="Q734" s="311"/>
      <c r="R734" s="312"/>
      <c r="S734" s="303"/>
      <c r="T734" s="303">
        <f t="shared" si="937"/>
        <v>200</v>
      </c>
      <c r="U734" s="303"/>
      <c r="V734" s="303">
        <v>200</v>
      </c>
      <c r="W734" s="303"/>
      <c r="X734" s="303"/>
      <c r="Y734" s="303"/>
      <c r="Z734" s="303"/>
      <c r="AA734" s="303"/>
      <c r="AB734" s="303"/>
      <c r="AC734" s="303"/>
      <c r="AD734" s="303"/>
      <c r="AE734" s="303"/>
      <c r="AF734" s="1263" t="s">
        <v>2335</v>
      </c>
      <c r="AG734" s="314">
        <f t="shared" si="911"/>
        <v>0</v>
      </c>
      <c r="AH734" s="696">
        <f t="shared" si="912"/>
        <v>0</v>
      </c>
      <c r="AI734" s="314">
        <f t="shared" si="913"/>
        <v>0</v>
      </c>
      <c r="AJ734" s="314">
        <f t="shared" si="914"/>
        <v>0</v>
      </c>
      <c r="AK734" s="314">
        <f t="shared" si="915"/>
        <v>0</v>
      </c>
      <c r="AL734" s="314">
        <f t="shared" si="916"/>
        <v>0</v>
      </c>
      <c r="AM734" s="314">
        <f t="shared" si="917"/>
        <v>0</v>
      </c>
      <c r="AN734" s="314">
        <f t="shared" si="918"/>
        <v>0</v>
      </c>
      <c r="AO734" s="314">
        <f t="shared" si="919"/>
        <v>0</v>
      </c>
      <c r="AP734" s="314">
        <f t="shared" si="920"/>
        <v>0</v>
      </c>
    </row>
    <row r="735" spans="1:42" ht="69" hidden="1" outlineLevel="3">
      <c r="A735" s="583" t="s">
        <v>23</v>
      </c>
      <c r="B735" s="324" t="s">
        <v>1771</v>
      </c>
      <c r="C735" s="304"/>
      <c r="D735" s="304">
        <v>200</v>
      </c>
      <c r="E735" s="304">
        <f t="shared" si="924"/>
        <v>0</v>
      </c>
      <c r="F735" s="304">
        <f>H735-AB735</f>
        <v>0</v>
      </c>
      <c r="G735" s="304">
        <f t="shared" si="931"/>
        <v>-200</v>
      </c>
      <c r="H735" s="303">
        <f>I735+W735</f>
        <v>0</v>
      </c>
      <c r="I735" s="303">
        <f>M735+P735</f>
        <v>0</v>
      </c>
      <c r="J735" s="311"/>
      <c r="K735" s="311"/>
      <c r="L735" s="311"/>
      <c r="M735" s="303"/>
      <c r="N735" s="311"/>
      <c r="O735" s="311"/>
      <c r="P735" s="303">
        <f>S735+T735</f>
        <v>0</v>
      </c>
      <c r="Q735" s="311"/>
      <c r="R735" s="312"/>
      <c r="S735" s="303"/>
      <c r="T735" s="303">
        <f>U735+V735</f>
        <v>0</v>
      </c>
      <c r="U735" s="303"/>
      <c r="V735" s="303"/>
      <c r="W735" s="303"/>
      <c r="X735" s="303"/>
      <c r="Y735" s="303"/>
      <c r="Z735" s="303"/>
      <c r="AA735" s="303"/>
      <c r="AB735" s="303"/>
      <c r="AC735" s="303"/>
      <c r="AD735" s="303"/>
      <c r="AE735" s="303"/>
      <c r="AF735" s="1263"/>
      <c r="AG735" s="314">
        <f t="shared" si="911"/>
        <v>0</v>
      </c>
      <c r="AH735" s="696">
        <f t="shared" si="912"/>
        <v>0</v>
      </c>
      <c r="AI735" s="314">
        <f t="shared" si="913"/>
        <v>0</v>
      </c>
      <c r="AJ735" s="314">
        <f t="shared" si="914"/>
        <v>0</v>
      </c>
      <c r="AK735" s="314">
        <f t="shared" si="915"/>
        <v>0</v>
      </c>
      <c r="AL735" s="314">
        <f t="shared" si="916"/>
        <v>0</v>
      </c>
      <c r="AM735" s="314">
        <f t="shared" si="917"/>
        <v>0</v>
      </c>
      <c r="AN735" s="314">
        <f t="shared" si="918"/>
        <v>0</v>
      </c>
      <c r="AO735" s="314">
        <f t="shared" si="919"/>
        <v>0</v>
      </c>
      <c r="AP735" s="314">
        <f t="shared" si="920"/>
        <v>0</v>
      </c>
    </row>
    <row r="736" spans="1:42" hidden="1" outlineLevel="3">
      <c r="A736" s="583" t="s">
        <v>23</v>
      </c>
      <c r="B736" s="316" t="s">
        <v>839</v>
      </c>
      <c r="C736" s="304"/>
      <c r="D736" s="304">
        <v>230</v>
      </c>
      <c r="E736" s="304">
        <f t="shared" si="924"/>
        <v>0</v>
      </c>
      <c r="F736" s="304">
        <f>H736-AB736</f>
        <v>0</v>
      </c>
      <c r="G736" s="304">
        <f t="shared" si="931"/>
        <v>-230</v>
      </c>
      <c r="H736" s="303">
        <f>I736+W736</f>
        <v>0</v>
      </c>
      <c r="I736" s="303">
        <f>M736+P736</f>
        <v>0</v>
      </c>
      <c r="J736" s="294"/>
      <c r="K736" s="294"/>
      <c r="L736" s="294"/>
      <c r="M736" s="304"/>
      <c r="N736" s="294"/>
      <c r="O736" s="294"/>
      <c r="P736" s="303">
        <f>S736+T736</f>
        <v>0</v>
      </c>
      <c r="Q736" s="294"/>
      <c r="R736" s="305"/>
      <c r="S736" s="304"/>
      <c r="T736" s="303">
        <f>U736+V736</f>
        <v>0</v>
      </c>
      <c r="U736" s="304"/>
      <c r="V736" s="304"/>
      <c r="W736" s="303"/>
      <c r="X736" s="303"/>
      <c r="Y736" s="303"/>
      <c r="Z736" s="304"/>
      <c r="AA736" s="304"/>
      <c r="AB736" s="304"/>
      <c r="AC736" s="304"/>
      <c r="AD736" s="304"/>
      <c r="AE736" s="304"/>
      <c r="AF736" s="317"/>
      <c r="AG736" s="314">
        <f t="shared" si="911"/>
        <v>0</v>
      </c>
      <c r="AH736" s="696">
        <f t="shared" si="912"/>
        <v>0</v>
      </c>
      <c r="AI736" s="314">
        <f t="shared" si="913"/>
        <v>0</v>
      </c>
      <c r="AJ736" s="314">
        <f t="shared" si="914"/>
        <v>0</v>
      </c>
      <c r="AK736" s="314">
        <f t="shared" si="915"/>
        <v>0</v>
      </c>
      <c r="AL736" s="314">
        <f t="shared" si="916"/>
        <v>0</v>
      </c>
      <c r="AM736" s="314">
        <f t="shared" si="917"/>
        <v>0</v>
      </c>
      <c r="AN736" s="314">
        <f t="shared" si="918"/>
        <v>0</v>
      </c>
      <c r="AO736" s="314">
        <f t="shared" si="919"/>
        <v>0</v>
      </c>
      <c r="AP736" s="314">
        <f t="shared" si="920"/>
        <v>0</v>
      </c>
    </row>
    <row r="737" spans="1:42" s="314" customFormat="1">
      <c r="A737" s="592" t="s">
        <v>782</v>
      </c>
      <c r="B737" s="603" t="s">
        <v>1021</v>
      </c>
      <c r="C737" s="298" t="s">
        <v>728</v>
      </c>
      <c r="D737" s="299">
        <f t="shared" ref="D737" si="938">D738+D740</f>
        <v>4649</v>
      </c>
      <c r="E737" s="299">
        <f>E738+E740</f>
        <v>4693</v>
      </c>
      <c r="F737" s="299">
        <f>F738+F740</f>
        <v>4527</v>
      </c>
      <c r="G737" s="299">
        <f t="shared" si="931"/>
        <v>-122</v>
      </c>
      <c r="H737" s="299">
        <f>H738+H740</f>
        <v>4527</v>
      </c>
      <c r="I737" s="299">
        <f t="shared" ref="I737:P737" si="939">I738+I740</f>
        <v>1116</v>
      </c>
      <c r="J737" s="318">
        <f t="shared" si="939"/>
        <v>11</v>
      </c>
      <c r="K737" s="318">
        <f t="shared" si="939"/>
        <v>11</v>
      </c>
      <c r="L737" s="318">
        <f t="shared" si="939"/>
        <v>0</v>
      </c>
      <c r="M737" s="299">
        <f t="shared" si="939"/>
        <v>797</v>
      </c>
      <c r="N737" s="318">
        <f t="shared" si="939"/>
        <v>797</v>
      </c>
      <c r="O737" s="318">
        <f t="shared" si="939"/>
        <v>0</v>
      </c>
      <c r="P737" s="299">
        <f t="shared" si="939"/>
        <v>319</v>
      </c>
      <c r="Q737" s="318"/>
      <c r="R737" s="318"/>
      <c r="S737" s="299">
        <f t="shared" ref="S737:Z737" si="940">S738+S740</f>
        <v>319</v>
      </c>
      <c r="T737" s="299">
        <f t="shared" si="940"/>
        <v>0</v>
      </c>
      <c r="U737" s="299">
        <f t="shared" si="940"/>
        <v>0</v>
      </c>
      <c r="V737" s="299">
        <f t="shared" si="940"/>
        <v>0</v>
      </c>
      <c r="W737" s="299">
        <f>W738+W740</f>
        <v>3411</v>
      </c>
      <c r="X737" s="299"/>
      <c r="Y737" s="299"/>
      <c r="Z737" s="299">
        <f t="shared" si="940"/>
        <v>2764</v>
      </c>
      <c r="AA737" s="299">
        <f>AA738+AA740</f>
        <v>647</v>
      </c>
      <c r="AB737" s="299">
        <f>AB738+AB740</f>
        <v>0</v>
      </c>
      <c r="AC737" s="299">
        <f t="shared" ref="AC737:AE737" si="941">AC738+AC740</f>
        <v>166</v>
      </c>
      <c r="AD737" s="299">
        <f t="shared" si="941"/>
        <v>333</v>
      </c>
      <c r="AE737" s="299">
        <f t="shared" si="941"/>
        <v>4360</v>
      </c>
      <c r="AF737" s="307"/>
      <c r="AG737" s="314">
        <f t="shared" si="911"/>
        <v>0</v>
      </c>
      <c r="AH737" s="696">
        <f t="shared" si="912"/>
        <v>0</v>
      </c>
      <c r="AI737" s="314">
        <f t="shared" si="913"/>
        <v>0</v>
      </c>
      <c r="AJ737" s="314">
        <f t="shared" si="914"/>
        <v>0</v>
      </c>
      <c r="AK737" s="314">
        <f t="shared" si="915"/>
        <v>0</v>
      </c>
      <c r="AL737" s="314">
        <f t="shared" si="916"/>
        <v>0</v>
      </c>
      <c r="AM737" s="314">
        <f t="shared" si="917"/>
        <v>0</v>
      </c>
      <c r="AN737" s="314">
        <f t="shared" si="918"/>
        <v>0</v>
      </c>
      <c r="AO737" s="314">
        <f t="shared" si="919"/>
        <v>0</v>
      </c>
      <c r="AP737" s="314">
        <f t="shared" si="920"/>
        <v>0</v>
      </c>
    </row>
    <row r="738" spans="1:42" s="314" customFormat="1">
      <c r="A738" s="591" t="s">
        <v>45</v>
      </c>
      <c r="B738" s="603" t="s">
        <v>1099</v>
      </c>
      <c r="C738" s="298"/>
      <c r="D738" s="299">
        <f t="shared" ref="D738:AE738" si="942">D739</f>
        <v>1101</v>
      </c>
      <c r="E738" s="299">
        <f>E739</f>
        <v>1282</v>
      </c>
      <c r="F738" s="299">
        <f>F739</f>
        <v>1116</v>
      </c>
      <c r="G738" s="299">
        <f t="shared" si="931"/>
        <v>15</v>
      </c>
      <c r="H738" s="299">
        <f t="shared" si="942"/>
        <v>1116</v>
      </c>
      <c r="I738" s="299">
        <f t="shared" si="942"/>
        <v>1116</v>
      </c>
      <c r="J738" s="299">
        <f t="shared" si="942"/>
        <v>11</v>
      </c>
      <c r="K738" s="299">
        <f t="shared" si="942"/>
        <v>11</v>
      </c>
      <c r="L738" s="299">
        <f t="shared" si="942"/>
        <v>0</v>
      </c>
      <c r="M738" s="299">
        <f t="shared" si="942"/>
        <v>797</v>
      </c>
      <c r="N738" s="299">
        <f t="shared" si="942"/>
        <v>797</v>
      </c>
      <c r="O738" s="299">
        <f t="shared" si="942"/>
        <v>0</v>
      </c>
      <c r="P738" s="299">
        <f t="shared" si="942"/>
        <v>319</v>
      </c>
      <c r="Q738" s="299"/>
      <c r="R738" s="299"/>
      <c r="S738" s="299">
        <f t="shared" si="942"/>
        <v>319</v>
      </c>
      <c r="T738" s="299">
        <f t="shared" si="942"/>
        <v>0</v>
      </c>
      <c r="U738" s="299">
        <f t="shared" si="942"/>
        <v>0</v>
      </c>
      <c r="V738" s="299">
        <f t="shared" si="942"/>
        <v>0</v>
      </c>
      <c r="W738" s="299">
        <f>W739</f>
        <v>0</v>
      </c>
      <c r="X738" s="299"/>
      <c r="Y738" s="299"/>
      <c r="Z738" s="299">
        <f t="shared" si="942"/>
        <v>0</v>
      </c>
      <c r="AA738" s="299">
        <f>AA739</f>
        <v>0</v>
      </c>
      <c r="AB738" s="299">
        <f>AB739</f>
        <v>0</v>
      </c>
      <c r="AC738" s="299">
        <f t="shared" si="942"/>
        <v>166</v>
      </c>
      <c r="AD738" s="299">
        <f t="shared" si="942"/>
        <v>32</v>
      </c>
      <c r="AE738" s="299">
        <f t="shared" si="942"/>
        <v>1250</v>
      </c>
      <c r="AF738" s="307"/>
      <c r="AG738" s="314">
        <f t="shared" si="911"/>
        <v>0</v>
      </c>
      <c r="AH738" s="696">
        <f t="shared" si="912"/>
        <v>0</v>
      </c>
      <c r="AI738" s="314">
        <f t="shared" si="913"/>
        <v>0</v>
      </c>
      <c r="AJ738" s="314">
        <f t="shared" si="914"/>
        <v>0</v>
      </c>
      <c r="AK738" s="314">
        <f t="shared" si="915"/>
        <v>0</v>
      </c>
      <c r="AL738" s="314">
        <f t="shared" si="916"/>
        <v>0</v>
      </c>
      <c r="AM738" s="314">
        <f t="shared" si="917"/>
        <v>0</v>
      </c>
      <c r="AN738" s="314">
        <f t="shared" si="918"/>
        <v>0</v>
      </c>
      <c r="AO738" s="314">
        <f t="shared" si="919"/>
        <v>0</v>
      </c>
      <c r="AP738" s="314">
        <f t="shared" si="920"/>
        <v>0</v>
      </c>
    </row>
    <row r="739" spans="1:42">
      <c r="A739" s="583" t="s">
        <v>23</v>
      </c>
      <c r="B739" s="604" t="s">
        <v>1100</v>
      </c>
      <c r="C739" s="302"/>
      <c r="D739" s="304">
        <v>1101</v>
      </c>
      <c r="E739" s="304">
        <f>F739+AC739</f>
        <v>1282</v>
      </c>
      <c r="F739" s="304">
        <f>H739-AB739</f>
        <v>1116</v>
      </c>
      <c r="G739" s="304">
        <f t="shared" si="931"/>
        <v>15</v>
      </c>
      <c r="H739" s="303">
        <f t="shared" ref="H739" si="943">I739+W739</f>
        <v>1116</v>
      </c>
      <c r="I739" s="303">
        <f>M739+P739</f>
        <v>1116</v>
      </c>
      <c r="J739" s="311">
        <v>11</v>
      </c>
      <c r="K739" s="311">
        <v>11</v>
      </c>
      <c r="L739" s="294">
        <f>J739-K739</f>
        <v>0</v>
      </c>
      <c r="M739" s="304">
        <f>N739+O739</f>
        <v>797</v>
      </c>
      <c r="N739" s="294">
        <v>797</v>
      </c>
      <c r="O739" s="294">
        <v>0</v>
      </c>
      <c r="P739" s="303">
        <f>S739+T739</f>
        <v>319</v>
      </c>
      <c r="Q739" s="294">
        <v>29</v>
      </c>
      <c r="R739" s="312">
        <v>1</v>
      </c>
      <c r="S739" s="304">
        <f>ROUND(J739*Q739*R739,0)</f>
        <v>319</v>
      </c>
      <c r="T739" s="303">
        <f>U739+V739</f>
        <v>0</v>
      </c>
      <c r="U739" s="304"/>
      <c r="V739" s="304"/>
      <c r="W739" s="303">
        <f>Z739+AA739</f>
        <v>0</v>
      </c>
      <c r="X739" s="303"/>
      <c r="Y739" s="303"/>
      <c r="Z739" s="304"/>
      <c r="AA739" s="304"/>
      <c r="AB739" s="304"/>
      <c r="AC739" s="304">
        <v>166</v>
      </c>
      <c r="AD739" s="304">
        <v>32</v>
      </c>
      <c r="AE739" s="303">
        <f>E739-AD739</f>
        <v>1250</v>
      </c>
      <c r="AF739" s="309"/>
      <c r="AG739" s="314">
        <f t="shared" si="911"/>
        <v>0</v>
      </c>
      <c r="AH739" s="696">
        <f t="shared" si="912"/>
        <v>0</v>
      </c>
      <c r="AI739" s="314">
        <f t="shared" si="913"/>
        <v>0</v>
      </c>
      <c r="AJ739" s="314">
        <f t="shared" si="914"/>
        <v>0</v>
      </c>
      <c r="AK739" s="314">
        <f t="shared" si="915"/>
        <v>0</v>
      </c>
      <c r="AL739" s="314">
        <f t="shared" si="916"/>
        <v>0</v>
      </c>
      <c r="AM739" s="314">
        <f t="shared" si="917"/>
        <v>0</v>
      </c>
      <c r="AN739" s="314">
        <f t="shared" si="918"/>
        <v>0</v>
      </c>
      <c r="AO739" s="314">
        <f t="shared" si="919"/>
        <v>0</v>
      </c>
      <c r="AP739" s="314">
        <f t="shared" si="920"/>
        <v>0</v>
      </c>
    </row>
    <row r="740" spans="1:42" s="314" customFormat="1">
      <c r="A740" s="591" t="s">
        <v>47</v>
      </c>
      <c r="B740" s="603" t="s">
        <v>883</v>
      </c>
      <c r="C740" s="298"/>
      <c r="D740" s="299">
        <v>3548</v>
      </c>
      <c r="E740" s="299">
        <f>E741+E744+E747+E748+E745+E746+E749+E755+E750+E751+E752+E753+E754</f>
        <v>3411</v>
      </c>
      <c r="F740" s="299">
        <f t="shared" ref="F740:AC740" si="944">F741+F744+F747+F748+F745+F746+F749+F755+F750+F751+F752+F753+F754</f>
        <v>3411</v>
      </c>
      <c r="G740" s="299">
        <f t="shared" si="944"/>
        <v>-137</v>
      </c>
      <c r="H740" s="299">
        <f t="shared" si="944"/>
        <v>3411</v>
      </c>
      <c r="I740" s="299">
        <f t="shared" si="944"/>
        <v>0</v>
      </c>
      <c r="J740" s="299">
        <f t="shared" si="944"/>
        <v>0</v>
      </c>
      <c r="K740" s="299">
        <f t="shared" si="944"/>
        <v>0</v>
      </c>
      <c r="L740" s="299">
        <f t="shared" si="944"/>
        <v>0</v>
      </c>
      <c r="M740" s="299">
        <f t="shared" si="944"/>
        <v>0</v>
      </c>
      <c r="N740" s="299">
        <f t="shared" si="944"/>
        <v>0</v>
      </c>
      <c r="O740" s="299">
        <f t="shared" si="944"/>
        <v>0</v>
      </c>
      <c r="P740" s="299">
        <f t="shared" si="944"/>
        <v>0</v>
      </c>
      <c r="Q740" s="299">
        <f t="shared" si="944"/>
        <v>0</v>
      </c>
      <c r="R740" s="299">
        <f t="shared" si="944"/>
        <v>0</v>
      </c>
      <c r="S740" s="299">
        <f t="shared" si="944"/>
        <v>0</v>
      </c>
      <c r="T740" s="299">
        <f t="shared" si="944"/>
        <v>0</v>
      </c>
      <c r="U740" s="299">
        <f t="shared" si="944"/>
        <v>0</v>
      </c>
      <c r="V740" s="299">
        <f t="shared" si="944"/>
        <v>0</v>
      </c>
      <c r="W740" s="299">
        <f t="shared" si="944"/>
        <v>3411</v>
      </c>
      <c r="X740" s="299">
        <f t="shared" si="944"/>
        <v>0</v>
      </c>
      <c r="Y740" s="299">
        <f t="shared" si="944"/>
        <v>0</v>
      </c>
      <c r="Z740" s="299">
        <f t="shared" si="944"/>
        <v>2764</v>
      </c>
      <c r="AA740" s="299">
        <f t="shared" si="944"/>
        <v>647</v>
      </c>
      <c r="AB740" s="299">
        <f t="shared" si="944"/>
        <v>0</v>
      </c>
      <c r="AC740" s="299">
        <f t="shared" si="944"/>
        <v>0</v>
      </c>
      <c r="AD740" s="299">
        <v>301</v>
      </c>
      <c r="AE740" s="299">
        <f>E740-AD740</f>
        <v>3110</v>
      </c>
      <c r="AF740" s="307"/>
      <c r="AG740" s="314">
        <f t="shared" si="911"/>
        <v>0</v>
      </c>
      <c r="AH740" s="696">
        <f t="shared" si="912"/>
        <v>0</v>
      </c>
      <c r="AI740" s="314">
        <f t="shared" si="913"/>
        <v>0</v>
      </c>
      <c r="AJ740" s="314">
        <f t="shared" si="914"/>
        <v>0</v>
      </c>
      <c r="AK740" s="314">
        <f t="shared" si="915"/>
        <v>0</v>
      </c>
      <c r="AL740" s="314">
        <f t="shared" si="916"/>
        <v>0</v>
      </c>
      <c r="AM740" s="314">
        <f t="shared" si="917"/>
        <v>0</v>
      </c>
      <c r="AN740" s="314">
        <f t="shared" si="918"/>
        <v>0</v>
      </c>
      <c r="AO740" s="314">
        <f t="shared" si="919"/>
        <v>0</v>
      </c>
      <c r="AP740" s="314">
        <f t="shared" si="920"/>
        <v>0</v>
      </c>
    </row>
    <row r="741" spans="1:42" ht="55.2" outlineLevel="1">
      <c r="A741" s="583" t="s">
        <v>23</v>
      </c>
      <c r="B741" s="604" t="s">
        <v>1101</v>
      </c>
      <c r="C741" s="302"/>
      <c r="D741" s="304">
        <v>1092</v>
      </c>
      <c r="E741" s="304">
        <f t="shared" ref="E741:E755" si="945">F741+AC741</f>
        <v>1092</v>
      </c>
      <c r="F741" s="304">
        <f t="shared" ref="F741:F755" si="946">H741-AB741</f>
        <v>1092</v>
      </c>
      <c r="G741" s="304">
        <f t="shared" ref="G741:G758" si="947">F741-D741</f>
        <v>0</v>
      </c>
      <c r="H741" s="303">
        <f t="shared" ref="H741:H754" si="948">I741+W741</f>
        <v>1092</v>
      </c>
      <c r="I741" s="303">
        <f>M741+P741</f>
        <v>0</v>
      </c>
      <c r="J741" s="311"/>
      <c r="K741" s="311"/>
      <c r="L741" s="311"/>
      <c r="M741" s="303"/>
      <c r="N741" s="311"/>
      <c r="O741" s="311"/>
      <c r="P741" s="303">
        <f>S741+T741</f>
        <v>0</v>
      </c>
      <c r="Q741" s="311"/>
      <c r="R741" s="312"/>
      <c r="S741" s="303"/>
      <c r="T741" s="303">
        <f>U741+V741</f>
        <v>0</v>
      </c>
      <c r="U741" s="303"/>
      <c r="V741" s="303"/>
      <c r="W741" s="303">
        <f t="shared" ref="W741:W754" si="949">Z741+AA741</f>
        <v>1092</v>
      </c>
      <c r="X741" s="303"/>
      <c r="Y741" s="303"/>
      <c r="Z741" s="303">
        <v>1092</v>
      </c>
      <c r="AA741" s="303"/>
      <c r="AB741" s="304"/>
      <c r="AC741" s="304"/>
      <c r="AD741" s="304"/>
      <c r="AE741" s="304"/>
      <c r="AF741" s="309" t="s">
        <v>1800</v>
      </c>
      <c r="AG741" s="314">
        <f t="shared" si="911"/>
        <v>0</v>
      </c>
      <c r="AH741" s="696">
        <f t="shared" si="912"/>
        <v>0</v>
      </c>
      <c r="AI741" s="314">
        <f t="shared" si="913"/>
        <v>0</v>
      </c>
      <c r="AJ741" s="314">
        <f t="shared" si="914"/>
        <v>0</v>
      </c>
      <c r="AK741" s="314">
        <f t="shared" si="915"/>
        <v>0</v>
      </c>
      <c r="AL741" s="314">
        <f t="shared" si="916"/>
        <v>0</v>
      </c>
      <c r="AM741" s="314">
        <f t="shared" si="917"/>
        <v>0</v>
      </c>
      <c r="AN741" s="314">
        <f t="shared" si="918"/>
        <v>0</v>
      </c>
      <c r="AO741" s="314">
        <f t="shared" si="919"/>
        <v>0</v>
      </c>
      <c r="AP741" s="314">
        <f t="shared" si="920"/>
        <v>0</v>
      </c>
    </row>
    <row r="742" spans="1:42" ht="27.6" outlineLevel="1">
      <c r="A742" s="583"/>
      <c r="B742" s="604" t="s">
        <v>1772</v>
      </c>
      <c r="C742" s="302"/>
      <c r="D742" s="304">
        <v>100</v>
      </c>
      <c r="E742" s="304">
        <f t="shared" si="945"/>
        <v>100</v>
      </c>
      <c r="F742" s="304">
        <f t="shared" si="946"/>
        <v>100</v>
      </c>
      <c r="G742" s="304">
        <f t="shared" si="947"/>
        <v>0</v>
      </c>
      <c r="H742" s="303">
        <f t="shared" si="948"/>
        <v>100</v>
      </c>
      <c r="I742" s="303">
        <f t="shared" ref="I742:I743" si="950">M742+P742</f>
        <v>0</v>
      </c>
      <c r="J742" s="311"/>
      <c r="K742" s="311"/>
      <c r="L742" s="311"/>
      <c r="M742" s="303"/>
      <c r="N742" s="311"/>
      <c r="O742" s="311"/>
      <c r="P742" s="303">
        <f t="shared" ref="P742:P743" si="951">S742+T742</f>
        <v>0</v>
      </c>
      <c r="Q742" s="311"/>
      <c r="R742" s="312"/>
      <c r="S742" s="303"/>
      <c r="T742" s="303">
        <f t="shared" ref="T742:T743" si="952">U742+V742</f>
        <v>0</v>
      </c>
      <c r="U742" s="303"/>
      <c r="V742" s="303"/>
      <c r="W742" s="303">
        <f t="shared" si="949"/>
        <v>100</v>
      </c>
      <c r="X742" s="303"/>
      <c r="Y742" s="303"/>
      <c r="Z742" s="303">
        <v>100</v>
      </c>
      <c r="AA742" s="303"/>
      <c r="AB742" s="304"/>
      <c r="AC742" s="304"/>
      <c r="AD742" s="304"/>
      <c r="AE742" s="304"/>
      <c r="AF742" s="309"/>
      <c r="AG742" s="314">
        <f t="shared" si="911"/>
        <v>0</v>
      </c>
      <c r="AH742" s="696">
        <f t="shared" si="912"/>
        <v>0</v>
      </c>
      <c r="AI742" s="314">
        <f t="shared" si="913"/>
        <v>0</v>
      </c>
      <c r="AJ742" s="314">
        <f t="shared" si="914"/>
        <v>0</v>
      </c>
      <c r="AK742" s="314">
        <f t="shared" si="915"/>
        <v>0</v>
      </c>
      <c r="AL742" s="314">
        <f t="shared" si="916"/>
        <v>0</v>
      </c>
      <c r="AM742" s="314">
        <f t="shared" si="917"/>
        <v>0</v>
      </c>
      <c r="AN742" s="314">
        <f t="shared" si="918"/>
        <v>0</v>
      </c>
      <c r="AO742" s="314">
        <f t="shared" si="919"/>
        <v>0</v>
      </c>
      <c r="AP742" s="314">
        <f t="shared" si="920"/>
        <v>0</v>
      </c>
    </row>
    <row r="743" spans="1:42" ht="27.6" outlineLevel="1">
      <c r="A743" s="583"/>
      <c r="B743" s="604" t="s">
        <v>1773</v>
      </c>
      <c r="C743" s="302"/>
      <c r="D743" s="304">
        <v>192</v>
      </c>
      <c r="E743" s="304">
        <f t="shared" si="945"/>
        <v>192</v>
      </c>
      <c r="F743" s="304">
        <f t="shared" si="946"/>
        <v>192</v>
      </c>
      <c r="G743" s="304">
        <f t="shared" si="947"/>
        <v>0</v>
      </c>
      <c r="H743" s="303">
        <f t="shared" si="948"/>
        <v>192</v>
      </c>
      <c r="I743" s="303">
        <f t="shared" si="950"/>
        <v>0</v>
      </c>
      <c r="J743" s="311"/>
      <c r="K743" s="311"/>
      <c r="L743" s="311"/>
      <c r="M743" s="303"/>
      <c r="N743" s="311"/>
      <c r="O743" s="311"/>
      <c r="P743" s="303">
        <f t="shared" si="951"/>
        <v>0</v>
      </c>
      <c r="Q743" s="311"/>
      <c r="R743" s="312"/>
      <c r="S743" s="303"/>
      <c r="T743" s="303">
        <f t="shared" si="952"/>
        <v>0</v>
      </c>
      <c r="U743" s="303"/>
      <c r="V743" s="303"/>
      <c r="W743" s="303">
        <f t="shared" si="949"/>
        <v>192</v>
      </c>
      <c r="X743" s="303"/>
      <c r="Y743" s="303"/>
      <c r="Z743" s="303">
        <v>192</v>
      </c>
      <c r="AA743" s="303"/>
      <c r="AB743" s="304"/>
      <c r="AC743" s="304"/>
      <c r="AD743" s="304"/>
      <c r="AE743" s="304"/>
      <c r="AF743" s="309"/>
      <c r="AG743" s="314">
        <f t="shared" si="911"/>
        <v>0</v>
      </c>
      <c r="AH743" s="696">
        <f t="shared" si="912"/>
        <v>0</v>
      </c>
      <c r="AI743" s="314">
        <f t="shared" si="913"/>
        <v>0</v>
      </c>
      <c r="AJ743" s="314">
        <f t="shared" si="914"/>
        <v>0</v>
      </c>
      <c r="AK743" s="314">
        <f t="shared" si="915"/>
        <v>0</v>
      </c>
      <c r="AL743" s="314">
        <f t="shared" si="916"/>
        <v>0</v>
      </c>
      <c r="AM743" s="314">
        <f t="shared" si="917"/>
        <v>0</v>
      </c>
      <c r="AN743" s="314">
        <f t="shared" si="918"/>
        <v>0</v>
      </c>
      <c r="AO743" s="314">
        <f t="shared" si="919"/>
        <v>0</v>
      </c>
      <c r="AP743" s="314">
        <f t="shared" si="920"/>
        <v>0</v>
      </c>
    </row>
    <row r="744" spans="1:42" ht="41.4" outlineLevel="1">
      <c r="A744" s="593" t="s">
        <v>23</v>
      </c>
      <c r="B744" s="324" t="s">
        <v>1102</v>
      </c>
      <c r="C744" s="304"/>
      <c r="D744" s="304">
        <v>278</v>
      </c>
      <c r="E744" s="304">
        <f t="shared" si="945"/>
        <v>278</v>
      </c>
      <c r="F744" s="304">
        <f t="shared" si="946"/>
        <v>278</v>
      </c>
      <c r="G744" s="304">
        <f t="shared" si="947"/>
        <v>0</v>
      </c>
      <c r="H744" s="303">
        <f t="shared" si="948"/>
        <v>278</v>
      </c>
      <c r="I744" s="303">
        <f>M744+P744</f>
        <v>0</v>
      </c>
      <c r="J744" s="311"/>
      <c r="K744" s="311"/>
      <c r="L744" s="311"/>
      <c r="M744" s="303"/>
      <c r="N744" s="311"/>
      <c r="O744" s="311"/>
      <c r="P744" s="303">
        <f>S744+T744</f>
        <v>0</v>
      </c>
      <c r="Q744" s="311"/>
      <c r="R744" s="312"/>
      <c r="S744" s="303"/>
      <c r="T744" s="303">
        <f>U744+V744</f>
        <v>0</v>
      </c>
      <c r="U744" s="303"/>
      <c r="V744" s="303"/>
      <c r="W744" s="303">
        <f t="shared" si="949"/>
        <v>278</v>
      </c>
      <c r="X744" s="303"/>
      <c r="Y744" s="303"/>
      <c r="Z744" s="303">
        <v>278</v>
      </c>
      <c r="AA744" s="303"/>
      <c r="AB744" s="304"/>
      <c r="AC744" s="304"/>
      <c r="AD744" s="304"/>
      <c r="AE744" s="304"/>
      <c r="AF744" s="317" t="s">
        <v>1801</v>
      </c>
      <c r="AG744" s="314">
        <f t="shared" si="911"/>
        <v>0</v>
      </c>
      <c r="AH744" s="696">
        <f t="shared" si="912"/>
        <v>0</v>
      </c>
      <c r="AI744" s="314">
        <f t="shared" si="913"/>
        <v>0</v>
      </c>
      <c r="AJ744" s="314">
        <f t="shared" si="914"/>
        <v>0</v>
      </c>
      <c r="AK744" s="314">
        <f t="shared" si="915"/>
        <v>0</v>
      </c>
      <c r="AL744" s="314">
        <f t="shared" si="916"/>
        <v>0</v>
      </c>
      <c r="AM744" s="314">
        <f t="shared" si="917"/>
        <v>0</v>
      </c>
      <c r="AN744" s="314">
        <f t="shared" si="918"/>
        <v>0</v>
      </c>
      <c r="AO744" s="314">
        <f t="shared" si="919"/>
        <v>0</v>
      </c>
      <c r="AP744" s="314">
        <f t="shared" si="920"/>
        <v>0</v>
      </c>
    </row>
    <row r="745" spans="1:42" ht="55.2" hidden="1" outlineLevel="3">
      <c r="A745" s="593" t="s">
        <v>23</v>
      </c>
      <c r="B745" s="324" t="s">
        <v>1647</v>
      </c>
      <c r="C745" s="304"/>
      <c r="D745" s="304">
        <v>163</v>
      </c>
      <c r="E745" s="304">
        <f t="shared" si="945"/>
        <v>163</v>
      </c>
      <c r="F745" s="304">
        <f t="shared" si="946"/>
        <v>163</v>
      </c>
      <c r="G745" s="304">
        <f t="shared" si="947"/>
        <v>0</v>
      </c>
      <c r="H745" s="303">
        <f t="shared" si="948"/>
        <v>163</v>
      </c>
      <c r="I745" s="303">
        <f t="shared" ref="I745:I754" si="953">M745+P745</f>
        <v>0</v>
      </c>
      <c r="J745" s="311"/>
      <c r="K745" s="311"/>
      <c r="L745" s="311"/>
      <c r="M745" s="303"/>
      <c r="N745" s="311"/>
      <c r="O745" s="311"/>
      <c r="P745" s="303">
        <f t="shared" ref="P745:P754" si="954">S745+T745</f>
        <v>0</v>
      </c>
      <c r="Q745" s="311"/>
      <c r="R745" s="312"/>
      <c r="S745" s="303"/>
      <c r="T745" s="303">
        <f t="shared" ref="T745:T754" si="955">U745+V745</f>
        <v>0</v>
      </c>
      <c r="U745" s="303"/>
      <c r="V745" s="303"/>
      <c r="W745" s="303">
        <f t="shared" si="949"/>
        <v>163</v>
      </c>
      <c r="X745" s="303"/>
      <c r="Y745" s="303"/>
      <c r="Z745" s="303">
        <v>163</v>
      </c>
      <c r="AA745" s="303"/>
      <c r="AB745" s="304"/>
      <c r="AC745" s="304"/>
      <c r="AD745" s="304"/>
      <c r="AE745" s="304"/>
      <c r="AF745" s="317"/>
      <c r="AG745" s="314">
        <f t="shared" si="911"/>
        <v>0</v>
      </c>
      <c r="AH745" s="696">
        <f t="shared" si="912"/>
        <v>0</v>
      </c>
      <c r="AI745" s="314">
        <f t="shared" si="913"/>
        <v>0</v>
      </c>
      <c r="AJ745" s="314">
        <f t="shared" si="914"/>
        <v>0</v>
      </c>
      <c r="AK745" s="314">
        <f t="shared" si="915"/>
        <v>0</v>
      </c>
      <c r="AL745" s="314">
        <f t="shared" si="916"/>
        <v>0</v>
      </c>
      <c r="AM745" s="314">
        <f t="shared" si="917"/>
        <v>0</v>
      </c>
      <c r="AN745" s="314">
        <f t="shared" si="918"/>
        <v>0</v>
      </c>
      <c r="AO745" s="314">
        <f t="shared" si="919"/>
        <v>0</v>
      </c>
      <c r="AP745" s="314">
        <f t="shared" si="920"/>
        <v>0</v>
      </c>
    </row>
    <row r="746" spans="1:42" hidden="1" outlineLevel="3">
      <c r="A746" s="593" t="s">
        <v>23</v>
      </c>
      <c r="B746" s="324" t="s">
        <v>1103</v>
      </c>
      <c r="C746" s="304"/>
      <c r="D746" s="304">
        <v>80</v>
      </c>
      <c r="E746" s="304">
        <f t="shared" si="945"/>
        <v>80</v>
      </c>
      <c r="F746" s="304">
        <f t="shared" si="946"/>
        <v>80</v>
      </c>
      <c r="G746" s="304">
        <f t="shared" si="947"/>
        <v>0</v>
      </c>
      <c r="H746" s="303">
        <f t="shared" si="948"/>
        <v>80</v>
      </c>
      <c r="I746" s="303">
        <f t="shared" si="953"/>
        <v>0</v>
      </c>
      <c r="J746" s="311"/>
      <c r="K746" s="311"/>
      <c r="L746" s="311"/>
      <c r="M746" s="303"/>
      <c r="N746" s="311"/>
      <c r="O746" s="311"/>
      <c r="P746" s="303">
        <f t="shared" si="954"/>
        <v>0</v>
      </c>
      <c r="Q746" s="311"/>
      <c r="R746" s="312"/>
      <c r="S746" s="303"/>
      <c r="T746" s="303">
        <f t="shared" si="955"/>
        <v>0</v>
      </c>
      <c r="U746" s="303"/>
      <c r="V746" s="303"/>
      <c r="W746" s="303">
        <f t="shared" si="949"/>
        <v>80</v>
      </c>
      <c r="X746" s="303"/>
      <c r="Y746" s="303"/>
      <c r="Z746" s="303">
        <v>80</v>
      </c>
      <c r="AA746" s="303"/>
      <c r="AB746" s="304"/>
      <c r="AC746" s="304"/>
      <c r="AD746" s="304"/>
      <c r="AE746" s="304"/>
      <c r="AF746" s="317"/>
      <c r="AG746" s="314">
        <f t="shared" si="911"/>
        <v>0</v>
      </c>
      <c r="AH746" s="696">
        <f t="shared" si="912"/>
        <v>0</v>
      </c>
      <c r="AI746" s="314">
        <f t="shared" si="913"/>
        <v>0</v>
      </c>
      <c r="AJ746" s="314">
        <f t="shared" si="914"/>
        <v>0</v>
      </c>
      <c r="AK746" s="314">
        <f t="shared" si="915"/>
        <v>0</v>
      </c>
      <c r="AL746" s="314">
        <f t="shared" si="916"/>
        <v>0</v>
      </c>
      <c r="AM746" s="314">
        <f t="shared" si="917"/>
        <v>0</v>
      </c>
      <c r="AN746" s="314">
        <f t="shared" si="918"/>
        <v>0</v>
      </c>
      <c r="AO746" s="314">
        <f t="shared" si="919"/>
        <v>0</v>
      </c>
      <c r="AP746" s="314">
        <f t="shared" si="920"/>
        <v>0</v>
      </c>
    </row>
    <row r="747" spans="1:42" ht="110.4" hidden="1" outlineLevel="3">
      <c r="A747" s="593" t="s">
        <v>23</v>
      </c>
      <c r="B747" s="324" t="s">
        <v>1104</v>
      </c>
      <c r="C747" s="304"/>
      <c r="D747" s="304">
        <v>536</v>
      </c>
      <c r="E747" s="304">
        <f t="shared" si="945"/>
        <v>536</v>
      </c>
      <c r="F747" s="304">
        <f t="shared" si="946"/>
        <v>536</v>
      </c>
      <c r="G747" s="304">
        <f t="shared" si="947"/>
        <v>0</v>
      </c>
      <c r="H747" s="303">
        <f t="shared" si="948"/>
        <v>536</v>
      </c>
      <c r="I747" s="303">
        <f t="shared" si="953"/>
        <v>0</v>
      </c>
      <c r="J747" s="311"/>
      <c r="K747" s="311"/>
      <c r="L747" s="311"/>
      <c r="M747" s="303"/>
      <c r="N747" s="311"/>
      <c r="O747" s="311"/>
      <c r="P747" s="303">
        <f t="shared" si="954"/>
        <v>0</v>
      </c>
      <c r="Q747" s="311"/>
      <c r="R747" s="312"/>
      <c r="S747" s="303"/>
      <c r="T747" s="303">
        <f t="shared" si="955"/>
        <v>0</v>
      </c>
      <c r="U747" s="303"/>
      <c r="V747" s="303"/>
      <c r="W747" s="303">
        <f t="shared" si="949"/>
        <v>536</v>
      </c>
      <c r="X747" s="303"/>
      <c r="Y747" s="303"/>
      <c r="Z747" s="303">
        <f>467+69</f>
        <v>536</v>
      </c>
      <c r="AA747" s="303"/>
      <c r="AB747" s="304"/>
      <c r="AC747" s="304"/>
      <c r="AD747" s="304"/>
      <c r="AE747" s="304"/>
      <c r="AF747" s="1263" t="s">
        <v>1802</v>
      </c>
      <c r="AG747" s="314">
        <f t="shared" si="911"/>
        <v>0</v>
      </c>
      <c r="AH747" s="696">
        <f t="shared" si="912"/>
        <v>0</v>
      </c>
      <c r="AI747" s="314">
        <f t="shared" si="913"/>
        <v>0</v>
      </c>
      <c r="AJ747" s="314">
        <f t="shared" si="914"/>
        <v>0</v>
      </c>
      <c r="AK747" s="314">
        <f t="shared" si="915"/>
        <v>0</v>
      </c>
      <c r="AL747" s="314">
        <f t="shared" si="916"/>
        <v>0</v>
      </c>
      <c r="AM747" s="314">
        <f t="shared" si="917"/>
        <v>0</v>
      </c>
      <c r="AN747" s="314">
        <f t="shared" si="918"/>
        <v>0</v>
      </c>
      <c r="AO747" s="314">
        <f t="shared" si="919"/>
        <v>0</v>
      </c>
      <c r="AP747" s="314">
        <f t="shared" si="920"/>
        <v>0</v>
      </c>
    </row>
    <row r="748" spans="1:42" ht="193.2" outlineLevel="1" collapsed="1">
      <c r="A748" s="593" t="s">
        <v>23</v>
      </c>
      <c r="B748" s="324" t="s">
        <v>1105</v>
      </c>
      <c r="C748" s="304"/>
      <c r="D748" s="304">
        <v>45</v>
      </c>
      <c r="E748" s="304">
        <f t="shared" si="945"/>
        <v>45</v>
      </c>
      <c r="F748" s="304">
        <f t="shared" si="946"/>
        <v>45</v>
      </c>
      <c r="G748" s="304">
        <f t="shared" si="947"/>
        <v>0</v>
      </c>
      <c r="H748" s="303">
        <f t="shared" si="948"/>
        <v>45</v>
      </c>
      <c r="I748" s="303">
        <f t="shared" si="953"/>
        <v>0</v>
      </c>
      <c r="J748" s="311"/>
      <c r="K748" s="311"/>
      <c r="L748" s="311"/>
      <c r="M748" s="303"/>
      <c r="N748" s="311"/>
      <c r="O748" s="311"/>
      <c r="P748" s="303">
        <f t="shared" si="954"/>
        <v>0</v>
      </c>
      <c r="Q748" s="311"/>
      <c r="R748" s="312"/>
      <c r="S748" s="303"/>
      <c r="T748" s="303">
        <f t="shared" si="955"/>
        <v>0</v>
      </c>
      <c r="U748" s="303"/>
      <c r="V748" s="303"/>
      <c r="W748" s="303">
        <f t="shared" si="949"/>
        <v>45</v>
      </c>
      <c r="X748" s="303"/>
      <c r="Y748" s="303"/>
      <c r="Z748" s="303">
        <v>45</v>
      </c>
      <c r="AA748" s="303"/>
      <c r="AB748" s="304"/>
      <c r="AC748" s="304"/>
      <c r="AD748" s="304"/>
      <c r="AE748" s="304"/>
      <c r="AF748" s="1263" t="s">
        <v>2559</v>
      </c>
      <c r="AG748" s="314">
        <f t="shared" si="911"/>
        <v>0</v>
      </c>
      <c r="AH748" s="696">
        <f t="shared" si="912"/>
        <v>0</v>
      </c>
      <c r="AI748" s="314">
        <f t="shared" si="913"/>
        <v>0</v>
      </c>
      <c r="AJ748" s="314">
        <f t="shared" si="914"/>
        <v>0</v>
      </c>
      <c r="AK748" s="314">
        <f t="shared" si="915"/>
        <v>0</v>
      </c>
      <c r="AL748" s="314">
        <f t="shared" si="916"/>
        <v>0</v>
      </c>
      <c r="AM748" s="314">
        <f t="shared" si="917"/>
        <v>0</v>
      </c>
      <c r="AN748" s="314">
        <f t="shared" si="918"/>
        <v>0</v>
      </c>
      <c r="AO748" s="314">
        <f t="shared" si="919"/>
        <v>0</v>
      </c>
      <c r="AP748" s="314">
        <f t="shared" si="920"/>
        <v>0</v>
      </c>
    </row>
    <row r="749" spans="1:42" ht="69" outlineLevel="1">
      <c r="A749" s="593" t="s">
        <v>23</v>
      </c>
      <c r="B749" s="324" t="s">
        <v>2198</v>
      </c>
      <c r="C749" s="304"/>
      <c r="D749" s="304">
        <v>400</v>
      </c>
      <c r="E749" s="304">
        <f t="shared" si="945"/>
        <v>400</v>
      </c>
      <c r="F749" s="304">
        <f t="shared" si="946"/>
        <v>400</v>
      </c>
      <c r="G749" s="304">
        <f t="shared" si="947"/>
        <v>0</v>
      </c>
      <c r="H749" s="303">
        <f t="shared" si="948"/>
        <v>400</v>
      </c>
      <c r="I749" s="303">
        <f t="shared" si="953"/>
        <v>0</v>
      </c>
      <c r="J749" s="311"/>
      <c r="K749" s="311"/>
      <c r="L749" s="311"/>
      <c r="M749" s="303"/>
      <c r="N749" s="311"/>
      <c r="O749" s="311"/>
      <c r="P749" s="303">
        <f t="shared" si="954"/>
        <v>0</v>
      </c>
      <c r="Q749" s="311"/>
      <c r="R749" s="312"/>
      <c r="S749" s="303"/>
      <c r="T749" s="303">
        <f t="shared" si="955"/>
        <v>0</v>
      </c>
      <c r="U749" s="303"/>
      <c r="V749" s="303"/>
      <c r="W749" s="303">
        <f t="shared" si="949"/>
        <v>400</v>
      </c>
      <c r="X749" s="303"/>
      <c r="Y749" s="303"/>
      <c r="Z749" s="303">
        <v>400</v>
      </c>
      <c r="AA749" s="303"/>
      <c r="AB749" s="304"/>
      <c r="AC749" s="304"/>
      <c r="AD749" s="304"/>
      <c r="AE749" s="304"/>
      <c r="AF749" s="317"/>
      <c r="AG749" s="314">
        <f t="shared" si="911"/>
        <v>0</v>
      </c>
      <c r="AH749" s="696">
        <f t="shared" si="912"/>
        <v>0</v>
      </c>
      <c r="AI749" s="314">
        <f t="shared" si="913"/>
        <v>0</v>
      </c>
      <c r="AJ749" s="314">
        <f t="shared" si="914"/>
        <v>0</v>
      </c>
      <c r="AK749" s="314">
        <f t="shared" si="915"/>
        <v>0</v>
      </c>
      <c r="AL749" s="314">
        <f t="shared" si="916"/>
        <v>0</v>
      </c>
      <c r="AM749" s="314">
        <f t="shared" si="917"/>
        <v>0</v>
      </c>
      <c r="AN749" s="314">
        <f t="shared" si="918"/>
        <v>0</v>
      </c>
      <c r="AO749" s="314">
        <f t="shared" si="919"/>
        <v>0</v>
      </c>
      <c r="AP749" s="314">
        <f t="shared" si="920"/>
        <v>0</v>
      </c>
    </row>
    <row r="750" spans="1:42" ht="41.4" outlineLevel="1">
      <c r="A750" s="593" t="s">
        <v>23</v>
      </c>
      <c r="B750" s="324" t="s">
        <v>1774</v>
      </c>
      <c r="C750" s="304"/>
      <c r="D750" s="304">
        <v>100</v>
      </c>
      <c r="E750" s="304">
        <f t="shared" si="945"/>
        <v>100</v>
      </c>
      <c r="F750" s="304">
        <f t="shared" si="946"/>
        <v>100</v>
      </c>
      <c r="G750" s="304">
        <f t="shared" si="947"/>
        <v>0</v>
      </c>
      <c r="H750" s="303">
        <f t="shared" si="948"/>
        <v>100</v>
      </c>
      <c r="I750" s="303">
        <f t="shared" si="953"/>
        <v>0</v>
      </c>
      <c r="J750" s="311"/>
      <c r="K750" s="311"/>
      <c r="L750" s="311"/>
      <c r="M750" s="303"/>
      <c r="N750" s="311"/>
      <c r="O750" s="311"/>
      <c r="P750" s="303">
        <f t="shared" si="954"/>
        <v>0</v>
      </c>
      <c r="Q750" s="311"/>
      <c r="R750" s="312"/>
      <c r="S750" s="303"/>
      <c r="T750" s="303">
        <f t="shared" si="955"/>
        <v>0</v>
      </c>
      <c r="U750" s="303"/>
      <c r="V750" s="303"/>
      <c r="W750" s="303">
        <f t="shared" si="949"/>
        <v>100</v>
      </c>
      <c r="X750" s="303"/>
      <c r="Y750" s="303"/>
      <c r="Z750" s="303">
        <v>100</v>
      </c>
      <c r="AA750" s="303"/>
      <c r="AB750" s="304"/>
      <c r="AC750" s="304"/>
      <c r="AD750" s="304"/>
      <c r="AE750" s="304"/>
      <c r="AF750" s="1263"/>
      <c r="AG750" s="314">
        <f t="shared" si="911"/>
        <v>0</v>
      </c>
      <c r="AH750" s="696">
        <f t="shared" si="912"/>
        <v>0</v>
      </c>
      <c r="AI750" s="314">
        <f t="shared" si="913"/>
        <v>0</v>
      </c>
      <c r="AJ750" s="314">
        <f t="shared" si="914"/>
        <v>0</v>
      </c>
      <c r="AK750" s="314">
        <f t="shared" si="915"/>
        <v>0</v>
      </c>
      <c r="AL750" s="314">
        <f t="shared" si="916"/>
        <v>0</v>
      </c>
      <c r="AM750" s="314">
        <f t="shared" si="917"/>
        <v>0</v>
      </c>
      <c r="AN750" s="314">
        <f t="shared" si="918"/>
        <v>0</v>
      </c>
      <c r="AO750" s="314">
        <f t="shared" si="919"/>
        <v>0</v>
      </c>
      <c r="AP750" s="314">
        <f t="shared" si="920"/>
        <v>0</v>
      </c>
    </row>
    <row r="751" spans="1:42" ht="55.2" outlineLevel="1">
      <c r="A751" s="593" t="s">
        <v>23</v>
      </c>
      <c r="B751" s="324" t="s">
        <v>1856</v>
      </c>
      <c r="C751" s="304"/>
      <c r="D751" s="304">
        <v>70</v>
      </c>
      <c r="E751" s="304">
        <f t="shared" si="945"/>
        <v>70</v>
      </c>
      <c r="F751" s="304">
        <f t="shared" si="946"/>
        <v>70</v>
      </c>
      <c r="G751" s="304">
        <f t="shared" si="947"/>
        <v>0</v>
      </c>
      <c r="H751" s="303">
        <f t="shared" si="948"/>
        <v>70</v>
      </c>
      <c r="I751" s="303">
        <f t="shared" si="953"/>
        <v>0</v>
      </c>
      <c r="J751" s="311"/>
      <c r="K751" s="311"/>
      <c r="L751" s="311"/>
      <c r="M751" s="303"/>
      <c r="N751" s="311"/>
      <c r="O751" s="311"/>
      <c r="P751" s="303">
        <f t="shared" si="954"/>
        <v>0</v>
      </c>
      <c r="Q751" s="311"/>
      <c r="R751" s="312"/>
      <c r="S751" s="303"/>
      <c r="T751" s="303">
        <f t="shared" si="955"/>
        <v>0</v>
      </c>
      <c r="U751" s="303"/>
      <c r="V751" s="303"/>
      <c r="W751" s="303">
        <f t="shared" si="949"/>
        <v>70</v>
      </c>
      <c r="X751" s="303"/>
      <c r="Y751" s="303"/>
      <c r="Z751" s="303">
        <v>70</v>
      </c>
      <c r="AA751" s="303"/>
      <c r="AB751" s="304"/>
      <c r="AC751" s="304"/>
      <c r="AD751" s="304"/>
      <c r="AE751" s="304"/>
      <c r="AF751" s="1263"/>
      <c r="AG751" s="314">
        <f t="shared" si="911"/>
        <v>0</v>
      </c>
      <c r="AH751" s="696">
        <f t="shared" si="912"/>
        <v>0</v>
      </c>
      <c r="AI751" s="314">
        <f t="shared" si="913"/>
        <v>0</v>
      </c>
      <c r="AJ751" s="314">
        <f t="shared" si="914"/>
        <v>0</v>
      </c>
      <c r="AK751" s="314">
        <f t="shared" si="915"/>
        <v>0</v>
      </c>
      <c r="AL751" s="314">
        <f t="shared" si="916"/>
        <v>0</v>
      </c>
      <c r="AM751" s="314">
        <f t="shared" si="917"/>
        <v>0</v>
      </c>
      <c r="AN751" s="314">
        <f t="shared" si="918"/>
        <v>0</v>
      </c>
      <c r="AO751" s="314">
        <f t="shared" si="919"/>
        <v>0</v>
      </c>
      <c r="AP751" s="314">
        <f t="shared" si="920"/>
        <v>0</v>
      </c>
    </row>
    <row r="752" spans="1:42" ht="96.6" outlineLevel="1">
      <c r="A752" s="593" t="s">
        <v>23</v>
      </c>
      <c r="B752" s="324" t="s">
        <v>2199</v>
      </c>
      <c r="C752" s="304"/>
      <c r="D752" s="304"/>
      <c r="E752" s="304">
        <f t="shared" si="945"/>
        <v>220</v>
      </c>
      <c r="F752" s="304">
        <f t="shared" si="946"/>
        <v>220</v>
      </c>
      <c r="G752" s="304">
        <f t="shared" si="947"/>
        <v>220</v>
      </c>
      <c r="H752" s="303">
        <f t="shared" si="948"/>
        <v>220</v>
      </c>
      <c r="I752" s="303">
        <f t="shared" si="953"/>
        <v>0</v>
      </c>
      <c r="J752" s="311"/>
      <c r="K752" s="311"/>
      <c r="L752" s="311"/>
      <c r="M752" s="303"/>
      <c r="N752" s="311"/>
      <c r="O752" s="311"/>
      <c r="P752" s="303">
        <f t="shared" si="954"/>
        <v>0</v>
      </c>
      <c r="Q752" s="311"/>
      <c r="R752" s="312"/>
      <c r="S752" s="303"/>
      <c r="T752" s="303">
        <f t="shared" si="955"/>
        <v>0</v>
      </c>
      <c r="U752" s="303"/>
      <c r="V752" s="303"/>
      <c r="W752" s="303">
        <f t="shared" si="949"/>
        <v>220</v>
      </c>
      <c r="X752" s="303"/>
      <c r="Y752" s="303"/>
      <c r="Z752" s="303"/>
      <c r="AA752" s="303">
        <v>220</v>
      </c>
      <c r="AB752" s="304"/>
      <c r="AC752" s="304"/>
      <c r="AD752" s="304"/>
      <c r="AE752" s="304"/>
      <c r="AF752" s="1263" t="s">
        <v>2336</v>
      </c>
      <c r="AG752" s="314">
        <f t="shared" si="911"/>
        <v>0</v>
      </c>
      <c r="AH752" s="696">
        <f t="shared" si="912"/>
        <v>0</v>
      </c>
      <c r="AI752" s="314">
        <f t="shared" si="913"/>
        <v>0</v>
      </c>
      <c r="AJ752" s="314">
        <f t="shared" si="914"/>
        <v>0</v>
      </c>
      <c r="AK752" s="314">
        <f t="shared" si="915"/>
        <v>0</v>
      </c>
      <c r="AL752" s="314">
        <f t="shared" si="916"/>
        <v>0</v>
      </c>
      <c r="AM752" s="314">
        <f t="shared" si="917"/>
        <v>0</v>
      </c>
      <c r="AN752" s="314">
        <f t="shared" si="918"/>
        <v>0</v>
      </c>
      <c r="AO752" s="314">
        <f t="shared" si="919"/>
        <v>0</v>
      </c>
      <c r="AP752" s="314">
        <f t="shared" si="920"/>
        <v>0</v>
      </c>
    </row>
    <row r="753" spans="1:42" ht="41.4" outlineLevel="1">
      <c r="A753" s="593" t="s">
        <v>23</v>
      </c>
      <c r="B753" s="324" t="s">
        <v>2307</v>
      </c>
      <c r="C753" s="304"/>
      <c r="D753" s="304"/>
      <c r="E753" s="304">
        <f t="shared" si="945"/>
        <v>116</v>
      </c>
      <c r="F753" s="304">
        <f t="shared" si="946"/>
        <v>116</v>
      </c>
      <c r="G753" s="304">
        <f t="shared" si="947"/>
        <v>116</v>
      </c>
      <c r="H753" s="303">
        <f t="shared" si="948"/>
        <v>116</v>
      </c>
      <c r="I753" s="303">
        <f t="shared" si="953"/>
        <v>0</v>
      </c>
      <c r="J753" s="311"/>
      <c r="K753" s="311"/>
      <c r="L753" s="311"/>
      <c r="M753" s="303"/>
      <c r="N753" s="311"/>
      <c r="O753" s="311"/>
      <c r="P753" s="303">
        <f t="shared" si="954"/>
        <v>0</v>
      </c>
      <c r="Q753" s="311"/>
      <c r="R753" s="312"/>
      <c r="S753" s="303"/>
      <c r="T753" s="303">
        <f t="shared" si="955"/>
        <v>0</v>
      </c>
      <c r="U753" s="303"/>
      <c r="V753" s="303"/>
      <c r="W753" s="303">
        <f t="shared" si="949"/>
        <v>116</v>
      </c>
      <c r="X753" s="303"/>
      <c r="Y753" s="303"/>
      <c r="Z753" s="303"/>
      <c r="AA753" s="303">
        <v>116</v>
      </c>
      <c r="AB753" s="304"/>
      <c r="AC753" s="304"/>
      <c r="AD753" s="304"/>
      <c r="AE753" s="304"/>
      <c r="AF753" s="1263"/>
      <c r="AG753" s="314">
        <f t="shared" si="911"/>
        <v>0</v>
      </c>
      <c r="AH753" s="696">
        <f t="shared" si="912"/>
        <v>0</v>
      </c>
      <c r="AI753" s="314">
        <f t="shared" si="913"/>
        <v>0</v>
      </c>
      <c r="AJ753" s="314">
        <f t="shared" si="914"/>
        <v>0</v>
      </c>
      <c r="AK753" s="314">
        <f t="shared" si="915"/>
        <v>0</v>
      </c>
      <c r="AL753" s="314">
        <f t="shared" si="916"/>
        <v>0</v>
      </c>
      <c r="AM753" s="314">
        <f t="shared" si="917"/>
        <v>0</v>
      </c>
      <c r="AN753" s="314">
        <f t="shared" si="918"/>
        <v>0</v>
      </c>
      <c r="AO753" s="314">
        <f t="shared" si="919"/>
        <v>0</v>
      </c>
      <c r="AP753" s="314">
        <f t="shared" si="920"/>
        <v>0</v>
      </c>
    </row>
    <row r="754" spans="1:42" ht="55.2" outlineLevel="1">
      <c r="A754" s="593" t="s">
        <v>23</v>
      </c>
      <c r="B754" s="324" t="s">
        <v>2200</v>
      </c>
      <c r="C754" s="304"/>
      <c r="D754" s="304"/>
      <c r="E754" s="304">
        <f t="shared" si="945"/>
        <v>311</v>
      </c>
      <c r="F754" s="304">
        <f t="shared" si="946"/>
        <v>311</v>
      </c>
      <c r="G754" s="304">
        <f t="shared" si="947"/>
        <v>311</v>
      </c>
      <c r="H754" s="303">
        <f t="shared" si="948"/>
        <v>311</v>
      </c>
      <c r="I754" s="303">
        <f t="shared" si="953"/>
        <v>0</v>
      </c>
      <c r="J754" s="311"/>
      <c r="K754" s="311"/>
      <c r="L754" s="311"/>
      <c r="M754" s="303"/>
      <c r="N754" s="311"/>
      <c r="O754" s="311"/>
      <c r="P754" s="303">
        <f t="shared" si="954"/>
        <v>0</v>
      </c>
      <c r="Q754" s="311"/>
      <c r="R754" s="312"/>
      <c r="S754" s="303"/>
      <c r="T754" s="303">
        <f t="shared" si="955"/>
        <v>0</v>
      </c>
      <c r="U754" s="303"/>
      <c r="V754" s="303"/>
      <c r="W754" s="303">
        <f t="shared" si="949"/>
        <v>311</v>
      </c>
      <c r="X754" s="303"/>
      <c r="Y754" s="303"/>
      <c r="Z754" s="303"/>
      <c r="AA754" s="303">
        <v>311</v>
      </c>
      <c r="AB754" s="304"/>
      <c r="AC754" s="304"/>
      <c r="AD754" s="304"/>
      <c r="AE754" s="304"/>
      <c r="AF754" s="1263" t="s">
        <v>2560</v>
      </c>
      <c r="AG754" s="314">
        <f t="shared" si="911"/>
        <v>0</v>
      </c>
      <c r="AH754" s="696">
        <f t="shared" si="912"/>
        <v>0</v>
      </c>
      <c r="AI754" s="314">
        <f t="shared" si="913"/>
        <v>0</v>
      </c>
      <c r="AJ754" s="314">
        <f t="shared" si="914"/>
        <v>0</v>
      </c>
      <c r="AK754" s="314">
        <f t="shared" si="915"/>
        <v>0</v>
      </c>
      <c r="AL754" s="314">
        <f t="shared" si="916"/>
        <v>0</v>
      </c>
      <c r="AM754" s="314">
        <f t="shared" si="917"/>
        <v>0</v>
      </c>
      <c r="AN754" s="314">
        <f t="shared" si="918"/>
        <v>0</v>
      </c>
      <c r="AO754" s="314">
        <f t="shared" si="919"/>
        <v>0</v>
      </c>
      <c r="AP754" s="314">
        <f t="shared" si="920"/>
        <v>0</v>
      </c>
    </row>
    <row r="755" spans="1:42" ht="27.6" hidden="1" outlineLevel="3">
      <c r="A755" s="593" t="s">
        <v>23</v>
      </c>
      <c r="B755" s="324" t="s">
        <v>1648</v>
      </c>
      <c r="C755" s="304"/>
      <c r="D755" s="304">
        <v>784</v>
      </c>
      <c r="E755" s="304">
        <f t="shared" si="945"/>
        <v>0</v>
      </c>
      <c r="F755" s="304">
        <f t="shared" si="946"/>
        <v>0</v>
      </c>
      <c r="G755" s="304">
        <f t="shared" si="947"/>
        <v>-784</v>
      </c>
      <c r="H755" s="303">
        <f>I755+W755</f>
        <v>0</v>
      </c>
      <c r="I755" s="303">
        <f>M755+P755</f>
        <v>0</v>
      </c>
      <c r="J755" s="311"/>
      <c r="K755" s="311"/>
      <c r="L755" s="311"/>
      <c r="M755" s="303"/>
      <c r="N755" s="311"/>
      <c r="O755" s="311"/>
      <c r="P755" s="303">
        <f>S755+T755</f>
        <v>0</v>
      </c>
      <c r="Q755" s="311"/>
      <c r="R755" s="312"/>
      <c r="S755" s="303"/>
      <c r="T755" s="303">
        <f>U755+V755</f>
        <v>0</v>
      </c>
      <c r="U755" s="303"/>
      <c r="V755" s="303"/>
      <c r="W755" s="303">
        <f>Z755+AA755</f>
        <v>0</v>
      </c>
      <c r="X755" s="303"/>
      <c r="Y755" s="303"/>
      <c r="Z755" s="303"/>
      <c r="AA755" s="303"/>
      <c r="AB755" s="304"/>
      <c r="AC755" s="304"/>
      <c r="AD755" s="304"/>
      <c r="AE755" s="304"/>
      <c r="AF755" s="1263"/>
      <c r="AG755" s="314">
        <f t="shared" si="911"/>
        <v>0</v>
      </c>
      <c r="AH755" s="696">
        <f t="shared" si="912"/>
        <v>0</v>
      </c>
      <c r="AI755" s="314">
        <f t="shared" si="913"/>
        <v>0</v>
      </c>
      <c r="AJ755" s="314">
        <f t="shared" si="914"/>
        <v>0</v>
      </c>
      <c r="AK755" s="314">
        <f t="shared" si="915"/>
        <v>0</v>
      </c>
      <c r="AL755" s="314">
        <f t="shared" si="916"/>
        <v>0</v>
      </c>
      <c r="AM755" s="314">
        <f t="shared" si="917"/>
        <v>0</v>
      </c>
      <c r="AN755" s="314">
        <f t="shared" si="918"/>
        <v>0</v>
      </c>
      <c r="AO755" s="314">
        <f t="shared" si="919"/>
        <v>0</v>
      </c>
      <c r="AP755" s="314">
        <f t="shared" si="920"/>
        <v>0</v>
      </c>
    </row>
    <row r="756" spans="1:42" s="314" customFormat="1">
      <c r="A756" s="592" t="s">
        <v>79</v>
      </c>
      <c r="B756" s="320" t="s">
        <v>1106</v>
      </c>
      <c r="C756" s="298" t="s">
        <v>756</v>
      </c>
      <c r="D756" s="299">
        <f t="shared" ref="D756:AE756" si="956">D757+D759+D758</f>
        <v>10020</v>
      </c>
      <c r="E756" s="299">
        <f>E757+E759+E758</f>
        <v>11128</v>
      </c>
      <c r="F756" s="299">
        <f>F757+F759+F758</f>
        <v>10063</v>
      </c>
      <c r="G756" s="299">
        <f t="shared" si="947"/>
        <v>43</v>
      </c>
      <c r="H756" s="299">
        <f t="shared" si="956"/>
        <v>10063</v>
      </c>
      <c r="I756" s="299">
        <f t="shared" si="956"/>
        <v>10063</v>
      </c>
      <c r="J756" s="299">
        <f t="shared" si="956"/>
        <v>44</v>
      </c>
      <c r="K756" s="299">
        <f t="shared" si="956"/>
        <v>43</v>
      </c>
      <c r="L756" s="299">
        <f t="shared" si="956"/>
        <v>1</v>
      </c>
      <c r="M756" s="299">
        <f t="shared" si="956"/>
        <v>5121</v>
      </c>
      <c r="N756" s="299">
        <f t="shared" si="956"/>
        <v>5056</v>
      </c>
      <c r="O756" s="299">
        <f t="shared" si="956"/>
        <v>65</v>
      </c>
      <c r="P756" s="299">
        <f t="shared" si="956"/>
        <v>4942</v>
      </c>
      <c r="Q756" s="299"/>
      <c r="R756" s="299"/>
      <c r="S756" s="299">
        <f t="shared" si="956"/>
        <v>2842</v>
      </c>
      <c r="T756" s="299">
        <f t="shared" si="956"/>
        <v>2100</v>
      </c>
      <c r="U756" s="299">
        <f t="shared" si="956"/>
        <v>2100</v>
      </c>
      <c r="V756" s="299">
        <f t="shared" si="956"/>
        <v>0</v>
      </c>
      <c r="W756" s="299">
        <f>W757+W759+W758</f>
        <v>0</v>
      </c>
      <c r="X756" s="299"/>
      <c r="Y756" s="299"/>
      <c r="Z756" s="299">
        <f t="shared" si="956"/>
        <v>0</v>
      </c>
      <c r="AA756" s="299">
        <f>AA757+AA759+AA758</f>
        <v>0</v>
      </c>
      <c r="AB756" s="299">
        <f>AB757+AB759+AB758</f>
        <v>0</v>
      </c>
      <c r="AC756" s="299">
        <f t="shared" ref="AC756" si="957">AC757+AC759+AC758</f>
        <v>1065</v>
      </c>
      <c r="AD756" s="299">
        <f t="shared" si="956"/>
        <v>484</v>
      </c>
      <c r="AE756" s="299">
        <f t="shared" si="956"/>
        <v>10644</v>
      </c>
      <c r="AF756" s="321"/>
      <c r="AG756" s="314">
        <f t="shared" si="911"/>
        <v>0</v>
      </c>
      <c r="AH756" s="696">
        <f t="shared" si="912"/>
        <v>0</v>
      </c>
      <c r="AI756" s="314">
        <f t="shared" si="913"/>
        <v>0</v>
      </c>
      <c r="AJ756" s="314">
        <f t="shared" si="914"/>
        <v>0</v>
      </c>
      <c r="AK756" s="314">
        <f t="shared" si="915"/>
        <v>0</v>
      </c>
      <c r="AL756" s="314">
        <f t="shared" si="916"/>
        <v>0</v>
      </c>
      <c r="AM756" s="314">
        <f t="shared" si="917"/>
        <v>0</v>
      </c>
      <c r="AN756" s="314">
        <f t="shared" si="918"/>
        <v>0</v>
      </c>
      <c r="AO756" s="314">
        <f t="shared" si="919"/>
        <v>0</v>
      </c>
      <c r="AP756" s="314">
        <f t="shared" si="920"/>
        <v>0</v>
      </c>
    </row>
    <row r="757" spans="1:42">
      <c r="A757" s="583" t="s">
        <v>45</v>
      </c>
      <c r="B757" s="324" t="s">
        <v>862</v>
      </c>
      <c r="C757" s="304"/>
      <c r="D757" s="304">
        <v>7330</v>
      </c>
      <c r="E757" s="304">
        <f t="shared" ref="E757:E762" si="958">F757+AC757</f>
        <v>9028</v>
      </c>
      <c r="F757" s="304">
        <f>H757-AB757</f>
        <v>7963</v>
      </c>
      <c r="G757" s="304">
        <f t="shared" si="947"/>
        <v>633</v>
      </c>
      <c r="H757" s="303">
        <f t="shared" ref="H757:H758" si="959">I757+W757</f>
        <v>7963</v>
      </c>
      <c r="I757" s="303">
        <f>M757+P757</f>
        <v>7963</v>
      </c>
      <c r="J757" s="330">
        <v>44</v>
      </c>
      <c r="K757" s="330">
        <v>43</v>
      </c>
      <c r="L757" s="294">
        <f>J757-K757</f>
        <v>1</v>
      </c>
      <c r="M757" s="304">
        <f>N757+O757</f>
        <v>5121</v>
      </c>
      <c r="N757" s="294">
        <v>5056</v>
      </c>
      <c r="O757" s="294">
        <v>65</v>
      </c>
      <c r="P757" s="303">
        <f>S757+T757</f>
        <v>2842</v>
      </c>
      <c r="Q757" s="294">
        <v>34</v>
      </c>
      <c r="R757" s="331">
        <v>1.9000000000000001</v>
      </c>
      <c r="S757" s="304">
        <f>ROUND(J757*Q757*R757,0)</f>
        <v>2842</v>
      </c>
      <c r="T757" s="303">
        <f>U757+V757</f>
        <v>0</v>
      </c>
      <c r="U757" s="304"/>
      <c r="V757" s="304"/>
      <c r="W757" s="303">
        <f>Z757+AA757</f>
        <v>0</v>
      </c>
      <c r="X757" s="303"/>
      <c r="Y757" s="303"/>
      <c r="Z757" s="304"/>
      <c r="AA757" s="304"/>
      <c r="AB757" s="304"/>
      <c r="AC757" s="304">
        <v>1065</v>
      </c>
      <c r="AD757" s="304">
        <v>284</v>
      </c>
      <c r="AE757" s="303">
        <f>E757-AD757</f>
        <v>8744</v>
      </c>
      <c r="AF757" s="317"/>
      <c r="AG757" s="314">
        <f t="shared" si="911"/>
        <v>0</v>
      </c>
      <c r="AH757" s="696">
        <f t="shared" si="912"/>
        <v>0</v>
      </c>
      <c r="AI757" s="314">
        <f t="shared" si="913"/>
        <v>0</v>
      </c>
      <c r="AJ757" s="314">
        <f t="shared" si="914"/>
        <v>0</v>
      </c>
      <c r="AK757" s="314">
        <f t="shared" si="915"/>
        <v>0</v>
      </c>
      <c r="AL757" s="314">
        <f t="shared" si="916"/>
        <v>0</v>
      </c>
      <c r="AM757" s="314">
        <f t="shared" si="917"/>
        <v>0</v>
      </c>
      <c r="AN757" s="314">
        <f t="shared" si="918"/>
        <v>0</v>
      </c>
      <c r="AO757" s="314">
        <f t="shared" si="919"/>
        <v>0</v>
      </c>
      <c r="AP757" s="314">
        <f t="shared" si="920"/>
        <v>0</v>
      </c>
    </row>
    <row r="758" spans="1:42" ht="27.6" hidden="1" outlineLevel="3">
      <c r="A758" s="583" t="s">
        <v>47</v>
      </c>
      <c r="B758" s="324" t="s">
        <v>1521</v>
      </c>
      <c r="C758" s="304"/>
      <c r="D758" s="304">
        <v>140</v>
      </c>
      <c r="E758" s="304">
        <f t="shared" si="958"/>
        <v>0</v>
      </c>
      <c r="F758" s="304">
        <f>H758-AB758</f>
        <v>0</v>
      </c>
      <c r="G758" s="304">
        <f t="shared" si="947"/>
        <v>-140</v>
      </c>
      <c r="H758" s="303">
        <f t="shared" si="959"/>
        <v>0</v>
      </c>
      <c r="I758" s="303">
        <f t="shared" ref="I758" si="960">M758+P758</f>
        <v>0</v>
      </c>
      <c r="J758" s="294"/>
      <c r="K758" s="294">
        <v>0</v>
      </c>
      <c r="L758" s="294"/>
      <c r="M758" s="304">
        <f t="shared" ref="M758" si="961">N758+O758</f>
        <v>0</v>
      </c>
      <c r="N758" s="294"/>
      <c r="O758" s="294"/>
      <c r="P758" s="303">
        <f t="shared" ref="P758" si="962">S758+T758</f>
        <v>0</v>
      </c>
      <c r="Q758" s="311">
        <v>0</v>
      </c>
      <c r="R758" s="305"/>
      <c r="S758" s="304">
        <f>J758*Q758</f>
        <v>0</v>
      </c>
      <c r="T758" s="303">
        <f t="shared" ref="T758" si="963">U758+V758</f>
        <v>0</v>
      </c>
      <c r="U758" s="304"/>
      <c r="V758" s="304"/>
      <c r="W758" s="303">
        <f>Z758+AA758</f>
        <v>0</v>
      </c>
      <c r="X758" s="303"/>
      <c r="Y758" s="303"/>
      <c r="Z758" s="304"/>
      <c r="AA758" s="304"/>
      <c r="AB758" s="304"/>
      <c r="AC758" s="304"/>
      <c r="AD758" s="304">
        <v>-10</v>
      </c>
      <c r="AE758" s="303">
        <f>E758-AD758</f>
        <v>10</v>
      </c>
      <c r="AF758" s="317"/>
      <c r="AG758" s="314">
        <f t="shared" si="911"/>
        <v>0</v>
      </c>
      <c r="AH758" s="696">
        <f t="shared" si="912"/>
        <v>0</v>
      </c>
      <c r="AI758" s="314">
        <f t="shared" si="913"/>
        <v>0</v>
      </c>
      <c r="AJ758" s="314">
        <f t="shared" si="914"/>
        <v>0</v>
      </c>
      <c r="AK758" s="314">
        <f t="shared" si="915"/>
        <v>0</v>
      </c>
      <c r="AL758" s="314">
        <f t="shared" si="916"/>
        <v>0</v>
      </c>
      <c r="AM758" s="314">
        <f t="shared" si="917"/>
        <v>0</v>
      </c>
      <c r="AN758" s="314">
        <f t="shared" si="918"/>
        <v>0</v>
      </c>
      <c r="AO758" s="314">
        <f t="shared" si="919"/>
        <v>0</v>
      </c>
      <c r="AP758" s="314">
        <f t="shared" si="920"/>
        <v>0</v>
      </c>
    </row>
    <row r="759" spans="1:42" s="322" customFormat="1" ht="27.6" collapsed="1">
      <c r="A759" s="593" t="s">
        <v>47</v>
      </c>
      <c r="B759" s="1273" t="s">
        <v>1737</v>
      </c>
      <c r="C759" s="304"/>
      <c r="D759" s="303">
        <v>2550</v>
      </c>
      <c r="E759" s="303">
        <f t="shared" si="958"/>
        <v>2100</v>
      </c>
      <c r="F759" s="303">
        <f>F760+F762+F761</f>
        <v>2100</v>
      </c>
      <c r="G759" s="303">
        <f>G760+G762+G761</f>
        <v>-450</v>
      </c>
      <c r="H759" s="303">
        <f t="shared" ref="H759:AB759" si="964">H760+H762+H761</f>
        <v>2100</v>
      </c>
      <c r="I759" s="303">
        <f t="shared" si="964"/>
        <v>2100</v>
      </c>
      <c r="J759" s="303">
        <f t="shared" si="964"/>
        <v>0</v>
      </c>
      <c r="K759" s="303">
        <f t="shared" si="964"/>
        <v>0</v>
      </c>
      <c r="L759" s="303">
        <f t="shared" si="964"/>
        <v>0</v>
      </c>
      <c r="M759" s="303">
        <f t="shared" si="964"/>
        <v>0</v>
      </c>
      <c r="N759" s="303">
        <f t="shared" si="964"/>
        <v>0</v>
      </c>
      <c r="O759" s="303">
        <f t="shared" si="964"/>
        <v>0</v>
      </c>
      <c r="P759" s="303">
        <f t="shared" si="964"/>
        <v>2100</v>
      </c>
      <c r="Q759" s="303">
        <f t="shared" si="964"/>
        <v>0</v>
      </c>
      <c r="R759" s="303">
        <f t="shared" si="964"/>
        <v>0</v>
      </c>
      <c r="S759" s="303">
        <f t="shared" si="964"/>
        <v>0</v>
      </c>
      <c r="T759" s="303">
        <f t="shared" si="964"/>
        <v>2100</v>
      </c>
      <c r="U759" s="303">
        <f t="shared" si="964"/>
        <v>2100</v>
      </c>
      <c r="V759" s="303">
        <f t="shared" si="964"/>
        <v>0</v>
      </c>
      <c r="W759" s="303">
        <f t="shared" si="964"/>
        <v>0</v>
      </c>
      <c r="X759" s="303">
        <f t="shared" si="964"/>
        <v>0</v>
      </c>
      <c r="Y759" s="303">
        <f t="shared" si="964"/>
        <v>0</v>
      </c>
      <c r="Z759" s="303">
        <f t="shared" si="964"/>
        <v>0</v>
      </c>
      <c r="AA759" s="303">
        <f t="shared" si="964"/>
        <v>0</v>
      </c>
      <c r="AB759" s="303">
        <f t="shared" si="964"/>
        <v>0</v>
      </c>
      <c r="AC759" s="304"/>
      <c r="AD759" s="304">
        <v>210</v>
      </c>
      <c r="AE759" s="303">
        <f>E759-AD759</f>
        <v>1890</v>
      </c>
      <c r="AF759" s="317"/>
      <c r="AG759" s="314">
        <f t="shared" si="911"/>
        <v>0</v>
      </c>
      <c r="AH759" s="696">
        <f t="shared" si="912"/>
        <v>0</v>
      </c>
      <c r="AI759" s="314">
        <f t="shared" si="913"/>
        <v>0</v>
      </c>
      <c r="AJ759" s="314">
        <f t="shared" si="914"/>
        <v>0</v>
      </c>
      <c r="AK759" s="314">
        <f t="shared" si="915"/>
        <v>0</v>
      </c>
      <c r="AL759" s="314">
        <f t="shared" si="916"/>
        <v>0</v>
      </c>
      <c r="AM759" s="314">
        <f t="shared" si="917"/>
        <v>0</v>
      </c>
      <c r="AN759" s="314">
        <f t="shared" si="918"/>
        <v>0</v>
      </c>
      <c r="AO759" s="314">
        <f t="shared" si="919"/>
        <v>0</v>
      </c>
      <c r="AP759" s="314">
        <f t="shared" si="920"/>
        <v>0</v>
      </c>
    </row>
    <row r="760" spans="1:42" ht="96.6" outlineLevel="1">
      <c r="A760" s="593" t="s">
        <v>23</v>
      </c>
      <c r="B760" s="1273" t="s">
        <v>2292</v>
      </c>
      <c r="C760" s="317"/>
      <c r="D760" s="304">
        <v>1500</v>
      </c>
      <c r="E760" s="304">
        <f t="shared" si="958"/>
        <v>1200</v>
      </c>
      <c r="F760" s="304">
        <f>H760-AB760</f>
        <v>1200</v>
      </c>
      <c r="G760" s="304">
        <f>F760-D760</f>
        <v>-300</v>
      </c>
      <c r="H760" s="303">
        <f t="shared" ref="H760:H762" si="965">I760+W760</f>
        <v>1200</v>
      </c>
      <c r="I760" s="303">
        <f t="shared" ref="I760" si="966">M760+P760</f>
        <v>1200</v>
      </c>
      <c r="J760" s="294"/>
      <c r="K760" s="294"/>
      <c r="L760" s="294"/>
      <c r="M760" s="304"/>
      <c r="N760" s="294"/>
      <c r="O760" s="294"/>
      <c r="P760" s="303">
        <f t="shared" ref="P760" si="967">S760+T760</f>
        <v>1200</v>
      </c>
      <c r="Q760" s="294"/>
      <c r="R760" s="305"/>
      <c r="S760" s="304"/>
      <c r="T760" s="303">
        <f t="shared" ref="T760" si="968">U760+V760</f>
        <v>1200</v>
      </c>
      <c r="U760" s="304">
        <v>1200</v>
      </c>
      <c r="V760" s="304"/>
      <c r="W760" s="303">
        <f>Z760+AA760</f>
        <v>0</v>
      </c>
      <c r="X760" s="303"/>
      <c r="Y760" s="303"/>
      <c r="Z760" s="304"/>
      <c r="AA760" s="304"/>
      <c r="AB760" s="304"/>
      <c r="AC760" s="304"/>
      <c r="AD760" s="304"/>
      <c r="AE760" s="304"/>
      <c r="AF760" s="1293"/>
      <c r="AG760" s="314">
        <f t="shared" si="911"/>
        <v>0</v>
      </c>
      <c r="AH760" s="696">
        <f t="shared" si="912"/>
        <v>0</v>
      </c>
      <c r="AI760" s="314">
        <f t="shared" si="913"/>
        <v>0</v>
      </c>
      <c r="AJ760" s="314">
        <f t="shared" si="914"/>
        <v>0</v>
      </c>
      <c r="AK760" s="314">
        <f t="shared" si="915"/>
        <v>0</v>
      </c>
      <c r="AL760" s="314">
        <f t="shared" si="916"/>
        <v>0</v>
      </c>
      <c r="AM760" s="314">
        <f t="shared" si="917"/>
        <v>0</v>
      </c>
      <c r="AN760" s="314">
        <f t="shared" si="918"/>
        <v>0</v>
      </c>
      <c r="AO760" s="314">
        <f t="shared" si="919"/>
        <v>0</v>
      </c>
      <c r="AP760" s="314">
        <f t="shared" si="920"/>
        <v>0</v>
      </c>
    </row>
    <row r="761" spans="1:42" ht="69" outlineLevel="1">
      <c r="A761" s="593"/>
      <c r="B761" s="324" t="s">
        <v>1816</v>
      </c>
      <c r="C761" s="317"/>
      <c r="D761" s="304">
        <v>300</v>
      </c>
      <c r="E761" s="304">
        <f t="shared" si="958"/>
        <v>200</v>
      </c>
      <c r="F761" s="304">
        <f>H761-AB761</f>
        <v>200</v>
      </c>
      <c r="G761" s="304">
        <f>F761-D761</f>
        <v>-100</v>
      </c>
      <c r="H761" s="303">
        <f t="shared" si="965"/>
        <v>200</v>
      </c>
      <c r="I761" s="303">
        <f>M761+P761</f>
        <v>200</v>
      </c>
      <c r="J761" s="294"/>
      <c r="K761" s="294"/>
      <c r="L761" s="294"/>
      <c r="M761" s="304"/>
      <c r="N761" s="294"/>
      <c r="O761" s="294"/>
      <c r="P761" s="303">
        <f>S761+T761</f>
        <v>200</v>
      </c>
      <c r="Q761" s="294"/>
      <c r="R761" s="305"/>
      <c r="S761" s="304"/>
      <c r="T761" s="303">
        <f>U761+V761</f>
        <v>200</v>
      </c>
      <c r="U761" s="304">
        <v>200</v>
      </c>
      <c r="V761" s="304"/>
      <c r="W761" s="303"/>
      <c r="X761" s="303"/>
      <c r="Y761" s="303"/>
      <c r="Z761" s="304"/>
      <c r="AA761" s="304"/>
      <c r="AB761" s="304"/>
      <c r="AC761" s="304"/>
      <c r="AD761" s="304"/>
      <c r="AE761" s="304"/>
      <c r="AF761" s="317"/>
      <c r="AG761" s="314">
        <f t="shared" si="911"/>
        <v>0</v>
      </c>
      <c r="AH761" s="696">
        <f t="shared" si="912"/>
        <v>0</v>
      </c>
      <c r="AI761" s="314">
        <f t="shared" si="913"/>
        <v>0</v>
      </c>
      <c r="AJ761" s="314">
        <f t="shared" si="914"/>
        <v>0</v>
      </c>
      <c r="AK761" s="314">
        <f t="shared" si="915"/>
        <v>0</v>
      </c>
      <c r="AL761" s="314">
        <f t="shared" si="916"/>
        <v>0</v>
      </c>
      <c r="AM761" s="314">
        <f t="shared" si="917"/>
        <v>0</v>
      </c>
      <c r="AN761" s="314">
        <f t="shared" si="918"/>
        <v>0</v>
      </c>
      <c r="AO761" s="314">
        <f t="shared" si="919"/>
        <v>0</v>
      </c>
      <c r="AP761" s="314">
        <f t="shared" si="920"/>
        <v>0</v>
      </c>
    </row>
    <row r="762" spans="1:42" ht="138" outlineLevel="1">
      <c r="A762" s="593" t="s">
        <v>23</v>
      </c>
      <c r="B762" s="1273" t="s">
        <v>2448</v>
      </c>
      <c r="C762" s="317"/>
      <c r="D762" s="304">
        <v>750</v>
      </c>
      <c r="E762" s="304">
        <f t="shared" si="958"/>
        <v>700</v>
      </c>
      <c r="F762" s="304">
        <f>H762-AB762</f>
        <v>700</v>
      </c>
      <c r="G762" s="304">
        <f>F762-D762</f>
        <v>-50</v>
      </c>
      <c r="H762" s="303">
        <f t="shared" si="965"/>
        <v>700</v>
      </c>
      <c r="I762" s="303">
        <f>M762+P762</f>
        <v>700</v>
      </c>
      <c r="J762" s="294"/>
      <c r="K762" s="294"/>
      <c r="L762" s="294"/>
      <c r="M762" s="304"/>
      <c r="N762" s="294"/>
      <c r="O762" s="294"/>
      <c r="P762" s="303">
        <f>S762+T762</f>
        <v>700</v>
      </c>
      <c r="Q762" s="294"/>
      <c r="R762" s="305"/>
      <c r="S762" s="304"/>
      <c r="T762" s="303">
        <f>U762+V762</f>
        <v>700</v>
      </c>
      <c r="U762" s="304">
        <f>450+250</f>
        <v>700</v>
      </c>
      <c r="V762" s="304"/>
      <c r="W762" s="303"/>
      <c r="X762" s="303"/>
      <c r="Y762" s="303"/>
      <c r="Z762" s="304"/>
      <c r="AA762" s="304"/>
      <c r="AB762" s="304"/>
      <c r="AC762" s="304"/>
      <c r="AD762" s="304"/>
      <c r="AE762" s="304"/>
      <c r="AF762" s="317"/>
      <c r="AG762" s="314">
        <f t="shared" si="911"/>
        <v>0</v>
      </c>
      <c r="AH762" s="696">
        <f t="shared" si="912"/>
        <v>0</v>
      </c>
      <c r="AI762" s="314">
        <f t="shared" si="913"/>
        <v>0</v>
      </c>
      <c r="AJ762" s="314">
        <f t="shared" si="914"/>
        <v>0</v>
      </c>
      <c r="AK762" s="314">
        <f t="shared" si="915"/>
        <v>0</v>
      </c>
      <c r="AL762" s="314">
        <f t="shared" si="916"/>
        <v>0</v>
      </c>
      <c r="AM762" s="314">
        <f t="shared" si="917"/>
        <v>0</v>
      </c>
      <c r="AN762" s="314">
        <f t="shared" si="918"/>
        <v>0</v>
      </c>
      <c r="AO762" s="314">
        <f t="shared" si="919"/>
        <v>0</v>
      </c>
      <c r="AP762" s="314">
        <f t="shared" si="920"/>
        <v>0</v>
      </c>
    </row>
    <row r="763" spans="1:42" s="314" customFormat="1">
      <c r="A763" s="592" t="s">
        <v>80</v>
      </c>
      <c r="B763" s="320" t="s">
        <v>2201</v>
      </c>
      <c r="C763" s="297"/>
      <c r="D763" s="299">
        <f>D764+D779</f>
        <v>35414</v>
      </c>
      <c r="E763" s="299">
        <f>E764+E779</f>
        <v>37309</v>
      </c>
      <c r="F763" s="299">
        <f>F764+F779</f>
        <v>35579</v>
      </c>
      <c r="G763" s="299">
        <f>F763-D763</f>
        <v>165</v>
      </c>
      <c r="H763" s="299">
        <f>H764+H779</f>
        <v>35691</v>
      </c>
      <c r="I763" s="299">
        <f t="shared" ref="I763:W763" si="969">I764+I779</f>
        <v>21217</v>
      </c>
      <c r="J763" s="299">
        <f t="shared" si="969"/>
        <v>80</v>
      </c>
      <c r="K763" s="299">
        <f t="shared" si="969"/>
        <v>72</v>
      </c>
      <c r="L763" s="299">
        <f t="shared" si="969"/>
        <v>8</v>
      </c>
      <c r="M763" s="299">
        <f t="shared" si="969"/>
        <v>8314</v>
      </c>
      <c r="N763" s="299">
        <f t="shared" si="969"/>
        <v>7822</v>
      </c>
      <c r="O763" s="299">
        <f t="shared" si="969"/>
        <v>492</v>
      </c>
      <c r="P763" s="299">
        <f t="shared" si="969"/>
        <v>12903</v>
      </c>
      <c r="Q763" s="299">
        <f t="shared" si="969"/>
        <v>0</v>
      </c>
      <c r="R763" s="299">
        <f t="shared" si="969"/>
        <v>0</v>
      </c>
      <c r="S763" s="299">
        <f t="shared" si="969"/>
        <v>5695</v>
      </c>
      <c r="T763" s="299">
        <f t="shared" si="969"/>
        <v>7208</v>
      </c>
      <c r="U763" s="299">
        <f t="shared" si="969"/>
        <v>6831</v>
      </c>
      <c r="V763" s="299">
        <f t="shared" si="969"/>
        <v>377</v>
      </c>
      <c r="W763" s="299">
        <f t="shared" si="969"/>
        <v>14474</v>
      </c>
      <c r="X763" s="299"/>
      <c r="Y763" s="299"/>
      <c r="Z763" s="299">
        <f t="shared" ref="Z763:AE763" si="970">Z764+Z779</f>
        <v>14474</v>
      </c>
      <c r="AA763" s="299">
        <f t="shared" si="970"/>
        <v>0</v>
      </c>
      <c r="AB763" s="299">
        <f t="shared" si="970"/>
        <v>112</v>
      </c>
      <c r="AC763" s="299">
        <f t="shared" si="970"/>
        <v>1730</v>
      </c>
      <c r="AD763" s="299">
        <f t="shared" si="970"/>
        <v>2129</v>
      </c>
      <c r="AE763" s="299">
        <f t="shared" si="970"/>
        <v>35180</v>
      </c>
      <c r="AF763" s="321"/>
      <c r="AG763" s="314">
        <f t="shared" si="911"/>
        <v>0</v>
      </c>
      <c r="AH763" s="696">
        <f t="shared" si="912"/>
        <v>0</v>
      </c>
      <c r="AI763" s="314">
        <f t="shared" si="913"/>
        <v>0</v>
      </c>
      <c r="AJ763" s="314">
        <f t="shared" si="914"/>
        <v>0</v>
      </c>
      <c r="AK763" s="314">
        <f t="shared" si="915"/>
        <v>0</v>
      </c>
      <c r="AL763" s="314">
        <f t="shared" si="916"/>
        <v>0</v>
      </c>
      <c r="AM763" s="314">
        <f t="shared" si="917"/>
        <v>0</v>
      </c>
      <c r="AN763" s="314">
        <f t="shared" si="918"/>
        <v>0</v>
      </c>
      <c r="AO763" s="314">
        <f t="shared" si="919"/>
        <v>0</v>
      </c>
      <c r="AP763" s="314">
        <f t="shared" si="920"/>
        <v>0</v>
      </c>
    </row>
    <row r="764" spans="1:42" s="314" customFormat="1">
      <c r="A764" s="592" t="s">
        <v>994</v>
      </c>
      <c r="B764" s="320" t="s">
        <v>826</v>
      </c>
      <c r="C764" s="298" t="s">
        <v>756</v>
      </c>
      <c r="D764" s="299">
        <f>D765+D778</f>
        <v>19001</v>
      </c>
      <c r="E764" s="299">
        <f>E765+E778</f>
        <v>22081</v>
      </c>
      <c r="F764" s="299">
        <f>F765+F778</f>
        <v>20463</v>
      </c>
      <c r="G764" s="299">
        <f>F764-D764</f>
        <v>1462</v>
      </c>
      <c r="H764" s="299">
        <f>H765+H778</f>
        <v>20463</v>
      </c>
      <c r="I764" s="299">
        <f t="shared" ref="I764:W764" si="971">I765+I778</f>
        <v>20463</v>
      </c>
      <c r="J764" s="299">
        <f t="shared" si="971"/>
        <v>73</v>
      </c>
      <c r="K764" s="299">
        <f t="shared" si="971"/>
        <v>65</v>
      </c>
      <c r="L764" s="299">
        <f t="shared" si="971"/>
        <v>8</v>
      </c>
      <c r="M764" s="299">
        <f t="shared" si="971"/>
        <v>7777</v>
      </c>
      <c r="N764" s="299">
        <f t="shared" si="971"/>
        <v>7285</v>
      </c>
      <c r="O764" s="299">
        <f t="shared" si="971"/>
        <v>492</v>
      </c>
      <c r="P764" s="299">
        <f t="shared" si="971"/>
        <v>12686</v>
      </c>
      <c r="Q764" s="299">
        <f t="shared" si="971"/>
        <v>0</v>
      </c>
      <c r="R764" s="299">
        <f t="shared" si="971"/>
        <v>0</v>
      </c>
      <c r="S764" s="299">
        <f t="shared" si="971"/>
        <v>5478</v>
      </c>
      <c r="T764" s="299">
        <f t="shared" si="971"/>
        <v>7208</v>
      </c>
      <c r="U764" s="299">
        <f t="shared" si="971"/>
        <v>6831</v>
      </c>
      <c r="V764" s="299">
        <f t="shared" si="971"/>
        <v>377</v>
      </c>
      <c r="W764" s="299">
        <f t="shared" si="971"/>
        <v>0</v>
      </c>
      <c r="X764" s="299"/>
      <c r="Y764" s="299"/>
      <c r="Z764" s="299">
        <f t="shared" ref="Z764:AE764" si="972">Z765+Z778</f>
        <v>0</v>
      </c>
      <c r="AA764" s="299">
        <f t="shared" si="972"/>
        <v>0</v>
      </c>
      <c r="AB764" s="299">
        <f t="shared" si="972"/>
        <v>0</v>
      </c>
      <c r="AC764" s="299">
        <f t="shared" si="972"/>
        <v>1618</v>
      </c>
      <c r="AD764" s="299">
        <f t="shared" si="972"/>
        <v>1229</v>
      </c>
      <c r="AE764" s="299">
        <f t="shared" si="972"/>
        <v>20852</v>
      </c>
      <c r="AF764" s="321"/>
      <c r="AG764" s="314">
        <f t="shared" si="911"/>
        <v>0</v>
      </c>
      <c r="AH764" s="696">
        <f t="shared" si="912"/>
        <v>0</v>
      </c>
      <c r="AI764" s="314">
        <f t="shared" si="913"/>
        <v>0</v>
      </c>
      <c r="AJ764" s="314">
        <f t="shared" si="914"/>
        <v>0</v>
      </c>
      <c r="AK764" s="314">
        <f t="shared" si="915"/>
        <v>0</v>
      </c>
      <c r="AL764" s="314">
        <f t="shared" si="916"/>
        <v>0</v>
      </c>
      <c r="AM764" s="314">
        <f t="shared" si="917"/>
        <v>0</v>
      </c>
      <c r="AN764" s="314">
        <f t="shared" si="918"/>
        <v>0</v>
      </c>
      <c r="AO764" s="314">
        <f t="shared" si="919"/>
        <v>0</v>
      </c>
      <c r="AP764" s="314">
        <f t="shared" si="920"/>
        <v>0</v>
      </c>
    </row>
    <row r="765" spans="1:42" s="314" customFormat="1">
      <c r="A765" s="591" t="s">
        <v>45</v>
      </c>
      <c r="B765" s="320" t="s">
        <v>1107</v>
      </c>
      <c r="C765" s="297"/>
      <c r="D765" s="297">
        <f t="shared" ref="D765:P765" si="973">D766+D769+D770</f>
        <v>14001</v>
      </c>
      <c r="E765" s="297">
        <f>E766+E769+E770</f>
        <v>16681</v>
      </c>
      <c r="F765" s="297">
        <f>F766+F769+F770</f>
        <v>15063</v>
      </c>
      <c r="G765" s="297">
        <f>G766+G769+G770</f>
        <v>1062</v>
      </c>
      <c r="H765" s="297">
        <f t="shared" si="973"/>
        <v>15063</v>
      </c>
      <c r="I765" s="297">
        <f t="shared" si="973"/>
        <v>15063</v>
      </c>
      <c r="J765" s="297">
        <f t="shared" si="973"/>
        <v>73</v>
      </c>
      <c r="K765" s="297">
        <f t="shared" si="973"/>
        <v>65</v>
      </c>
      <c r="L765" s="297">
        <f t="shared" si="973"/>
        <v>8</v>
      </c>
      <c r="M765" s="297">
        <f t="shared" si="973"/>
        <v>7777</v>
      </c>
      <c r="N765" s="297">
        <f t="shared" si="973"/>
        <v>7285</v>
      </c>
      <c r="O765" s="297">
        <f t="shared" si="973"/>
        <v>492</v>
      </c>
      <c r="P765" s="297">
        <f t="shared" si="973"/>
        <v>7286</v>
      </c>
      <c r="Q765" s="297"/>
      <c r="R765" s="297"/>
      <c r="S765" s="297">
        <f t="shared" ref="S765:AE765" si="974">S766+S769+S770</f>
        <v>5478</v>
      </c>
      <c r="T765" s="297">
        <f t="shared" si="974"/>
        <v>1808</v>
      </c>
      <c r="U765" s="297">
        <f t="shared" si="974"/>
        <v>1808</v>
      </c>
      <c r="V765" s="297">
        <f t="shared" si="974"/>
        <v>0</v>
      </c>
      <c r="W765" s="297">
        <f t="shared" si="974"/>
        <v>0</v>
      </c>
      <c r="X765" s="297">
        <f t="shared" si="974"/>
        <v>0</v>
      </c>
      <c r="Y765" s="297">
        <f t="shared" si="974"/>
        <v>0</v>
      </c>
      <c r="Z765" s="297">
        <f t="shared" si="974"/>
        <v>0</v>
      </c>
      <c r="AA765" s="297">
        <f t="shared" si="974"/>
        <v>0</v>
      </c>
      <c r="AB765" s="297">
        <f t="shared" si="974"/>
        <v>0</v>
      </c>
      <c r="AC765" s="297">
        <f t="shared" si="974"/>
        <v>1618</v>
      </c>
      <c r="AD765" s="297">
        <f t="shared" si="974"/>
        <v>689</v>
      </c>
      <c r="AE765" s="297">
        <f t="shared" si="974"/>
        <v>15992</v>
      </c>
      <c r="AF765" s="321"/>
      <c r="AG765" s="314">
        <f t="shared" si="911"/>
        <v>0</v>
      </c>
      <c r="AH765" s="696">
        <f t="shared" si="912"/>
        <v>0</v>
      </c>
      <c r="AI765" s="314">
        <f t="shared" si="913"/>
        <v>0</v>
      </c>
      <c r="AJ765" s="314">
        <f t="shared" si="914"/>
        <v>0</v>
      </c>
      <c r="AK765" s="314">
        <f t="shared" si="915"/>
        <v>0</v>
      </c>
      <c r="AL765" s="314">
        <f t="shared" si="916"/>
        <v>0</v>
      </c>
      <c r="AM765" s="314">
        <f t="shared" si="917"/>
        <v>0</v>
      </c>
      <c r="AN765" s="314">
        <f t="shared" si="918"/>
        <v>0</v>
      </c>
      <c r="AO765" s="314">
        <f t="shared" si="919"/>
        <v>0</v>
      </c>
      <c r="AP765" s="314">
        <f t="shared" si="920"/>
        <v>0</v>
      </c>
    </row>
    <row r="766" spans="1:42">
      <c r="A766" s="583" t="s">
        <v>1108</v>
      </c>
      <c r="B766" s="324" t="s">
        <v>862</v>
      </c>
      <c r="C766" s="304"/>
      <c r="D766" s="304">
        <f>D767+D768</f>
        <v>11731</v>
      </c>
      <c r="E766" s="304">
        <f t="shared" ref="E766:AC766" si="975">E767+E768</f>
        <v>14873</v>
      </c>
      <c r="F766" s="304">
        <f t="shared" si="975"/>
        <v>13255</v>
      </c>
      <c r="G766" s="304">
        <f t="shared" si="975"/>
        <v>1524</v>
      </c>
      <c r="H766" s="304">
        <f t="shared" si="975"/>
        <v>13255</v>
      </c>
      <c r="I766" s="304">
        <f t="shared" si="975"/>
        <v>13255</v>
      </c>
      <c r="J766" s="304">
        <f t="shared" si="975"/>
        <v>73</v>
      </c>
      <c r="K766" s="304">
        <f t="shared" si="975"/>
        <v>65</v>
      </c>
      <c r="L766" s="304">
        <f t="shared" si="975"/>
        <v>8</v>
      </c>
      <c r="M766" s="304">
        <f t="shared" si="975"/>
        <v>7777</v>
      </c>
      <c r="N766" s="304">
        <f t="shared" si="975"/>
        <v>7285</v>
      </c>
      <c r="O766" s="304">
        <f t="shared" si="975"/>
        <v>492</v>
      </c>
      <c r="P766" s="304">
        <f t="shared" si="975"/>
        <v>5478</v>
      </c>
      <c r="Q766" s="304"/>
      <c r="R766" s="304"/>
      <c r="S766" s="304">
        <f t="shared" si="975"/>
        <v>5478</v>
      </c>
      <c r="T766" s="304">
        <f t="shared" si="975"/>
        <v>0</v>
      </c>
      <c r="U766" s="304">
        <f t="shared" si="975"/>
        <v>0</v>
      </c>
      <c r="V766" s="304">
        <f t="shared" si="975"/>
        <v>0</v>
      </c>
      <c r="W766" s="304">
        <f t="shared" si="975"/>
        <v>0</v>
      </c>
      <c r="X766" s="304">
        <f t="shared" si="975"/>
        <v>0</v>
      </c>
      <c r="Y766" s="304">
        <f t="shared" si="975"/>
        <v>0</v>
      </c>
      <c r="Z766" s="304">
        <f t="shared" si="975"/>
        <v>0</v>
      </c>
      <c r="AA766" s="304">
        <f t="shared" si="975"/>
        <v>0</v>
      </c>
      <c r="AB766" s="304">
        <f t="shared" si="975"/>
        <v>0</v>
      </c>
      <c r="AC766" s="304">
        <f t="shared" si="975"/>
        <v>1618</v>
      </c>
      <c r="AD766" s="304">
        <v>548</v>
      </c>
      <c r="AE766" s="303">
        <f>E766-AD766</f>
        <v>14325</v>
      </c>
      <c r="AF766" s="317"/>
      <c r="AG766" s="314">
        <f t="shared" si="911"/>
        <v>0</v>
      </c>
      <c r="AH766" s="696">
        <f t="shared" si="912"/>
        <v>0</v>
      </c>
      <c r="AI766" s="314">
        <f t="shared" si="913"/>
        <v>0</v>
      </c>
      <c r="AJ766" s="314">
        <f t="shared" si="914"/>
        <v>0</v>
      </c>
      <c r="AK766" s="314">
        <f t="shared" si="915"/>
        <v>0</v>
      </c>
      <c r="AL766" s="314">
        <f t="shared" si="916"/>
        <v>0</v>
      </c>
      <c r="AM766" s="314">
        <f t="shared" si="917"/>
        <v>0</v>
      </c>
      <c r="AN766" s="314">
        <f t="shared" si="918"/>
        <v>0</v>
      </c>
      <c r="AO766" s="314">
        <f t="shared" si="919"/>
        <v>0</v>
      </c>
      <c r="AP766" s="314">
        <f t="shared" si="920"/>
        <v>0</v>
      </c>
    </row>
    <row r="767" spans="1:42">
      <c r="A767" s="583" t="s">
        <v>23</v>
      </c>
      <c r="B767" s="324" t="s">
        <v>2407</v>
      </c>
      <c r="C767" s="304"/>
      <c r="D767" s="304">
        <v>10972</v>
      </c>
      <c r="E767" s="304">
        <f>F767+AC767</f>
        <v>13587</v>
      </c>
      <c r="F767" s="304">
        <f>H767-AB767</f>
        <v>12126</v>
      </c>
      <c r="G767" s="304">
        <f>F767-D767</f>
        <v>1154</v>
      </c>
      <c r="H767" s="303">
        <f>I767+W767</f>
        <v>12126</v>
      </c>
      <c r="I767" s="303">
        <f>M767+P767</f>
        <v>12126</v>
      </c>
      <c r="J767" s="294">
        <v>61</v>
      </c>
      <c r="K767" s="294">
        <v>56</v>
      </c>
      <c r="L767" s="294">
        <f>J767-K767</f>
        <v>5</v>
      </c>
      <c r="M767" s="304">
        <f>N767+O767</f>
        <v>7020</v>
      </c>
      <c r="N767" s="294">
        <v>6694</v>
      </c>
      <c r="O767" s="294">
        <v>326</v>
      </c>
      <c r="P767" s="303">
        <f>S767+T767</f>
        <v>5106</v>
      </c>
      <c r="Q767" s="294">
        <v>31</v>
      </c>
      <c r="R767" s="305">
        <v>2.7</v>
      </c>
      <c r="S767" s="304">
        <f>ROUND(J767*Q767*R767,0)</f>
        <v>5106</v>
      </c>
      <c r="T767" s="303">
        <f>U767+V767</f>
        <v>0</v>
      </c>
      <c r="U767" s="304"/>
      <c r="V767" s="304"/>
      <c r="W767" s="303">
        <f>Z767+AA767</f>
        <v>0</v>
      </c>
      <c r="X767" s="303"/>
      <c r="Y767" s="303"/>
      <c r="Z767" s="304"/>
      <c r="AA767" s="304"/>
      <c r="AB767" s="304"/>
      <c r="AC767" s="304">
        <v>1461</v>
      </c>
      <c r="AD767" s="304">
        <v>0</v>
      </c>
      <c r="AE767" s="303">
        <f>E767-AD767</f>
        <v>13587</v>
      </c>
      <c r="AF767" s="317"/>
      <c r="AG767" s="314">
        <f t="shared" si="911"/>
        <v>0</v>
      </c>
      <c r="AH767" s="696">
        <f t="shared" si="912"/>
        <v>0</v>
      </c>
      <c r="AI767" s="314">
        <f t="shared" si="913"/>
        <v>0</v>
      </c>
      <c r="AJ767" s="314">
        <f t="shared" si="914"/>
        <v>0</v>
      </c>
      <c r="AK767" s="314">
        <f t="shared" si="915"/>
        <v>0</v>
      </c>
      <c r="AL767" s="314">
        <f t="shared" si="916"/>
        <v>0</v>
      </c>
      <c r="AM767" s="314">
        <f t="shared" si="917"/>
        <v>0</v>
      </c>
      <c r="AN767" s="314">
        <f t="shared" si="918"/>
        <v>0</v>
      </c>
      <c r="AO767" s="314">
        <f t="shared" si="919"/>
        <v>0</v>
      </c>
      <c r="AP767" s="314">
        <f t="shared" si="920"/>
        <v>0</v>
      </c>
    </row>
    <row r="768" spans="1:42">
      <c r="A768" s="583" t="s">
        <v>23</v>
      </c>
      <c r="B768" s="324" t="s">
        <v>1652</v>
      </c>
      <c r="C768" s="304"/>
      <c r="D768" s="304">
        <v>759</v>
      </c>
      <c r="E768" s="304">
        <f>F768+AC768</f>
        <v>1286</v>
      </c>
      <c r="F768" s="304">
        <f>H768-AB768</f>
        <v>1129</v>
      </c>
      <c r="G768" s="304">
        <f>F768-D768</f>
        <v>370</v>
      </c>
      <c r="H768" s="303">
        <f>I768+W768</f>
        <v>1129</v>
      </c>
      <c r="I768" s="303">
        <f t="shared" ref="I768:I769" si="976">M768+P768</f>
        <v>1129</v>
      </c>
      <c r="J768" s="294">
        <v>12</v>
      </c>
      <c r="K768" s="294">
        <v>9</v>
      </c>
      <c r="L768" s="294">
        <f>J768-K768</f>
        <v>3</v>
      </c>
      <c r="M768" s="304">
        <f t="shared" ref="M768:M769" si="977">N768+O768</f>
        <v>757</v>
      </c>
      <c r="N768" s="294">
        <v>591</v>
      </c>
      <c r="O768" s="294">
        <v>166</v>
      </c>
      <c r="P768" s="303">
        <f>S768+T768</f>
        <v>372</v>
      </c>
      <c r="Q768" s="294">
        <f>Q767</f>
        <v>31</v>
      </c>
      <c r="R768" s="305">
        <v>1</v>
      </c>
      <c r="S768" s="304">
        <f>ROUND(J768*Q768*R768,0)</f>
        <v>372</v>
      </c>
      <c r="T768" s="303"/>
      <c r="U768" s="304"/>
      <c r="V768" s="304"/>
      <c r="W768" s="303"/>
      <c r="X768" s="303"/>
      <c r="Y768" s="303"/>
      <c r="Z768" s="304"/>
      <c r="AA768" s="304"/>
      <c r="AB768" s="304"/>
      <c r="AC768" s="304">
        <v>157</v>
      </c>
      <c r="AD768" s="304">
        <v>548</v>
      </c>
      <c r="AE768" s="303">
        <f>E768-AD768</f>
        <v>738</v>
      </c>
      <c r="AF768" s="317"/>
      <c r="AG768" s="314">
        <f t="shared" si="911"/>
        <v>0</v>
      </c>
      <c r="AH768" s="696">
        <f t="shared" si="912"/>
        <v>0</v>
      </c>
      <c r="AI768" s="314">
        <f t="shared" si="913"/>
        <v>0</v>
      </c>
      <c r="AJ768" s="314">
        <f t="shared" si="914"/>
        <v>0</v>
      </c>
      <c r="AK768" s="314">
        <f t="shared" si="915"/>
        <v>0</v>
      </c>
      <c r="AL768" s="314">
        <f t="shared" si="916"/>
        <v>0</v>
      </c>
      <c r="AM768" s="314">
        <f t="shared" si="917"/>
        <v>0</v>
      </c>
      <c r="AN768" s="314">
        <f t="shared" si="918"/>
        <v>0</v>
      </c>
      <c r="AO768" s="314">
        <f t="shared" si="919"/>
        <v>0</v>
      </c>
      <c r="AP768" s="314">
        <f t="shared" si="920"/>
        <v>0</v>
      </c>
    </row>
    <row r="769" spans="1:42" ht="27.6" hidden="1" outlineLevel="3">
      <c r="A769" s="583" t="s">
        <v>1110</v>
      </c>
      <c r="B769" s="324" t="s">
        <v>1521</v>
      </c>
      <c r="C769" s="304"/>
      <c r="D769" s="304">
        <v>490</v>
      </c>
      <c r="E769" s="304">
        <f>F769+AC769</f>
        <v>0</v>
      </c>
      <c r="F769" s="304">
        <f>H769-AB769</f>
        <v>0</v>
      </c>
      <c r="G769" s="304">
        <f>F769-D769</f>
        <v>-490</v>
      </c>
      <c r="H769" s="303">
        <f>I769+W769</f>
        <v>0</v>
      </c>
      <c r="I769" s="303">
        <f t="shared" si="976"/>
        <v>0</v>
      </c>
      <c r="J769" s="294"/>
      <c r="K769" s="294">
        <v>0</v>
      </c>
      <c r="L769" s="294"/>
      <c r="M769" s="304">
        <f t="shared" si="977"/>
        <v>0</v>
      </c>
      <c r="N769" s="294"/>
      <c r="O769" s="294"/>
      <c r="P769" s="303">
        <f t="shared" ref="P769" si="978">S769+T769</f>
        <v>0</v>
      </c>
      <c r="Q769" s="311">
        <v>0</v>
      </c>
      <c r="R769" s="305"/>
      <c r="S769" s="304">
        <f>J769*Q769</f>
        <v>0</v>
      </c>
      <c r="T769" s="303">
        <f t="shared" ref="T769" si="979">U769+V769</f>
        <v>0</v>
      </c>
      <c r="U769" s="304"/>
      <c r="V769" s="304"/>
      <c r="W769" s="303">
        <f>Z769+AA769</f>
        <v>0</v>
      </c>
      <c r="X769" s="303"/>
      <c r="Y769" s="303"/>
      <c r="Z769" s="304"/>
      <c r="AA769" s="304"/>
      <c r="AB769" s="304"/>
      <c r="AC769" s="304"/>
      <c r="AD769" s="304">
        <v>0</v>
      </c>
      <c r="AE769" s="303">
        <f>E769-AD769</f>
        <v>0</v>
      </c>
      <c r="AF769" s="317"/>
      <c r="AG769" s="314">
        <f t="shared" si="911"/>
        <v>0</v>
      </c>
      <c r="AH769" s="696">
        <f t="shared" si="912"/>
        <v>0</v>
      </c>
      <c r="AI769" s="314">
        <f t="shared" si="913"/>
        <v>0</v>
      </c>
      <c r="AJ769" s="314">
        <f t="shared" si="914"/>
        <v>0</v>
      </c>
      <c r="AK769" s="314">
        <f t="shared" si="915"/>
        <v>0</v>
      </c>
      <c r="AL769" s="314">
        <f t="shared" si="916"/>
        <v>0</v>
      </c>
      <c r="AM769" s="314">
        <f t="shared" si="917"/>
        <v>0</v>
      </c>
      <c r="AN769" s="314">
        <f t="shared" si="918"/>
        <v>0</v>
      </c>
      <c r="AO769" s="314">
        <f t="shared" si="919"/>
        <v>0</v>
      </c>
      <c r="AP769" s="314">
        <f t="shared" si="920"/>
        <v>0</v>
      </c>
    </row>
    <row r="770" spans="1:42" ht="27.6" collapsed="1">
      <c r="A770" s="583" t="s">
        <v>1110</v>
      </c>
      <c r="B770" s="1273" t="s">
        <v>1737</v>
      </c>
      <c r="C770" s="304"/>
      <c r="D770" s="303">
        <v>1780</v>
      </c>
      <c r="E770" s="303">
        <f>E774+E772+E771+E773+E775+E776+E777</f>
        <v>1808</v>
      </c>
      <c r="F770" s="303">
        <f t="shared" ref="F770:AC770" si="980">F774+F772+F771+F773+F775+F776+F777</f>
        <v>1808</v>
      </c>
      <c r="G770" s="303">
        <f t="shared" si="980"/>
        <v>28</v>
      </c>
      <c r="H770" s="303">
        <f t="shared" si="980"/>
        <v>1808</v>
      </c>
      <c r="I770" s="303">
        <f t="shared" si="980"/>
        <v>1808</v>
      </c>
      <c r="J770" s="303">
        <f t="shared" si="980"/>
        <v>0</v>
      </c>
      <c r="K770" s="303">
        <f t="shared" si="980"/>
        <v>0</v>
      </c>
      <c r="L770" s="303">
        <f t="shared" si="980"/>
        <v>0</v>
      </c>
      <c r="M770" s="303">
        <f t="shared" si="980"/>
        <v>0</v>
      </c>
      <c r="N770" s="303">
        <f t="shared" si="980"/>
        <v>0</v>
      </c>
      <c r="O770" s="303">
        <f t="shared" si="980"/>
        <v>0</v>
      </c>
      <c r="P770" s="303">
        <f t="shared" si="980"/>
        <v>1808</v>
      </c>
      <c r="Q770" s="303">
        <f t="shared" si="980"/>
        <v>0</v>
      </c>
      <c r="R770" s="303">
        <f t="shared" si="980"/>
        <v>0</v>
      </c>
      <c r="S770" s="303">
        <f t="shared" si="980"/>
        <v>0</v>
      </c>
      <c r="T770" s="303">
        <f t="shared" si="980"/>
        <v>1808</v>
      </c>
      <c r="U770" s="303">
        <f t="shared" si="980"/>
        <v>1808</v>
      </c>
      <c r="V770" s="303">
        <f t="shared" si="980"/>
        <v>0</v>
      </c>
      <c r="W770" s="303">
        <f t="shared" si="980"/>
        <v>0</v>
      </c>
      <c r="X770" s="303">
        <f t="shared" si="980"/>
        <v>0</v>
      </c>
      <c r="Y770" s="303">
        <f t="shared" si="980"/>
        <v>0</v>
      </c>
      <c r="Z770" s="303">
        <f t="shared" si="980"/>
        <v>0</v>
      </c>
      <c r="AA770" s="303">
        <f t="shared" si="980"/>
        <v>0</v>
      </c>
      <c r="AB770" s="303">
        <f t="shared" si="980"/>
        <v>0</v>
      </c>
      <c r="AC770" s="303">
        <f t="shared" si="980"/>
        <v>0</v>
      </c>
      <c r="AD770" s="303">
        <v>141</v>
      </c>
      <c r="AE770" s="303">
        <f>E770-AD770</f>
        <v>1667</v>
      </c>
      <c r="AF770" s="317"/>
      <c r="AG770" s="314">
        <f t="shared" si="911"/>
        <v>0</v>
      </c>
      <c r="AH770" s="696">
        <f t="shared" si="912"/>
        <v>0</v>
      </c>
      <c r="AI770" s="314">
        <f t="shared" si="913"/>
        <v>0</v>
      </c>
      <c r="AJ770" s="314">
        <f t="shared" si="914"/>
        <v>0</v>
      </c>
      <c r="AK770" s="314">
        <f t="shared" si="915"/>
        <v>0</v>
      </c>
      <c r="AL770" s="314">
        <f t="shared" si="916"/>
        <v>0</v>
      </c>
      <c r="AM770" s="314">
        <f t="shared" si="917"/>
        <v>0</v>
      </c>
      <c r="AN770" s="314">
        <f t="shared" si="918"/>
        <v>0</v>
      </c>
      <c r="AO770" s="314">
        <f t="shared" si="919"/>
        <v>0</v>
      </c>
      <c r="AP770" s="314">
        <f t="shared" si="920"/>
        <v>0</v>
      </c>
    </row>
    <row r="771" spans="1:42" ht="27.6" outlineLevel="1">
      <c r="A771" s="583" t="s">
        <v>23</v>
      </c>
      <c r="B771" s="324" t="s">
        <v>2408</v>
      </c>
      <c r="C771" s="317"/>
      <c r="D771" s="304">
        <v>326</v>
      </c>
      <c r="E771" s="304">
        <f t="shared" ref="E771:E778" si="981">F771+AC771</f>
        <v>326</v>
      </c>
      <c r="F771" s="304">
        <f t="shared" ref="F771:F778" si="982">H771-AB771</f>
        <v>326</v>
      </c>
      <c r="G771" s="304">
        <f t="shared" ref="G771:G778" si="983">F771-D771</f>
        <v>0</v>
      </c>
      <c r="H771" s="303">
        <f t="shared" ref="H771:H799" si="984">I771+W771</f>
        <v>326</v>
      </c>
      <c r="I771" s="303">
        <f t="shared" ref="I771:I778" si="985">M771+P771</f>
        <v>326</v>
      </c>
      <c r="J771" s="294"/>
      <c r="K771" s="294"/>
      <c r="L771" s="294"/>
      <c r="M771" s="304"/>
      <c r="N771" s="294"/>
      <c r="O771" s="294"/>
      <c r="P771" s="303">
        <f>S771+T771</f>
        <v>326</v>
      </c>
      <c r="Q771" s="294"/>
      <c r="R771" s="305"/>
      <c r="S771" s="304"/>
      <c r="T771" s="303">
        <f>U771+V771</f>
        <v>326</v>
      </c>
      <c r="U771" s="304">
        <v>326</v>
      </c>
      <c r="V771" s="304"/>
      <c r="W771" s="303">
        <f>Z771+AA771</f>
        <v>0</v>
      </c>
      <c r="X771" s="303"/>
      <c r="Y771" s="303"/>
      <c r="Z771" s="304"/>
      <c r="AA771" s="304"/>
      <c r="AB771" s="304"/>
      <c r="AC771" s="304"/>
      <c r="AD771" s="304"/>
      <c r="AE771" s="304"/>
      <c r="AF771" s="317"/>
      <c r="AG771" s="314">
        <f t="shared" si="911"/>
        <v>0</v>
      </c>
      <c r="AH771" s="696">
        <f t="shared" si="912"/>
        <v>0</v>
      </c>
      <c r="AI771" s="314">
        <f t="shared" si="913"/>
        <v>0</v>
      </c>
      <c r="AJ771" s="314">
        <f t="shared" si="914"/>
        <v>0</v>
      </c>
      <c r="AK771" s="314">
        <f t="shared" si="915"/>
        <v>0</v>
      </c>
      <c r="AL771" s="314">
        <f t="shared" si="916"/>
        <v>0</v>
      </c>
      <c r="AM771" s="314">
        <f t="shared" si="917"/>
        <v>0</v>
      </c>
      <c r="AN771" s="314">
        <f t="shared" si="918"/>
        <v>0</v>
      </c>
      <c r="AO771" s="314">
        <f t="shared" si="919"/>
        <v>0</v>
      </c>
      <c r="AP771" s="314">
        <f t="shared" si="920"/>
        <v>0</v>
      </c>
    </row>
    <row r="772" spans="1:42" ht="27.6" outlineLevel="1" collapsed="1">
      <c r="A772" s="583" t="s">
        <v>23</v>
      </c>
      <c r="B772" s="1262" t="s">
        <v>2543</v>
      </c>
      <c r="C772" s="304"/>
      <c r="D772" s="304">
        <v>223</v>
      </c>
      <c r="E772" s="304">
        <f t="shared" si="981"/>
        <v>223</v>
      </c>
      <c r="F772" s="304">
        <f t="shared" si="982"/>
        <v>223</v>
      </c>
      <c r="G772" s="304">
        <f t="shared" si="983"/>
        <v>0</v>
      </c>
      <c r="H772" s="303">
        <f t="shared" si="984"/>
        <v>223</v>
      </c>
      <c r="I772" s="303">
        <f t="shared" si="985"/>
        <v>223</v>
      </c>
      <c r="J772" s="294"/>
      <c r="K772" s="294"/>
      <c r="L772" s="294"/>
      <c r="M772" s="304"/>
      <c r="N772" s="294"/>
      <c r="O772" s="294"/>
      <c r="P772" s="303">
        <f t="shared" ref="P772:P778" si="986">S772+T772</f>
        <v>223</v>
      </c>
      <c r="Q772" s="294"/>
      <c r="R772" s="305"/>
      <c r="S772" s="304"/>
      <c r="T772" s="303">
        <f t="shared" ref="T772:T778" si="987">U772+V772</f>
        <v>223</v>
      </c>
      <c r="U772" s="304">
        <v>223</v>
      </c>
      <c r="V772" s="304"/>
      <c r="W772" s="303">
        <f>Z772+AA772</f>
        <v>0</v>
      </c>
      <c r="X772" s="303"/>
      <c r="Y772" s="303"/>
      <c r="Z772" s="304"/>
      <c r="AA772" s="304"/>
      <c r="AB772" s="304"/>
      <c r="AC772" s="304"/>
      <c r="AD772" s="304"/>
      <c r="AE772" s="304"/>
      <c r="AF772" s="317"/>
      <c r="AG772" s="314">
        <f t="shared" si="911"/>
        <v>0</v>
      </c>
      <c r="AH772" s="696">
        <f t="shared" si="912"/>
        <v>0</v>
      </c>
      <c r="AI772" s="314">
        <f t="shared" si="913"/>
        <v>0</v>
      </c>
      <c r="AJ772" s="314">
        <f t="shared" si="914"/>
        <v>0</v>
      </c>
      <c r="AK772" s="314">
        <f t="shared" si="915"/>
        <v>0</v>
      </c>
      <c r="AL772" s="314">
        <f t="shared" si="916"/>
        <v>0</v>
      </c>
      <c r="AM772" s="314">
        <f t="shared" si="917"/>
        <v>0</v>
      </c>
      <c r="AN772" s="314">
        <f t="shared" si="918"/>
        <v>0</v>
      </c>
      <c r="AO772" s="314">
        <f t="shared" si="919"/>
        <v>0</v>
      </c>
      <c r="AP772" s="314">
        <f t="shared" si="920"/>
        <v>0</v>
      </c>
    </row>
    <row r="773" spans="1:42" outlineLevel="1">
      <c r="A773" s="583" t="s">
        <v>23</v>
      </c>
      <c r="B773" s="324" t="s">
        <v>1111</v>
      </c>
      <c r="C773" s="317"/>
      <c r="D773" s="304">
        <v>203</v>
      </c>
      <c r="E773" s="304">
        <f t="shared" si="981"/>
        <v>214</v>
      </c>
      <c r="F773" s="304">
        <f t="shared" si="982"/>
        <v>214</v>
      </c>
      <c r="G773" s="304">
        <f t="shared" si="983"/>
        <v>11</v>
      </c>
      <c r="H773" s="303">
        <f t="shared" si="984"/>
        <v>214</v>
      </c>
      <c r="I773" s="303">
        <f t="shared" si="985"/>
        <v>214</v>
      </c>
      <c r="J773" s="294"/>
      <c r="K773" s="294"/>
      <c r="L773" s="294"/>
      <c r="M773" s="304"/>
      <c r="N773" s="294"/>
      <c r="O773" s="294"/>
      <c r="P773" s="303">
        <f t="shared" si="986"/>
        <v>214</v>
      </c>
      <c r="Q773" s="294"/>
      <c r="R773" s="305"/>
      <c r="S773" s="304"/>
      <c r="T773" s="303">
        <f t="shared" si="987"/>
        <v>214</v>
      </c>
      <c r="U773" s="304">
        <f>203+11</f>
        <v>214</v>
      </c>
      <c r="V773" s="304"/>
      <c r="W773" s="303"/>
      <c r="X773" s="303"/>
      <c r="Y773" s="303"/>
      <c r="Z773" s="304"/>
      <c r="AA773" s="304"/>
      <c r="AB773" s="304"/>
      <c r="AC773" s="304"/>
      <c r="AD773" s="304"/>
      <c r="AE773" s="304"/>
      <c r="AF773" s="317"/>
      <c r="AG773" s="314">
        <f t="shared" si="911"/>
        <v>0</v>
      </c>
      <c r="AH773" s="696">
        <f t="shared" si="912"/>
        <v>0</v>
      </c>
      <c r="AI773" s="314">
        <f t="shared" si="913"/>
        <v>0</v>
      </c>
      <c r="AJ773" s="314">
        <f t="shared" si="914"/>
        <v>0</v>
      </c>
      <c r="AK773" s="314">
        <f t="shared" si="915"/>
        <v>0</v>
      </c>
      <c r="AL773" s="314">
        <f t="shared" si="916"/>
        <v>0</v>
      </c>
      <c r="AM773" s="314">
        <f t="shared" si="917"/>
        <v>0</v>
      </c>
      <c r="AN773" s="314">
        <f t="shared" si="918"/>
        <v>0</v>
      </c>
      <c r="AO773" s="314">
        <f t="shared" si="919"/>
        <v>0</v>
      </c>
      <c r="AP773" s="314">
        <f t="shared" si="920"/>
        <v>0</v>
      </c>
    </row>
    <row r="774" spans="1:42" outlineLevel="1" collapsed="1">
      <c r="A774" s="583" t="s">
        <v>23</v>
      </c>
      <c r="B774" s="310" t="s">
        <v>1649</v>
      </c>
      <c r="C774" s="308"/>
      <c r="D774" s="304">
        <v>290</v>
      </c>
      <c r="E774" s="304">
        <f t="shared" si="981"/>
        <v>200</v>
      </c>
      <c r="F774" s="304">
        <f t="shared" si="982"/>
        <v>200</v>
      </c>
      <c r="G774" s="304">
        <f t="shared" si="983"/>
        <v>-90</v>
      </c>
      <c r="H774" s="303">
        <f t="shared" si="984"/>
        <v>200</v>
      </c>
      <c r="I774" s="303">
        <f>M774+P774</f>
        <v>200</v>
      </c>
      <c r="J774" s="294"/>
      <c r="K774" s="294"/>
      <c r="L774" s="294"/>
      <c r="M774" s="304"/>
      <c r="N774" s="294"/>
      <c r="O774" s="294"/>
      <c r="P774" s="303">
        <f>S774+T774</f>
        <v>200</v>
      </c>
      <c r="Q774" s="294"/>
      <c r="R774" s="305"/>
      <c r="S774" s="304"/>
      <c r="T774" s="303">
        <f>U774+V774</f>
        <v>200</v>
      </c>
      <c r="U774" s="304">
        <f>400-110-90</f>
        <v>200</v>
      </c>
      <c r="V774" s="304"/>
      <c r="W774" s="303">
        <f>Z774+AA774</f>
        <v>0</v>
      </c>
      <c r="X774" s="303"/>
      <c r="Y774" s="303"/>
      <c r="Z774" s="304"/>
      <c r="AA774" s="304"/>
      <c r="AB774" s="304"/>
      <c r="AC774" s="304"/>
      <c r="AD774" s="304"/>
      <c r="AE774" s="304"/>
      <c r="AF774" s="332"/>
      <c r="AG774" s="314">
        <f t="shared" si="911"/>
        <v>0</v>
      </c>
      <c r="AH774" s="696">
        <f t="shared" si="912"/>
        <v>0</v>
      </c>
      <c r="AI774" s="314">
        <f t="shared" si="913"/>
        <v>0</v>
      </c>
      <c r="AJ774" s="314">
        <f t="shared" si="914"/>
        <v>0</v>
      </c>
      <c r="AK774" s="314">
        <f t="shared" si="915"/>
        <v>0</v>
      </c>
      <c r="AL774" s="314">
        <f t="shared" si="916"/>
        <v>0</v>
      </c>
      <c r="AM774" s="314">
        <f t="shared" si="917"/>
        <v>0</v>
      </c>
      <c r="AN774" s="314">
        <f t="shared" si="918"/>
        <v>0</v>
      </c>
      <c r="AO774" s="314">
        <f t="shared" si="919"/>
        <v>0</v>
      </c>
      <c r="AP774" s="314">
        <f t="shared" si="920"/>
        <v>0</v>
      </c>
    </row>
    <row r="775" spans="1:42" ht="27.6" outlineLevel="1">
      <c r="A775" s="583" t="s">
        <v>23</v>
      </c>
      <c r="B775" s="310" t="s">
        <v>1095</v>
      </c>
      <c r="C775" s="308"/>
      <c r="D775" s="304">
        <v>200</v>
      </c>
      <c r="E775" s="304">
        <f t="shared" si="981"/>
        <v>200</v>
      </c>
      <c r="F775" s="304">
        <f t="shared" si="982"/>
        <v>200</v>
      </c>
      <c r="G775" s="304">
        <f t="shared" si="983"/>
        <v>0</v>
      </c>
      <c r="H775" s="303">
        <f t="shared" si="984"/>
        <v>200</v>
      </c>
      <c r="I775" s="303">
        <f>M775+P775</f>
        <v>200</v>
      </c>
      <c r="J775" s="294"/>
      <c r="K775" s="294"/>
      <c r="L775" s="294"/>
      <c r="M775" s="304"/>
      <c r="N775" s="294"/>
      <c r="O775" s="294"/>
      <c r="P775" s="303">
        <f>S775+T775</f>
        <v>200</v>
      </c>
      <c r="Q775" s="294"/>
      <c r="R775" s="305"/>
      <c r="S775" s="304"/>
      <c r="T775" s="303">
        <f>U775+V775</f>
        <v>200</v>
      </c>
      <c r="U775" s="304">
        <v>200</v>
      </c>
      <c r="V775" s="304"/>
      <c r="W775" s="303"/>
      <c r="X775" s="303"/>
      <c r="Y775" s="303"/>
      <c r="Z775" s="304"/>
      <c r="AA775" s="304"/>
      <c r="AB775" s="304"/>
      <c r="AC775" s="304"/>
      <c r="AD775" s="304"/>
      <c r="AE775" s="304"/>
      <c r="AF775" s="332"/>
      <c r="AG775" s="314">
        <f t="shared" si="911"/>
        <v>0</v>
      </c>
      <c r="AH775" s="696">
        <f t="shared" si="912"/>
        <v>0</v>
      </c>
      <c r="AI775" s="314">
        <f t="shared" si="913"/>
        <v>0</v>
      </c>
      <c r="AJ775" s="314">
        <f t="shared" si="914"/>
        <v>0</v>
      </c>
      <c r="AK775" s="314">
        <f t="shared" si="915"/>
        <v>0</v>
      </c>
      <c r="AL775" s="314">
        <f t="shared" si="916"/>
        <v>0</v>
      </c>
      <c r="AM775" s="314">
        <f t="shared" si="917"/>
        <v>0</v>
      </c>
      <c r="AN775" s="314">
        <f t="shared" si="918"/>
        <v>0</v>
      </c>
      <c r="AO775" s="314">
        <f t="shared" si="919"/>
        <v>0</v>
      </c>
      <c r="AP775" s="314">
        <f t="shared" si="920"/>
        <v>0</v>
      </c>
    </row>
    <row r="776" spans="1:42" ht="55.2" hidden="1" outlineLevel="3">
      <c r="A776" s="583" t="s">
        <v>23</v>
      </c>
      <c r="B776" s="310" t="s">
        <v>1696</v>
      </c>
      <c r="C776" s="308"/>
      <c r="D776" s="304">
        <v>538</v>
      </c>
      <c r="E776" s="304">
        <f t="shared" si="981"/>
        <v>0</v>
      </c>
      <c r="F776" s="304">
        <f t="shared" si="982"/>
        <v>0</v>
      </c>
      <c r="G776" s="304">
        <f t="shared" si="983"/>
        <v>-538</v>
      </c>
      <c r="H776" s="303">
        <f t="shared" si="984"/>
        <v>0</v>
      </c>
      <c r="I776" s="303">
        <f>M776+P776</f>
        <v>0</v>
      </c>
      <c r="J776" s="294"/>
      <c r="K776" s="294"/>
      <c r="L776" s="294"/>
      <c r="M776" s="304"/>
      <c r="N776" s="294"/>
      <c r="O776" s="294"/>
      <c r="P776" s="303">
        <f>S776+T776</f>
        <v>0</v>
      </c>
      <c r="Q776" s="294"/>
      <c r="R776" s="305"/>
      <c r="S776" s="304"/>
      <c r="T776" s="303">
        <f>U776+V776</f>
        <v>0</v>
      </c>
      <c r="U776" s="304"/>
      <c r="V776" s="304"/>
      <c r="W776" s="303"/>
      <c r="X776" s="303"/>
      <c r="Y776" s="303"/>
      <c r="Z776" s="304"/>
      <c r="AA776" s="304"/>
      <c r="AB776" s="304"/>
      <c r="AC776" s="304"/>
      <c r="AD776" s="304"/>
      <c r="AE776" s="304"/>
      <c r="AF776" s="332"/>
      <c r="AG776" s="314">
        <f t="shared" si="911"/>
        <v>0</v>
      </c>
      <c r="AH776" s="696">
        <f t="shared" si="912"/>
        <v>0</v>
      </c>
      <c r="AI776" s="314">
        <f t="shared" si="913"/>
        <v>0</v>
      </c>
      <c r="AJ776" s="314">
        <f t="shared" si="914"/>
        <v>0</v>
      </c>
      <c r="AK776" s="314">
        <f t="shared" si="915"/>
        <v>0</v>
      </c>
      <c r="AL776" s="314">
        <f t="shared" si="916"/>
        <v>0</v>
      </c>
      <c r="AM776" s="314">
        <f t="shared" si="917"/>
        <v>0</v>
      </c>
      <c r="AN776" s="314">
        <f t="shared" si="918"/>
        <v>0</v>
      </c>
      <c r="AO776" s="314">
        <f t="shared" si="919"/>
        <v>0</v>
      </c>
      <c r="AP776" s="314">
        <f t="shared" si="920"/>
        <v>0</v>
      </c>
    </row>
    <row r="777" spans="1:42" ht="69" outlineLevel="1" collapsed="1">
      <c r="A777" s="593" t="s">
        <v>23</v>
      </c>
      <c r="B777" s="324" t="s">
        <v>2429</v>
      </c>
      <c r="C777" s="304"/>
      <c r="D777" s="304"/>
      <c r="E777" s="304">
        <f t="shared" si="981"/>
        <v>645</v>
      </c>
      <c r="F777" s="304">
        <f t="shared" si="982"/>
        <v>645</v>
      </c>
      <c r="G777" s="304">
        <f t="shared" si="983"/>
        <v>645</v>
      </c>
      <c r="H777" s="303">
        <f t="shared" si="984"/>
        <v>645</v>
      </c>
      <c r="I777" s="303">
        <f>M777+P777</f>
        <v>645</v>
      </c>
      <c r="J777" s="311"/>
      <c r="K777" s="311"/>
      <c r="L777" s="311"/>
      <c r="M777" s="303"/>
      <c r="N777" s="311"/>
      <c r="O777" s="311"/>
      <c r="P777" s="303">
        <f>S777+T777</f>
        <v>645</v>
      </c>
      <c r="Q777" s="311"/>
      <c r="R777" s="312"/>
      <c r="S777" s="303"/>
      <c r="T777" s="303">
        <f>U777+V777</f>
        <v>645</v>
      </c>
      <c r="U777" s="303">
        <f>470+198-23</f>
        <v>645</v>
      </c>
      <c r="V777" s="303"/>
      <c r="W777" s="303"/>
      <c r="X777" s="303"/>
      <c r="Y777" s="303"/>
      <c r="Z777" s="303"/>
      <c r="AA777" s="303"/>
      <c r="AB777" s="304"/>
      <c r="AC777" s="304"/>
      <c r="AD777" s="304"/>
      <c r="AE777" s="304"/>
      <c r="AF777" s="1263"/>
      <c r="AG777" s="314">
        <f t="shared" si="911"/>
        <v>0</v>
      </c>
      <c r="AH777" s="696">
        <f t="shared" si="912"/>
        <v>0</v>
      </c>
      <c r="AI777" s="314">
        <f t="shared" si="913"/>
        <v>0</v>
      </c>
      <c r="AJ777" s="314">
        <f t="shared" si="914"/>
        <v>0</v>
      </c>
      <c r="AK777" s="314">
        <f t="shared" si="915"/>
        <v>0</v>
      </c>
      <c r="AL777" s="314">
        <f t="shared" si="916"/>
        <v>0</v>
      </c>
      <c r="AM777" s="314">
        <f t="shared" si="917"/>
        <v>0</v>
      </c>
      <c r="AN777" s="314">
        <f t="shared" si="918"/>
        <v>0</v>
      </c>
      <c r="AO777" s="314">
        <f t="shared" si="919"/>
        <v>0</v>
      </c>
      <c r="AP777" s="314">
        <f t="shared" si="920"/>
        <v>0</v>
      </c>
    </row>
    <row r="778" spans="1:42" s="314" customFormat="1">
      <c r="A778" s="591" t="s">
        <v>47</v>
      </c>
      <c r="B778" s="357" t="s">
        <v>1650</v>
      </c>
      <c r="C778" s="297"/>
      <c r="D778" s="297">
        <v>5000</v>
      </c>
      <c r="E778" s="297">
        <f t="shared" si="981"/>
        <v>5400</v>
      </c>
      <c r="F778" s="297">
        <f t="shared" si="982"/>
        <v>5400</v>
      </c>
      <c r="G778" s="297">
        <f t="shared" si="983"/>
        <v>400</v>
      </c>
      <c r="H778" s="299">
        <f t="shared" si="984"/>
        <v>5400</v>
      </c>
      <c r="I778" s="299">
        <f t="shared" si="985"/>
        <v>5400</v>
      </c>
      <c r="J778" s="318"/>
      <c r="K778" s="318"/>
      <c r="L778" s="318"/>
      <c r="M778" s="299"/>
      <c r="N778" s="318"/>
      <c r="O778" s="318"/>
      <c r="P778" s="299">
        <f t="shared" si="986"/>
        <v>5400</v>
      </c>
      <c r="Q778" s="318"/>
      <c r="R778" s="319"/>
      <c r="S778" s="299"/>
      <c r="T778" s="299">
        <f t="shared" si="987"/>
        <v>5400</v>
      </c>
      <c r="U778" s="299">
        <f>5000+23</f>
        <v>5023</v>
      </c>
      <c r="V778" s="299">
        <v>377</v>
      </c>
      <c r="W778" s="299">
        <f>Z778+AA778</f>
        <v>0</v>
      </c>
      <c r="X778" s="299"/>
      <c r="Y778" s="299"/>
      <c r="Z778" s="299"/>
      <c r="AA778" s="299"/>
      <c r="AB778" s="304"/>
      <c r="AC778" s="297"/>
      <c r="AD778" s="297">
        <v>540</v>
      </c>
      <c r="AE778" s="299">
        <f>E778-AD778</f>
        <v>4860</v>
      </c>
      <c r="AF778" s="321"/>
      <c r="AG778" s="314">
        <f t="shared" si="911"/>
        <v>0</v>
      </c>
      <c r="AH778" s="696">
        <f t="shared" si="912"/>
        <v>0</v>
      </c>
      <c r="AI778" s="314">
        <f t="shared" si="913"/>
        <v>0</v>
      </c>
      <c r="AJ778" s="314">
        <f t="shared" si="914"/>
        <v>0</v>
      </c>
      <c r="AK778" s="314">
        <f t="shared" si="915"/>
        <v>0</v>
      </c>
      <c r="AL778" s="314">
        <f t="shared" si="916"/>
        <v>0</v>
      </c>
      <c r="AM778" s="314">
        <f t="shared" si="917"/>
        <v>0</v>
      </c>
      <c r="AN778" s="314">
        <f t="shared" si="918"/>
        <v>0</v>
      </c>
      <c r="AO778" s="314">
        <f t="shared" si="919"/>
        <v>0</v>
      </c>
      <c r="AP778" s="314">
        <f t="shared" si="920"/>
        <v>0</v>
      </c>
    </row>
    <row r="779" spans="1:42" s="314" customFormat="1">
      <c r="A779" s="592" t="s">
        <v>1016</v>
      </c>
      <c r="B779" s="320" t="s">
        <v>1021</v>
      </c>
      <c r="C779" s="298" t="s">
        <v>728</v>
      </c>
      <c r="D779" s="299">
        <f t="shared" ref="D779" si="988">D780+D783</f>
        <v>16413</v>
      </c>
      <c r="E779" s="299">
        <f>E780+E783</f>
        <v>15228</v>
      </c>
      <c r="F779" s="299">
        <f>F780+F783</f>
        <v>15116</v>
      </c>
      <c r="G779" s="299">
        <f>G780+G783</f>
        <v>-1297</v>
      </c>
      <c r="H779" s="299">
        <f t="shared" ref="H779:AE779" si="989">H780+H783</f>
        <v>15228</v>
      </c>
      <c r="I779" s="299">
        <f t="shared" si="989"/>
        <v>754</v>
      </c>
      <c r="J779" s="299">
        <f t="shared" si="989"/>
        <v>7</v>
      </c>
      <c r="K779" s="299">
        <f t="shared" si="989"/>
        <v>7</v>
      </c>
      <c r="L779" s="299">
        <f t="shared" si="989"/>
        <v>0</v>
      </c>
      <c r="M779" s="299">
        <f t="shared" si="989"/>
        <v>537</v>
      </c>
      <c r="N779" s="299">
        <f t="shared" si="989"/>
        <v>537</v>
      </c>
      <c r="O779" s="299">
        <f t="shared" si="989"/>
        <v>0</v>
      </c>
      <c r="P779" s="299">
        <f t="shared" si="989"/>
        <v>217</v>
      </c>
      <c r="Q779" s="299">
        <f t="shared" si="989"/>
        <v>0</v>
      </c>
      <c r="R779" s="299">
        <f t="shared" si="989"/>
        <v>0</v>
      </c>
      <c r="S779" s="299">
        <f t="shared" si="989"/>
        <v>217</v>
      </c>
      <c r="T779" s="299">
        <f t="shared" si="989"/>
        <v>0</v>
      </c>
      <c r="U779" s="299">
        <f t="shared" si="989"/>
        <v>0</v>
      </c>
      <c r="V779" s="299">
        <f t="shared" si="989"/>
        <v>0</v>
      </c>
      <c r="W779" s="299">
        <f t="shared" si="989"/>
        <v>14474</v>
      </c>
      <c r="X779" s="299">
        <f t="shared" si="989"/>
        <v>0</v>
      </c>
      <c r="Y779" s="299">
        <f t="shared" si="989"/>
        <v>0</v>
      </c>
      <c r="Z779" s="299">
        <f t="shared" si="989"/>
        <v>14474</v>
      </c>
      <c r="AA779" s="299">
        <f t="shared" si="989"/>
        <v>0</v>
      </c>
      <c r="AB779" s="299">
        <f t="shared" si="989"/>
        <v>112</v>
      </c>
      <c r="AC779" s="299">
        <f t="shared" si="989"/>
        <v>112</v>
      </c>
      <c r="AD779" s="299">
        <f t="shared" si="989"/>
        <v>900</v>
      </c>
      <c r="AE779" s="299">
        <f t="shared" si="989"/>
        <v>14328</v>
      </c>
      <c r="AF779" s="321"/>
      <c r="AG779" s="314">
        <f t="shared" si="911"/>
        <v>0</v>
      </c>
      <c r="AH779" s="696">
        <f t="shared" si="912"/>
        <v>0</v>
      </c>
      <c r="AI779" s="314">
        <f t="shared" si="913"/>
        <v>0</v>
      </c>
      <c r="AJ779" s="314">
        <f t="shared" si="914"/>
        <v>0</v>
      </c>
      <c r="AK779" s="314">
        <f t="shared" si="915"/>
        <v>0</v>
      </c>
      <c r="AL779" s="314">
        <f t="shared" si="916"/>
        <v>0</v>
      </c>
      <c r="AM779" s="314">
        <f t="shared" si="917"/>
        <v>0</v>
      </c>
      <c r="AN779" s="314">
        <f t="shared" si="918"/>
        <v>0</v>
      </c>
      <c r="AO779" s="314">
        <f t="shared" si="919"/>
        <v>0</v>
      </c>
      <c r="AP779" s="314">
        <f t="shared" si="920"/>
        <v>0</v>
      </c>
    </row>
    <row r="780" spans="1:42">
      <c r="A780" s="583" t="s">
        <v>45</v>
      </c>
      <c r="B780" s="324" t="s">
        <v>846</v>
      </c>
      <c r="C780" s="304"/>
      <c r="D780" s="304">
        <f>D781+D782</f>
        <v>408</v>
      </c>
      <c r="E780" s="304">
        <f>E781+E782</f>
        <v>754</v>
      </c>
      <c r="F780" s="304">
        <f>F781+F782</f>
        <v>642</v>
      </c>
      <c r="G780" s="304">
        <f>G781+G782</f>
        <v>234</v>
      </c>
      <c r="H780" s="304">
        <f t="shared" ref="H780:AE780" si="990">H781+H782</f>
        <v>754</v>
      </c>
      <c r="I780" s="304">
        <f t="shared" si="990"/>
        <v>754</v>
      </c>
      <c r="J780" s="304">
        <f t="shared" si="990"/>
        <v>7</v>
      </c>
      <c r="K780" s="304">
        <f t="shared" si="990"/>
        <v>7</v>
      </c>
      <c r="L780" s="304">
        <f t="shared" si="990"/>
        <v>0</v>
      </c>
      <c r="M780" s="304">
        <f t="shared" si="990"/>
        <v>537</v>
      </c>
      <c r="N780" s="304">
        <f t="shared" si="990"/>
        <v>537</v>
      </c>
      <c r="O780" s="304">
        <f t="shared" si="990"/>
        <v>0</v>
      </c>
      <c r="P780" s="304">
        <f t="shared" si="990"/>
        <v>217</v>
      </c>
      <c r="Q780" s="304"/>
      <c r="R780" s="304"/>
      <c r="S780" s="304">
        <f t="shared" si="990"/>
        <v>217</v>
      </c>
      <c r="T780" s="304">
        <f t="shared" si="990"/>
        <v>0</v>
      </c>
      <c r="U780" s="304">
        <f t="shared" si="990"/>
        <v>0</v>
      </c>
      <c r="V780" s="304">
        <f t="shared" si="990"/>
        <v>0</v>
      </c>
      <c r="W780" s="304">
        <f t="shared" si="990"/>
        <v>0</v>
      </c>
      <c r="X780" s="304">
        <f t="shared" si="990"/>
        <v>0</v>
      </c>
      <c r="Y780" s="304">
        <f t="shared" si="990"/>
        <v>0</v>
      </c>
      <c r="Z780" s="304">
        <f t="shared" si="990"/>
        <v>0</v>
      </c>
      <c r="AA780" s="304">
        <f t="shared" si="990"/>
        <v>0</v>
      </c>
      <c r="AB780" s="304">
        <f t="shared" si="990"/>
        <v>112</v>
      </c>
      <c r="AC780" s="304">
        <f t="shared" si="990"/>
        <v>112</v>
      </c>
      <c r="AD780" s="304">
        <f t="shared" si="990"/>
        <v>22</v>
      </c>
      <c r="AE780" s="304">
        <f t="shared" si="990"/>
        <v>732</v>
      </c>
      <c r="AF780" s="317"/>
      <c r="AG780" s="314">
        <f t="shared" si="911"/>
        <v>0</v>
      </c>
      <c r="AH780" s="696">
        <f t="shared" si="912"/>
        <v>0</v>
      </c>
      <c r="AI780" s="314">
        <f t="shared" si="913"/>
        <v>0</v>
      </c>
      <c r="AJ780" s="314">
        <f t="shared" si="914"/>
        <v>0</v>
      </c>
      <c r="AK780" s="314">
        <f t="shared" si="915"/>
        <v>0</v>
      </c>
      <c r="AL780" s="314">
        <f t="shared" si="916"/>
        <v>0</v>
      </c>
      <c r="AM780" s="314">
        <f t="shared" si="917"/>
        <v>0</v>
      </c>
      <c r="AN780" s="314">
        <f t="shared" si="918"/>
        <v>0</v>
      </c>
      <c r="AO780" s="314">
        <f t="shared" si="919"/>
        <v>0</v>
      </c>
      <c r="AP780" s="314">
        <f t="shared" si="920"/>
        <v>0</v>
      </c>
    </row>
    <row r="781" spans="1:42" outlineLevel="1">
      <c r="A781" s="583" t="s">
        <v>23</v>
      </c>
      <c r="B781" s="324" t="s">
        <v>1651</v>
      </c>
      <c r="C781" s="304"/>
      <c r="D781" s="304">
        <v>408</v>
      </c>
      <c r="E781" s="304">
        <f>F781+AC781</f>
        <v>754</v>
      </c>
      <c r="F781" s="304">
        <f>H781-AB781</f>
        <v>642</v>
      </c>
      <c r="G781" s="304">
        <f>F781-D781</f>
        <v>234</v>
      </c>
      <c r="H781" s="303">
        <f>I781+W781</f>
        <v>754</v>
      </c>
      <c r="I781" s="303">
        <f t="shared" ref="I781" si="991">M781+P781</f>
        <v>754</v>
      </c>
      <c r="J781" s="294">
        <v>7</v>
      </c>
      <c r="K781" s="294">
        <v>7</v>
      </c>
      <c r="L781" s="294">
        <f t="shared" ref="L781" si="992">J781-K781</f>
        <v>0</v>
      </c>
      <c r="M781" s="304">
        <f t="shared" ref="M781" si="993">N781+O781</f>
        <v>537</v>
      </c>
      <c r="N781" s="294">
        <v>537</v>
      </c>
      <c r="O781" s="294">
        <v>0</v>
      </c>
      <c r="P781" s="303">
        <f t="shared" ref="P781" si="994">S781+T781</f>
        <v>217</v>
      </c>
      <c r="Q781" s="294">
        <v>31</v>
      </c>
      <c r="R781" s="305">
        <v>1</v>
      </c>
      <c r="S781" s="304">
        <f>ROUND(J781*Q781*R781,0)</f>
        <v>217</v>
      </c>
      <c r="T781" s="303"/>
      <c r="U781" s="304"/>
      <c r="V781" s="304"/>
      <c r="W781" s="303"/>
      <c r="X781" s="303"/>
      <c r="Y781" s="303"/>
      <c r="Z781" s="304"/>
      <c r="AA781" s="304"/>
      <c r="AB781" s="304">
        <v>112</v>
      </c>
      <c r="AC781" s="304">
        <v>112</v>
      </c>
      <c r="AD781" s="304">
        <v>22</v>
      </c>
      <c r="AE781" s="303">
        <f>E781-AD781</f>
        <v>732</v>
      </c>
      <c r="AF781" s="317"/>
      <c r="AG781" s="314">
        <f t="shared" si="911"/>
        <v>0</v>
      </c>
      <c r="AH781" s="696">
        <f t="shared" si="912"/>
        <v>0</v>
      </c>
      <c r="AI781" s="314">
        <f t="shared" si="913"/>
        <v>0</v>
      </c>
      <c r="AJ781" s="314">
        <f t="shared" si="914"/>
        <v>0</v>
      </c>
      <c r="AK781" s="314">
        <f t="shared" si="915"/>
        <v>0</v>
      </c>
      <c r="AL781" s="314">
        <f t="shared" si="916"/>
        <v>0</v>
      </c>
      <c r="AM781" s="314">
        <f t="shared" si="917"/>
        <v>0</v>
      </c>
      <c r="AN781" s="314">
        <f t="shared" si="918"/>
        <v>0</v>
      </c>
      <c r="AO781" s="314">
        <f t="shared" si="919"/>
        <v>0</v>
      </c>
      <c r="AP781" s="314">
        <f t="shared" si="920"/>
        <v>0</v>
      </c>
    </row>
    <row r="782" spans="1:42" hidden="1" outlineLevel="3">
      <c r="A782" s="583"/>
      <c r="B782" s="324"/>
      <c r="C782" s="304"/>
      <c r="D782" s="304"/>
      <c r="E782" s="304"/>
      <c r="F782" s="304"/>
      <c r="G782" s="304"/>
      <c r="H782" s="303"/>
      <c r="I782" s="303"/>
      <c r="J782" s="294"/>
      <c r="K782" s="294"/>
      <c r="L782" s="294"/>
      <c r="M782" s="304"/>
      <c r="N782" s="294"/>
      <c r="O782" s="294"/>
      <c r="P782" s="303"/>
      <c r="Q782" s="294"/>
      <c r="R782" s="305"/>
      <c r="S782" s="304"/>
      <c r="T782" s="303"/>
      <c r="U782" s="304"/>
      <c r="V782" s="304"/>
      <c r="W782" s="303"/>
      <c r="X782" s="303"/>
      <c r="Y782" s="303"/>
      <c r="Z782" s="304"/>
      <c r="AA782" s="304"/>
      <c r="AB782" s="304"/>
      <c r="AC782" s="304"/>
      <c r="AD782" s="304"/>
      <c r="AE782" s="303"/>
      <c r="AF782" s="317"/>
      <c r="AG782" s="314">
        <f t="shared" si="911"/>
        <v>0</v>
      </c>
      <c r="AH782" s="696">
        <f t="shared" si="912"/>
        <v>0</v>
      </c>
      <c r="AI782" s="314">
        <f t="shared" si="913"/>
        <v>0</v>
      </c>
      <c r="AJ782" s="314">
        <f t="shared" si="914"/>
        <v>0</v>
      </c>
      <c r="AK782" s="314">
        <f t="shared" si="915"/>
        <v>0</v>
      </c>
      <c r="AL782" s="314">
        <f t="shared" si="916"/>
        <v>0</v>
      </c>
      <c r="AM782" s="314">
        <f t="shared" si="917"/>
        <v>0</v>
      </c>
      <c r="AN782" s="314">
        <f t="shared" si="918"/>
        <v>0</v>
      </c>
      <c r="AO782" s="314">
        <f t="shared" si="919"/>
        <v>0</v>
      </c>
      <c r="AP782" s="314">
        <f t="shared" si="920"/>
        <v>0</v>
      </c>
    </row>
    <row r="783" spans="1:42">
      <c r="A783" s="593" t="s">
        <v>47</v>
      </c>
      <c r="B783" s="316" t="s">
        <v>854</v>
      </c>
      <c r="C783" s="302"/>
      <c r="D783" s="303">
        <v>16005</v>
      </c>
      <c r="E783" s="303">
        <f>E784+E785+E786+E787+E788+E789+E790+E791</f>
        <v>14474</v>
      </c>
      <c r="F783" s="303">
        <f t="shared" ref="F783:AC783" si="995">F784+F785+F786+F787+F788+F789+F790+F791</f>
        <v>14474</v>
      </c>
      <c r="G783" s="303">
        <f t="shared" si="995"/>
        <v>-1531</v>
      </c>
      <c r="H783" s="303">
        <f t="shared" si="995"/>
        <v>14474</v>
      </c>
      <c r="I783" s="303">
        <f t="shared" si="995"/>
        <v>0</v>
      </c>
      <c r="J783" s="303">
        <f t="shared" si="995"/>
        <v>0</v>
      </c>
      <c r="K783" s="303">
        <f t="shared" si="995"/>
        <v>0</v>
      </c>
      <c r="L783" s="303">
        <f t="shared" si="995"/>
        <v>0</v>
      </c>
      <c r="M783" s="303">
        <f t="shared" si="995"/>
        <v>0</v>
      </c>
      <c r="N783" s="303">
        <f t="shared" si="995"/>
        <v>0</v>
      </c>
      <c r="O783" s="303">
        <f t="shared" si="995"/>
        <v>0</v>
      </c>
      <c r="P783" s="303">
        <f t="shared" si="995"/>
        <v>0</v>
      </c>
      <c r="Q783" s="303">
        <f t="shared" si="995"/>
        <v>0</v>
      </c>
      <c r="R783" s="303">
        <f t="shared" si="995"/>
        <v>0</v>
      </c>
      <c r="S783" s="303">
        <f t="shared" si="995"/>
        <v>0</v>
      </c>
      <c r="T783" s="303">
        <f t="shared" si="995"/>
        <v>0</v>
      </c>
      <c r="U783" s="303">
        <f t="shared" si="995"/>
        <v>0</v>
      </c>
      <c r="V783" s="303">
        <f t="shared" si="995"/>
        <v>0</v>
      </c>
      <c r="W783" s="303">
        <f t="shared" si="995"/>
        <v>14474</v>
      </c>
      <c r="X783" s="303">
        <f t="shared" si="995"/>
        <v>0</v>
      </c>
      <c r="Y783" s="303">
        <f t="shared" si="995"/>
        <v>0</v>
      </c>
      <c r="Z783" s="303">
        <f t="shared" si="995"/>
        <v>14474</v>
      </c>
      <c r="AA783" s="303">
        <f t="shared" si="995"/>
        <v>0</v>
      </c>
      <c r="AB783" s="303">
        <f t="shared" si="995"/>
        <v>0</v>
      </c>
      <c r="AC783" s="303">
        <f t="shared" si="995"/>
        <v>0</v>
      </c>
      <c r="AD783" s="303">
        <v>878</v>
      </c>
      <c r="AE783" s="303">
        <f>E783-AD783</f>
        <v>13596</v>
      </c>
      <c r="AF783" s="317"/>
      <c r="AG783" s="314">
        <f t="shared" si="911"/>
        <v>0</v>
      </c>
      <c r="AH783" s="696">
        <f t="shared" si="912"/>
        <v>0</v>
      </c>
      <c r="AI783" s="314">
        <f t="shared" si="913"/>
        <v>0</v>
      </c>
      <c r="AJ783" s="314">
        <f t="shared" si="914"/>
        <v>0</v>
      </c>
      <c r="AK783" s="314">
        <f t="shared" si="915"/>
        <v>0</v>
      </c>
      <c r="AL783" s="314">
        <f t="shared" si="916"/>
        <v>0</v>
      </c>
      <c r="AM783" s="314">
        <f t="shared" si="917"/>
        <v>0</v>
      </c>
      <c r="AN783" s="314">
        <f t="shared" si="918"/>
        <v>0</v>
      </c>
      <c r="AO783" s="314">
        <f t="shared" si="919"/>
        <v>0</v>
      </c>
      <c r="AP783" s="314">
        <f t="shared" si="920"/>
        <v>0</v>
      </c>
    </row>
    <row r="784" spans="1:42" ht="151.80000000000001" outlineLevel="1">
      <c r="A784" s="583" t="s">
        <v>23</v>
      </c>
      <c r="B784" s="324" t="s">
        <v>1113</v>
      </c>
      <c r="C784" s="304"/>
      <c r="D784" s="304">
        <v>1455</v>
      </c>
      <c r="E784" s="304">
        <f t="shared" ref="E784:E791" si="996">F784+AC784</f>
        <v>1569</v>
      </c>
      <c r="F784" s="304">
        <f t="shared" ref="F784:F791" si="997">H784-AB784</f>
        <v>1569</v>
      </c>
      <c r="G784" s="304">
        <f t="shared" ref="G784:G793" si="998">F784-D784</f>
        <v>114</v>
      </c>
      <c r="H784" s="303">
        <f t="shared" si="984"/>
        <v>1569</v>
      </c>
      <c r="I784" s="303">
        <f>M784+P784</f>
        <v>0</v>
      </c>
      <c r="J784" s="311"/>
      <c r="K784" s="311"/>
      <c r="L784" s="311"/>
      <c r="M784" s="303"/>
      <c r="N784" s="311"/>
      <c r="O784" s="311"/>
      <c r="P784" s="303">
        <f>S784+T784</f>
        <v>0</v>
      </c>
      <c r="Q784" s="311"/>
      <c r="R784" s="312"/>
      <c r="S784" s="303"/>
      <c r="T784" s="303">
        <f>U784+V784</f>
        <v>0</v>
      </c>
      <c r="U784" s="303"/>
      <c r="V784" s="303"/>
      <c r="W784" s="303">
        <f t="shared" ref="W784:W791" si="999">Z784+AA784</f>
        <v>1569</v>
      </c>
      <c r="X784" s="303"/>
      <c r="Y784" s="303"/>
      <c r="Z784" s="303">
        <f>1455+114</f>
        <v>1569</v>
      </c>
      <c r="AA784" s="303"/>
      <c r="AB784" s="304"/>
      <c r="AC784" s="304"/>
      <c r="AD784" s="304"/>
      <c r="AE784" s="303"/>
      <c r="AF784" s="1263" t="s">
        <v>2202</v>
      </c>
      <c r="AG784" s="314">
        <f t="shared" si="911"/>
        <v>0</v>
      </c>
      <c r="AH784" s="696">
        <f t="shared" si="912"/>
        <v>0</v>
      </c>
      <c r="AI784" s="314">
        <f t="shared" si="913"/>
        <v>0</v>
      </c>
      <c r="AJ784" s="314">
        <f t="shared" si="914"/>
        <v>0</v>
      </c>
      <c r="AK784" s="314">
        <f t="shared" si="915"/>
        <v>0</v>
      </c>
      <c r="AL784" s="314">
        <f t="shared" si="916"/>
        <v>0</v>
      </c>
      <c r="AM784" s="314">
        <f t="shared" si="917"/>
        <v>0</v>
      </c>
      <c r="AN784" s="314">
        <f t="shared" si="918"/>
        <v>0</v>
      </c>
      <c r="AO784" s="314">
        <f t="shared" si="919"/>
        <v>0</v>
      </c>
      <c r="AP784" s="314">
        <f t="shared" si="920"/>
        <v>0</v>
      </c>
    </row>
    <row r="785" spans="1:42" ht="41.4" outlineLevel="1">
      <c r="A785" s="583" t="s">
        <v>23</v>
      </c>
      <c r="B785" s="324" t="s">
        <v>2203</v>
      </c>
      <c r="C785" s="304"/>
      <c r="D785" s="304">
        <v>1354</v>
      </c>
      <c r="E785" s="304">
        <f t="shared" si="996"/>
        <v>1815</v>
      </c>
      <c r="F785" s="304">
        <f t="shared" si="997"/>
        <v>1815</v>
      </c>
      <c r="G785" s="304">
        <f t="shared" si="998"/>
        <v>461</v>
      </c>
      <c r="H785" s="303">
        <f t="shared" si="984"/>
        <v>1815</v>
      </c>
      <c r="I785" s="303"/>
      <c r="J785" s="311"/>
      <c r="K785" s="311"/>
      <c r="L785" s="311"/>
      <c r="M785" s="303"/>
      <c r="N785" s="311"/>
      <c r="O785" s="311"/>
      <c r="P785" s="303"/>
      <c r="Q785" s="311"/>
      <c r="R785" s="312"/>
      <c r="S785" s="303"/>
      <c r="T785" s="303"/>
      <c r="U785" s="303"/>
      <c r="V785" s="303"/>
      <c r="W785" s="303">
        <f t="shared" si="999"/>
        <v>1815</v>
      </c>
      <c r="X785" s="303"/>
      <c r="Y785" s="303"/>
      <c r="Z785" s="303">
        <f>1354+461</f>
        <v>1815</v>
      </c>
      <c r="AA785" s="303"/>
      <c r="AB785" s="304"/>
      <c r="AC785" s="304"/>
      <c r="AD785" s="304"/>
      <c r="AE785" s="303"/>
      <c r="AF785" s="317" t="s">
        <v>2204</v>
      </c>
      <c r="AG785" s="314">
        <f t="shared" si="911"/>
        <v>0</v>
      </c>
      <c r="AH785" s="696">
        <f t="shared" si="912"/>
        <v>0</v>
      </c>
      <c r="AI785" s="314">
        <f t="shared" si="913"/>
        <v>0</v>
      </c>
      <c r="AJ785" s="314">
        <f t="shared" si="914"/>
        <v>0</v>
      </c>
      <c r="AK785" s="314">
        <f t="shared" si="915"/>
        <v>0</v>
      </c>
      <c r="AL785" s="314">
        <f t="shared" si="916"/>
        <v>0</v>
      </c>
      <c r="AM785" s="314">
        <f t="shared" si="917"/>
        <v>0</v>
      </c>
      <c r="AN785" s="314">
        <f t="shared" si="918"/>
        <v>0</v>
      </c>
      <c r="AO785" s="314">
        <f t="shared" si="919"/>
        <v>0</v>
      </c>
      <c r="AP785" s="314">
        <f t="shared" si="920"/>
        <v>0</v>
      </c>
    </row>
    <row r="786" spans="1:42" ht="41.4" outlineLevel="1">
      <c r="A786" s="583" t="s">
        <v>23</v>
      </c>
      <c r="B786" s="324" t="s">
        <v>2205</v>
      </c>
      <c r="C786" s="304"/>
      <c r="D786" s="304">
        <v>1377</v>
      </c>
      <c r="E786" s="304">
        <f t="shared" si="996"/>
        <v>2309</v>
      </c>
      <c r="F786" s="304">
        <f t="shared" si="997"/>
        <v>2309</v>
      </c>
      <c r="G786" s="304">
        <f t="shared" si="998"/>
        <v>932</v>
      </c>
      <c r="H786" s="303">
        <f t="shared" si="984"/>
        <v>2309</v>
      </c>
      <c r="I786" s="303"/>
      <c r="J786" s="311"/>
      <c r="K786" s="311"/>
      <c r="L786" s="311"/>
      <c r="M786" s="303"/>
      <c r="N786" s="311"/>
      <c r="O786" s="311"/>
      <c r="P786" s="303"/>
      <c r="Q786" s="311"/>
      <c r="R786" s="312"/>
      <c r="S786" s="303"/>
      <c r="T786" s="303"/>
      <c r="U786" s="303"/>
      <c r="V786" s="303"/>
      <c r="W786" s="303">
        <f t="shared" si="999"/>
        <v>2309</v>
      </c>
      <c r="X786" s="303"/>
      <c r="Y786" s="303"/>
      <c r="Z786" s="303">
        <f>1377+932</f>
        <v>2309</v>
      </c>
      <c r="AA786" s="303"/>
      <c r="AB786" s="304"/>
      <c r="AC786" s="304"/>
      <c r="AD786" s="304"/>
      <c r="AE786" s="303"/>
      <c r="AF786" s="317" t="s">
        <v>2206</v>
      </c>
      <c r="AG786" s="314">
        <f t="shared" si="911"/>
        <v>0</v>
      </c>
      <c r="AH786" s="696">
        <f t="shared" si="912"/>
        <v>0</v>
      </c>
      <c r="AI786" s="314">
        <f t="shared" si="913"/>
        <v>0</v>
      </c>
      <c r="AJ786" s="314">
        <f t="shared" si="914"/>
        <v>0</v>
      </c>
      <c r="AK786" s="314">
        <f t="shared" si="915"/>
        <v>0</v>
      </c>
      <c r="AL786" s="314">
        <f t="shared" si="916"/>
        <v>0</v>
      </c>
      <c r="AM786" s="314">
        <f t="shared" si="917"/>
        <v>0</v>
      </c>
      <c r="AN786" s="314">
        <f t="shared" si="918"/>
        <v>0</v>
      </c>
      <c r="AO786" s="314">
        <f t="shared" si="919"/>
        <v>0</v>
      </c>
      <c r="AP786" s="314">
        <f t="shared" si="920"/>
        <v>0</v>
      </c>
    </row>
    <row r="787" spans="1:42" ht="27.6" hidden="1" outlineLevel="3">
      <c r="A787" s="583" t="s">
        <v>23</v>
      </c>
      <c r="B787" s="324" t="s">
        <v>1114</v>
      </c>
      <c r="C787" s="304"/>
      <c r="D787" s="304">
        <v>225</v>
      </c>
      <c r="E787" s="304">
        <f t="shared" si="996"/>
        <v>0</v>
      </c>
      <c r="F787" s="304">
        <f t="shared" si="997"/>
        <v>0</v>
      </c>
      <c r="G787" s="304">
        <f t="shared" si="998"/>
        <v>-225</v>
      </c>
      <c r="H787" s="303">
        <f t="shared" si="984"/>
        <v>0</v>
      </c>
      <c r="I787" s="303"/>
      <c r="J787" s="311"/>
      <c r="K787" s="311"/>
      <c r="L787" s="311"/>
      <c r="M787" s="303"/>
      <c r="N787" s="311"/>
      <c r="O787" s="311"/>
      <c r="P787" s="303"/>
      <c r="Q787" s="311"/>
      <c r="R787" s="312"/>
      <c r="S787" s="303"/>
      <c r="T787" s="303"/>
      <c r="U787" s="303"/>
      <c r="V787" s="303"/>
      <c r="W787" s="303">
        <f t="shared" si="999"/>
        <v>0</v>
      </c>
      <c r="X787" s="303"/>
      <c r="Y787" s="303"/>
      <c r="Z787" s="303">
        <f>225-27-198</f>
        <v>0</v>
      </c>
      <c r="AA787" s="303"/>
      <c r="AB787" s="304"/>
      <c r="AC787" s="304"/>
      <c r="AD787" s="304"/>
      <c r="AE787" s="303"/>
      <c r="AF787" s="317" t="s">
        <v>2042</v>
      </c>
      <c r="AG787" s="314">
        <f t="shared" si="911"/>
        <v>0</v>
      </c>
      <c r="AH787" s="696">
        <f t="shared" si="912"/>
        <v>0</v>
      </c>
      <c r="AI787" s="314">
        <f t="shared" si="913"/>
        <v>0</v>
      </c>
      <c r="AJ787" s="314">
        <f t="shared" si="914"/>
        <v>0</v>
      </c>
      <c r="AK787" s="314">
        <f t="shared" si="915"/>
        <v>0</v>
      </c>
      <c r="AL787" s="314">
        <f t="shared" si="916"/>
        <v>0</v>
      </c>
      <c r="AM787" s="314">
        <f t="shared" si="917"/>
        <v>0</v>
      </c>
      <c r="AN787" s="314">
        <f t="shared" si="918"/>
        <v>0</v>
      </c>
      <c r="AO787" s="314">
        <f t="shared" si="919"/>
        <v>0</v>
      </c>
      <c r="AP787" s="314">
        <f t="shared" si="920"/>
        <v>0</v>
      </c>
    </row>
    <row r="788" spans="1:42" ht="151.80000000000001" outlineLevel="1" collapsed="1">
      <c r="A788" s="583" t="s">
        <v>23</v>
      </c>
      <c r="B788" s="324" t="s">
        <v>2409</v>
      </c>
      <c r="C788" s="304"/>
      <c r="D788" s="304">
        <v>4840</v>
      </c>
      <c r="E788" s="304">
        <f t="shared" si="996"/>
        <v>1600</v>
      </c>
      <c r="F788" s="304">
        <f t="shared" si="997"/>
        <v>1600</v>
      </c>
      <c r="G788" s="304">
        <f t="shared" si="998"/>
        <v>-3240</v>
      </c>
      <c r="H788" s="303">
        <f t="shared" si="984"/>
        <v>1600</v>
      </c>
      <c r="I788" s="303"/>
      <c r="J788" s="311"/>
      <c r="K788" s="311"/>
      <c r="L788" s="311"/>
      <c r="M788" s="303"/>
      <c r="N788" s="311"/>
      <c r="O788" s="311"/>
      <c r="P788" s="303"/>
      <c r="Q788" s="311"/>
      <c r="R788" s="312"/>
      <c r="S788" s="303"/>
      <c r="T788" s="303"/>
      <c r="U788" s="303"/>
      <c r="V788" s="303"/>
      <c r="W788" s="303">
        <f t="shared" si="999"/>
        <v>1600</v>
      </c>
      <c r="X788" s="303"/>
      <c r="Y788" s="303"/>
      <c r="Z788" s="303">
        <f>4840-3240</f>
        <v>1600</v>
      </c>
      <c r="AA788" s="303"/>
      <c r="AB788" s="304"/>
      <c r="AC788" s="304"/>
      <c r="AD788" s="304"/>
      <c r="AE788" s="303"/>
      <c r="AF788" s="1263" t="s">
        <v>2207</v>
      </c>
      <c r="AG788" s="314">
        <f t="shared" si="911"/>
        <v>0</v>
      </c>
      <c r="AH788" s="696">
        <f t="shared" si="912"/>
        <v>0</v>
      </c>
      <c r="AI788" s="314">
        <f t="shared" si="913"/>
        <v>0</v>
      </c>
      <c r="AJ788" s="314">
        <f t="shared" si="914"/>
        <v>0</v>
      </c>
      <c r="AK788" s="314">
        <f t="shared" si="915"/>
        <v>0</v>
      </c>
      <c r="AL788" s="314">
        <f t="shared" si="916"/>
        <v>0</v>
      </c>
      <c r="AM788" s="314">
        <f t="shared" si="917"/>
        <v>0</v>
      </c>
      <c r="AN788" s="314">
        <f t="shared" si="918"/>
        <v>0</v>
      </c>
      <c r="AO788" s="314">
        <f t="shared" si="919"/>
        <v>0</v>
      </c>
      <c r="AP788" s="314">
        <f t="shared" si="920"/>
        <v>0</v>
      </c>
    </row>
    <row r="789" spans="1:42" ht="27.6" outlineLevel="1" collapsed="1">
      <c r="A789" s="583" t="s">
        <v>23</v>
      </c>
      <c r="B789" s="324" t="s">
        <v>1653</v>
      </c>
      <c r="C789" s="304"/>
      <c r="D789" s="304">
        <v>3922</v>
      </c>
      <c r="E789" s="304">
        <f t="shared" si="996"/>
        <v>4995</v>
      </c>
      <c r="F789" s="304">
        <f t="shared" si="997"/>
        <v>4995</v>
      </c>
      <c r="G789" s="304">
        <f t="shared" si="998"/>
        <v>1073</v>
      </c>
      <c r="H789" s="303">
        <f t="shared" si="984"/>
        <v>4995</v>
      </c>
      <c r="I789" s="303"/>
      <c r="J789" s="311"/>
      <c r="K789" s="311"/>
      <c r="L789" s="311"/>
      <c r="M789" s="303"/>
      <c r="N789" s="311"/>
      <c r="O789" s="311"/>
      <c r="P789" s="303"/>
      <c r="Q789" s="311"/>
      <c r="R789" s="312"/>
      <c r="S789" s="303"/>
      <c r="T789" s="303"/>
      <c r="U789" s="303"/>
      <c r="V789" s="303"/>
      <c r="W789" s="303">
        <f t="shared" si="999"/>
        <v>4995</v>
      </c>
      <c r="X789" s="303"/>
      <c r="Y789" s="303"/>
      <c r="Z789" s="304">
        <f>3922+892+181</f>
        <v>4995</v>
      </c>
      <c r="AA789" s="304"/>
      <c r="AB789" s="304"/>
      <c r="AC789" s="304"/>
      <c r="AD789" s="304"/>
      <c r="AE789" s="303"/>
      <c r="AF789" s="317"/>
      <c r="AG789" s="314">
        <f t="shared" si="911"/>
        <v>0</v>
      </c>
      <c r="AH789" s="696">
        <f t="shared" si="912"/>
        <v>0</v>
      </c>
      <c r="AI789" s="314">
        <f t="shared" si="913"/>
        <v>0</v>
      </c>
      <c r="AJ789" s="314">
        <f t="shared" si="914"/>
        <v>0</v>
      </c>
      <c r="AK789" s="314">
        <f t="shared" si="915"/>
        <v>0</v>
      </c>
      <c r="AL789" s="314">
        <f t="shared" si="916"/>
        <v>0</v>
      </c>
      <c r="AM789" s="314">
        <f t="shared" si="917"/>
        <v>0</v>
      </c>
      <c r="AN789" s="314">
        <f t="shared" si="918"/>
        <v>0</v>
      </c>
      <c r="AO789" s="314">
        <f t="shared" si="919"/>
        <v>0</v>
      </c>
      <c r="AP789" s="314">
        <f t="shared" si="920"/>
        <v>0</v>
      </c>
    </row>
    <row r="790" spans="1:42" ht="234.6" outlineLevel="1">
      <c r="A790" s="583" t="s">
        <v>23</v>
      </c>
      <c r="B790" s="310" t="s">
        <v>1112</v>
      </c>
      <c r="C790" s="308"/>
      <c r="D790" s="304">
        <v>2832</v>
      </c>
      <c r="E790" s="304">
        <f t="shared" si="996"/>
        <v>2186</v>
      </c>
      <c r="F790" s="304">
        <f t="shared" si="997"/>
        <v>2186</v>
      </c>
      <c r="G790" s="304">
        <f t="shared" si="998"/>
        <v>-646</v>
      </c>
      <c r="H790" s="303">
        <f>I790+W790</f>
        <v>2186</v>
      </c>
      <c r="I790" s="303">
        <f>M790+P790</f>
        <v>0</v>
      </c>
      <c r="J790" s="294"/>
      <c r="K790" s="294"/>
      <c r="L790" s="294"/>
      <c r="M790" s="304"/>
      <c r="N790" s="294"/>
      <c r="O790" s="294"/>
      <c r="P790" s="303">
        <f>S790+T790</f>
        <v>0</v>
      </c>
      <c r="Q790" s="294"/>
      <c r="R790" s="305"/>
      <c r="S790" s="304"/>
      <c r="T790" s="303">
        <f>U790+V790</f>
        <v>0</v>
      </c>
      <c r="U790" s="304"/>
      <c r="V790" s="304"/>
      <c r="W790" s="303">
        <f t="shared" si="999"/>
        <v>2186</v>
      </c>
      <c r="X790" s="303"/>
      <c r="Y790" s="303"/>
      <c r="Z790" s="304">
        <f>2832-856+210</f>
        <v>2186</v>
      </c>
      <c r="AA790" s="304"/>
      <c r="AB790" s="304"/>
      <c r="AC790" s="304"/>
      <c r="AD790" s="304"/>
      <c r="AE790" s="303"/>
      <c r="AF790" s="1263" t="s">
        <v>2208</v>
      </c>
      <c r="AG790" s="314">
        <f t="shared" ref="AG790:AG853" si="1000">E790-F790-AC790</f>
        <v>0</v>
      </c>
      <c r="AH790" s="696">
        <f t="shared" ref="AH790:AH853" si="1001">F790-H790+AB790</f>
        <v>0</v>
      </c>
      <c r="AI790" s="314">
        <f t="shared" ref="AI790:AI853" si="1002">H790-I790-W790</f>
        <v>0</v>
      </c>
      <c r="AJ790" s="314">
        <f t="shared" ref="AJ790:AJ853" si="1003">I790-M790-P790</f>
        <v>0</v>
      </c>
      <c r="AK790" s="314">
        <f t="shared" ref="AK790:AK853" si="1004">J790-K790-L790</f>
        <v>0</v>
      </c>
      <c r="AL790" s="314">
        <f t="shared" ref="AL790:AL853" si="1005">M790-N790-O790</f>
        <v>0</v>
      </c>
      <c r="AM790" s="314">
        <f t="shared" ref="AM790:AM853" si="1006">P790-S790-T790</f>
        <v>0</v>
      </c>
      <c r="AN790" s="314">
        <f t="shared" ref="AN790:AN853" si="1007">T790-U790-V790</f>
        <v>0</v>
      </c>
      <c r="AO790" s="314">
        <f t="shared" ref="AO790:AO853" si="1008">W790-Z790-AA790</f>
        <v>0</v>
      </c>
      <c r="AP790" s="314">
        <f t="shared" ref="AP790:AP853" si="1009">AC790+AA790+Z790+V790+U790+S790+O790+N790-AB790-E790</f>
        <v>0</v>
      </c>
    </row>
    <row r="791" spans="1:42" ht="41.4" hidden="1" outlineLevel="3">
      <c r="A791" s="593" t="s">
        <v>23</v>
      </c>
      <c r="B791" s="324" t="s">
        <v>2209</v>
      </c>
      <c r="C791" s="304"/>
      <c r="D791" s="304"/>
      <c r="E791" s="304">
        <f t="shared" si="996"/>
        <v>0</v>
      </c>
      <c r="F791" s="304">
        <f t="shared" si="997"/>
        <v>0</v>
      </c>
      <c r="G791" s="304">
        <f t="shared" si="998"/>
        <v>0</v>
      </c>
      <c r="H791" s="303">
        <f>I791+W791</f>
        <v>0</v>
      </c>
      <c r="I791" s="303">
        <f>M791+P791</f>
        <v>0</v>
      </c>
      <c r="J791" s="311"/>
      <c r="K791" s="311"/>
      <c r="L791" s="311"/>
      <c r="M791" s="303"/>
      <c r="N791" s="311"/>
      <c r="O791" s="311"/>
      <c r="P791" s="303">
        <f>S791+T791</f>
        <v>0</v>
      </c>
      <c r="Q791" s="311"/>
      <c r="R791" s="312"/>
      <c r="S791" s="303"/>
      <c r="T791" s="303">
        <f>U791+V791</f>
        <v>0</v>
      </c>
      <c r="U791" s="303"/>
      <c r="V791" s="303"/>
      <c r="W791" s="303">
        <f t="shared" si="999"/>
        <v>0</v>
      </c>
      <c r="X791" s="303"/>
      <c r="Y791" s="303"/>
      <c r="Z791" s="303">
        <f>210-210</f>
        <v>0</v>
      </c>
      <c r="AA791" s="303"/>
      <c r="AB791" s="304"/>
      <c r="AC791" s="304"/>
      <c r="AD791" s="304"/>
      <c r="AE791" s="304"/>
      <c r="AF791" s="1263" t="s">
        <v>2210</v>
      </c>
      <c r="AG791" s="314">
        <f t="shared" si="1000"/>
        <v>0</v>
      </c>
      <c r="AH791" s="696">
        <f t="shared" si="1001"/>
        <v>0</v>
      </c>
      <c r="AI791" s="314">
        <f t="shared" si="1002"/>
        <v>0</v>
      </c>
      <c r="AJ791" s="314">
        <f t="shared" si="1003"/>
        <v>0</v>
      </c>
      <c r="AK791" s="314">
        <f t="shared" si="1004"/>
        <v>0</v>
      </c>
      <c r="AL791" s="314">
        <f t="shared" si="1005"/>
        <v>0</v>
      </c>
      <c r="AM791" s="314">
        <f t="shared" si="1006"/>
        <v>0</v>
      </c>
      <c r="AN791" s="314">
        <f t="shared" si="1007"/>
        <v>0</v>
      </c>
      <c r="AO791" s="314">
        <f t="shared" si="1008"/>
        <v>0</v>
      </c>
      <c r="AP791" s="314">
        <f t="shared" si="1009"/>
        <v>0</v>
      </c>
    </row>
    <row r="792" spans="1:42" s="333" customFormat="1">
      <c r="A792" s="592" t="s">
        <v>81</v>
      </c>
      <c r="B792" s="320" t="s">
        <v>1115</v>
      </c>
      <c r="C792" s="298" t="s">
        <v>756</v>
      </c>
      <c r="D792" s="299">
        <f t="shared" ref="D792" si="1010">D793+D794</f>
        <v>2637</v>
      </c>
      <c r="E792" s="299">
        <f>E793+E794</f>
        <v>3367</v>
      </c>
      <c r="F792" s="299">
        <f>F793+F794</f>
        <v>3064</v>
      </c>
      <c r="G792" s="299">
        <f t="shared" si="998"/>
        <v>427</v>
      </c>
      <c r="H792" s="299">
        <f>H793+H794</f>
        <v>3064</v>
      </c>
      <c r="I792" s="299">
        <f t="shared" ref="I792:AE792" si="1011">I793+I794</f>
        <v>3064</v>
      </c>
      <c r="J792" s="318">
        <f t="shared" si="1011"/>
        <v>11</v>
      </c>
      <c r="K792" s="318">
        <f t="shared" si="1011"/>
        <v>10</v>
      </c>
      <c r="L792" s="318">
        <f t="shared" si="1011"/>
        <v>1</v>
      </c>
      <c r="M792" s="299">
        <f t="shared" si="1011"/>
        <v>1457</v>
      </c>
      <c r="N792" s="318">
        <f t="shared" si="1011"/>
        <v>1379</v>
      </c>
      <c r="O792" s="318">
        <f t="shared" si="1011"/>
        <v>78</v>
      </c>
      <c r="P792" s="299">
        <f>P793+P794</f>
        <v>1607</v>
      </c>
      <c r="Q792" s="318"/>
      <c r="R792" s="318"/>
      <c r="S792" s="299">
        <f t="shared" si="1011"/>
        <v>911</v>
      </c>
      <c r="T792" s="299">
        <f t="shared" si="1011"/>
        <v>696</v>
      </c>
      <c r="U792" s="299">
        <f t="shared" si="1011"/>
        <v>50</v>
      </c>
      <c r="V792" s="299">
        <f t="shared" si="1011"/>
        <v>646</v>
      </c>
      <c r="W792" s="299">
        <f>W793+W794</f>
        <v>0</v>
      </c>
      <c r="X792" s="299"/>
      <c r="Y792" s="299"/>
      <c r="Z792" s="299">
        <f t="shared" si="1011"/>
        <v>0</v>
      </c>
      <c r="AA792" s="299">
        <f>AA793+AA794</f>
        <v>0</v>
      </c>
      <c r="AB792" s="299">
        <f>AB793+AB794</f>
        <v>0</v>
      </c>
      <c r="AC792" s="299">
        <f t="shared" ref="AC792" si="1012">AC793+AC794</f>
        <v>303</v>
      </c>
      <c r="AD792" s="299">
        <f t="shared" si="1011"/>
        <v>161</v>
      </c>
      <c r="AE792" s="299">
        <f t="shared" si="1011"/>
        <v>3206</v>
      </c>
      <c r="AF792" s="321"/>
      <c r="AG792" s="314">
        <f t="shared" si="1000"/>
        <v>0</v>
      </c>
      <c r="AH792" s="696">
        <f t="shared" si="1001"/>
        <v>0</v>
      </c>
      <c r="AI792" s="314">
        <f t="shared" si="1002"/>
        <v>0</v>
      </c>
      <c r="AJ792" s="314">
        <f t="shared" si="1003"/>
        <v>0</v>
      </c>
      <c r="AK792" s="314">
        <f t="shared" si="1004"/>
        <v>0</v>
      </c>
      <c r="AL792" s="314">
        <f t="shared" si="1005"/>
        <v>0</v>
      </c>
      <c r="AM792" s="314">
        <f t="shared" si="1006"/>
        <v>0</v>
      </c>
      <c r="AN792" s="314">
        <f t="shared" si="1007"/>
        <v>0</v>
      </c>
      <c r="AO792" s="314">
        <f t="shared" si="1008"/>
        <v>0</v>
      </c>
      <c r="AP792" s="314">
        <f t="shared" si="1009"/>
        <v>0</v>
      </c>
    </row>
    <row r="793" spans="1:42">
      <c r="A793" s="583" t="s">
        <v>45</v>
      </c>
      <c r="B793" s="324" t="s">
        <v>862</v>
      </c>
      <c r="C793" s="304"/>
      <c r="D793" s="304">
        <v>2587</v>
      </c>
      <c r="E793" s="304">
        <f>F793+AC793</f>
        <v>2671</v>
      </c>
      <c r="F793" s="304">
        <f>H793-AB793</f>
        <v>2368</v>
      </c>
      <c r="G793" s="304">
        <f t="shared" si="998"/>
        <v>-219</v>
      </c>
      <c r="H793" s="303">
        <f t="shared" si="984"/>
        <v>2368</v>
      </c>
      <c r="I793" s="303">
        <f>M793+P793</f>
        <v>2368</v>
      </c>
      <c r="J793" s="294">
        <v>11</v>
      </c>
      <c r="K793" s="294">
        <v>10</v>
      </c>
      <c r="L793" s="294">
        <f>J793-K793</f>
        <v>1</v>
      </c>
      <c r="M793" s="304">
        <f>N793+O793</f>
        <v>1457</v>
      </c>
      <c r="N793" s="294">
        <v>1379</v>
      </c>
      <c r="O793" s="294">
        <v>78</v>
      </c>
      <c r="P793" s="303">
        <f>S793+T793</f>
        <v>911</v>
      </c>
      <c r="Q793" s="294">
        <v>36</v>
      </c>
      <c r="R793" s="305">
        <v>2.2999999999999998</v>
      </c>
      <c r="S793" s="304">
        <f>ROUND(J793*Q793*R793,0)</f>
        <v>911</v>
      </c>
      <c r="T793" s="303">
        <f>U793+V793</f>
        <v>0</v>
      </c>
      <c r="U793" s="304"/>
      <c r="V793" s="304"/>
      <c r="W793" s="303">
        <f>Z793+AA793</f>
        <v>0</v>
      </c>
      <c r="X793" s="303"/>
      <c r="Y793" s="303"/>
      <c r="Z793" s="304"/>
      <c r="AA793" s="304"/>
      <c r="AB793" s="304"/>
      <c r="AC793" s="304">
        <v>303</v>
      </c>
      <c r="AD793" s="304">
        <v>91</v>
      </c>
      <c r="AE793" s="303">
        <f>E793-AD793</f>
        <v>2580</v>
      </c>
      <c r="AF793" s="317"/>
      <c r="AG793" s="314">
        <f t="shared" si="1000"/>
        <v>0</v>
      </c>
      <c r="AH793" s="696">
        <f t="shared" si="1001"/>
        <v>0</v>
      </c>
      <c r="AI793" s="314">
        <f t="shared" si="1002"/>
        <v>0</v>
      </c>
      <c r="AJ793" s="314">
        <f t="shared" si="1003"/>
        <v>0</v>
      </c>
      <c r="AK793" s="314">
        <f t="shared" si="1004"/>
        <v>0</v>
      </c>
      <c r="AL793" s="314">
        <f t="shared" si="1005"/>
        <v>0</v>
      </c>
      <c r="AM793" s="314">
        <f t="shared" si="1006"/>
        <v>0</v>
      </c>
      <c r="AN793" s="314">
        <f t="shared" si="1007"/>
        <v>0</v>
      </c>
      <c r="AO793" s="314">
        <f t="shared" si="1008"/>
        <v>0</v>
      </c>
      <c r="AP793" s="314">
        <f t="shared" si="1009"/>
        <v>0</v>
      </c>
    </row>
    <row r="794" spans="1:42" ht="27.6">
      <c r="A794" s="583" t="s">
        <v>47</v>
      </c>
      <c r="B794" s="1273" t="s">
        <v>1737</v>
      </c>
      <c r="C794" s="304"/>
      <c r="D794" s="303">
        <v>50</v>
      </c>
      <c r="E794" s="303">
        <f>E795+E796+E797+E798+E799</f>
        <v>696</v>
      </c>
      <c r="F794" s="303">
        <f t="shared" ref="F794:AC794" si="1013">F795+F796+F797+F798+F799</f>
        <v>696</v>
      </c>
      <c r="G794" s="303">
        <f t="shared" si="1013"/>
        <v>646</v>
      </c>
      <c r="H794" s="303">
        <f t="shared" si="1013"/>
        <v>696</v>
      </c>
      <c r="I794" s="303">
        <f t="shared" si="1013"/>
        <v>696</v>
      </c>
      <c r="J794" s="303">
        <f t="shared" si="1013"/>
        <v>0</v>
      </c>
      <c r="K794" s="303">
        <f t="shared" si="1013"/>
        <v>0</v>
      </c>
      <c r="L794" s="303">
        <f t="shared" si="1013"/>
        <v>0</v>
      </c>
      <c r="M794" s="303">
        <f t="shared" si="1013"/>
        <v>0</v>
      </c>
      <c r="N794" s="303">
        <f t="shared" si="1013"/>
        <v>0</v>
      </c>
      <c r="O794" s="303">
        <f t="shared" si="1013"/>
        <v>0</v>
      </c>
      <c r="P794" s="303">
        <f t="shared" si="1013"/>
        <v>696</v>
      </c>
      <c r="Q794" s="303">
        <f t="shared" si="1013"/>
        <v>0</v>
      </c>
      <c r="R794" s="303">
        <f t="shared" si="1013"/>
        <v>0</v>
      </c>
      <c r="S794" s="303">
        <f t="shared" si="1013"/>
        <v>0</v>
      </c>
      <c r="T794" s="303">
        <f t="shared" si="1013"/>
        <v>696</v>
      </c>
      <c r="U794" s="303">
        <f t="shared" si="1013"/>
        <v>50</v>
      </c>
      <c r="V794" s="303">
        <f t="shared" si="1013"/>
        <v>646</v>
      </c>
      <c r="W794" s="303">
        <f t="shared" si="1013"/>
        <v>0</v>
      </c>
      <c r="X794" s="303">
        <f t="shared" si="1013"/>
        <v>0</v>
      </c>
      <c r="Y794" s="303">
        <f t="shared" si="1013"/>
        <v>0</v>
      </c>
      <c r="Z794" s="303">
        <f t="shared" si="1013"/>
        <v>0</v>
      </c>
      <c r="AA794" s="303">
        <f t="shared" si="1013"/>
        <v>0</v>
      </c>
      <c r="AB794" s="303">
        <f t="shared" si="1013"/>
        <v>0</v>
      </c>
      <c r="AC794" s="303">
        <f t="shared" si="1013"/>
        <v>0</v>
      </c>
      <c r="AD794" s="304">
        <v>70</v>
      </c>
      <c r="AE794" s="303">
        <f>E794-AD794</f>
        <v>626</v>
      </c>
      <c r="AF794" s="317"/>
      <c r="AG794" s="314">
        <f t="shared" si="1000"/>
        <v>0</v>
      </c>
      <c r="AH794" s="696">
        <f t="shared" si="1001"/>
        <v>0</v>
      </c>
      <c r="AI794" s="314">
        <f t="shared" si="1002"/>
        <v>0</v>
      </c>
      <c r="AJ794" s="314">
        <f t="shared" si="1003"/>
        <v>0</v>
      </c>
      <c r="AK794" s="314">
        <f t="shared" si="1004"/>
        <v>0</v>
      </c>
      <c r="AL794" s="314">
        <f t="shared" si="1005"/>
        <v>0</v>
      </c>
      <c r="AM794" s="314">
        <f t="shared" si="1006"/>
        <v>0</v>
      </c>
      <c r="AN794" s="314">
        <f t="shared" si="1007"/>
        <v>0</v>
      </c>
      <c r="AO794" s="314">
        <f t="shared" si="1008"/>
        <v>0</v>
      </c>
      <c r="AP794" s="314">
        <f t="shared" si="1009"/>
        <v>0</v>
      </c>
    </row>
    <row r="795" spans="1:42" outlineLevel="1">
      <c r="A795" s="593" t="s">
        <v>23</v>
      </c>
      <c r="B795" s="977" t="s">
        <v>1116</v>
      </c>
      <c r="C795" s="1272"/>
      <c r="D795" s="304">
        <v>50</v>
      </c>
      <c r="E795" s="304">
        <f>F795+AC795</f>
        <v>50</v>
      </c>
      <c r="F795" s="304">
        <f>H795-AB795</f>
        <v>50</v>
      </c>
      <c r="G795" s="304">
        <f>F795-D795</f>
        <v>0</v>
      </c>
      <c r="H795" s="303">
        <f t="shared" si="984"/>
        <v>50</v>
      </c>
      <c r="I795" s="303">
        <f t="shared" ref="I795:I799" si="1014">M795+P795</f>
        <v>50</v>
      </c>
      <c r="J795" s="294"/>
      <c r="K795" s="294"/>
      <c r="L795" s="294"/>
      <c r="M795" s="304"/>
      <c r="N795" s="294"/>
      <c r="O795" s="294"/>
      <c r="P795" s="303">
        <f t="shared" ref="P795:P799" si="1015">S795+T795</f>
        <v>50</v>
      </c>
      <c r="Q795" s="294"/>
      <c r="R795" s="305"/>
      <c r="S795" s="304"/>
      <c r="T795" s="303">
        <f t="shared" ref="T795:T799" si="1016">U795+V795</f>
        <v>50</v>
      </c>
      <c r="U795" s="304">
        <v>50</v>
      </c>
      <c r="V795" s="304"/>
      <c r="W795" s="303">
        <f>Z795+AA795</f>
        <v>0</v>
      </c>
      <c r="X795" s="303"/>
      <c r="Y795" s="303"/>
      <c r="Z795" s="304"/>
      <c r="AA795" s="304"/>
      <c r="AB795" s="304"/>
      <c r="AC795" s="304"/>
      <c r="AD795" s="304"/>
      <c r="AE795" s="304"/>
      <c r="AF795" s="1272"/>
      <c r="AG795" s="314">
        <f t="shared" si="1000"/>
        <v>0</v>
      </c>
      <c r="AH795" s="696">
        <f t="shared" si="1001"/>
        <v>0</v>
      </c>
      <c r="AI795" s="314">
        <f t="shared" si="1002"/>
        <v>0</v>
      </c>
      <c r="AJ795" s="314">
        <f t="shared" si="1003"/>
        <v>0</v>
      </c>
      <c r="AK795" s="314">
        <f t="shared" si="1004"/>
        <v>0</v>
      </c>
      <c r="AL795" s="314">
        <f t="shared" si="1005"/>
        <v>0</v>
      </c>
      <c r="AM795" s="314">
        <f t="shared" si="1006"/>
        <v>0</v>
      </c>
      <c r="AN795" s="314">
        <f t="shared" si="1007"/>
        <v>0</v>
      </c>
      <c r="AO795" s="314">
        <f t="shared" si="1008"/>
        <v>0</v>
      </c>
      <c r="AP795" s="314">
        <f t="shared" si="1009"/>
        <v>0</v>
      </c>
    </row>
    <row r="796" spans="1:42" ht="41.4" outlineLevel="1">
      <c r="A796" s="593" t="s">
        <v>23</v>
      </c>
      <c r="B796" s="324" t="s">
        <v>2211</v>
      </c>
      <c r="C796" s="304"/>
      <c r="D796" s="304"/>
      <c r="E796" s="304">
        <f t="shared" ref="E796:E799" si="1017">F796+AC796</f>
        <v>60</v>
      </c>
      <c r="F796" s="304">
        <f t="shared" ref="F796:F799" si="1018">H796-AB796</f>
        <v>60</v>
      </c>
      <c r="G796" s="304">
        <f t="shared" ref="G796:G799" si="1019">F796-D796</f>
        <v>60</v>
      </c>
      <c r="H796" s="303">
        <f t="shared" si="984"/>
        <v>60</v>
      </c>
      <c r="I796" s="303">
        <f t="shared" si="1014"/>
        <v>60</v>
      </c>
      <c r="J796" s="311"/>
      <c r="K796" s="311"/>
      <c r="L796" s="311"/>
      <c r="M796" s="303"/>
      <c r="N796" s="311"/>
      <c r="O796" s="311"/>
      <c r="P796" s="303">
        <f t="shared" si="1015"/>
        <v>60</v>
      </c>
      <c r="Q796" s="311"/>
      <c r="R796" s="312"/>
      <c r="S796" s="303"/>
      <c r="T796" s="303">
        <f t="shared" si="1016"/>
        <v>60</v>
      </c>
      <c r="U796" s="303"/>
      <c r="V796" s="303">
        <v>60</v>
      </c>
      <c r="W796" s="303"/>
      <c r="X796" s="303"/>
      <c r="Y796" s="303"/>
      <c r="Z796" s="303"/>
      <c r="AA796" s="303"/>
      <c r="AB796" s="304"/>
      <c r="AC796" s="304"/>
      <c r="AD796" s="304"/>
      <c r="AE796" s="304"/>
      <c r="AF796" s="1263"/>
      <c r="AG796" s="314">
        <f t="shared" si="1000"/>
        <v>0</v>
      </c>
      <c r="AH796" s="696">
        <f t="shared" si="1001"/>
        <v>0</v>
      </c>
      <c r="AI796" s="314">
        <f t="shared" si="1002"/>
        <v>0</v>
      </c>
      <c r="AJ796" s="314">
        <f t="shared" si="1003"/>
        <v>0</v>
      </c>
      <c r="AK796" s="314">
        <f t="shared" si="1004"/>
        <v>0</v>
      </c>
      <c r="AL796" s="314">
        <f t="shared" si="1005"/>
        <v>0</v>
      </c>
      <c r="AM796" s="314">
        <f t="shared" si="1006"/>
        <v>0</v>
      </c>
      <c r="AN796" s="314">
        <f t="shared" si="1007"/>
        <v>0</v>
      </c>
      <c r="AO796" s="314">
        <f t="shared" si="1008"/>
        <v>0</v>
      </c>
      <c r="AP796" s="314">
        <f t="shared" si="1009"/>
        <v>0</v>
      </c>
    </row>
    <row r="797" spans="1:42" ht="55.2" outlineLevel="1">
      <c r="A797" s="593" t="s">
        <v>23</v>
      </c>
      <c r="B797" s="324" t="s">
        <v>2212</v>
      </c>
      <c r="C797" s="304"/>
      <c r="D797" s="304"/>
      <c r="E797" s="304">
        <f t="shared" si="1017"/>
        <v>400</v>
      </c>
      <c r="F797" s="304">
        <f t="shared" si="1018"/>
        <v>400</v>
      </c>
      <c r="G797" s="304">
        <f t="shared" si="1019"/>
        <v>400</v>
      </c>
      <c r="H797" s="303">
        <f t="shared" si="984"/>
        <v>400</v>
      </c>
      <c r="I797" s="303">
        <f t="shared" si="1014"/>
        <v>400</v>
      </c>
      <c r="J797" s="311"/>
      <c r="K797" s="311"/>
      <c r="L797" s="311"/>
      <c r="M797" s="303"/>
      <c r="N797" s="311"/>
      <c r="O797" s="311"/>
      <c r="P797" s="303">
        <f t="shared" si="1015"/>
        <v>400</v>
      </c>
      <c r="Q797" s="311"/>
      <c r="R797" s="312"/>
      <c r="S797" s="303"/>
      <c r="T797" s="303">
        <f t="shared" si="1016"/>
        <v>400</v>
      </c>
      <c r="U797" s="303"/>
      <c r="V797" s="303">
        <v>400</v>
      </c>
      <c r="W797" s="303"/>
      <c r="X797" s="303"/>
      <c r="Y797" s="303"/>
      <c r="Z797" s="303"/>
      <c r="AA797" s="303"/>
      <c r="AB797" s="304"/>
      <c r="AC797" s="304"/>
      <c r="AD797" s="304"/>
      <c r="AE797" s="304"/>
      <c r="AF797" s="1263"/>
      <c r="AG797" s="314">
        <f t="shared" si="1000"/>
        <v>0</v>
      </c>
      <c r="AH797" s="696">
        <f t="shared" si="1001"/>
        <v>0</v>
      </c>
      <c r="AI797" s="314">
        <f t="shared" si="1002"/>
        <v>0</v>
      </c>
      <c r="AJ797" s="314">
        <f t="shared" si="1003"/>
        <v>0</v>
      </c>
      <c r="AK797" s="314">
        <f t="shared" si="1004"/>
        <v>0</v>
      </c>
      <c r="AL797" s="314">
        <f t="shared" si="1005"/>
        <v>0</v>
      </c>
      <c r="AM797" s="314">
        <f t="shared" si="1006"/>
        <v>0</v>
      </c>
      <c r="AN797" s="314">
        <f t="shared" si="1007"/>
        <v>0</v>
      </c>
      <c r="AO797" s="314">
        <f t="shared" si="1008"/>
        <v>0</v>
      </c>
      <c r="AP797" s="314">
        <f t="shared" si="1009"/>
        <v>0</v>
      </c>
    </row>
    <row r="798" spans="1:42" ht="55.2" outlineLevel="1">
      <c r="A798" s="593" t="s">
        <v>23</v>
      </c>
      <c r="B798" s="324" t="s">
        <v>2213</v>
      </c>
      <c r="C798" s="304"/>
      <c r="D798" s="304"/>
      <c r="E798" s="304">
        <f t="shared" si="1017"/>
        <v>136</v>
      </c>
      <c r="F798" s="304">
        <f t="shared" si="1018"/>
        <v>136</v>
      </c>
      <c r="G798" s="304">
        <f t="shared" si="1019"/>
        <v>136</v>
      </c>
      <c r="H798" s="303">
        <f t="shared" si="984"/>
        <v>136</v>
      </c>
      <c r="I798" s="303">
        <f t="shared" si="1014"/>
        <v>136</v>
      </c>
      <c r="J798" s="311"/>
      <c r="K798" s="311"/>
      <c r="L798" s="311"/>
      <c r="M798" s="303"/>
      <c r="N798" s="311"/>
      <c r="O798" s="311"/>
      <c r="P798" s="303">
        <f t="shared" si="1015"/>
        <v>136</v>
      </c>
      <c r="Q798" s="311"/>
      <c r="R798" s="312"/>
      <c r="S798" s="303"/>
      <c r="T798" s="303">
        <f t="shared" si="1016"/>
        <v>136</v>
      </c>
      <c r="U798" s="303"/>
      <c r="V798" s="303">
        <v>136</v>
      </c>
      <c r="W798" s="303"/>
      <c r="X798" s="303"/>
      <c r="Y798" s="303"/>
      <c r="Z798" s="303"/>
      <c r="AA798" s="303"/>
      <c r="AB798" s="304"/>
      <c r="AC798" s="304"/>
      <c r="AD798" s="304"/>
      <c r="AE798" s="304"/>
      <c r="AF798" s="1263"/>
      <c r="AG798" s="314">
        <f t="shared" si="1000"/>
        <v>0</v>
      </c>
      <c r="AH798" s="696">
        <f t="shared" si="1001"/>
        <v>0</v>
      </c>
      <c r="AI798" s="314">
        <f t="shared" si="1002"/>
        <v>0</v>
      </c>
      <c r="AJ798" s="314">
        <f t="shared" si="1003"/>
        <v>0</v>
      </c>
      <c r="AK798" s="314">
        <f t="shared" si="1004"/>
        <v>0</v>
      </c>
      <c r="AL798" s="314">
        <f t="shared" si="1005"/>
        <v>0</v>
      </c>
      <c r="AM798" s="314">
        <f t="shared" si="1006"/>
        <v>0</v>
      </c>
      <c r="AN798" s="314">
        <f t="shared" si="1007"/>
        <v>0</v>
      </c>
      <c r="AO798" s="314">
        <f t="shared" si="1008"/>
        <v>0</v>
      </c>
      <c r="AP798" s="314">
        <f t="shared" si="1009"/>
        <v>0</v>
      </c>
    </row>
    <row r="799" spans="1:42" ht="69" outlineLevel="1">
      <c r="A799" s="593" t="s">
        <v>23</v>
      </c>
      <c r="B799" s="324" t="s">
        <v>2214</v>
      </c>
      <c r="C799" s="304"/>
      <c r="D799" s="304"/>
      <c r="E799" s="304">
        <f t="shared" si="1017"/>
        <v>50</v>
      </c>
      <c r="F799" s="304">
        <f t="shared" si="1018"/>
        <v>50</v>
      </c>
      <c r="G799" s="304">
        <f t="shared" si="1019"/>
        <v>50</v>
      </c>
      <c r="H799" s="303">
        <f t="shared" si="984"/>
        <v>50</v>
      </c>
      <c r="I799" s="303">
        <f t="shared" si="1014"/>
        <v>50</v>
      </c>
      <c r="J799" s="311"/>
      <c r="K799" s="311"/>
      <c r="L799" s="311"/>
      <c r="M799" s="303"/>
      <c r="N799" s="311"/>
      <c r="O799" s="311"/>
      <c r="P799" s="303">
        <f t="shared" si="1015"/>
        <v>50</v>
      </c>
      <c r="Q799" s="311"/>
      <c r="R799" s="312"/>
      <c r="S799" s="303"/>
      <c r="T799" s="303">
        <f t="shared" si="1016"/>
        <v>50</v>
      </c>
      <c r="U799" s="303"/>
      <c r="V799" s="303">
        <v>50</v>
      </c>
      <c r="W799" s="303"/>
      <c r="X799" s="303"/>
      <c r="Y799" s="303"/>
      <c r="Z799" s="303"/>
      <c r="AA799" s="303"/>
      <c r="AB799" s="304"/>
      <c r="AC799" s="304"/>
      <c r="AD799" s="304"/>
      <c r="AE799" s="304"/>
      <c r="AF799" s="1263"/>
      <c r="AG799" s="314">
        <f t="shared" si="1000"/>
        <v>0</v>
      </c>
      <c r="AH799" s="696">
        <f t="shared" si="1001"/>
        <v>0</v>
      </c>
      <c r="AI799" s="314">
        <f t="shared" si="1002"/>
        <v>0</v>
      </c>
      <c r="AJ799" s="314">
        <f t="shared" si="1003"/>
        <v>0</v>
      </c>
      <c r="AK799" s="314">
        <f t="shared" si="1004"/>
        <v>0</v>
      </c>
      <c r="AL799" s="314">
        <f t="shared" si="1005"/>
        <v>0</v>
      </c>
      <c r="AM799" s="314">
        <f t="shared" si="1006"/>
        <v>0</v>
      </c>
      <c r="AN799" s="314">
        <f t="shared" si="1007"/>
        <v>0</v>
      </c>
      <c r="AO799" s="314">
        <f t="shared" si="1008"/>
        <v>0</v>
      </c>
      <c r="AP799" s="314">
        <f t="shared" si="1009"/>
        <v>0</v>
      </c>
    </row>
    <row r="800" spans="1:42" s="314" customFormat="1">
      <c r="A800" s="592" t="s">
        <v>82</v>
      </c>
      <c r="B800" s="320" t="s">
        <v>1117</v>
      </c>
      <c r="C800" s="298"/>
      <c r="D800" s="299">
        <f t="shared" ref="D800:AE800" si="1020">D801+D817+D820</f>
        <v>6931</v>
      </c>
      <c r="E800" s="299">
        <f>E801+E817+E820</f>
        <v>4987</v>
      </c>
      <c r="F800" s="299">
        <f>F801+F817+F820</f>
        <v>4488</v>
      </c>
      <c r="G800" s="299">
        <f>G801+G817+G820</f>
        <v>-2443</v>
      </c>
      <c r="H800" s="299">
        <f t="shared" si="1020"/>
        <v>4488</v>
      </c>
      <c r="I800" s="299">
        <f t="shared" si="1020"/>
        <v>4230</v>
      </c>
      <c r="J800" s="299">
        <f t="shared" si="1020"/>
        <v>15</v>
      </c>
      <c r="K800" s="299">
        <f t="shared" si="1020"/>
        <v>15</v>
      </c>
      <c r="L800" s="299">
        <f t="shared" si="1020"/>
        <v>0</v>
      </c>
      <c r="M800" s="299">
        <f t="shared" si="1020"/>
        <v>2397</v>
      </c>
      <c r="N800" s="299">
        <f t="shared" si="1020"/>
        <v>2397</v>
      </c>
      <c r="O800" s="299">
        <f t="shared" si="1020"/>
        <v>0</v>
      </c>
      <c r="P800" s="299">
        <f t="shared" si="1020"/>
        <v>1833</v>
      </c>
      <c r="Q800" s="299">
        <f t="shared" si="1020"/>
        <v>0</v>
      </c>
      <c r="R800" s="299">
        <f t="shared" si="1020"/>
        <v>0</v>
      </c>
      <c r="S800" s="299">
        <f t="shared" si="1020"/>
        <v>1242</v>
      </c>
      <c r="T800" s="299">
        <f t="shared" si="1020"/>
        <v>591</v>
      </c>
      <c r="U800" s="299">
        <f t="shared" si="1020"/>
        <v>102</v>
      </c>
      <c r="V800" s="299">
        <f t="shared" si="1020"/>
        <v>489</v>
      </c>
      <c r="W800" s="299">
        <f t="shared" si="1020"/>
        <v>258</v>
      </c>
      <c r="X800" s="299">
        <f t="shared" si="1020"/>
        <v>0</v>
      </c>
      <c r="Y800" s="299">
        <f t="shared" si="1020"/>
        <v>0</v>
      </c>
      <c r="Z800" s="299">
        <f t="shared" si="1020"/>
        <v>135</v>
      </c>
      <c r="AA800" s="299">
        <f t="shared" si="1020"/>
        <v>123</v>
      </c>
      <c r="AB800" s="299">
        <f t="shared" si="1020"/>
        <v>0</v>
      </c>
      <c r="AC800" s="299">
        <f t="shared" si="1020"/>
        <v>499</v>
      </c>
      <c r="AD800" s="299">
        <f t="shared" si="1020"/>
        <v>193</v>
      </c>
      <c r="AE800" s="299">
        <f t="shared" si="1020"/>
        <v>4634</v>
      </c>
      <c r="AF800" s="321"/>
      <c r="AG800" s="314">
        <f t="shared" si="1000"/>
        <v>0</v>
      </c>
      <c r="AH800" s="696">
        <f t="shared" si="1001"/>
        <v>0</v>
      </c>
      <c r="AI800" s="314">
        <f t="shared" si="1002"/>
        <v>0</v>
      </c>
      <c r="AJ800" s="314">
        <f t="shared" si="1003"/>
        <v>0</v>
      </c>
      <c r="AK800" s="314">
        <f t="shared" si="1004"/>
        <v>0</v>
      </c>
      <c r="AL800" s="314">
        <f t="shared" si="1005"/>
        <v>0</v>
      </c>
      <c r="AM800" s="314">
        <f t="shared" si="1006"/>
        <v>0</v>
      </c>
      <c r="AN800" s="314">
        <f t="shared" si="1007"/>
        <v>0</v>
      </c>
      <c r="AO800" s="314">
        <f t="shared" si="1008"/>
        <v>0</v>
      </c>
      <c r="AP800" s="314">
        <f t="shared" si="1009"/>
        <v>0</v>
      </c>
    </row>
    <row r="801" spans="1:42" s="314" customFormat="1">
      <c r="A801" s="592" t="s">
        <v>1025</v>
      </c>
      <c r="B801" s="320" t="s">
        <v>826</v>
      </c>
      <c r="C801" s="298" t="s">
        <v>756</v>
      </c>
      <c r="D801" s="299">
        <f t="shared" ref="D801:F801" si="1021">D802+D803</f>
        <v>4796</v>
      </c>
      <c r="E801" s="299">
        <f t="shared" si="1021"/>
        <v>4729</v>
      </c>
      <c r="F801" s="299">
        <f t="shared" si="1021"/>
        <v>4230</v>
      </c>
      <c r="G801" s="299">
        <f>G802+G803</f>
        <v>-566</v>
      </c>
      <c r="H801" s="299">
        <f>H802+H803</f>
        <v>4230</v>
      </c>
      <c r="I801" s="299">
        <f t="shared" ref="I801:Z801" si="1022">I802+I803</f>
        <v>4230</v>
      </c>
      <c r="J801" s="318">
        <f t="shared" si="1022"/>
        <v>15</v>
      </c>
      <c r="K801" s="318">
        <f t="shared" si="1022"/>
        <v>15</v>
      </c>
      <c r="L801" s="318">
        <f t="shared" si="1022"/>
        <v>0</v>
      </c>
      <c r="M801" s="299">
        <f t="shared" si="1022"/>
        <v>2397</v>
      </c>
      <c r="N801" s="318">
        <f t="shared" si="1022"/>
        <v>2397</v>
      </c>
      <c r="O801" s="318">
        <f t="shared" si="1022"/>
        <v>0</v>
      </c>
      <c r="P801" s="299">
        <f>P802+P803</f>
        <v>1833</v>
      </c>
      <c r="Q801" s="318"/>
      <c r="R801" s="318"/>
      <c r="S801" s="299">
        <f t="shared" si="1022"/>
        <v>1242</v>
      </c>
      <c r="T801" s="299">
        <f t="shared" si="1022"/>
        <v>591</v>
      </c>
      <c r="U801" s="299">
        <f t="shared" si="1022"/>
        <v>102</v>
      </c>
      <c r="V801" s="299">
        <f t="shared" si="1022"/>
        <v>489</v>
      </c>
      <c r="W801" s="299">
        <f>W802+W803</f>
        <v>0</v>
      </c>
      <c r="X801" s="299"/>
      <c r="Y801" s="299"/>
      <c r="Z801" s="299">
        <f t="shared" si="1022"/>
        <v>0</v>
      </c>
      <c r="AA801" s="299">
        <f>AA802+AA803</f>
        <v>0</v>
      </c>
      <c r="AB801" s="299">
        <f>AB802+AB803</f>
        <v>0</v>
      </c>
      <c r="AC801" s="299">
        <f t="shared" ref="AC801:AE801" si="1023">AC802+AC803</f>
        <v>499</v>
      </c>
      <c r="AD801" s="299">
        <f t="shared" si="1023"/>
        <v>183</v>
      </c>
      <c r="AE801" s="299">
        <f t="shared" si="1023"/>
        <v>4546</v>
      </c>
      <c r="AF801" s="321"/>
      <c r="AG801" s="314">
        <f t="shared" si="1000"/>
        <v>0</v>
      </c>
      <c r="AH801" s="696">
        <f t="shared" si="1001"/>
        <v>0</v>
      </c>
      <c r="AI801" s="314">
        <f t="shared" si="1002"/>
        <v>0</v>
      </c>
      <c r="AJ801" s="314">
        <f t="shared" si="1003"/>
        <v>0</v>
      </c>
      <c r="AK801" s="314">
        <f t="shared" si="1004"/>
        <v>0</v>
      </c>
      <c r="AL801" s="314">
        <f t="shared" si="1005"/>
        <v>0</v>
      </c>
      <c r="AM801" s="314">
        <f t="shared" si="1006"/>
        <v>0</v>
      </c>
      <c r="AN801" s="314">
        <f t="shared" si="1007"/>
        <v>0</v>
      </c>
      <c r="AO801" s="314">
        <f t="shared" si="1008"/>
        <v>0</v>
      </c>
      <c r="AP801" s="314">
        <f t="shared" si="1009"/>
        <v>0</v>
      </c>
    </row>
    <row r="802" spans="1:42">
      <c r="A802" s="583" t="s">
        <v>45</v>
      </c>
      <c r="B802" s="324" t="s">
        <v>862</v>
      </c>
      <c r="C802" s="304"/>
      <c r="D802" s="304">
        <v>3723</v>
      </c>
      <c r="E802" s="304">
        <f>F802+AC802</f>
        <v>4138</v>
      </c>
      <c r="F802" s="304">
        <f>H802-AB802</f>
        <v>3639</v>
      </c>
      <c r="G802" s="304">
        <f t="shared" ref="G802:G816" si="1024">F802-D802</f>
        <v>-84</v>
      </c>
      <c r="H802" s="303">
        <f t="shared" ref="H802:H805" si="1025">I802+W802</f>
        <v>3639</v>
      </c>
      <c r="I802" s="303">
        <f>M802+P802</f>
        <v>3639</v>
      </c>
      <c r="J802" s="294">
        <v>15</v>
      </c>
      <c r="K802" s="294">
        <v>15</v>
      </c>
      <c r="L802" s="294">
        <f>J802-K802</f>
        <v>0</v>
      </c>
      <c r="M802" s="304">
        <f>N802+O802</f>
        <v>2397</v>
      </c>
      <c r="N802" s="294">
        <v>2397</v>
      </c>
      <c r="O802" s="294">
        <v>0</v>
      </c>
      <c r="P802" s="303">
        <f>S802+T802</f>
        <v>1242</v>
      </c>
      <c r="Q802" s="294">
        <v>36</v>
      </c>
      <c r="R802" s="305">
        <v>2.2999999999999998</v>
      </c>
      <c r="S802" s="304">
        <f>ROUND(J802*Q802*R802,0)</f>
        <v>1242</v>
      </c>
      <c r="T802" s="303">
        <f>U802+V802</f>
        <v>0</v>
      </c>
      <c r="U802" s="304"/>
      <c r="V802" s="304"/>
      <c r="W802" s="303">
        <f>Z802+AA802</f>
        <v>0</v>
      </c>
      <c r="X802" s="303"/>
      <c r="Y802" s="303"/>
      <c r="Z802" s="304"/>
      <c r="AA802" s="304"/>
      <c r="AB802" s="304"/>
      <c r="AC802" s="304">
        <v>499</v>
      </c>
      <c r="AD802" s="304">
        <v>124</v>
      </c>
      <c r="AE802" s="303">
        <f>E802-AD802</f>
        <v>4014</v>
      </c>
      <c r="AF802" s="317"/>
      <c r="AG802" s="314">
        <f t="shared" si="1000"/>
        <v>0</v>
      </c>
      <c r="AH802" s="696">
        <f t="shared" si="1001"/>
        <v>0</v>
      </c>
      <c r="AI802" s="314">
        <f t="shared" si="1002"/>
        <v>0</v>
      </c>
      <c r="AJ802" s="314">
        <f t="shared" si="1003"/>
        <v>0</v>
      </c>
      <c r="AK802" s="314">
        <f t="shared" si="1004"/>
        <v>0</v>
      </c>
      <c r="AL802" s="314">
        <f t="shared" si="1005"/>
        <v>0</v>
      </c>
      <c r="AM802" s="314">
        <f t="shared" si="1006"/>
        <v>0</v>
      </c>
      <c r="AN802" s="314">
        <f t="shared" si="1007"/>
        <v>0</v>
      </c>
      <c r="AO802" s="314">
        <f t="shared" si="1008"/>
        <v>0</v>
      </c>
      <c r="AP802" s="314">
        <f t="shared" si="1009"/>
        <v>0</v>
      </c>
    </row>
    <row r="803" spans="1:42" ht="27.6">
      <c r="A803" s="583" t="s">
        <v>47</v>
      </c>
      <c r="B803" s="1273" t="s">
        <v>1737</v>
      </c>
      <c r="C803" s="304"/>
      <c r="D803" s="303">
        <v>1073</v>
      </c>
      <c r="E803" s="303">
        <f>SUM(E804:E816)</f>
        <v>591</v>
      </c>
      <c r="F803" s="303">
        <f>SUM(F804:F816)</f>
        <v>591</v>
      </c>
      <c r="G803" s="303">
        <f t="shared" si="1024"/>
        <v>-482</v>
      </c>
      <c r="H803" s="303">
        <f>SUM(H804:H816)</f>
        <v>591</v>
      </c>
      <c r="I803" s="303">
        <f t="shared" ref="I803:AB803" si="1026">SUM(I804:I816)</f>
        <v>591</v>
      </c>
      <c r="J803" s="303">
        <f t="shared" si="1026"/>
        <v>0</v>
      </c>
      <c r="K803" s="303">
        <f t="shared" si="1026"/>
        <v>0</v>
      </c>
      <c r="L803" s="303">
        <f t="shared" si="1026"/>
        <v>0</v>
      </c>
      <c r="M803" s="303">
        <f t="shared" si="1026"/>
        <v>0</v>
      </c>
      <c r="N803" s="303">
        <f t="shared" si="1026"/>
        <v>0</v>
      </c>
      <c r="O803" s="303">
        <f t="shared" si="1026"/>
        <v>0</v>
      </c>
      <c r="P803" s="303">
        <f t="shared" si="1026"/>
        <v>591</v>
      </c>
      <c r="Q803" s="303">
        <f t="shared" si="1026"/>
        <v>0</v>
      </c>
      <c r="R803" s="303">
        <f t="shared" si="1026"/>
        <v>0</v>
      </c>
      <c r="S803" s="303">
        <f t="shared" si="1026"/>
        <v>0</v>
      </c>
      <c r="T803" s="303">
        <f t="shared" si="1026"/>
        <v>591</v>
      </c>
      <c r="U803" s="303">
        <f t="shared" si="1026"/>
        <v>102</v>
      </c>
      <c r="V803" s="303">
        <f t="shared" si="1026"/>
        <v>489</v>
      </c>
      <c r="W803" s="303">
        <f t="shared" si="1026"/>
        <v>0</v>
      </c>
      <c r="X803" s="303">
        <f t="shared" si="1026"/>
        <v>0</v>
      </c>
      <c r="Y803" s="303">
        <f t="shared" si="1026"/>
        <v>0</v>
      </c>
      <c r="Z803" s="303">
        <f t="shared" si="1026"/>
        <v>0</v>
      </c>
      <c r="AA803" s="303">
        <f t="shared" si="1026"/>
        <v>0</v>
      </c>
      <c r="AB803" s="303">
        <f t="shared" si="1026"/>
        <v>0</v>
      </c>
      <c r="AC803" s="304"/>
      <c r="AD803" s="304">
        <v>59</v>
      </c>
      <c r="AE803" s="303">
        <f>E803-AD803</f>
        <v>532</v>
      </c>
      <c r="AF803" s="317"/>
      <c r="AG803" s="314">
        <f t="shared" si="1000"/>
        <v>0</v>
      </c>
      <c r="AH803" s="696">
        <f t="shared" si="1001"/>
        <v>0</v>
      </c>
      <c r="AI803" s="314">
        <f t="shared" si="1002"/>
        <v>0</v>
      </c>
      <c r="AJ803" s="314">
        <f t="shared" si="1003"/>
        <v>0</v>
      </c>
      <c r="AK803" s="314">
        <f t="shared" si="1004"/>
        <v>0</v>
      </c>
      <c r="AL803" s="314">
        <f t="shared" si="1005"/>
        <v>0</v>
      </c>
      <c r="AM803" s="314">
        <f t="shared" si="1006"/>
        <v>0</v>
      </c>
      <c r="AN803" s="314">
        <f t="shared" si="1007"/>
        <v>0</v>
      </c>
      <c r="AO803" s="314">
        <f t="shared" si="1008"/>
        <v>0</v>
      </c>
      <c r="AP803" s="314">
        <f t="shared" si="1009"/>
        <v>0</v>
      </c>
    </row>
    <row r="804" spans="1:42" outlineLevel="1">
      <c r="A804" s="583" t="s">
        <v>23</v>
      </c>
      <c r="B804" s="324" t="s">
        <v>1118</v>
      </c>
      <c r="C804" s="304"/>
      <c r="D804" s="304">
        <v>50</v>
      </c>
      <c r="E804" s="304">
        <f t="shared" ref="E804:E816" si="1027">F804+AC804</f>
        <v>50</v>
      </c>
      <c r="F804" s="304">
        <f t="shared" ref="F804:F816" si="1028">H804-AB804</f>
        <v>50</v>
      </c>
      <c r="G804" s="304">
        <f t="shared" si="1024"/>
        <v>0</v>
      </c>
      <c r="H804" s="303">
        <f t="shared" si="1025"/>
        <v>50</v>
      </c>
      <c r="I804" s="303">
        <f>M804+P804</f>
        <v>50</v>
      </c>
      <c r="J804" s="294"/>
      <c r="K804" s="294"/>
      <c r="L804" s="294"/>
      <c r="M804" s="304"/>
      <c r="N804" s="294"/>
      <c r="O804" s="294"/>
      <c r="P804" s="303">
        <f>S804+T804</f>
        <v>50</v>
      </c>
      <c r="Q804" s="294"/>
      <c r="R804" s="305"/>
      <c r="S804" s="304"/>
      <c r="T804" s="303">
        <f>U804+V804</f>
        <v>50</v>
      </c>
      <c r="U804" s="304">
        <v>50</v>
      </c>
      <c r="V804" s="304"/>
      <c r="W804" s="303"/>
      <c r="X804" s="303"/>
      <c r="Y804" s="303"/>
      <c r="Z804" s="303"/>
      <c r="AA804" s="303"/>
      <c r="AB804" s="303"/>
      <c r="AC804" s="303"/>
      <c r="AD804" s="303"/>
      <c r="AE804" s="303"/>
      <c r="AF804" s="317"/>
      <c r="AG804" s="314">
        <f t="shared" si="1000"/>
        <v>0</v>
      </c>
      <c r="AH804" s="696">
        <f t="shared" si="1001"/>
        <v>0</v>
      </c>
      <c r="AI804" s="314">
        <f t="shared" si="1002"/>
        <v>0</v>
      </c>
      <c r="AJ804" s="314">
        <f t="shared" si="1003"/>
        <v>0</v>
      </c>
      <c r="AK804" s="314">
        <f t="shared" si="1004"/>
        <v>0</v>
      </c>
      <c r="AL804" s="314">
        <f t="shared" si="1005"/>
        <v>0</v>
      </c>
      <c r="AM804" s="314">
        <f t="shared" si="1006"/>
        <v>0</v>
      </c>
      <c r="AN804" s="314">
        <f t="shared" si="1007"/>
        <v>0</v>
      </c>
      <c r="AO804" s="314">
        <f t="shared" si="1008"/>
        <v>0</v>
      </c>
      <c r="AP804" s="314">
        <f t="shared" si="1009"/>
        <v>0</v>
      </c>
    </row>
    <row r="805" spans="1:42" ht="27.6" outlineLevel="1">
      <c r="A805" s="583" t="s">
        <v>23</v>
      </c>
      <c r="B805" s="316" t="s">
        <v>1119</v>
      </c>
      <c r="C805" s="304"/>
      <c r="D805" s="304">
        <v>21</v>
      </c>
      <c r="E805" s="304">
        <f t="shared" si="1027"/>
        <v>21</v>
      </c>
      <c r="F805" s="304">
        <f t="shared" si="1028"/>
        <v>21</v>
      </c>
      <c r="G805" s="304">
        <f t="shared" si="1024"/>
        <v>0</v>
      </c>
      <c r="H805" s="303">
        <f t="shared" si="1025"/>
        <v>21</v>
      </c>
      <c r="I805" s="303">
        <f t="shared" ref="I805" si="1029">M805+P805</f>
        <v>21</v>
      </c>
      <c r="J805" s="294"/>
      <c r="K805" s="294"/>
      <c r="L805" s="294"/>
      <c r="M805" s="304"/>
      <c r="N805" s="294"/>
      <c r="O805" s="294"/>
      <c r="P805" s="303">
        <f t="shared" ref="P805" si="1030">S805+T805</f>
        <v>21</v>
      </c>
      <c r="Q805" s="294"/>
      <c r="R805" s="305"/>
      <c r="S805" s="304"/>
      <c r="T805" s="303">
        <f t="shared" ref="T805" si="1031">U805+V805</f>
        <v>21</v>
      </c>
      <c r="U805" s="304">
        <f>23-2</f>
        <v>21</v>
      </c>
      <c r="V805" s="304"/>
      <c r="W805" s="303"/>
      <c r="X805" s="303"/>
      <c r="Y805" s="303"/>
      <c r="Z805" s="304"/>
      <c r="AA805" s="304"/>
      <c r="AB805" s="304"/>
      <c r="AC805" s="304"/>
      <c r="AD805" s="304"/>
      <c r="AE805" s="304"/>
      <c r="AF805" s="317"/>
      <c r="AG805" s="314">
        <f t="shared" si="1000"/>
        <v>0</v>
      </c>
      <c r="AH805" s="696">
        <f t="shared" si="1001"/>
        <v>0</v>
      </c>
      <c r="AI805" s="314">
        <f t="shared" si="1002"/>
        <v>0</v>
      </c>
      <c r="AJ805" s="314">
        <f t="shared" si="1003"/>
        <v>0</v>
      </c>
      <c r="AK805" s="314">
        <f t="shared" si="1004"/>
        <v>0</v>
      </c>
      <c r="AL805" s="314">
        <f t="shared" si="1005"/>
        <v>0</v>
      </c>
      <c r="AM805" s="314">
        <f t="shared" si="1006"/>
        <v>0</v>
      </c>
      <c r="AN805" s="314">
        <f t="shared" si="1007"/>
        <v>0</v>
      </c>
      <c r="AO805" s="314">
        <f t="shared" si="1008"/>
        <v>0</v>
      </c>
      <c r="AP805" s="314">
        <f t="shared" si="1009"/>
        <v>0</v>
      </c>
    </row>
    <row r="806" spans="1:42" ht="27.6" outlineLevel="1">
      <c r="A806" s="583" t="s">
        <v>23</v>
      </c>
      <c r="B806" s="316" t="s">
        <v>1120</v>
      </c>
      <c r="C806" s="304"/>
      <c r="D806" s="304">
        <v>31</v>
      </c>
      <c r="E806" s="304">
        <f t="shared" si="1027"/>
        <v>31</v>
      </c>
      <c r="F806" s="304">
        <f t="shared" si="1028"/>
        <v>31</v>
      </c>
      <c r="G806" s="304">
        <f t="shared" si="1024"/>
        <v>0</v>
      </c>
      <c r="H806" s="303">
        <f>I806+W806</f>
        <v>31</v>
      </c>
      <c r="I806" s="303">
        <f>M806+P806</f>
        <v>31</v>
      </c>
      <c r="J806" s="294"/>
      <c r="K806" s="294"/>
      <c r="L806" s="294"/>
      <c r="M806" s="304"/>
      <c r="N806" s="294"/>
      <c r="O806" s="294"/>
      <c r="P806" s="303">
        <f>S806+T806</f>
        <v>31</v>
      </c>
      <c r="Q806" s="294"/>
      <c r="R806" s="305"/>
      <c r="S806" s="304"/>
      <c r="T806" s="303">
        <f>U806+V806</f>
        <v>31</v>
      </c>
      <c r="U806" s="304">
        <v>31</v>
      </c>
      <c r="V806" s="304"/>
      <c r="W806" s="303">
        <f>Z806+AA806</f>
        <v>0</v>
      </c>
      <c r="X806" s="303"/>
      <c r="Y806" s="303"/>
      <c r="Z806" s="304"/>
      <c r="AA806" s="304"/>
      <c r="AB806" s="304"/>
      <c r="AC806" s="304"/>
      <c r="AD806" s="304"/>
      <c r="AE806" s="304"/>
      <c r="AF806" s="317"/>
      <c r="AG806" s="314">
        <f t="shared" si="1000"/>
        <v>0</v>
      </c>
      <c r="AH806" s="696">
        <f t="shared" si="1001"/>
        <v>0</v>
      </c>
      <c r="AI806" s="314">
        <f t="shared" si="1002"/>
        <v>0</v>
      </c>
      <c r="AJ806" s="314">
        <f t="shared" si="1003"/>
        <v>0</v>
      </c>
      <c r="AK806" s="314">
        <f t="shared" si="1004"/>
        <v>0</v>
      </c>
      <c r="AL806" s="314">
        <f t="shared" si="1005"/>
        <v>0</v>
      </c>
      <c r="AM806" s="314">
        <f t="shared" si="1006"/>
        <v>0</v>
      </c>
      <c r="AN806" s="314">
        <f t="shared" si="1007"/>
        <v>0</v>
      </c>
      <c r="AO806" s="314">
        <f t="shared" si="1008"/>
        <v>0</v>
      </c>
      <c r="AP806" s="314">
        <f t="shared" si="1009"/>
        <v>0</v>
      </c>
    </row>
    <row r="807" spans="1:42" ht="69" outlineLevel="1">
      <c r="A807" s="593" t="s">
        <v>23</v>
      </c>
      <c r="B807" s="324" t="s">
        <v>2215</v>
      </c>
      <c r="C807" s="304"/>
      <c r="D807" s="304"/>
      <c r="E807" s="304">
        <f t="shared" si="1027"/>
        <v>77</v>
      </c>
      <c r="F807" s="304">
        <f t="shared" si="1028"/>
        <v>77</v>
      </c>
      <c r="G807" s="304">
        <f t="shared" si="1024"/>
        <v>77</v>
      </c>
      <c r="H807" s="303">
        <f t="shared" ref="H807:H816" si="1032">I807+W807</f>
        <v>77</v>
      </c>
      <c r="I807" s="303">
        <f t="shared" ref="I807:I816" si="1033">M807+P807</f>
        <v>77</v>
      </c>
      <c r="J807" s="311"/>
      <c r="K807" s="311"/>
      <c r="L807" s="311"/>
      <c r="M807" s="303"/>
      <c r="N807" s="311"/>
      <c r="O807" s="311"/>
      <c r="P807" s="303">
        <f t="shared" ref="P807:P816" si="1034">S807+T807</f>
        <v>77</v>
      </c>
      <c r="Q807" s="311"/>
      <c r="R807" s="312"/>
      <c r="S807" s="303"/>
      <c r="T807" s="303">
        <f t="shared" ref="T807:T816" si="1035">U807+V807</f>
        <v>77</v>
      </c>
      <c r="U807" s="303"/>
      <c r="V807" s="303">
        <v>77</v>
      </c>
      <c r="W807" s="303"/>
      <c r="X807" s="303"/>
      <c r="Y807" s="303"/>
      <c r="Z807" s="303"/>
      <c r="AA807" s="303"/>
      <c r="AB807" s="304"/>
      <c r="AC807" s="304"/>
      <c r="AD807" s="304"/>
      <c r="AE807" s="304"/>
      <c r="AF807" s="1263" t="s">
        <v>2337</v>
      </c>
      <c r="AG807" s="314">
        <f t="shared" si="1000"/>
        <v>0</v>
      </c>
      <c r="AH807" s="696">
        <f t="shared" si="1001"/>
        <v>0</v>
      </c>
      <c r="AI807" s="314">
        <f t="shared" si="1002"/>
        <v>0</v>
      </c>
      <c r="AJ807" s="314">
        <f t="shared" si="1003"/>
        <v>0</v>
      </c>
      <c r="AK807" s="314">
        <f t="shared" si="1004"/>
        <v>0</v>
      </c>
      <c r="AL807" s="314">
        <f t="shared" si="1005"/>
        <v>0</v>
      </c>
      <c r="AM807" s="314">
        <f t="shared" si="1006"/>
        <v>0</v>
      </c>
      <c r="AN807" s="314">
        <f t="shared" si="1007"/>
        <v>0</v>
      </c>
      <c r="AO807" s="314">
        <f t="shared" si="1008"/>
        <v>0</v>
      </c>
      <c r="AP807" s="314">
        <f t="shared" si="1009"/>
        <v>0</v>
      </c>
    </row>
    <row r="808" spans="1:42" ht="27.6" outlineLevel="1">
      <c r="A808" s="593" t="s">
        <v>23</v>
      </c>
      <c r="B808" s="324" t="s">
        <v>2216</v>
      </c>
      <c r="C808" s="304"/>
      <c r="D808" s="304"/>
      <c r="E808" s="304">
        <f t="shared" si="1027"/>
        <v>78</v>
      </c>
      <c r="F808" s="304">
        <f t="shared" si="1028"/>
        <v>78</v>
      </c>
      <c r="G808" s="304">
        <f t="shared" si="1024"/>
        <v>78</v>
      </c>
      <c r="H808" s="303">
        <f t="shared" si="1032"/>
        <v>78</v>
      </c>
      <c r="I808" s="303">
        <f t="shared" si="1033"/>
        <v>78</v>
      </c>
      <c r="J808" s="311"/>
      <c r="K808" s="311"/>
      <c r="L808" s="311"/>
      <c r="M808" s="303"/>
      <c r="N808" s="311"/>
      <c r="O808" s="311"/>
      <c r="P808" s="303">
        <f t="shared" si="1034"/>
        <v>78</v>
      </c>
      <c r="Q808" s="311"/>
      <c r="R808" s="312"/>
      <c r="S808" s="303"/>
      <c r="T808" s="303">
        <f t="shared" si="1035"/>
        <v>78</v>
      </c>
      <c r="U808" s="303"/>
      <c r="V808" s="303">
        <v>78</v>
      </c>
      <c r="W808" s="303"/>
      <c r="X808" s="303"/>
      <c r="Y808" s="303"/>
      <c r="Z808" s="303"/>
      <c r="AA808" s="303"/>
      <c r="AB808" s="304"/>
      <c r="AC808" s="304"/>
      <c r="AD808" s="304"/>
      <c r="AE808" s="304"/>
      <c r="AF808" s="1263"/>
      <c r="AG808" s="314">
        <f t="shared" si="1000"/>
        <v>0</v>
      </c>
      <c r="AH808" s="696">
        <f t="shared" si="1001"/>
        <v>0</v>
      </c>
      <c r="AI808" s="314">
        <f t="shared" si="1002"/>
        <v>0</v>
      </c>
      <c r="AJ808" s="314">
        <f t="shared" si="1003"/>
        <v>0</v>
      </c>
      <c r="AK808" s="314">
        <f t="shared" si="1004"/>
        <v>0</v>
      </c>
      <c r="AL808" s="314">
        <f t="shared" si="1005"/>
        <v>0</v>
      </c>
      <c r="AM808" s="314">
        <f t="shared" si="1006"/>
        <v>0</v>
      </c>
      <c r="AN808" s="314">
        <f t="shared" si="1007"/>
        <v>0</v>
      </c>
      <c r="AO808" s="314">
        <f t="shared" si="1008"/>
        <v>0</v>
      </c>
      <c r="AP808" s="314">
        <f t="shared" si="1009"/>
        <v>0</v>
      </c>
    </row>
    <row r="809" spans="1:42" ht="41.4" outlineLevel="1">
      <c r="A809" s="593" t="s">
        <v>23</v>
      </c>
      <c r="B809" s="324" t="s">
        <v>2217</v>
      </c>
      <c r="C809" s="304"/>
      <c r="D809" s="304"/>
      <c r="E809" s="304">
        <f t="shared" si="1027"/>
        <v>90</v>
      </c>
      <c r="F809" s="304">
        <f t="shared" si="1028"/>
        <v>90</v>
      </c>
      <c r="G809" s="304">
        <f t="shared" si="1024"/>
        <v>90</v>
      </c>
      <c r="H809" s="303">
        <f t="shared" si="1032"/>
        <v>90</v>
      </c>
      <c r="I809" s="303">
        <f t="shared" si="1033"/>
        <v>90</v>
      </c>
      <c r="J809" s="311"/>
      <c r="K809" s="311"/>
      <c r="L809" s="311"/>
      <c r="M809" s="303"/>
      <c r="N809" s="311"/>
      <c r="O809" s="311"/>
      <c r="P809" s="303">
        <f t="shared" si="1034"/>
        <v>90</v>
      </c>
      <c r="Q809" s="311"/>
      <c r="R809" s="312"/>
      <c r="S809" s="303"/>
      <c r="T809" s="303">
        <f t="shared" si="1035"/>
        <v>90</v>
      </c>
      <c r="U809" s="303"/>
      <c r="V809" s="303">
        <v>90</v>
      </c>
      <c r="W809" s="303"/>
      <c r="X809" s="303"/>
      <c r="Y809" s="303"/>
      <c r="Z809" s="303"/>
      <c r="AA809" s="303"/>
      <c r="AB809" s="304"/>
      <c r="AC809" s="304"/>
      <c r="AD809" s="304"/>
      <c r="AE809" s="304"/>
      <c r="AF809" s="1263"/>
      <c r="AG809" s="314">
        <f t="shared" si="1000"/>
        <v>0</v>
      </c>
      <c r="AH809" s="696">
        <f t="shared" si="1001"/>
        <v>0</v>
      </c>
      <c r="AI809" s="314">
        <f t="shared" si="1002"/>
        <v>0</v>
      </c>
      <c r="AJ809" s="314">
        <f t="shared" si="1003"/>
        <v>0</v>
      </c>
      <c r="AK809" s="314">
        <f t="shared" si="1004"/>
        <v>0</v>
      </c>
      <c r="AL809" s="314">
        <f t="shared" si="1005"/>
        <v>0</v>
      </c>
      <c r="AM809" s="314">
        <f t="shared" si="1006"/>
        <v>0</v>
      </c>
      <c r="AN809" s="314">
        <f t="shared" si="1007"/>
        <v>0</v>
      </c>
      <c r="AO809" s="314">
        <f t="shared" si="1008"/>
        <v>0</v>
      </c>
      <c r="AP809" s="314">
        <f t="shared" si="1009"/>
        <v>0</v>
      </c>
    </row>
    <row r="810" spans="1:42" ht="96.6" outlineLevel="1">
      <c r="A810" s="593" t="s">
        <v>23</v>
      </c>
      <c r="B810" s="324" t="s">
        <v>2218</v>
      </c>
      <c r="C810" s="304"/>
      <c r="D810" s="304"/>
      <c r="E810" s="304">
        <f t="shared" si="1027"/>
        <v>114</v>
      </c>
      <c r="F810" s="304">
        <f t="shared" si="1028"/>
        <v>114</v>
      </c>
      <c r="G810" s="304">
        <f t="shared" si="1024"/>
        <v>114</v>
      </c>
      <c r="H810" s="303">
        <f t="shared" si="1032"/>
        <v>114</v>
      </c>
      <c r="I810" s="303">
        <f t="shared" si="1033"/>
        <v>114</v>
      </c>
      <c r="J810" s="311"/>
      <c r="K810" s="311"/>
      <c r="L810" s="311"/>
      <c r="M810" s="303"/>
      <c r="N810" s="311"/>
      <c r="O810" s="311"/>
      <c r="P810" s="303">
        <f t="shared" si="1034"/>
        <v>114</v>
      </c>
      <c r="Q810" s="311"/>
      <c r="R810" s="312"/>
      <c r="S810" s="303"/>
      <c r="T810" s="303">
        <f t="shared" si="1035"/>
        <v>114</v>
      </c>
      <c r="U810" s="303"/>
      <c r="V810" s="303">
        <v>114</v>
      </c>
      <c r="W810" s="303"/>
      <c r="X810" s="303"/>
      <c r="Y810" s="303"/>
      <c r="Z810" s="303"/>
      <c r="AA810" s="303"/>
      <c r="AB810" s="304"/>
      <c r="AC810" s="304"/>
      <c r="AD810" s="304"/>
      <c r="AE810" s="304"/>
      <c r="AF810" s="1263" t="s">
        <v>2338</v>
      </c>
      <c r="AG810" s="314">
        <f t="shared" si="1000"/>
        <v>0</v>
      </c>
      <c r="AH810" s="696">
        <f t="shared" si="1001"/>
        <v>0</v>
      </c>
      <c r="AI810" s="314">
        <f t="shared" si="1002"/>
        <v>0</v>
      </c>
      <c r="AJ810" s="314">
        <f t="shared" si="1003"/>
        <v>0</v>
      </c>
      <c r="AK810" s="314">
        <f t="shared" si="1004"/>
        <v>0</v>
      </c>
      <c r="AL810" s="314">
        <f t="shared" si="1005"/>
        <v>0</v>
      </c>
      <c r="AM810" s="314">
        <f t="shared" si="1006"/>
        <v>0</v>
      </c>
      <c r="AN810" s="314">
        <f t="shared" si="1007"/>
        <v>0</v>
      </c>
      <c r="AO810" s="314">
        <f t="shared" si="1008"/>
        <v>0</v>
      </c>
      <c r="AP810" s="314">
        <f t="shared" si="1009"/>
        <v>0</v>
      </c>
    </row>
    <row r="811" spans="1:42" ht="41.4" hidden="1" outlineLevel="3">
      <c r="A811" s="593" t="s">
        <v>23</v>
      </c>
      <c r="B811" s="324" t="s">
        <v>2219</v>
      </c>
      <c r="C811" s="304"/>
      <c r="D811" s="304"/>
      <c r="E811" s="304">
        <f t="shared" si="1027"/>
        <v>0</v>
      </c>
      <c r="F811" s="304">
        <f t="shared" si="1028"/>
        <v>0</v>
      </c>
      <c r="G811" s="304">
        <f t="shared" si="1024"/>
        <v>0</v>
      </c>
      <c r="H811" s="303">
        <f t="shared" si="1032"/>
        <v>0</v>
      </c>
      <c r="I811" s="303">
        <f t="shared" si="1033"/>
        <v>0</v>
      </c>
      <c r="J811" s="311"/>
      <c r="K811" s="311"/>
      <c r="L811" s="311"/>
      <c r="M811" s="303"/>
      <c r="N811" s="311"/>
      <c r="O811" s="311"/>
      <c r="P811" s="303">
        <f t="shared" si="1034"/>
        <v>0</v>
      </c>
      <c r="Q811" s="311"/>
      <c r="R811" s="312"/>
      <c r="S811" s="303"/>
      <c r="T811" s="303">
        <f t="shared" si="1035"/>
        <v>0</v>
      </c>
      <c r="U811" s="303"/>
      <c r="V811" s="303">
        <v>0</v>
      </c>
      <c r="W811" s="303"/>
      <c r="X811" s="303"/>
      <c r="Y811" s="303"/>
      <c r="Z811" s="303"/>
      <c r="AA811" s="303"/>
      <c r="AB811" s="304"/>
      <c r="AC811" s="304"/>
      <c r="AD811" s="304"/>
      <c r="AE811" s="304"/>
      <c r="AF811" s="1263" t="s">
        <v>2339</v>
      </c>
      <c r="AG811" s="314">
        <f t="shared" si="1000"/>
        <v>0</v>
      </c>
      <c r="AH811" s="696">
        <f t="shared" si="1001"/>
        <v>0</v>
      </c>
      <c r="AI811" s="314">
        <f t="shared" si="1002"/>
        <v>0</v>
      </c>
      <c r="AJ811" s="314">
        <f t="shared" si="1003"/>
        <v>0</v>
      </c>
      <c r="AK811" s="314">
        <f t="shared" si="1004"/>
        <v>0</v>
      </c>
      <c r="AL811" s="314">
        <f t="shared" si="1005"/>
        <v>0</v>
      </c>
      <c r="AM811" s="314">
        <f t="shared" si="1006"/>
        <v>0</v>
      </c>
      <c r="AN811" s="314">
        <f t="shared" si="1007"/>
        <v>0</v>
      </c>
      <c r="AO811" s="314">
        <f t="shared" si="1008"/>
        <v>0</v>
      </c>
      <c r="AP811" s="314">
        <f t="shared" si="1009"/>
        <v>0</v>
      </c>
    </row>
    <row r="812" spans="1:42" ht="41.4" outlineLevel="1" collapsed="1">
      <c r="A812" s="593" t="s">
        <v>23</v>
      </c>
      <c r="B812" s="324" t="s">
        <v>2220</v>
      </c>
      <c r="C812" s="304"/>
      <c r="D812" s="304"/>
      <c r="E812" s="304">
        <f t="shared" si="1027"/>
        <v>130</v>
      </c>
      <c r="F812" s="304">
        <f t="shared" si="1028"/>
        <v>130</v>
      </c>
      <c r="G812" s="304">
        <f t="shared" si="1024"/>
        <v>130</v>
      </c>
      <c r="H812" s="303">
        <f t="shared" si="1032"/>
        <v>130</v>
      </c>
      <c r="I812" s="303">
        <f t="shared" si="1033"/>
        <v>130</v>
      </c>
      <c r="J812" s="311"/>
      <c r="K812" s="311"/>
      <c r="L812" s="311"/>
      <c r="M812" s="303"/>
      <c r="N812" s="311"/>
      <c r="O812" s="311"/>
      <c r="P812" s="303">
        <f t="shared" si="1034"/>
        <v>130</v>
      </c>
      <c r="Q812" s="311"/>
      <c r="R812" s="312"/>
      <c r="S812" s="303"/>
      <c r="T812" s="303">
        <f t="shared" si="1035"/>
        <v>130</v>
      </c>
      <c r="U812" s="303"/>
      <c r="V812" s="303">
        <v>130</v>
      </c>
      <c r="W812" s="303"/>
      <c r="X812" s="303"/>
      <c r="Y812" s="303"/>
      <c r="Z812" s="303"/>
      <c r="AA812" s="303"/>
      <c r="AB812" s="304"/>
      <c r="AC812" s="304"/>
      <c r="AD812" s="304"/>
      <c r="AE812" s="304"/>
      <c r="AF812" s="1263" t="s">
        <v>2561</v>
      </c>
      <c r="AG812" s="314">
        <f t="shared" si="1000"/>
        <v>0</v>
      </c>
      <c r="AH812" s="696">
        <f t="shared" si="1001"/>
        <v>0</v>
      </c>
      <c r="AI812" s="314">
        <f t="shared" si="1002"/>
        <v>0</v>
      </c>
      <c r="AJ812" s="314">
        <f t="shared" si="1003"/>
        <v>0</v>
      </c>
      <c r="AK812" s="314">
        <f t="shared" si="1004"/>
        <v>0</v>
      </c>
      <c r="AL812" s="314">
        <f t="shared" si="1005"/>
        <v>0</v>
      </c>
      <c r="AM812" s="314">
        <f t="shared" si="1006"/>
        <v>0</v>
      </c>
      <c r="AN812" s="314">
        <f t="shared" si="1007"/>
        <v>0</v>
      </c>
      <c r="AO812" s="314">
        <f t="shared" si="1008"/>
        <v>0</v>
      </c>
      <c r="AP812" s="314">
        <f t="shared" si="1009"/>
        <v>0</v>
      </c>
    </row>
    <row r="813" spans="1:42" ht="69" hidden="1" outlineLevel="3">
      <c r="A813" s="583" t="s">
        <v>23</v>
      </c>
      <c r="B813" s="316" t="s">
        <v>2221</v>
      </c>
      <c r="C813" s="304"/>
      <c r="D813" s="304">
        <v>739</v>
      </c>
      <c r="E813" s="304">
        <f t="shared" si="1027"/>
        <v>0</v>
      </c>
      <c r="F813" s="304">
        <f t="shared" si="1028"/>
        <v>0</v>
      </c>
      <c r="G813" s="304">
        <f t="shared" si="1024"/>
        <v>-739</v>
      </c>
      <c r="H813" s="303">
        <f t="shared" si="1032"/>
        <v>0</v>
      </c>
      <c r="I813" s="303">
        <f t="shared" si="1033"/>
        <v>0</v>
      </c>
      <c r="J813" s="294"/>
      <c r="K813" s="294"/>
      <c r="L813" s="294"/>
      <c r="M813" s="304"/>
      <c r="N813" s="294"/>
      <c r="O813" s="294"/>
      <c r="P813" s="303">
        <f t="shared" si="1034"/>
        <v>0</v>
      </c>
      <c r="Q813" s="294"/>
      <c r="R813" s="305"/>
      <c r="S813" s="304"/>
      <c r="T813" s="303">
        <f t="shared" si="1035"/>
        <v>0</v>
      </c>
      <c r="U813" s="304"/>
      <c r="V813" s="304"/>
      <c r="W813" s="303"/>
      <c r="X813" s="303"/>
      <c r="Y813" s="303"/>
      <c r="Z813" s="304"/>
      <c r="AA813" s="304"/>
      <c r="AB813" s="304"/>
      <c r="AC813" s="304"/>
      <c r="AD813" s="304"/>
      <c r="AE813" s="304"/>
      <c r="AF813" s="1263"/>
      <c r="AG813" s="314">
        <f t="shared" si="1000"/>
        <v>0</v>
      </c>
      <c r="AH813" s="696">
        <f t="shared" si="1001"/>
        <v>0</v>
      </c>
      <c r="AI813" s="314">
        <f t="shared" si="1002"/>
        <v>0</v>
      </c>
      <c r="AJ813" s="314">
        <f t="shared" si="1003"/>
        <v>0</v>
      </c>
      <c r="AK813" s="314">
        <f t="shared" si="1004"/>
        <v>0</v>
      </c>
      <c r="AL813" s="314">
        <f t="shared" si="1005"/>
        <v>0</v>
      </c>
      <c r="AM813" s="314">
        <f t="shared" si="1006"/>
        <v>0</v>
      </c>
      <c r="AN813" s="314">
        <f t="shared" si="1007"/>
        <v>0</v>
      </c>
      <c r="AO813" s="314">
        <f t="shared" si="1008"/>
        <v>0</v>
      </c>
      <c r="AP813" s="314">
        <f t="shared" si="1009"/>
        <v>0</v>
      </c>
    </row>
    <row r="814" spans="1:42" ht="41.4" hidden="1" outlineLevel="3">
      <c r="A814" s="583" t="s">
        <v>23</v>
      </c>
      <c r="B814" s="316" t="s">
        <v>1682</v>
      </c>
      <c r="C814" s="304"/>
      <c r="D814" s="304">
        <v>70</v>
      </c>
      <c r="E814" s="304">
        <f t="shared" si="1027"/>
        <v>0</v>
      </c>
      <c r="F814" s="304">
        <f t="shared" si="1028"/>
        <v>0</v>
      </c>
      <c r="G814" s="304">
        <f t="shared" si="1024"/>
        <v>-70</v>
      </c>
      <c r="H814" s="303">
        <f t="shared" si="1032"/>
        <v>0</v>
      </c>
      <c r="I814" s="303">
        <f t="shared" si="1033"/>
        <v>0</v>
      </c>
      <c r="J814" s="294"/>
      <c r="K814" s="294"/>
      <c r="L814" s="294"/>
      <c r="M814" s="304"/>
      <c r="N814" s="294"/>
      <c r="O814" s="294"/>
      <c r="P814" s="303">
        <f t="shared" si="1034"/>
        <v>0</v>
      </c>
      <c r="Q814" s="294"/>
      <c r="R814" s="305"/>
      <c r="S814" s="304"/>
      <c r="T814" s="303">
        <f t="shared" si="1035"/>
        <v>0</v>
      </c>
      <c r="U814" s="304"/>
      <c r="V814" s="304"/>
      <c r="W814" s="303"/>
      <c r="X814" s="303"/>
      <c r="Y814" s="303"/>
      <c r="Z814" s="304"/>
      <c r="AA814" s="304"/>
      <c r="AB814" s="304"/>
      <c r="AC814" s="304"/>
      <c r="AD814" s="304"/>
      <c r="AE814" s="304"/>
      <c r="AF814" s="317"/>
      <c r="AG814" s="314">
        <f t="shared" si="1000"/>
        <v>0</v>
      </c>
      <c r="AH814" s="696">
        <f t="shared" si="1001"/>
        <v>0</v>
      </c>
      <c r="AI814" s="314">
        <f t="shared" si="1002"/>
        <v>0</v>
      </c>
      <c r="AJ814" s="314">
        <f t="shared" si="1003"/>
        <v>0</v>
      </c>
      <c r="AK814" s="314">
        <f t="shared" si="1004"/>
        <v>0</v>
      </c>
      <c r="AL814" s="314">
        <f t="shared" si="1005"/>
        <v>0</v>
      </c>
      <c r="AM814" s="314">
        <f t="shared" si="1006"/>
        <v>0</v>
      </c>
      <c r="AN814" s="314">
        <f t="shared" si="1007"/>
        <v>0</v>
      </c>
      <c r="AO814" s="314">
        <f t="shared" si="1008"/>
        <v>0</v>
      </c>
      <c r="AP814" s="314">
        <f t="shared" si="1009"/>
        <v>0</v>
      </c>
    </row>
    <row r="815" spans="1:42" ht="41.4" hidden="1" outlineLevel="3">
      <c r="A815" s="583" t="s">
        <v>23</v>
      </c>
      <c r="B815" s="316" t="s">
        <v>1775</v>
      </c>
      <c r="C815" s="304"/>
      <c r="D815" s="304">
        <v>85</v>
      </c>
      <c r="E815" s="304">
        <f t="shared" si="1027"/>
        <v>0</v>
      </c>
      <c r="F815" s="304">
        <f t="shared" si="1028"/>
        <v>0</v>
      </c>
      <c r="G815" s="304">
        <f t="shared" si="1024"/>
        <v>-85</v>
      </c>
      <c r="H815" s="303">
        <f t="shared" si="1032"/>
        <v>0</v>
      </c>
      <c r="I815" s="303">
        <f t="shared" si="1033"/>
        <v>0</v>
      </c>
      <c r="J815" s="294"/>
      <c r="K815" s="294"/>
      <c r="L815" s="294"/>
      <c r="M815" s="304"/>
      <c r="N815" s="294"/>
      <c r="O815" s="294"/>
      <c r="P815" s="303">
        <f t="shared" si="1034"/>
        <v>0</v>
      </c>
      <c r="Q815" s="294"/>
      <c r="R815" s="305"/>
      <c r="S815" s="304"/>
      <c r="T815" s="303">
        <f t="shared" si="1035"/>
        <v>0</v>
      </c>
      <c r="U815" s="304"/>
      <c r="V815" s="304"/>
      <c r="W815" s="303"/>
      <c r="X815" s="303"/>
      <c r="Y815" s="303"/>
      <c r="Z815" s="304"/>
      <c r="AA815" s="304"/>
      <c r="AB815" s="304"/>
      <c r="AC815" s="304"/>
      <c r="AD815" s="304"/>
      <c r="AE815" s="304"/>
      <c r="AF815" s="317"/>
      <c r="AG815" s="314">
        <f t="shared" si="1000"/>
        <v>0</v>
      </c>
      <c r="AH815" s="696">
        <f t="shared" si="1001"/>
        <v>0</v>
      </c>
      <c r="AI815" s="314">
        <f t="shared" si="1002"/>
        <v>0</v>
      </c>
      <c r="AJ815" s="314">
        <f t="shared" si="1003"/>
        <v>0</v>
      </c>
      <c r="AK815" s="314">
        <f t="shared" si="1004"/>
        <v>0</v>
      </c>
      <c r="AL815" s="314">
        <f t="shared" si="1005"/>
        <v>0</v>
      </c>
      <c r="AM815" s="314">
        <f t="shared" si="1006"/>
        <v>0</v>
      </c>
      <c r="AN815" s="314">
        <f t="shared" si="1007"/>
        <v>0</v>
      </c>
      <c r="AO815" s="314">
        <f t="shared" si="1008"/>
        <v>0</v>
      </c>
      <c r="AP815" s="314">
        <f t="shared" si="1009"/>
        <v>0</v>
      </c>
    </row>
    <row r="816" spans="1:42" ht="55.2" hidden="1" outlineLevel="3">
      <c r="A816" s="583" t="s">
        <v>23</v>
      </c>
      <c r="B816" s="316" t="s">
        <v>2222</v>
      </c>
      <c r="C816" s="304"/>
      <c r="D816" s="304">
        <v>77</v>
      </c>
      <c r="E816" s="304">
        <f t="shared" si="1027"/>
        <v>0</v>
      </c>
      <c r="F816" s="304">
        <f t="shared" si="1028"/>
        <v>0</v>
      </c>
      <c r="G816" s="304">
        <f t="shared" si="1024"/>
        <v>-77</v>
      </c>
      <c r="H816" s="303">
        <f t="shared" si="1032"/>
        <v>0</v>
      </c>
      <c r="I816" s="303">
        <f t="shared" si="1033"/>
        <v>0</v>
      </c>
      <c r="J816" s="294"/>
      <c r="K816" s="294"/>
      <c r="L816" s="294"/>
      <c r="M816" s="304"/>
      <c r="N816" s="294"/>
      <c r="O816" s="294"/>
      <c r="P816" s="303">
        <f t="shared" si="1034"/>
        <v>0</v>
      </c>
      <c r="Q816" s="294"/>
      <c r="R816" s="305"/>
      <c r="S816" s="304"/>
      <c r="T816" s="303">
        <f t="shared" si="1035"/>
        <v>0</v>
      </c>
      <c r="U816" s="304"/>
      <c r="V816" s="304"/>
      <c r="W816" s="303"/>
      <c r="X816" s="303"/>
      <c r="Y816" s="303"/>
      <c r="Z816" s="304"/>
      <c r="AA816" s="304"/>
      <c r="AB816" s="304"/>
      <c r="AC816" s="304"/>
      <c r="AD816" s="304"/>
      <c r="AE816" s="304"/>
      <c r="AF816" s="317"/>
      <c r="AG816" s="314">
        <f t="shared" si="1000"/>
        <v>0</v>
      </c>
      <c r="AH816" s="696">
        <f t="shared" si="1001"/>
        <v>0</v>
      </c>
      <c r="AI816" s="314">
        <f t="shared" si="1002"/>
        <v>0</v>
      </c>
      <c r="AJ816" s="314">
        <f t="shared" si="1003"/>
        <v>0</v>
      </c>
      <c r="AK816" s="314">
        <f t="shared" si="1004"/>
        <v>0</v>
      </c>
      <c r="AL816" s="314">
        <f t="shared" si="1005"/>
        <v>0</v>
      </c>
      <c r="AM816" s="314">
        <f t="shared" si="1006"/>
        <v>0</v>
      </c>
      <c r="AN816" s="314">
        <f t="shared" si="1007"/>
        <v>0</v>
      </c>
      <c r="AO816" s="314">
        <f t="shared" si="1008"/>
        <v>0</v>
      </c>
      <c r="AP816" s="314">
        <f t="shared" si="1009"/>
        <v>0</v>
      </c>
    </row>
    <row r="817" spans="1:42" s="314" customFormat="1">
      <c r="A817" s="592" t="s">
        <v>1027</v>
      </c>
      <c r="B817" s="974" t="s">
        <v>1021</v>
      </c>
      <c r="C817" s="1295">
        <v>280</v>
      </c>
      <c r="D817" s="297">
        <v>135</v>
      </c>
      <c r="E817" s="297">
        <f>E818+E819</f>
        <v>258</v>
      </c>
      <c r="F817" s="297">
        <f t="shared" ref="F817:AC817" si="1036">F818+F819</f>
        <v>258</v>
      </c>
      <c r="G817" s="297">
        <f t="shared" si="1036"/>
        <v>123</v>
      </c>
      <c r="H817" s="297">
        <f t="shared" si="1036"/>
        <v>258</v>
      </c>
      <c r="I817" s="297">
        <f t="shared" si="1036"/>
        <v>0</v>
      </c>
      <c r="J817" s="297">
        <f t="shared" si="1036"/>
        <v>0</v>
      </c>
      <c r="K817" s="297">
        <f t="shared" si="1036"/>
        <v>0</v>
      </c>
      <c r="L817" s="297">
        <f t="shared" si="1036"/>
        <v>0</v>
      </c>
      <c r="M817" s="297">
        <f t="shared" si="1036"/>
        <v>0</v>
      </c>
      <c r="N817" s="297">
        <f t="shared" si="1036"/>
        <v>0</v>
      </c>
      <c r="O817" s="297">
        <f t="shared" si="1036"/>
        <v>0</v>
      </c>
      <c r="P817" s="297">
        <f t="shared" si="1036"/>
        <v>0</v>
      </c>
      <c r="Q817" s="297">
        <f t="shared" si="1036"/>
        <v>0</v>
      </c>
      <c r="R817" s="297">
        <f t="shared" si="1036"/>
        <v>0</v>
      </c>
      <c r="S817" s="297">
        <f t="shared" si="1036"/>
        <v>0</v>
      </c>
      <c r="T817" s="297">
        <f t="shared" si="1036"/>
        <v>0</v>
      </c>
      <c r="U817" s="297">
        <f t="shared" si="1036"/>
        <v>0</v>
      </c>
      <c r="V817" s="297">
        <f t="shared" si="1036"/>
        <v>0</v>
      </c>
      <c r="W817" s="297">
        <f t="shared" si="1036"/>
        <v>258</v>
      </c>
      <c r="X817" s="297">
        <f t="shared" si="1036"/>
        <v>0</v>
      </c>
      <c r="Y817" s="297">
        <f t="shared" si="1036"/>
        <v>0</v>
      </c>
      <c r="Z817" s="297">
        <f t="shared" si="1036"/>
        <v>135</v>
      </c>
      <c r="AA817" s="297">
        <f t="shared" si="1036"/>
        <v>123</v>
      </c>
      <c r="AB817" s="297">
        <f t="shared" si="1036"/>
        <v>0</v>
      </c>
      <c r="AC817" s="297">
        <f t="shared" si="1036"/>
        <v>0</v>
      </c>
      <c r="AD817" s="297">
        <f t="shared" ref="AD817:AE817" si="1037">AD818</f>
        <v>10</v>
      </c>
      <c r="AE817" s="297">
        <f t="shared" si="1037"/>
        <v>88</v>
      </c>
      <c r="AF817" s="1271"/>
      <c r="AG817" s="314">
        <f t="shared" si="1000"/>
        <v>0</v>
      </c>
      <c r="AH817" s="696">
        <f t="shared" si="1001"/>
        <v>0</v>
      </c>
      <c r="AI817" s="314">
        <f t="shared" si="1002"/>
        <v>0</v>
      </c>
      <c r="AJ817" s="314">
        <f t="shared" si="1003"/>
        <v>0</v>
      </c>
      <c r="AK817" s="314">
        <f t="shared" si="1004"/>
        <v>0</v>
      </c>
      <c r="AL817" s="314">
        <f t="shared" si="1005"/>
        <v>0</v>
      </c>
      <c r="AM817" s="314">
        <f t="shared" si="1006"/>
        <v>0</v>
      </c>
      <c r="AN817" s="314">
        <f t="shared" si="1007"/>
        <v>0</v>
      </c>
      <c r="AO817" s="314">
        <f t="shared" si="1008"/>
        <v>0</v>
      </c>
      <c r="AP817" s="314">
        <f t="shared" si="1009"/>
        <v>0</v>
      </c>
    </row>
    <row r="818" spans="1:42" outlineLevel="1">
      <c r="A818" s="583" t="s">
        <v>23</v>
      </c>
      <c r="B818" s="324" t="s">
        <v>2461</v>
      </c>
      <c r="C818" s="1272"/>
      <c r="D818" s="304">
        <f>135-37</f>
        <v>98</v>
      </c>
      <c r="E818" s="304">
        <f>F818+AC818</f>
        <v>98</v>
      </c>
      <c r="F818" s="304">
        <f>H818-AB818</f>
        <v>98</v>
      </c>
      <c r="G818" s="304">
        <f>F818-D818</f>
        <v>0</v>
      </c>
      <c r="H818" s="303">
        <f t="shared" ref="H818:H819" si="1038">I818+W818</f>
        <v>98</v>
      </c>
      <c r="I818" s="303">
        <f>M818+P818</f>
        <v>0</v>
      </c>
      <c r="J818" s="294"/>
      <c r="K818" s="294"/>
      <c r="L818" s="294"/>
      <c r="M818" s="304"/>
      <c r="N818" s="294"/>
      <c r="O818" s="294"/>
      <c r="P818" s="303">
        <f>S818+T818</f>
        <v>0</v>
      </c>
      <c r="Q818" s="294"/>
      <c r="R818" s="305"/>
      <c r="S818" s="304"/>
      <c r="T818" s="303">
        <f>U818+V818</f>
        <v>0</v>
      </c>
      <c r="U818" s="304"/>
      <c r="V818" s="304"/>
      <c r="W818" s="303">
        <f>Z818+AA818</f>
        <v>98</v>
      </c>
      <c r="X818" s="303"/>
      <c r="Y818" s="303"/>
      <c r="Z818" s="304">
        <f>135-37</f>
        <v>98</v>
      </c>
      <c r="AA818" s="304"/>
      <c r="AB818" s="304"/>
      <c r="AC818" s="304"/>
      <c r="AD818" s="304">
        <v>10</v>
      </c>
      <c r="AE818" s="303">
        <f>E818-AD818</f>
        <v>88</v>
      </c>
      <c r="AF818" s="317"/>
      <c r="AG818" s="314">
        <f t="shared" si="1000"/>
        <v>0</v>
      </c>
      <c r="AH818" s="696">
        <f t="shared" si="1001"/>
        <v>0</v>
      </c>
      <c r="AI818" s="314">
        <f t="shared" si="1002"/>
        <v>0</v>
      </c>
      <c r="AJ818" s="314">
        <f t="shared" si="1003"/>
        <v>0</v>
      </c>
      <c r="AK818" s="314">
        <f t="shared" si="1004"/>
        <v>0</v>
      </c>
      <c r="AL818" s="314">
        <f t="shared" si="1005"/>
        <v>0</v>
      </c>
      <c r="AM818" s="314">
        <f t="shared" si="1006"/>
        <v>0</v>
      </c>
      <c r="AN818" s="314">
        <f t="shared" si="1007"/>
        <v>0</v>
      </c>
      <c r="AO818" s="314">
        <f t="shared" si="1008"/>
        <v>0</v>
      </c>
      <c r="AP818" s="314">
        <f t="shared" si="1009"/>
        <v>0</v>
      </c>
    </row>
    <row r="819" spans="1:42" ht="82.8" outlineLevel="1">
      <c r="A819" s="593" t="s">
        <v>23</v>
      </c>
      <c r="B819" s="324" t="s">
        <v>2223</v>
      </c>
      <c r="C819" s="304"/>
      <c r="D819" s="304">
        <v>37</v>
      </c>
      <c r="E819" s="304">
        <f t="shared" ref="E819" si="1039">F819+AC819</f>
        <v>160</v>
      </c>
      <c r="F819" s="304">
        <f t="shared" ref="F819" si="1040">H819-AB819</f>
        <v>160</v>
      </c>
      <c r="G819" s="304">
        <f t="shared" ref="G819" si="1041">F819-D819</f>
        <v>123</v>
      </c>
      <c r="H819" s="303">
        <f t="shared" si="1038"/>
        <v>160</v>
      </c>
      <c r="I819" s="303">
        <f t="shared" ref="I819" si="1042">M819+P819</f>
        <v>0</v>
      </c>
      <c r="J819" s="311"/>
      <c r="K819" s="311"/>
      <c r="L819" s="311"/>
      <c r="M819" s="303"/>
      <c r="N819" s="311"/>
      <c r="O819" s="311"/>
      <c r="P819" s="303">
        <f t="shared" ref="P819" si="1043">S819+T819</f>
        <v>0</v>
      </c>
      <c r="Q819" s="311"/>
      <c r="R819" s="312"/>
      <c r="S819" s="303"/>
      <c r="T819" s="303">
        <f t="shared" ref="T819" si="1044">U819+V819</f>
        <v>0</v>
      </c>
      <c r="U819" s="303"/>
      <c r="V819" s="303"/>
      <c r="W819" s="303">
        <f>Z819+AA819</f>
        <v>160</v>
      </c>
      <c r="X819" s="303"/>
      <c r="Y819" s="303"/>
      <c r="Z819" s="303">
        <v>37</v>
      </c>
      <c r="AA819" s="303">
        <v>123</v>
      </c>
      <c r="AB819" s="304"/>
      <c r="AC819" s="304"/>
      <c r="AD819" s="304"/>
      <c r="AE819" s="304"/>
      <c r="AF819" s="1263" t="s">
        <v>2337</v>
      </c>
      <c r="AG819" s="314">
        <f t="shared" si="1000"/>
        <v>0</v>
      </c>
      <c r="AH819" s="696">
        <f t="shared" si="1001"/>
        <v>0</v>
      </c>
      <c r="AI819" s="314">
        <f t="shared" si="1002"/>
        <v>0</v>
      </c>
      <c r="AJ819" s="314">
        <f t="shared" si="1003"/>
        <v>0</v>
      </c>
      <c r="AK819" s="314">
        <f t="shared" si="1004"/>
        <v>0</v>
      </c>
      <c r="AL819" s="314">
        <f t="shared" si="1005"/>
        <v>0</v>
      </c>
      <c r="AM819" s="314">
        <f t="shared" si="1006"/>
        <v>0</v>
      </c>
      <c r="AN819" s="314">
        <f t="shared" si="1007"/>
        <v>0</v>
      </c>
      <c r="AO819" s="314">
        <f t="shared" si="1008"/>
        <v>0</v>
      </c>
      <c r="AP819" s="314">
        <f t="shared" si="1009"/>
        <v>0</v>
      </c>
    </row>
    <row r="820" spans="1:42" s="314" customFormat="1" hidden="1" outlineLevel="3">
      <c r="A820" s="592" t="s">
        <v>1030</v>
      </c>
      <c r="B820" s="751" t="s">
        <v>1867</v>
      </c>
      <c r="C820" s="315" t="s">
        <v>728</v>
      </c>
      <c r="D820" s="297">
        <v>2000</v>
      </c>
      <c r="E820" s="297">
        <f>F820+AC820</f>
        <v>0</v>
      </c>
      <c r="F820" s="297">
        <f>H820-AB820</f>
        <v>0</v>
      </c>
      <c r="G820" s="297">
        <f>F820-D820</f>
        <v>-2000</v>
      </c>
      <c r="H820" s="299">
        <f>I820+W820</f>
        <v>0</v>
      </c>
      <c r="I820" s="299"/>
      <c r="J820" s="318"/>
      <c r="K820" s="318"/>
      <c r="L820" s="318"/>
      <c r="M820" s="299"/>
      <c r="N820" s="318"/>
      <c r="O820" s="318"/>
      <c r="P820" s="299"/>
      <c r="Q820" s="318"/>
      <c r="R820" s="319"/>
      <c r="S820" s="299"/>
      <c r="T820" s="299"/>
      <c r="U820" s="299"/>
      <c r="V820" s="299"/>
      <c r="W820" s="299">
        <f>Z820+AA820</f>
        <v>0</v>
      </c>
      <c r="X820" s="299"/>
      <c r="Y820" s="299"/>
      <c r="Z820" s="299"/>
      <c r="AA820" s="299"/>
      <c r="AB820" s="297"/>
      <c r="AC820" s="297"/>
      <c r="AD820" s="297"/>
      <c r="AE820" s="299">
        <f>E820-AD820</f>
        <v>0</v>
      </c>
      <c r="AF820" s="599" t="s">
        <v>2224</v>
      </c>
      <c r="AG820" s="314">
        <f t="shared" si="1000"/>
        <v>0</v>
      </c>
      <c r="AH820" s="696">
        <f t="shared" si="1001"/>
        <v>0</v>
      </c>
      <c r="AI820" s="314">
        <f t="shared" si="1002"/>
        <v>0</v>
      </c>
      <c r="AJ820" s="314">
        <f t="shared" si="1003"/>
        <v>0</v>
      </c>
      <c r="AK820" s="314">
        <f t="shared" si="1004"/>
        <v>0</v>
      </c>
      <c r="AL820" s="314">
        <f t="shared" si="1005"/>
        <v>0</v>
      </c>
      <c r="AM820" s="314">
        <f t="shared" si="1006"/>
        <v>0</v>
      </c>
      <c r="AN820" s="314">
        <f t="shared" si="1007"/>
        <v>0</v>
      </c>
      <c r="AO820" s="314">
        <f t="shared" si="1008"/>
        <v>0</v>
      </c>
      <c r="AP820" s="314">
        <f t="shared" si="1009"/>
        <v>0</v>
      </c>
    </row>
    <row r="821" spans="1:42" s="314" customFormat="1">
      <c r="A821" s="592" t="s">
        <v>421</v>
      </c>
      <c r="B821" s="320" t="s">
        <v>1122</v>
      </c>
      <c r="C821" s="298" t="s">
        <v>756</v>
      </c>
      <c r="D821" s="297">
        <f t="shared" ref="D821" si="1045">D822+D823</f>
        <v>8365</v>
      </c>
      <c r="E821" s="297">
        <f>E822+E823</f>
        <v>10610</v>
      </c>
      <c r="F821" s="297">
        <f>F822+F823</f>
        <v>9921</v>
      </c>
      <c r="G821" s="297">
        <f>F821-D821</f>
        <v>1556</v>
      </c>
      <c r="H821" s="297">
        <f>H822+H823</f>
        <v>9921</v>
      </c>
      <c r="I821" s="297">
        <f t="shared" ref="I821:P821" si="1046">I822+I823</f>
        <v>9921</v>
      </c>
      <c r="J821" s="297">
        <f t="shared" si="1046"/>
        <v>20</v>
      </c>
      <c r="K821" s="297">
        <f t="shared" si="1046"/>
        <v>19</v>
      </c>
      <c r="L821" s="297">
        <f t="shared" si="1046"/>
        <v>1</v>
      </c>
      <c r="M821" s="297">
        <f t="shared" si="1046"/>
        <v>3312</v>
      </c>
      <c r="N821" s="297">
        <f t="shared" si="1046"/>
        <v>3234</v>
      </c>
      <c r="O821" s="297">
        <f t="shared" si="1046"/>
        <v>78</v>
      </c>
      <c r="P821" s="297">
        <f t="shared" si="1046"/>
        <v>6609</v>
      </c>
      <c r="Q821" s="297"/>
      <c r="R821" s="297"/>
      <c r="S821" s="297">
        <f t="shared" ref="S821:AE821" si="1047">S822+S823</f>
        <v>1656</v>
      </c>
      <c r="T821" s="297">
        <f t="shared" si="1047"/>
        <v>4953</v>
      </c>
      <c r="U821" s="297">
        <f>U822+U823</f>
        <v>2807</v>
      </c>
      <c r="V821" s="297">
        <f t="shared" si="1047"/>
        <v>2146</v>
      </c>
      <c r="W821" s="297">
        <f>W822+W823</f>
        <v>0</v>
      </c>
      <c r="X821" s="297"/>
      <c r="Y821" s="297"/>
      <c r="Z821" s="297">
        <f t="shared" si="1047"/>
        <v>0</v>
      </c>
      <c r="AA821" s="297">
        <f>AA822+AA823</f>
        <v>0</v>
      </c>
      <c r="AB821" s="297">
        <f>AB822+AB823</f>
        <v>0</v>
      </c>
      <c r="AC821" s="297">
        <f t="shared" ref="AC821" si="1048">AC822+AC823</f>
        <v>689</v>
      </c>
      <c r="AD821" s="297">
        <f t="shared" si="1047"/>
        <v>661</v>
      </c>
      <c r="AE821" s="297">
        <f t="shared" si="1047"/>
        <v>9949</v>
      </c>
      <c r="AF821" s="321"/>
      <c r="AG821" s="314">
        <f t="shared" si="1000"/>
        <v>0</v>
      </c>
      <c r="AH821" s="696">
        <f t="shared" si="1001"/>
        <v>0</v>
      </c>
      <c r="AI821" s="314">
        <f t="shared" si="1002"/>
        <v>0</v>
      </c>
      <c r="AJ821" s="314">
        <f t="shared" si="1003"/>
        <v>0</v>
      </c>
      <c r="AK821" s="314">
        <f t="shared" si="1004"/>
        <v>0</v>
      </c>
      <c r="AL821" s="314">
        <f t="shared" si="1005"/>
        <v>0</v>
      </c>
      <c r="AM821" s="314">
        <f t="shared" si="1006"/>
        <v>0</v>
      </c>
      <c r="AN821" s="314">
        <f t="shared" si="1007"/>
        <v>0</v>
      </c>
      <c r="AO821" s="314">
        <f t="shared" si="1008"/>
        <v>0</v>
      </c>
      <c r="AP821" s="314">
        <f t="shared" si="1009"/>
        <v>0</v>
      </c>
    </row>
    <row r="822" spans="1:42">
      <c r="A822" s="583" t="s">
        <v>45</v>
      </c>
      <c r="B822" s="324" t="s">
        <v>862</v>
      </c>
      <c r="C822" s="304"/>
      <c r="D822" s="304">
        <v>5418</v>
      </c>
      <c r="E822" s="304">
        <f>F822+AC822</f>
        <v>5657</v>
      </c>
      <c r="F822" s="304">
        <f>H822-AB822</f>
        <v>4968</v>
      </c>
      <c r="G822" s="304">
        <f>F822-D822</f>
        <v>-450</v>
      </c>
      <c r="H822" s="303">
        <f t="shared" ref="H822" si="1049">I822+W822</f>
        <v>4968</v>
      </c>
      <c r="I822" s="303">
        <f>M822+P822</f>
        <v>4968</v>
      </c>
      <c r="J822" s="294">
        <v>20</v>
      </c>
      <c r="K822" s="294">
        <v>19</v>
      </c>
      <c r="L822" s="294">
        <f>J822-K822</f>
        <v>1</v>
      </c>
      <c r="M822" s="304">
        <f>N822+O822</f>
        <v>3312</v>
      </c>
      <c r="N822" s="294">
        <v>3234</v>
      </c>
      <c r="O822" s="294">
        <v>78</v>
      </c>
      <c r="P822" s="303">
        <f>S822+T822</f>
        <v>1656</v>
      </c>
      <c r="Q822" s="294">
        <v>36</v>
      </c>
      <c r="R822" s="305">
        <v>2.2999999999999998</v>
      </c>
      <c r="S822" s="304">
        <f>ROUND(J822*Q822*R822,0)</f>
        <v>1656</v>
      </c>
      <c r="T822" s="303">
        <f>U822+V822</f>
        <v>0</v>
      </c>
      <c r="U822" s="304"/>
      <c r="V822" s="304"/>
      <c r="W822" s="303">
        <f>Z822+AA822</f>
        <v>0</v>
      </c>
      <c r="X822" s="303"/>
      <c r="Y822" s="303"/>
      <c r="Z822" s="304"/>
      <c r="AA822" s="304"/>
      <c r="AB822" s="304"/>
      <c r="AC822" s="304">
        <v>689</v>
      </c>
      <c r="AD822" s="304">
        <v>166</v>
      </c>
      <c r="AE822" s="303">
        <f>E822-AD822</f>
        <v>5491</v>
      </c>
      <c r="AF822" s="317"/>
      <c r="AG822" s="314">
        <f t="shared" si="1000"/>
        <v>0</v>
      </c>
      <c r="AH822" s="696">
        <f t="shared" si="1001"/>
        <v>0</v>
      </c>
      <c r="AI822" s="314">
        <f t="shared" si="1002"/>
        <v>0</v>
      </c>
      <c r="AJ822" s="314">
        <f t="shared" si="1003"/>
        <v>0</v>
      </c>
      <c r="AK822" s="314">
        <f t="shared" si="1004"/>
        <v>0</v>
      </c>
      <c r="AL822" s="314">
        <f t="shared" si="1005"/>
        <v>0</v>
      </c>
      <c r="AM822" s="314">
        <f t="shared" si="1006"/>
        <v>0</v>
      </c>
      <c r="AN822" s="314">
        <f t="shared" si="1007"/>
        <v>0</v>
      </c>
      <c r="AO822" s="314">
        <f t="shared" si="1008"/>
        <v>0</v>
      </c>
      <c r="AP822" s="314">
        <f t="shared" si="1009"/>
        <v>0</v>
      </c>
    </row>
    <row r="823" spans="1:42" ht="27.6">
      <c r="A823" s="583" t="s">
        <v>47</v>
      </c>
      <c r="B823" s="1273" t="s">
        <v>1737</v>
      </c>
      <c r="C823" s="304"/>
      <c r="D823" s="303">
        <v>2947</v>
      </c>
      <c r="E823" s="303">
        <f>E824+E828+E830+E827+E825+E829+E831+E832+E833+E839+E834+E835+E836+E837+E838</f>
        <v>4953</v>
      </c>
      <c r="F823" s="303">
        <f t="shared" ref="F823:AC823" si="1050">F824+F828+F830+F827+F825+F829+F831+F832+F833+F839+F834+F835+F836+F837+F838</f>
        <v>4953</v>
      </c>
      <c r="G823" s="303">
        <f t="shared" si="1050"/>
        <v>2006</v>
      </c>
      <c r="H823" s="303">
        <f t="shared" si="1050"/>
        <v>4953</v>
      </c>
      <c r="I823" s="303">
        <f t="shared" si="1050"/>
        <v>4953</v>
      </c>
      <c r="J823" s="303">
        <f t="shared" si="1050"/>
        <v>0</v>
      </c>
      <c r="K823" s="303">
        <f t="shared" si="1050"/>
        <v>0</v>
      </c>
      <c r="L823" s="303">
        <f t="shared" si="1050"/>
        <v>0</v>
      </c>
      <c r="M823" s="303">
        <f t="shared" si="1050"/>
        <v>0</v>
      </c>
      <c r="N823" s="303">
        <f t="shared" si="1050"/>
        <v>0</v>
      </c>
      <c r="O823" s="303">
        <f t="shared" si="1050"/>
        <v>0</v>
      </c>
      <c r="P823" s="303">
        <f t="shared" si="1050"/>
        <v>4953</v>
      </c>
      <c r="Q823" s="303">
        <f t="shared" si="1050"/>
        <v>0</v>
      </c>
      <c r="R823" s="303">
        <f t="shared" si="1050"/>
        <v>0</v>
      </c>
      <c r="S823" s="303">
        <f t="shared" si="1050"/>
        <v>0</v>
      </c>
      <c r="T823" s="303">
        <f t="shared" si="1050"/>
        <v>4953</v>
      </c>
      <c r="U823" s="303">
        <f t="shared" si="1050"/>
        <v>2807</v>
      </c>
      <c r="V823" s="303">
        <f t="shared" si="1050"/>
        <v>2146</v>
      </c>
      <c r="W823" s="303">
        <f t="shared" si="1050"/>
        <v>0</v>
      </c>
      <c r="X823" s="303">
        <f t="shared" si="1050"/>
        <v>0</v>
      </c>
      <c r="Y823" s="303">
        <f t="shared" si="1050"/>
        <v>0</v>
      </c>
      <c r="Z823" s="303">
        <f t="shared" si="1050"/>
        <v>0</v>
      </c>
      <c r="AA823" s="303">
        <f t="shared" si="1050"/>
        <v>0</v>
      </c>
      <c r="AB823" s="303">
        <f t="shared" si="1050"/>
        <v>0</v>
      </c>
      <c r="AC823" s="303">
        <f t="shared" si="1050"/>
        <v>0</v>
      </c>
      <c r="AD823" s="304">
        <v>495</v>
      </c>
      <c r="AE823" s="303">
        <f>E823-AD823</f>
        <v>4458</v>
      </c>
      <c r="AF823" s="317"/>
      <c r="AG823" s="314">
        <f t="shared" si="1000"/>
        <v>0</v>
      </c>
      <c r="AH823" s="696">
        <f t="shared" si="1001"/>
        <v>0</v>
      </c>
      <c r="AI823" s="314">
        <f t="shared" si="1002"/>
        <v>0</v>
      </c>
      <c r="AJ823" s="314">
        <f t="shared" si="1003"/>
        <v>0</v>
      </c>
      <c r="AK823" s="314">
        <f t="shared" si="1004"/>
        <v>0</v>
      </c>
      <c r="AL823" s="314">
        <f t="shared" si="1005"/>
        <v>0</v>
      </c>
      <c r="AM823" s="314">
        <f t="shared" si="1006"/>
        <v>0</v>
      </c>
      <c r="AN823" s="314">
        <f t="shared" si="1007"/>
        <v>0</v>
      </c>
      <c r="AO823" s="314">
        <f t="shared" si="1008"/>
        <v>0</v>
      </c>
      <c r="AP823" s="314">
        <f t="shared" si="1009"/>
        <v>0</v>
      </c>
    </row>
    <row r="824" spans="1:42" outlineLevel="1">
      <c r="A824" s="583" t="s">
        <v>23</v>
      </c>
      <c r="B824" s="977" t="s">
        <v>1123</v>
      </c>
      <c r="C824" s="1272"/>
      <c r="D824" s="304">
        <v>200</v>
      </c>
      <c r="E824" s="304">
        <f t="shared" ref="E824:E839" si="1051">F824+AC824</f>
        <v>200</v>
      </c>
      <c r="F824" s="304">
        <f>H824-AB824</f>
        <v>200</v>
      </c>
      <c r="G824" s="304">
        <f>F824-D824</f>
        <v>0</v>
      </c>
      <c r="H824" s="303">
        <f t="shared" ref="H824:H839" si="1052">I824+W824</f>
        <v>200</v>
      </c>
      <c r="I824" s="303">
        <f t="shared" ref="I824:I828" si="1053">M824+P824</f>
        <v>200</v>
      </c>
      <c r="J824" s="294"/>
      <c r="K824" s="294"/>
      <c r="L824" s="294"/>
      <c r="M824" s="304"/>
      <c r="N824" s="294"/>
      <c r="O824" s="294"/>
      <c r="P824" s="303">
        <f t="shared" ref="P824:P827" si="1054">S824+T824</f>
        <v>200</v>
      </c>
      <c r="Q824" s="294"/>
      <c r="R824" s="305"/>
      <c r="S824" s="304"/>
      <c r="T824" s="303">
        <f t="shared" ref="T824:T827" si="1055">U824+V824</f>
        <v>200</v>
      </c>
      <c r="U824" s="304">
        <v>200</v>
      </c>
      <c r="V824" s="304"/>
      <c r="W824" s="303">
        <f>Z824+AA824</f>
        <v>0</v>
      </c>
      <c r="X824" s="303"/>
      <c r="Y824" s="303"/>
      <c r="Z824" s="304"/>
      <c r="AA824" s="304"/>
      <c r="AB824" s="304"/>
      <c r="AC824" s="304"/>
      <c r="AD824" s="304"/>
      <c r="AE824" s="304"/>
      <c r="AF824" s="1272"/>
      <c r="AG824" s="314">
        <f t="shared" si="1000"/>
        <v>0</v>
      </c>
      <c r="AH824" s="696">
        <f t="shared" si="1001"/>
        <v>0</v>
      </c>
      <c r="AI824" s="314">
        <f t="shared" si="1002"/>
        <v>0</v>
      </c>
      <c r="AJ824" s="314">
        <f t="shared" si="1003"/>
        <v>0</v>
      </c>
      <c r="AK824" s="314">
        <f t="shared" si="1004"/>
        <v>0</v>
      </c>
      <c r="AL824" s="314">
        <f t="shared" si="1005"/>
        <v>0</v>
      </c>
      <c r="AM824" s="314">
        <f t="shared" si="1006"/>
        <v>0</v>
      </c>
      <c r="AN824" s="314">
        <f t="shared" si="1007"/>
        <v>0</v>
      </c>
      <c r="AO824" s="314">
        <f t="shared" si="1008"/>
        <v>0</v>
      </c>
      <c r="AP824" s="314">
        <f t="shared" si="1009"/>
        <v>0</v>
      </c>
    </row>
    <row r="825" spans="1:42" ht="41.4" outlineLevel="1">
      <c r="A825" s="583" t="s">
        <v>23</v>
      </c>
      <c r="B825" s="316" t="s">
        <v>1124</v>
      </c>
      <c r="C825" s="317"/>
      <c r="D825" s="304">
        <v>700</v>
      </c>
      <c r="E825" s="304">
        <f t="shared" si="1051"/>
        <v>700</v>
      </c>
      <c r="F825" s="304">
        <f>H825-AB825</f>
        <v>700</v>
      </c>
      <c r="G825" s="304">
        <f>F825-D825</f>
        <v>0</v>
      </c>
      <c r="H825" s="303">
        <f t="shared" si="1052"/>
        <v>700</v>
      </c>
      <c r="I825" s="303">
        <f t="shared" si="1053"/>
        <v>700</v>
      </c>
      <c r="J825" s="294"/>
      <c r="K825" s="294"/>
      <c r="L825" s="294"/>
      <c r="M825" s="304"/>
      <c r="N825" s="294"/>
      <c r="O825" s="294"/>
      <c r="P825" s="303">
        <f>S825+T825</f>
        <v>700</v>
      </c>
      <c r="Q825" s="294"/>
      <c r="R825" s="305"/>
      <c r="S825" s="304"/>
      <c r="T825" s="303">
        <f>U825+V825</f>
        <v>700</v>
      </c>
      <c r="U825" s="304">
        <v>700</v>
      </c>
      <c r="V825" s="304"/>
      <c r="W825" s="303">
        <f>Z825+AA825</f>
        <v>0</v>
      </c>
      <c r="X825" s="303"/>
      <c r="Y825" s="303"/>
      <c r="Z825" s="304"/>
      <c r="AA825" s="304"/>
      <c r="AB825" s="304"/>
      <c r="AC825" s="304"/>
      <c r="AD825" s="304"/>
      <c r="AE825" s="304"/>
      <c r="AF825" s="317"/>
      <c r="AG825" s="314">
        <f t="shared" si="1000"/>
        <v>0</v>
      </c>
      <c r="AH825" s="696">
        <f t="shared" si="1001"/>
        <v>0</v>
      </c>
      <c r="AI825" s="314">
        <f t="shared" si="1002"/>
        <v>0</v>
      </c>
      <c r="AJ825" s="314">
        <f t="shared" si="1003"/>
        <v>0</v>
      </c>
      <c r="AK825" s="314">
        <f t="shared" si="1004"/>
        <v>0</v>
      </c>
      <c r="AL825" s="314">
        <f t="shared" si="1005"/>
        <v>0</v>
      </c>
      <c r="AM825" s="314">
        <f t="shared" si="1006"/>
        <v>0</v>
      </c>
      <c r="AN825" s="314">
        <f t="shared" si="1007"/>
        <v>0</v>
      </c>
      <c r="AO825" s="314">
        <f t="shared" si="1008"/>
        <v>0</v>
      </c>
      <c r="AP825" s="314">
        <f t="shared" si="1009"/>
        <v>0</v>
      </c>
    </row>
    <row r="826" spans="1:42" ht="55.2" outlineLevel="1">
      <c r="A826" s="583" t="s">
        <v>23</v>
      </c>
      <c r="B826" s="324" t="s">
        <v>2469</v>
      </c>
      <c r="C826" s="304"/>
      <c r="D826" s="304">
        <v>865</v>
      </c>
      <c r="E826" s="304">
        <f t="shared" si="1051"/>
        <v>945</v>
      </c>
      <c r="F826" s="304">
        <f>F827+F828+F829+F830</f>
        <v>945</v>
      </c>
      <c r="G826" s="304">
        <f>G827+G828+G829+G830</f>
        <v>80</v>
      </c>
      <c r="H826" s="304">
        <f t="shared" ref="H826:S826" si="1056">H827+H828+H829+H830</f>
        <v>945</v>
      </c>
      <c r="I826" s="304">
        <f t="shared" si="1056"/>
        <v>945</v>
      </c>
      <c r="J826" s="304">
        <f t="shared" si="1056"/>
        <v>0</v>
      </c>
      <c r="K826" s="304">
        <f t="shared" si="1056"/>
        <v>0</v>
      </c>
      <c r="L826" s="304">
        <f t="shared" si="1056"/>
        <v>0</v>
      </c>
      <c r="M826" s="304">
        <f t="shared" si="1056"/>
        <v>0</v>
      </c>
      <c r="N826" s="304">
        <f t="shared" si="1056"/>
        <v>0</v>
      </c>
      <c r="O826" s="304">
        <f t="shared" si="1056"/>
        <v>0</v>
      </c>
      <c r="P826" s="304">
        <f t="shared" si="1056"/>
        <v>945</v>
      </c>
      <c r="Q826" s="304">
        <f t="shared" si="1056"/>
        <v>0</v>
      </c>
      <c r="R826" s="304">
        <f t="shared" si="1056"/>
        <v>0</v>
      </c>
      <c r="S826" s="304">
        <f t="shared" si="1056"/>
        <v>0</v>
      </c>
      <c r="T826" s="304">
        <f>T827+T828+T829+T830</f>
        <v>945</v>
      </c>
      <c r="U826" s="304">
        <v>865</v>
      </c>
      <c r="V826" s="304">
        <f>V827+V828+V829+V830</f>
        <v>80</v>
      </c>
      <c r="W826" s="303"/>
      <c r="X826" s="303"/>
      <c r="Y826" s="303"/>
      <c r="Z826" s="304"/>
      <c r="AA826" s="304"/>
      <c r="AB826" s="304"/>
      <c r="AC826" s="304"/>
      <c r="AD826" s="304"/>
      <c r="AE826" s="304"/>
      <c r="AF826" s="317"/>
      <c r="AG826" s="314">
        <f t="shared" si="1000"/>
        <v>0</v>
      </c>
      <c r="AH826" s="696">
        <f t="shared" si="1001"/>
        <v>0</v>
      </c>
      <c r="AI826" s="314">
        <f t="shared" si="1002"/>
        <v>0</v>
      </c>
      <c r="AJ826" s="314">
        <f t="shared" si="1003"/>
        <v>0</v>
      </c>
      <c r="AK826" s="314">
        <f t="shared" si="1004"/>
        <v>0</v>
      </c>
      <c r="AL826" s="314">
        <f t="shared" si="1005"/>
        <v>0</v>
      </c>
      <c r="AM826" s="314">
        <f t="shared" si="1006"/>
        <v>0</v>
      </c>
      <c r="AN826" s="314">
        <f t="shared" si="1007"/>
        <v>0</v>
      </c>
      <c r="AO826" s="314">
        <f t="shared" si="1008"/>
        <v>0</v>
      </c>
      <c r="AP826" s="314">
        <f t="shared" si="1009"/>
        <v>0</v>
      </c>
    </row>
    <row r="827" spans="1:42" s="322" customFormat="1" ht="96.6" outlineLevel="2">
      <c r="A827" s="600"/>
      <c r="B827" s="326" t="s">
        <v>1125</v>
      </c>
      <c r="C827" s="341"/>
      <c r="D827" s="304">
        <v>580</v>
      </c>
      <c r="E827" s="304">
        <f t="shared" si="1051"/>
        <v>660</v>
      </c>
      <c r="F827" s="304">
        <f t="shared" ref="F827:F839" si="1057">H827-AB827</f>
        <v>660</v>
      </c>
      <c r="G827" s="304">
        <f t="shared" ref="G827:G856" si="1058">F827-D827</f>
        <v>80</v>
      </c>
      <c r="H827" s="303">
        <f t="shared" si="1052"/>
        <v>660</v>
      </c>
      <c r="I827" s="337">
        <f t="shared" si="1053"/>
        <v>660</v>
      </c>
      <c r="J827" s="338"/>
      <c r="K827" s="338"/>
      <c r="L827" s="338"/>
      <c r="M827" s="336"/>
      <c r="N827" s="338"/>
      <c r="O827" s="338"/>
      <c r="P827" s="337">
        <f t="shared" si="1054"/>
        <v>660</v>
      </c>
      <c r="Q827" s="338"/>
      <c r="R827" s="339"/>
      <c r="S827" s="336"/>
      <c r="T827" s="337">
        <f t="shared" si="1055"/>
        <v>660</v>
      </c>
      <c r="U827" s="336">
        <f>525+55</f>
        <v>580</v>
      </c>
      <c r="V827" s="336">
        <v>80</v>
      </c>
      <c r="W827" s="337">
        <f>Z827+AA827</f>
        <v>0</v>
      </c>
      <c r="X827" s="337"/>
      <c r="Y827" s="337"/>
      <c r="Z827" s="336"/>
      <c r="AA827" s="336"/>
      <c r="AB827" s="336"/>
      <c r="AC827" s="336"/>
      <c r="AD827" s="336"/>
      <c r="AE827" s="336"/>
      <c r="AF827" s="1263" t="s">
        <v>2340</v>
      </c>
      <c r="AG827" s="314">
        <f t="shared" si="1000"/>
        <v>0</v>
      </c>
      <c r="AH827" s="696">
        <f t="shared" si="1001"/>
        <v>0</v>
      </c>
      <c r="AI827" s="314">
        <f t="shared" si="1002"/>
        <v>0</v>
      </c>
      <c r="AJ827" s="314">
        <f t="shared" si="1003"/>
        <v>0</v>
      </c>
      <c r="AK827" s="314">
        <f t="shared" si="1004"/>
        <v>0</v>
      </c>
      <c r="AL827" s="314">
        <f t="shared" si="1005"/>
        <v>0</v>
      </c>
      <c r="AM827" s="314">
        <f t="shared" si="1006"/>
        <v>0</v>
      </c>
      <c r="AN827" s="314">
        <f t="shared" si="1007"/>
        <v>0</v>
      </c>
      <c r="AO827" s="314">
        <f t="shared" si="1008"/>
        <v>0</v>
      </c>
      <c r="AP827" s="314">
        <f t="shared" si="1009"/>
        <v>0</v>
      </c>
    </row>
    <row r="828" spans="1:42" s="322" customFormat="1" ht="27.6" outlineLevel="2">
      <c r="A828" s="600"/>
      <c r="B828" s="1296" t="s">
        <v>1654</v>
      </c>
      <c r="C828" s="1297"/>
      <c r="D828" s="304">
        <v>50</v>
      </c>
      <c r="E828" s="304">
        <f t="shared" si="1051"/>
        <v>50</v>
      </c>
      <c r="F828" s="304">
        <f t="shared" si="1057"/>
        <v>50</v>
      </c>
      <c r="G828" s="304">
        <f t="shared" si="1058"/>
        <v>0</v>
      </c>
      <c r="H828" s="303">
        <f t="shared" si="1052"/>
        <v>50</v>
      </c>
      <c r="I828" s="337">
        <f t="shared" si="1053"/>
        <v>50</v>
      </c>
      <c r="J828" s="338"/>
      <c r="K828" s="338"/>
      <c r="L828" s="338"/>
      <c r="M828" s="336"/>
      <c r="N828" s="338"/>
      <c r="O828" s="338"/>
      <c r="P828" s="337">
        <f>S828+T828</f>
        <v>50</v>
      </c>
      <c r="Q828" s="338"/>
      <c r="R828" s="339"/>
      <c r="S828" s="336"/>
      <c r="T828" s="337">
        <f>U828+V828</f>
        <v>50</v>
      </c>
      <c r="U828" s="336">
        <v>50</v>
      </c>
      <c r="V828" s="336"/>
      <c r="W828" s="337">
        <f>Z828+AA828</f>
        <v>0</v>
      </c>
      <c r="X828" s="337"/>
      <c r="Y828" s="337"/>
      <c r="Z828" s="336"/>
      <c r="AA828" s="336"/>
      <c r="AB828" s="336"/>
      <c r="AC828" s="336"/>
      <c r="AD828" s="336"/>
      <c r="AE828" s="336"/>
      <c r="AF828" s="1297"/>
      <c r="AG828" s="314">
        <f t="shared" si="1000"/>
        <v>0</v>
      </c>
      <c r="AH828" s="696">
        <f t="shared" si="1001"/>
        <v>0</v>
      </c>
      <c r="AI828" s="314">
        <f t="shared" si="1002"/>
        <v>0</v>
      </c>
      <c r="AJ828" s="314">
        <f t="shared" si="1003"/>
        <v>0</v>
      </c>
      <c r="AK828" s="314">
        <f t="shared" si="1004"/>
        <v>0</v>
      </c>
      <c r="AL828" s="314">
        <f t="shared" si="1005"/>
        <v>0</v>
      </c>
      <c r="AM828" s="314">
        <f t="shared" si="1006"/>
        <v>0</v>
      </c>
      <c r="AN828" s="314">
        <f t="shared" si="1007"/>
        <v>0</v>
      </c>
      <c r="AO828" s="314">
        <f t="shared" si="1008"/>
        <v>0</v>
      </c>
      <c r="AP828" s="314">
        <f t="shared" si="1009"/>
        <v>0</v>
      </c>
    </row>
    <row r="829" spans="1:42" s="322" customFormat="1" outlineLevel="2">
      <c r="A829" s="600"/>
      <c r="B829" s="326" t="s">
        <v>1126</v>
      </c>
      <c r="C829" s="341"/>
      <c r="D829" s="304">
        <v>100</v>
      </c>
      <c r="E829" s="304">
        <f t="shared" si="1051"/>
        <v>100</v>
      </c>
      <c r="F829" s="304">
        <f t="shared" si="1057"/>
        <v>100</v>
      </c>
      <c r="G829" s="304">
        <f t="shared" si="1058"/>
        <v>0</v>
      </c>
      <c r="H829" s="303">
        <f t="shared" si="1052"/>
        <v>100</v>
      </c>
      <c r="I829" s="337">
        <f>M829+P829</f>
        <v>100</v>
      </c>
      <c r="J829" s="338"/>
      <c r="K829" s="338"/>
      <c r="L829" s="338"/>
      <c r="M829" s="336"/>
      <c r="N829" s="338"/>
      <c r="O829" s="338"/>
      <c r="P829" s="337">
        <f>S829+T829</f>
        <v>100</v>
      </c>
      <c r="Q829" s="338"/>
      <c r="R829" s="339"/>
      <c r="S829" s="336"/>
      <c r="T829" s="337">
        <f>U829+V829</f>
        <v>100</v>
      </c>
      <c r="U829" s="336">
        <v>100</v>
      </c>
      <c r="V829" s="336"/>
      <c r="W829" s="337">
        <f>Z829+AA829</f>
        <v>0</v>
      </c>
      <c r="X829" s="337"/>
      <c r="Y829" s="337"/>
      <c r="Z829" s="336"/>
      <c r="AA829" s="336"/>
      <c r="AB829" s="336"/>
      <c r="AC829" s="336"/>
      <c r="AD829" s="336"/>
      <c r="AE829" s="336"/>
      <c r="AF829" s="341"/>
      <c r="AG829" s="314">
        <f t="shared" si="1000"/>
        <v>0</v>
      </c>
      <c r="AH829" s="696">
        <f t="shared" si="1001"/>
        <v>0</v>
      </c>
      <c r="AI829" s="314">
        <f t="shared" si="1002"/>
        <v>0</v>
      </c>
      <c r="AJ829" s="314">
        <f t="shared" si="1003"/>
        <v>0</v>
      </c>
      <c r="AK829" s="314">
        <f t="shared" si="1004"/>
        <v>0</v>
      </c>
      <c r="AL829" s="314">
        <f t="shared" si="1005"/>
        <v>0</v>
      </c>
      <c r="AM829" s="314">
        <f t="shared" si="1006"/>
        <v>0</v>
      </c>
      <c r="AN829" s="314">
        <f t="shared" si="1007"/>
        <v>0</v>
      </c>
      <c r="AO829" s="314">
        <f t="shared" si="1008"/>
        <v>0</v>
      </c>
      <c r="AP829" s="314">
        <f t="shared" si="1009"/>
        <v>0</v>
      </c>
    </row>
    <row r="830" spans="1:42" s="322" customFormat="1" ht="27.6" outlineLevel="2">
      <c r="A830" s="600"/>
      <c r="B830" s="342" t="s">
        <v>1127</v>
      </c>
      <c r="C830" s="341"/>
      <c r="D830" s="304">
        <v>135</v>
      </c>
      <c r="E830" s="304">
        <f t="shared" si="1051"/>
        <v>135</v>
      </c>
      <c r="F830" s="304">
        <f t="shared" si="1057"/>
        <v>135</v>
      </c>
      <c r="G830" s="304">
        <f t="shared" si="1058"/>
        <v>0</v>
      </c>
      <c r="H830" s="303">
        <f t="shared" si="1052"/>
        <v>135</v>
      </c>
      <c r="I830" s="337">
        <f>M830+P830</f>
        <v>135</v>
      </c>
      <c r="J830" s="338"/>
      <c r="K830" s="338"/>
      <c r="L830" s="338"/>
      <c r="M830" s="336"/>
      <c r="N830" s="338"/>
      <c r="O830" s="338"/>
      <c r="P830" s="337">
        <f>S830+T830</f>
        <v>135</v>
      </c>
      <c r="Q830" s="338"/>
      <c r="R830" s="339"/>
      <c r="S830" s="336"/>
      <c r="T830" s="337">
        <f>U830+V830</f>
        <v>135</v>
      </c>
      <c r="U830" s="336">
        <v>135</v>
      </c>
      <c r="V830" s="336"/>
      <c r="W830" s="337">
        <f>Z830+AA830</f>
        <v>0</v>
      </c>
      <c r="X830" s="337"/>
      <c r="Y830" s="337"/>
      <c r="Z830" s="336"/>
      <c r="AA830" s="336"/>
      <c r="AB830" s="336"/>
      <c r="AC830" s="336"/>
      <c r="AD830" s="336"/>
      <c r="AE830" s="336"/>
      <c r="AF830" s="341"/>
      <c r="AG830" s="314">
        <f t="shared" si="1000"/>
        <v>0</v>
      </c>
      <c r="AH830" s="696">
        <f t="shared" si="1001"/>
        <v>0</v>
      </c>
      <c r="AI830" s="314">
        <f t="shared" si="1002"/>
        <v>0</v>
      </c>
      <c r="AJ830" s="314">
        <f t="shared" si="1003"/>
        <v>0</v>
      </c>
      <c r="AK830" s="314">
        <f t="shared" si="1004"/>
        <v>0</v>
      </c>
      <c r="AL830" s="314">
        <f t="shared" si="1005"/>
        <v>0</v>
      </c>
      <c r="AM830" s="314">
        <f t="shared" si="1006"/>
        <v>0</v>
      </c>
      <c r="AN830" s="314">
        <f t="shared" si="1007"/>
        <v>0</v>
      </c>
      <c r="AO830" s="314">
        <f t="shared" si="1008"/>
        <v>0</v>
      </c>
      <c r="AP830" s="314">
        <f t="shared" si="1009"/>
        <v>0</v>
      </c>
    </row>
    <row r="831" spans="1:42" ht="27.6" outlineLevel="1">
      <c r="A831" s="583" t="s">
        <v>23</v>
      </c>
      <c r="B831" s="316" t="s">
        <v>1095</v>
      </c>
      <c r="C831" s="317"/>
      <c r="D831" s="304">
        <v>100</v>
      </c>
      <c r="E831" s="304">
        <f t="shared" si="1051"/>
        <v>100</v>
      </c>
      <c r="F831" s="304">
        <f t="shared" si="1057"/>
        <v>100</v>
      </c>
      <c r="G831" s="304">
        <f t="shared" si="1058"/>
        <v>0</v>
      </c>
      <c r="H831" s="303">
        <f t="shared" si="1052"/>
        <v>100</v>
      </c>
      <c r="I831" s="303">
        <f t="shared" ref="I831:I839" si="1059">M831+P831</f>
        <v>100</v>
      </c>
      <c r="J831" s="294"/>
      <c r="K831" s="294"/>
      <c r="L831" s="294"/>
      <c r="M831" s="304"/>
      <c r="N831" s="294"/>
      <c r="O831" s="294"/>
      <c r="P831" s="303">
        <f t="shared" ref="P831:P839" si="1060">S831+T831</f>
        <v>100</v>
      </c>
      <c r="Q831" s="294"/>
      <c r="R831" s="305"/>
      <c r="S831" s="304"/>
      <c r="T831" s="303">
        <f t="shared" ref="T831:T839" si="1061">U831+V831</f>
        <v>100</v>
      </c>
      <c r="U831" s="304">
        <v>100</v>
      </c>
      <c r="V831" s="304"/>
      <c r="W831" s="303"/>
      <c r="X831" s="303"/>
      <c r="Y831" s="303"/>
      <c r="Z831" s="304"/>
      <c r="AA831" s="304"/>
      <c r="AB831" s="304"/>
      <c r="AC831" s="304"/>
      <c r="AD831" s="304"/>
      <c r="AE831" s="304"/>
      <c r="AF831" s="317"/>
      <c r="AG831" s="314">
        <f t="shared" si="1000"/>
        <v>0</v>
      </c>
      <c r="AH831" s="696">
        <f t="shared" si="1001"/>
        <v>0</v>
      </c>
      <c r="AI831" s="314">
        <f t="shared" si="1002"/>
        <v>0</v>
      </c>
      <c r="AJ831" s="314">
        <f t="shared" si="1003"/>
        <v>0</v>
      </c>
      <c r="AK831" s="314">
        <f t="shared" si="1004"/>
        <v>0</v>
      </c>
      <c r="AL831" s="314">
        <f t="shared" si="1005"/>
        <v>0</v>
      </c>
      <c r="AM831" s="314">
        <f t="shared" si="1006"/>
        <v>0</v>
      </c>
      <c r="AN831" s="314">
        <f t="shared" si="1007"/>
        <v>0</v>
      </c>
      <c r="AO831" s="314">
        <f t="shared" si="1008"/>
        <v>0</v>
      </c>
      <c r="AP831" s="314">
        <f t="shared" si="1009"/>
        <v>0</v>
      </c>
    </row>
    <row r="832" spans="1:42" ht="96.6" outlineLevel="1">
      <c r="A832" s="583" t="s">
        <v>23</v>
      </c>
      <c r="B832" s="316" t="s">
        <v>1128</v>
      </c>
      <c r="C832" s="317"/>
      <c r="D832" s="304">
        <v>400</v>
      </c>
      <c r="E832" s="304">
        <f t="shared" si="1051"/>
        <v>610</v>
      </c>
      <c r="F832" s="304">
        <f t="shared" si="1057"/>
        <v>610</v>
      </c>
      <c r="G832" s="304">
        <f t="shared" si="1058"/>
        <v>210</v>
      </c>
      <c r="H832" s="303">
        <f t="shared" si="1052"/>
        <v>610</v>
      </c>
      <c r="I832" s="303">
        <f t="shared" si="1059"/>
        <v>610</v>
      </c>
      <c r="J832" s="294"/>
      <c r="K832" s="294"/>
      <c r="L832" s="294"/>
      <c r="M832" s="304"/>
      <c r="N832" s="294"/>
      <c r="O832" s="294"/>
      <c r="P832" s="303">
        <f t="shared" si="1060"/>
        <v>610</v>
      </c>
      <c r="Q832" s="294"/>
      <c r="R832" s="305"/>
      <c r="S832" s="304"/>
      <c r="T832" s="303">
        <f t="shared" si="1061"/>
        <v>610</v>
      </c>
      <c r="U832" s="304">
        <v>400</v>
      </c>
      <c r="V832" s="304">
        <v>210</v>
      </c>
      <c r="W832" s="303"/>
      <c r="X832" s="303"/>
      <c r="Y832" s="303"/>
      <c r="Z832" s="304"/>
      <c r="AA832" s="304"/>
      <c r="AB832" s="304"/>
      <c r="AC832" s="304"/>
      <c r="AD832" s="304"/>
      <c r="AE832" s="304"/>
      <c r="AF832" s="317" t="s">
        <v>2341</v>
      </c>
      <c r="AG832" s="314">
        <f t="shared" si="1000"/>
        <v>0</v>
      </c>
      <c r="AH832" s="696">
        <f t="shared" si="1001"/>
        <v>0</v>
      </c>
      <c r="AI832" s="314">
        <f t="shared" si="1002"/>
        <v>0</v>
      </c>
      <c r="AJ832" s="314">
        <f t="shared" si="1003"/>
        <v>0</v>
      </c>
      <c r="AK832" s="314">
        <f t="shared" si="1004"/>
        <v>0</v>
      </c>
      <c r="AL832" s="314">
        <f t="shared" si="1005"/>
        <v>0</v>
      </c>
      <c r="AM832" s="314">
        <f t="shared" si="1006"/>
        <v>0</v>
      </c>
      <c r="AN832" s="314">
        <f t="shared" si="1007"/>
        <v>0</v>
      </c>
      <c r="AO832" s="314">
        <f t="shared" si="1008"/>
        <v>0</v>
      </c>
      <c r="AP832" s="314">
        <f t="shared" si="1009"/>
        <v>0</v>
      </c>
    </row>
    <row r="833" spans="1:42" ht="41.4" outlineLevel="1">
      <c r="A833" s="583" t="s">
        <v>23</v>
      </c>
      <c r="B833" s="316" t="s">
        <v>1683</v>
      </c>
      <c r="C833" s="317"/>
      <c r="D833" s="304">
        <v>192</v>
      </c>
      <c r="E833" s="304">
        <f t="shared" si="1051"/>
        <v>192</v>
      </c>
      <c r="F833" s="304">
        <f t="shared" si="1057"/>
        <v>192</v>
      </c>
      <c r="G833" s="304">
        <f t="shared" si="1058"/>
        <v>0</v>
      </c>
      <c r="H833" s="303">
        <f t="shared" si="1052"/>
        <v>192</v>
      </c>
      <c r="I833" s="303">
        <f t="shared" si="1059"/>
        <v>192</v>
      </c>
      <c r="J833" s="294"/>
      <c r="K833" s="294"/>
      <c r="L833" s="294"/>
      <c r="M833" s="304"/>
      <c r="N833" s="294"/>
      <c r="O833" s="294"/>
      <c r="P833" s="303">
        <f t="shared" si="1060"/>
        <v>192</v>
      </c>
      <c r="Q833" s="294"/>
      <c r="R833" s="305"/>
      <c r="S833" s="304"/>
      <c r="T833" s="303">
        <f t="shared" si="1061"/>
        <v>192</v>
      </c>
      <c r="U833" s="304">
        <v>192</v>
      </c>
      <c r="V833" s="304"/>
      <c r="W833" s="303"/>
      <c r="X833" s="303"/>
      <c r="Y833" s="303"/>
      <c r="Z833" s="304"/>
      <c r="AA833" s="304"/>
      <c r="AB833" s="304"/>
      <c r="AC833" s="304"/>
      <c r="AD833" s="304"/>
      <c r="AE833" s="304"/>
      <c r="AF833" s="317"/>
      <c r="AG833" s="314">
        <f t="shared" si="1000"/>
        <v>0</v>
      </c>
      <c r="AH833" s="696">
        <f t="shared" si="1001"/>
        <v>0</v>
      </c>
      <c r="AI833" s="314">
        <f t="shared" si="1002"/>
        <v>0</v>
      </c>
      <c r="AJ833" s="314">
        <f t="shared" si="1003"/>
        <v>0</v>
      </c>
      <c r="AK833" s="314">
        <f t="shared" si="1004"/>
        <v>0</v>
      </c>
      <c r="AL833" s="314">
        <f t="shared" si="1005"/>
        <v>0</v>
      </c>
      <c r="AM833" s="314">
        <f t="shared" si="1006"/>
        <v>0</v>
      </c>
      <c r="AN833" s="314">
        <f t="shared" si="1007"/>
        <v>0</v>
      </c>
      <c r="AO833" s="314">
        <f t="shared" si="1008"/>
        <v>0</v>
      </c>
      <c r="AP833" s="314">
        <f t="shared" si="1009"/>
        <v>0</v>
      </c>
    </row>
    <row r="834" spans="1:42" ht="41.4" outlineLevel="1">
      <c r="A834" s="583" t="s">
        <v>23</v>
      </c>
      <c r="B834" s="316" t="s">
        <v>1803</v>
      </c>
      <c r="C834" s="317"/>
      <c r="D834" s="304">
        <v>350</v>
      </c>
      <c r="E834" s="304">
        <f t="shared" si="1051"/>
        <v>400</v>
      </c>
      <c r="F834" s="304">
        <f t="shared" si="1057"/>
        <v>400</v>
      </c>
      <c r="G834" s="304">
        <f t="shared" si="1058"/>
        <v>50</v>
      </c>
      <c r="H834" s="303">
        <f t="shared" si="1052"/>
        <v>400</v>
      </c>
      <c r="I834" s="303">
        <f t="shared" si="1059"/>
        <v>400</v>
      </c>
      <c r="J834" s="294"/>
      <c r="K834" s="294"/>
      <c r="L834" s="294"/>
      <c r="M834" s="304"/>
      <c r="N834" s="294"/>
      <c r="O834" s="294"/>
      <c r="P834" s="303">
        <f t="shared" si="1060"/>
        <v>400</v>
      </c>
      <c r="Q834" s="294"/>
      <c r="R834" s="305"/>
      <c r="S834" s="304"/>
      <c r="T834" s="303">
        <f t="shared" si="1061"/>
        <v>400</v>
      </c>
      <c r="U834" s="304">
        <v>350</v>
      </c>
      <c r="V834" s="304">
        <v>50</v>
      </c>
      <c r="W834" s="303"/>
      <c r="X834" s="303"/>
      <c r="Y834" s="303"/>
      <c r="Z834" s="304"/>
      <c r="AA834" s="304"/>
      <c r="AB834" s="304"/>
      <c r="AC834" s="304"/>
      <c r="AD834" s="304"/>
      <c r="AE834" s="304"/>
      <c r="AF834" s="1263"/>
      <c r="AG834" s="314">
        <f t="shared" si="1000"/>
        <v>0</v>
      </c>
      <c r="AH834" s="696">
        <f t="shared" si="1001"/>
        <v>0</v>
      </c>
      <c r="AI834" s="314">
        <f t="shared" si="1002"/>
        <v>0</v>
      </c>
      <c r="AJ834" s="314">
        <f t="shared" si="1003"/>
        <v>0</v>
      </c>
      <c r="AK834" s="314">
        <f t="shared" si="1004"/>
        <v>0</v>
      </c>
      <c r="AL834" s="314">
        <f t="shared" si="1005"/>
        <v>0</v>
      </c>
      <c r="AM834" s="314">
        <f t="shared" si="1006"/>
        <v>0</v>
      </c>
      <c r="AN834" s="314">
        <f t="shared" si="1007"/>
        <v>0</v>
      </c>
      <c r="AO834" s="314">
        <f t="shared" si="1008"/>
        <v>0</v>
      </c>
      <c r="AP834" s="314">
        <f t="shared" si="1009"/>
        <v>0</v>
      </c>
    </row>
    <row r="835" spans="1:42" ht="82.8" outlineLevel="1">
      <c r="A835" s="593" t="s">
        <v>23</v>
      </c>
      <c r="B835" s="324" t="s">
        <v>2225</v>
      </c>
      <c r="C835" s="304"/>
      <c r="D835" s="304"/>
      <c r="E835" s="304">
        <f t="shared" si="1051"/>
        <v>1170</v>
      </c>
      <c r="F835" s="304">
        <f t="shared" si="1057"/>
        <v>1170</v>
      </c>
      <c r="G835" s="304">
        <f t="shared" si="1058"/>
        <v>1170</v>
      </c>
      <c r="H835" s="303">
        <f t="shared" si="1052"/>
        <v>1170</v>
      </c>
      <c r="I835" s="303">
        <f t="shared" si="1059"/>
        <v>1170</v>
      </c>
      <c r="J835" s="311"/>
      <c r="K835" s="311"/>
      <c r="L835" s="311"/>
      <c r="M835" s="303"/>
      <c r="N835" s="311"/>
      <c r="O835" s="311"/>
      <c r="P835" s="303">
        <f t="shared" si="1060"/>
        <v>1170</v>
      </c>
      <c r="Q835" s="311"/>
      <c r="R835" s="312"/>
      <c r="S835" s="303"/>
      <c r="T835" s="303">
        <f t="shared" si="1061"/>
        <v>1170</v>
      </c>
      <c r="U835" s="303"/>
      <c r="V835" s="303">
        <v>1170</v>
      </c>
      <c r="W835" s="303"/>
      <c r="X835" s="303"/>
      <c r="Y835" s="303"/>
      <c r="Z835" s="303"/>
      <c r="AA835" s="303"/>
      <c r="AB835" s="304"/>
      <c r="AC835" s="304"/>
      <c r="AD835" s="304"/>
      <c r="AE835" s="304"/>
      <c r="AF835" s="1263" t="s">
        <v>2342</v>
      </c>
      <c r="AG835" s="314">
        <f t="shared" si="1000"/>
        <v>0</v>
      </c>
      <c r="AH835" s="696">
        <f t="shared" si="1001"/>
        <v>0</v>
      </c>
      <c r="AI835" s="314">
        <f t="shared" si="1002"/>
        <v>0</v>
      </c>
      <c r="AJ835" s="314">
        <f t="shared" si="1003"/>
        <v>0</v>
      </c>
      <c r="AK835" s="314">
        <f t="shared" si="1004"/>
        <v>0</v>
      </c>
      <c r="AL835" s="314">
        <f t="shared" si="1005"/>
        <v>0</v>
      </c>
      <c r="AM835" s="314">
        <f t="shared" si="1006"/>
        <v>0</v>
      </c>
      <c r="AN835" s="314">
        <f t="shared" si="1007"/>
        <v>0</v>
      </c>
      <c r="AO835" s="314">
        <f t="shared" si="1008"/>
        <v>0</v>
      </c>
      <c r="AP835" s="314">
        <f t="shared" si="1009"/>
        <v>0</v>
      </c>
    </row>
    <row r="836" spans="1:42" ht="55.2" outlineLevel="1">
      <c r="A836" s="593" t="s">
        <v>23</v>
      </c>
      <c r="B836" s="324" t="s">
        <v>2226</v>
      </c>
      <c r="C836" s="304"/>
      <c r="D836" s="304"/>
      <c r="E836" s="304">
        <f t="shared" si="1051"/>
        <v>79</v>
      </c>
      <c r="F836" s="304">
        <f t="shared" si="1057"/>
        <v>79</v>
      </c>
      <c r="G836" s="304">
        <f t="shared" si="1058"/>
        <v>79</v>
      </c>
      <c r="H836" s="303">
        <f t="shared" si="1052"/>
        <v>79</v>
      </c>
      <c r="I836" s="303">
        <f t="shared" si="1059"/>
        <v>79</v>
      </c>
      <c r="J836" s="311"/>
      <c r="K836" s="311"/>
      <c r="L836" s="311"/>
      <c r="M836" s="303"/>
      <c r="N836" s="311"/>
      <c r="O836" s="311"/>
      <c r="P836" s="303">
        <f t="shared" si="1060"/>
        <v>79</v>
      </c>
      <c r="Q836" s="311"/>
      <c r="R836" s="312"/>
      <c r="S836" s="303"/>
      <c r="T836" s="303">
        <f t="shared" si="1061"/>
        <v>79</v>
      </c>
      <c r="U836" s="303"/>
      <c r="V836" s="303">
        <v>79</v>
      </c>
      <c r="W836" s="303"/>
      <c r="X836" s="303"/>
      <c r="Y836" s="303"/>
      <c r="Z836" s="303"/>
      <c r="AA836" s="303"/>
      <c r="AB836" s="304"/>
      <c r="AC836" s="304"/>
      <c r="AD836" s="304"/>
      <c r="AE836" s="304"/>
      <c r="AF836" s="1263" t="s">
        <v>2562</v>
      </c>
      <c r="AG836" s="314">
        <f t="shared" si="1000"/>
        <v>0</v>
      </c>
      <c r="AH836" s="696">
        <f t="shared" si="1001"/>
        <v>0</v>
      </c>
      <c r="AI836" s="314">
        <f t="shared" si="1002"/>
        <v>0</v>
      </c>
      <c r="AJ836" s="314">
        <f t="shared" si="1003"/>
        <v>0</v>
      </c>
      <c r="AK836" s="314">
        <f t="shared" si="1004"/>
        <v>0</v>
      </c>
      <c r="AL836" s="314">
        <f t="shared" si="1005"/>
        <v>0</v>
      </c>
      <c r="AM836" s="314">
        <f t="shared" si="1006"/>
        <v>0</v>
      </c>
      <c r="AN836" s="314">
        <f t="shared" si="1007"/>
        <v>0</v>
      </c>
      <c r="AO836" s="314">
        <f t="shared" si="1008"/>
        <v>0</v>
      </c>
      <c r="AP836" s="314">
        <f t="shared" si="1009"/>
        <v>0</v>
      </c>
    </row>
    <row r="837" spans="1:42" hidden="1" outlineLevel="3">
      <c r="A837" s="583" t="s">
        <v>23</v>
      </c>
      <c r="B837" s="316" t="s">
        <v>2227</v>
      </c>
      <c r="C837" s="317"/>
      <c r="D837" s="304"/>
      <c r="E837" s="304">
        <f t="shared" si="1051"/>
        <v>0</v>
      </c>
      <c r="F837" s="304">
        <f t="shared" si="1057"/>
        <v>0</v>
      </c>
      <c r="G837" s="304">
        <f t="shared" si="1058"/>
        <v>0</v>
      </c>
      <c r="H837" s="303">
        <f t="shared" si="1052"/>
        <v>0</v>
      </c>
      <c r="I837" s="303">
        <f t="shared" si="1059"/>
        <v>0</v>
      </c>
      <c r="J837" s="294"/>
      <c r="K837" s="294"/>
      <c r="L837" s="294"/>
      <c r="M837" s="304"/>
      <c r="N837" s="294"/>
      <c r="O837" s="294"/>
      <c r="P837" s="303">
        <f t="shared" si="1060"/>
        <v>0</v>
      </c>
      <c r="Q837" s="294"/>
      <c r="R837" s="305"/>
      <c r="S837" s="304"/>
      <c r="T837" s="303">
        <f t="shared" si="1061"/>
        <v>0</v>
      </c>
      <c r="U837" s="304"/>
      <c r="V837" s="304">
        <v>0</v>
      </c>
      <c r="W837" s="303"/>
      <c r="X837" s="303"/>
      <c r="Y837" s="303"/>
      <c r="Z837" s="304"/>
      <c r="AA837" s="304"/>
      <c r="AB837" s="304"/>
      <c r="AC837" s="304"/>
      <c r="AD837" s="304"/>
      <c r="AE837" s="304"/>
      <c r="AF837" s="1263"/>
      <c r="AG837" s="314">
        <f t="shared" si="1000"/>
        <v>0</v>
      </c>
      <c r="AH837" s="696">
        <f t="shared" si="1001"/>
        <v>0</v>
      </c>
      <c r="AI837" s="314">
        <f t="shared" si="1002"/>
        <v>0</v>
      </c>
      <c r="AJ837" s="314">
        <f t="shared" si="1003"/>
        <v>0</v>
      </c>
      <c r="AK837" s="314">
        <f t="shared" si="1004"/>
        <v>0</v>
      </c>
      <c r="AL837" s="314">
        <f t="shared" si="1005"/>
        <v>0</v>
      </c>
      <c r="AM837" s="314">
        <f t="shared" si="1006"/>
        <v>0</v>
      </c>
      <c r="AN837" s="314">
        <f t="shared" si="1007"/>
        <v>0</v>
      </c>
      <c r="AO837" s="314">
        <f t="shared" si="1008"/>
        <v>0</v>
      </c>
      <c r="AP837" s="314">
        <f t="shared" si="1009"/>
        <v>0</v>
      </c>
    </row>
    <row r="838" spans="1:42" outlineLevel="1" collapsed="1">
      <c r="A838" s="593" t="s">
        <v>23</v>
      </c>
      <c r="B838" s="324" t="s">
        <v>2228</v>
      </c>
      <c r="C838" s="304"/>
      <c r="D838" s="304"/>
      <c r="E838" s="304">
        <f t="shared" si="1051"/>
        <v>557</v>
      </c>
      <c r="F838" s="304">
        <f t="shared" si="1057"/>
        <v>557</v>
      </c>
      <c r="G838" s="304">
        <f t="shared" si="1058"/>
        <v>557</v>
      </c>
      <c r="H838" s="303">
        <f t="shared" si="1052"/>
        <v>557</v>
      </c>
      <c r="I838" s="303">
        <f t="shared" si="1059"/>
        <v>557</v>
      </c>
      <c r="J838" s="311"/>
      <c r="K838" s="311"/>
      <c r="L838" s="311"/>
      <c r="M838" s="303"/>
      <c r="N838" s="311"/>
      <c r="O838" s="311"/>
      <c r="P838" s="303">
        <f t="shared" si="1060"/>
        <v>557</v>
      </c>
      <c r="Q838" s="311"/>
      <c r="R838" s="312"/>
      <c r="S838" s="303"/>
      <c r="T838" s="303">
        <f t="shared" si="1061"/>
        <v>557</v>
      </c>
      <c r="U838" s="303"/>
      <c r="V838" s="303">
        <v>557</v>
      </c>
      <c r="W838" s="303"/>
      <c r="X838" s="303"/>
      <c r="Y838" s="303"/>
      <c r="Z838" s="303"/>
      <c r="AA838" s="303"/>
      <c r="AB838" s="304"/>
      <c r="AC838" s="304"/>
      <c r="AD838" s="304"/>
      <c r="AE838" s="304"/>
      <c r="AF838" s="1263"/>
      <c r="AG838" s="314">
        <f t="shared" si="1000"/>
        <v>0</v>
      </c>
      <c r="AH838" s="696">
        <f t="shared" si="1001"/>
        <v>0</v>
      </c>
      <c r="AI838" s="314">
        <f t="shared" si="1002"/>
        <v>0</v>
      </c>
      <c r="AJ838" s="314">
        <f t="shared" si="1003"/>
        <v>0</v>
      </c>
      <c r="AK838" s="314">
        <f t="shared" si="1004"/>
        <v>0</v>
      </c>
      <c r="AL838" s="314">
        <f t="shared" si="1005"/>
        <v>0</v>
      </c>
      <c r="AM838" s="314">
        <f t="shared" si="1006"/>
        <v>0</v>
      </c>
      <c r="AN838" s="314">
        <f t="shared" si="1007"/>
        <v>0</v>
      </c>
      <c r="AO838" s="314">
        <f t="shared" si="1008"/>
        <v>0</v>
      </c>
      <c r="AP838" s="314">
        <f t="shared" si="1009"/>
        <v>0</v>
      </c>
    </row>
    <row r="839" spans="1:42" ht="27.6" hidden="1" outlineLevel="3">
      <c r="A839" s="583" t="s">
        <v>23</v>
      </c>
      <c r="B839" s="316" t="s">
        <v>1887</v>
      </c>
      <c r="C839" s="317"/>
      <c r="D839" s="304">
        <v>140</v>
      </c>
      <c r="E839" s="304">
        <f t="shared" si="1051"/>
        <v>0</v>
      </c>
      <c r="F839" s="304">
        <f t="shared" si="1057"/>
        <v>0</v>
      </c>
      <c r="G839" s="304">
        <f t="shared" si="1058"/>
        <v>-140</v>
      </c>
      <c r="H839" s="303">
        <f t="shared" si="1052"/>
        <v>0</v>
      </c>
      <c r="I839" s="303">
        <f t="shared" si="1059"/>
        <v>0</v>
      </c>
      <c r="J839" s="294"/>
      <c r="K839" s="294"/>
      <c r="L839" s="294"/>
      <c r="M839" s="304"/>
      <c r="N839" s="294"/>
      <c r="O839" s="294"/>
      <c r="P839" s="303">
        <f t="shared" si="1060"/>
        <v>0</v>
      </c>
      <c r="Q839" s="294"/>
      <c r="R839" s="305"/>
      <c r="S839" s="304"/>
      <c r="T839" s="303">
        <f t="shared" si="1061"/>
        <v>0</v>
      </c>
      <c r="U839" s="304"/>
      <c r="V839" s="304"/>
      <c r="W839" s="303"/>
      <c r="X839" s="303"/>
      <c r="Y839" s="303"/>
      <c r="Z839" s="304"/>
      <c r="AA839" s="304"/>
      <c r="AB839" s="304"/>
      <c r="AC839" s="304"/>
      <c r="AD839" s="304"/>
      <c r="AE839" s="304"/>
      <c r="AF839" s="1263"/>
      <c r="AG839" s="314">
        <f t="shared" si="1000"/>
        <v>0</v>
      </c>
      <c r="AH839" s="696">
        <f t="shared" si="1001"/>
        <v>0</v>
      </c>
      <c r="AI839" s="314">
        <f t="shared" si="1002"/>
        <v>0</v>
      </c>
      <c r="AJ839" s="314">
        <f t="shared" si="1003"/>
        <v>0</v>
      </c>
      <c r="AK839" s="314">
        <f t="shared" si="1004"/>
        <v>0</v>
      </c>
      <c r="AL839" s="314">
        <f t="shared" si="1005"/>
        <v>0</v>
      </c>
      <c r="AM839" s="314">
        <f t="shared" si="1006"/>
        <v>0</v>
      </c>
      <c r="AN839" s="314">
        <f t="shared" si="1007"/>
        <v>0</v>
      </c>
      <c r="AO839" s="314">
        <f t="shared" si="1008"/>
        <v>0</v>
      </c>
      <c r="AP839" s="314">
        <f t="shared" si="1009"/>
        <v>0</v>
      </c>
    </row>
    <row r="840" spans="1:42">
      <c r="A840" s="592" t="s">
        <v>786</v>
      </c>
      <c r="B840" s="320" t="s">
        <v>1129</v>
      </c>
      <c r="C840" s="317"/>
      <c r="D840" s="297">
        <f>D841+D855</f>
        <v>5960</v>
      </c>
      <c r="E840" s="297">
        <f>E841+E855</f>
        <v>7075</v>
      </c>
      <c r="F840" s="297">
        <f>F841+F855</f>
        <v>6491</v>
      </c>
      <c r="G840" s="300">
        <f t="shared" si="1058"/>
        <v>531</v>
      </c>
      <c r="H840" s="300">
        <f t="shared" ref="H840:W840" si="1062">H841+H855</f>
        <v>6491</v>
      </c>
      <c r="I840" s="297">
        <f t="shared" si="1062"/>
        <v>6369</v>
      </c>
      <c r="J840" s="300">
        <f t="shared" si="1062"/>
        <v>20</v>
      </c>
      <c r="K840" s="300">
        <f t="shared" si="1062"/>
        <v>19</v>
      </c>
      <c r="L840" s="300">
        <f t="shared" si="1062"/>
        <v>1</v>
      </c>
      <c r="M840" s="297">
        <f t="shared" si="1062"/>
        <v>2807</v>
      </c>
      <c r="N840" s="300">
        <f t="shared" si="1062"/>
        <v>2729</v>
      </c>
      <c r="O840" s="300">
        <f t="shared" si="1062"/>
        <v>78</v>
      </c>
      <c r="P840" s="297">
        <f t="shared" si="1062"/>
        <v>3562</v>
      </c>
      <c r="Q840" s="300">
        <f t="shared" si="1062"/>
        <v>0</v>
      </c>
      <c r="R840" s="300">
        <f t="shared" si="1062"/>
        <v>0</v>
      </c>
      <c r="S840" s="297">
        <f t="shared" si="1062"/>
        <v>1656</v>
      </c>
      <c r="T840" s="297">
        <f t="shared" si="1062"/>
        <v>1906</v>
      </c>
      <c r="U840" s="297">
        <f t="shared" si="1062"/>
        <v>1156</v>
      </c>
      <c r="V840" s="297">
        <f t="shared" si="1062"/>
        <v>750</v>
      </c>
      <c r="W840" s="297">
        <f t="shared" si="1062"/>
        <v>122</v>
      </c>
      <c r="X840" s="300"/>
      <c r="Y840" s="300"/>
      <c r="Z840" s="297">
        <f t="shared" ref="Z840:AE840" si="1063">Z841+Z855</f>
        <v>122</v>
      </c>
      <c r="AA840" s="297">
        <f t="shared" si="1063"/>
        <v>0</v>
      </c>
      <c r="AB840" s="297">
        <f t="shared" si="1063"/>
        <v>0</v>
      </c>
      <c r="AC840" s="300">
        <f t="shared" si="1063"/>
        <v>584</v>
      </c>
      <c r="AD840" s="300">
        <f t="shared" si="1063"/>
        <v>369</v>
      </c>
      <c r="AE840" s="300">
        <f t="shared" si="1063"/>
        <v>6706</v>
      </c>
      <c r="AF840" s="321"/>
      <c r="AG840" s="314">
        <f t="shared" si="1000"/>
        <v>0</v>
      </c>
      <c r="AH840" s="696">
        <f t="shared" si="1001"/>
        <v>0</v>
      </c>
      <c r="AI840" s="314">
        <f t="shared" si="1002"/>
        <v>0</v>
      </c>
      <c r="AJ840" s="314">
        <f t="shared" si="1003"/>
        <v>0</v>
      </c>
      <c r="AK840" s="314">
        <f t="shared" si="1004"/>
        <v>0</v>
      </c>
      <c r="AL840" s="314">
        <f t="shared" si="1005"/>
        <v>0</v>
      </c>
      <c r="AM840" s="314">
        <f t="shared" si="1006"/>
        <v>0</v>
      </c>
      <c r="AN840" s="314">
        <f t="shared" si="1007"/>
        <v>0</v>
      </c>
      <c r="AO840" s="314">
        <f t="shared" si="1008"/>
        <v>0</v>
      </c>
      <c r="AP840" s="314">
        <f t="shared" si="1009"/>
        <v>0</v>
      </c>
    </row>
    <row r="841" spans="1:42" s="314" customFormat="1">
      <c r="A841" s="592" t="s">
        <v>1046</v>
      </c>
      <c r="B841" s="320" t="s">
        <v>826</v>
      </c>
      <c r="C841" s="298" t="s">
        <v>756</v>
      </c>
      <c r="D841" s="299">
        <f t="shared" ref="D841" si="1064">D842+D843</f>
        <v>5838</v>
      </c>
      <c r="E841" s="299">
        <f>E842+E843</f>
        <v>6953</v>
      </c>
      <c r="F841" s="299">
        <f>F842+F843</f>
        <v>6369</v>
      </c>
      <c r="G841" s="299">
        <f t="shared" si="1058"/>
        <v>531</v>
      </c>
      <c r="H841" s="299">
        <f>H842+H843</f>
        <v>6369</v>
      </c>
      <c r="I841" s="299">
        <f t="shared" ref="I841:Z841" si="1065">I842+I843</f>
        <v>6369</v>
      </c>
      <c r="J841" s="318">
        <f t="shared" si="1065"/>
        <v>20</v>
      </c>
      <c r="K841" s="318">
        <f t="shared" si="1065"/>
        <v>19</v>
      </c>
      <c r="L841" s="318">
        <f t="shared" si="1065"/>
        <v>1</v>
      </c>
      <c r="M841" s="299">
        <f t="shared" si="1065"/>
        <v>2807</v>
      </c>
      <c r="N841" s="318">
        <f t="shared" si="1065"/>
        <v>2729</v>
      </c>
      <c r="O841" s="318">
        <f t="shared" si="1065"/>
        <v>78</v>
      </c>
      <c r="P841" s="299">
        <f>P842+P843</f>
        <v>3562</v>
      </c>
      <c r="Q841" s="318"/>
      <c r="R841" s="318"/>
      <c r="S841" s="299">
        <f t="shared" si="1065"/>
        <v>1656</v>
      </c>
      <c r="T841" s="299">
        <f t="shared" si="1065"/>
        <v>1906</v>
      </c>
      <c r="U841" s="299">
        <f t="shared" si="1065"/>
        <v>1156</v>
      </c>
      <c r="V841" s="299">
        <f t="shared" si="1065"/>
        <v>750</v>
      </c>
      <c r="W841" s="299">
        <f>W842+W843</f>
        <v>0</v>
      </c>
      <c r="X841" s="299"/>
      <c r="Y841" s="299"/>
      <c r="Z841" s="299">
        <f t="shared" si="1065"/>
        <v>0</v>
      </c>
      <c r="AA841" s="299">
        <f>AA842+AA843</f>
        <v>0</v>
      </c>
      <c r="AB841" s="299">
        <f>AB842+AB843</f>
        <v>0</v>
      </c>
      <c r="AC841" s="299">
        <f t="shared" ref="AC841:AE841" si="1066">AC842+AC843</f>
        <v>584</v>
      </c>
      <c r="AD841" s="299">
        <f t="shared" si="1066"/>
        <v>357</v>
      </c>
      <c r="AE841" s="299">
        <f t="shared" si="1066"/>
        <v>6596</v>
      </c>
      <c r="AF841" s="321"/>
      <c r="AG841" s="314">
        <f t="shared" si="1000"/>
        <v>0</v>
      </c>
      <c r="AH841" s="696">
        <f t="shared" si="1001"/>
        <v>0</v>
      </c>
      <c r="AI841" s="314">
        <f t="shared" si="1002"/>
        <v>0</v>
      </c>
      <c r="AJ841" s="314">
        <f t="shared" si="1003"/>
        <v>0</v>
      </c>
      <c r="AK841" s="314">
        <f t="shared" si="1004"/>
        <v>0</v>
      </c>
      <c r="AL841" s="314">
        <f t="shared" si="1005"/>
        <v>0</v>
      </c>
      <c r="AM841" s="314">
        <f t="shared" si="1006"/>
        <v>0</v>
      </c>
      <c r="AN841" s="314">
        <f t="shared" si="1007"/>
        <v>0</v>
      </c>
      <c r="AO841" s="314">
        <f t="shared" si="1008"/>
        <v>0</v>
      </c>
      <c r="AP841" s="314">
        <f t="shared" si="1009"/>
        <v>0</v>
      </c>
    </row>
    <row r="842" spans="1:42">
      <c r="A842" s="583" t="s">
        <v>45</v>
      </c>
      <c r="B842" s="324" t="s">
        <v>862</v>
      </c>
      <c r="C842" s="298"/>
      <c r="D842" s="304">
        <v>4234</v>
      </c>
      <c r="E842" s="304">
        <f t="shared" ref="E842:E856" si="1067">F842+AC842</f>
        <v>5047</v>
      </c>
      <c r="F842" s="304">
        <f>H842-AB842</f>
        <v>4463</v>
      </c>
      <c r="G842" s="304">
        <f t="shared" si="1058"/>
        <v>229</v>
      </c>
      <c r="H842" s="303">
        <f t="shared" ref="H842" si="1068">I842+W842</f>
        <v>4463</v>
      </c>
      <c r="I842" s="303">
        <f>M842+P842</f>
        <v>4463</v>
      </c>
      <c r="J842" s="294">
        <v>20</v>
      </c>
      <c r="K842" s="294">
        <v>19</v>
      </c>
      <c r="L842" s="294">
        <f>J842-K842</f>
        <v>1</v>
      </c>
      <c r="M842" s="304">
        <f>N842+O842</f>
        <v>2807</v>
      </c>
      <c r="N842" s="294">
        <v>2729</v>
      </c>
      <c r="O842" s="294">
        <v>78</v>
      </c>
      <c r="P842" s="303">
        <f>S842+T842</f>
        <v>1656</v>
      </c>
      <c r="Q842" s="294">
        <v>36</v>
      </c>
      <c r="R842" s="305">
        <v>2.2999999999999998</v>
      </c>
      <c r="S842" s="304">
        <f>ROUND(J842*Q842*R842,0)</f>
        <v>1656</v>
      </c>
      <c r="T842" s="303">
        <f>U842+V842</f>
        <v>0</v>
      </c>
      <c r="U842" s="304"/>
      <c r="V842" s="304"/>
      <c r="W842" s="303">
        <f>Z842+AA842</f>
        <v>0</v>
      </c>
      <c r="X842" s="303"/>
      <c r="Y842" s="303"/>
      <c r="Z842" s="304"/>
      <c r="AA842" s="304"/>
      <c r="AB842" s="304"/>
      <c r="AC842" s="304">
        <v>584</v>
      </c>
      <c r="AD842" s="304">
        <v>166</v>
      </c>
      <c r="AE842" s="303">
        <f>E842-AD842</f>
        <v>4881</v>
      </c>
      <c r="AF842" s="317"/>
      <c r="AG842" s="314">
        <f t="shared" si="1000"/>
        <v>0</v>
      </c>
      <c r="AH842" s="696">
        <f t="shared" si="1001"/>
        <v>0</v>
      </c>
      <c r="AI842" s="314">
        <f t="shared" si="1002"/>
        <v>0</v>
      </c>
      <c r="AJ842" s="314">
        <f t="shared" si="1003"/>
        <v>0</v>
      </c>
      <c r="AK842" s="314">
        <f t="shared" si="1004"/>
        <v>0</v>
      </c>
      <c r="AL842" s="314">
        <f t="shared" si="1005"/>
        <v>0</v>
      </c>
      <c r="AM842" s="314">
        <f t="shared" si="1006"/>
        <v>0</v>
      </c>
      <c r="AN842" s="314">
        <f t="shared" si="1007"/>
        <v>0</v>
      </c>
      <c r="AO842" s="314">
        <f t="shared" si="1008"/>
        <v>0</v>
      </c>
      <c r="AP842" s="314">
        <f t="shared" si="1009"/>
        <v>0</v>
      </c>
    </row>
    <row r="843" spans="1:42" ht="27.6">
      <c r="A843" s="583" t="s">
        <v>47</v>
      </c>
      <c r="B843" s="1273" t="s">
        <v>1737</v>
      </c>
      <c r="C843" s="298"/>
      <c r="D843" s="303">
        <v>1604</v>
      </c>
      <c r="E843" s="303">
        <f t="shared" ref="E843:AC843" si="1069">SUM(E844:E854)</f>
        <v>1906</v>
      </c>
      <c r="F843" s="303">
        <f t="shared" si="1069"/>
        <v>1906</v>
      </c>
      <c r="G843" s="303">
        <f t="shared" si="1069"/>
        <v>302</v>
      </c>
      <c r="H843" s="303">
        <f t="shared" si="1069"/>
        <v>1906</v>
      </c>
      <c r="I843" s="303">
        <f t="shared" si="1069"/>
        <v>1906</v>
      </c>
      <c r="J843" s="303">
        <f t="shared" si="1069"/>
        <v>0</v>
      </c>
      <c r="K843" s="303">
        <f t="shared" si="1069"/>
        <v>0</v>
      </c>
      <c r="L843" s="303">
        <f t="shared" si="1069"/>
        <v>0</v>
      </c>
      <c r="M843" s="303">
        <f t="shared" si="1069"/>
        <v>0</v>
      </c>
      <c r="N843" s="303">
        <f t="shared" si="1069"/>
        <v>0</v>
      </c>
      <c r="O843" s="303">
        <f t="shared" si="1069"/>
        <v>0</v>
      </c>
      <c r="P843" s="303">
        <f t="shared" si="1069"/>
        <v>1906</v>
      </c>
      <c r="Q843" s="303">
        <f t="shared" si="1069"/>
        <v>0</v>
      </c>
      <c r="R843" s="303">
        <f t="shared" si="1069"/>
        <v>0</v>
      </c>
      <c r="S843" s="303">
        <f t="shared" si="1069"/>
        <v>0</v>
      </c>
      <c r="T843" s="303">
        <f t="shared" si="1069"/>
        <v>1906</v>
      </c>
      <c r="U843" s="303">
        <f t="shared" si="1069"/>
        <v>1156</v>
      </c>
      <c r="V843" s="303">
        <f t="shared" si="1069"/>
        <v>750</v>
      </c>
      <c r="W843" s="303">
        <f t="shared" si="1069"/>
        <v>0</v>
      </c>
      <c r="X843" s="303">
        <f t="shared" si="1069"/>
        <v>0</v>
      </c>
      <c r="Y843" s="303">
        <f t="shared" si="1069"/>
        <v>0</v>
      </c>
      <c r="Z843" s="303">
        <f t="shared" si="1069"/>
        <v>0</v>
      </c>
      <c r="AA843" s="303">
        <f t="shared" si="1069"/>
        <v>0</v>
      </c>
      <c r="AB843" s="303">
        <f t="shared" si="1069"/>
        <v>0</v>
      </c>
      <c r="AC843" s="303">
        <f t="shared" si="1069"/>
        <v>0</v>
      </c>
      <c r="AD843" s="303">
        <v>191</v>
      </c>
      <c r="AE843" s="303">
        <f>E843-AD843</f>
        <v>1715</v>
      </c>
      <c r="AF843" s="317"/>
      <c r="AG843" s="314">
        <f t="shared" si="1000"/>
        <v>0</v>
      </c>
      <c r="AH843" s="696">
        <f t="shared" si="1001"/>
        <v>0</v>
      </c>
      <c r="AI843" s="314">
        <f t="shared" si="1002"/>
        <v>0</v>
      </c>
      <c r="AJ843" s="314">
        <f t="shared" si="1003"/>
        <v>0</v>
      </c>
      <c r="AK843" s="314">
        <f t="shared" si="1004"/>
        <v>0</v>
      </c>
      <c r="AL843" s="314">
        <f t="shared" si="1005"/>
        <v>0</v>
      </c>
      <c r="AM843" s="314">
        <f t="shared" si="1006"/>
        <v>0</v>
      </c>
      <c r="AN843" s="314">
        <f t="shared" si="1007"/>
        <v>0</v>
      </c>
      <c r="AO843" s="314">
        <f t="shared" si="1008"/>
        <v>0</v>
      </c>
      <c r="AP843" s="314">
        <f t="shared" si="1009"/>
        <v>0</v>
      </c>
    </row>
    <row r="844" spans="1:42" ht="69" outlineLevel="1">
      <c r="A844" s="583" t="s">
        <v>23</v>
      </c>
      <c r="B844" s="646" t="s">
        <v>1130</v>
      </c>
      <c r="C844" s="1272"/>
      <c r="D844" s="304">
        <v>220</v>
      </c>
      <c r="E844" s="304">
        <f t="shared" si="1067"/>
        <v>220</v>
      </c>
      <c r="F844" s="304">
        <f t="shared" ref="F844:F854" si="1070">H844-AB844</f>
        <v>220</v>
      </c>
      <c r="G844" s="304">
        <f t="shared" si="1058"/>
        <v>0</v>
      </c>
      <c r="H844" s="303">
        <f t="shared" ref="H844:H851" si="1071">I844+W844</f>
        <v>220</v>
      </c>
      <c r="I844" s="303">
        <f t="shared" ref="I844:I846" si="1072">M844+P844</f>
        <v>220</v>
      </c>
      <c r="J844" s="294"/>
      <c r="K844" s="294"/>
      <c r="L844" s="294"/>
      <c r="M844" s="304"/>
      <c r="N844" s="294"/>
      <c r="O844" s="294"/>
      <c r="P844" s="303">
        <f t="shared" ref="P844:P846" si="1073">S844+T844</f>
        <v>220</v>
      </c>
      <c r="Q844" s="294"/>
      <c r="R844" s="305"/>
      <c r="S844" s="304"/>
      <c r="T844" s="303">
        <f t="shared" ref="T844:T846" si="1074">U844+V844</f>
        <v>220</v>
      </c>
      <c r="U844" s="304">
        <v>220</v>
      </c>
      <c r="V844" s="304"/>
      <c r="W844" s="303">
        <f>Z844+AA844</f>
        <v>0</v>
      </c>
      <c r="X844" s="303"/>
      <c r="Y844" s="303"/>
      <c r="Z844" s="304"/>
      <c r="AA844" s="304"/>
      <c r="AB844" s="304"/>
      <c r="AC844" s="304"/>
      <c r="AD844" s="304"/>
      <c r="AE844" s="304"/>
      <c r="AF844" s="1272"/>
      <c r="AG844" s="314">
        <f t="shared" si="1000"/>
        <v>0</v>
      </c>
      <c r="AH844" s="696">
        <f t="shared" si="1001"/>
        <v>0</v>
      </c>
      <c r="AI844" s="314">
        <f t="shared" si="1002"/>
        <v>0</v>
      </c>
      <c r="AJ844" s="314">
        <f t="shared" si="1003"/>
        <v>0</v>
      </c>
      <c r="AK844" s="314">
        <f t="shared" si="1004"/>
        <v>0</v>
      </c>
      <c r="AL844" s="314">
        <f t="shared" si="1005"/>
        <v>0</v>
      </c>
      <c r="AM844" s="314">
        <f t="shared" si="1006"/>
        <v>0</v>
      </c>
      <c r="AN844" s="314">
        <f t="shared" si="1007"/>
        <v>0</v>
      </c>
      <c r="AO844" s="314">
        <f t="shared" si="1008"/>
        <v>0</v>
      </c>
      <c r="AP844" s="314">
        <f t="shared" si="1009"/>
        <v>0</v>
      </c>
    </row>
    <row r="845" spans="1:42" outlineLevel="1">
      <c r="A845" s="583" t="s">
        <v>23</v>
      </c>
      <c r="B845" s="646" t="s">
        <v>1131</v>
      </c>
      <c r="C845" s="1272"/>
      <c r="D845" s="304">
        <v>100</v>
      </c>
      <c r="E845" s="304">
        <f t="shared" si="1067"/>
        <v>100</v>
      </c>
      <c r="F845" s="304">
        <f t="shared" si="1070"/>
        <v>100</v>
      </c>
      <c r="G845" s="304">
        <f t="shared" si="1058"/>
        <v>0</v>
      </c>
      <c r="H845" s="303">
        <f t="shared" si="1071"/>
        <v>100</v>
      </c>
      <c r="I845" s="303">
        <f t="shared" si="1072"/>
        <v>100</v>
      </c>
      <c r="J845" s="294"/>
      <c r="K845" s="294"/>
      <c r="L845" s="294"/>
      <c r="M845" s="304"/>
      <c r="N845" s="294"/>
      <c r="O845" s="294"/>
      <c r="P845" s="303">
        <f t="shared" si="1073"/>
        <v>100</v>
      </c>
      <c r="Q845" s="294"/>
      <c r="R845" s="305"/>
      <c r="S845" s="304"/>
      <c r="T845" s="303">
        <f t="shared" si="1074"/>
        <v>100</v>
      </c>
      <c r="U845" s="304">
        <v>100</v>
      </c>
      <c r="V845" s="304"/>
      <c r="W845" s="303">
        <f>Z845+AA845</f>
        <v>0</v>
      </c>
      <c r="X845" s="303"/>
      <c r="Y845" s="303"/>
      <c r="Z845" s="304"/>
      <c r="AA845" s="304"/>
      <c r="AB845" s="304"/>
      <c r="AC845" s="304"/>
      <c r="AD845" s="304"/>
      <c r="AE845" s="304"/>
      <c r="AF845" s="1272"/>
      <c r="AG845" s="314">
        <f t="shared" si="1000"/>
        <v>0</v>
      </c>
      <c r="AH845" s="696">
        <f t="shared" si="1001"/>
        <v>0</v>
      </c>
      <c r="AI845" s="314">
        <f t="shared" si="1002"/>
        <v>0</v>
      </c>
      <c r="AJ845" s="314">
        <f t="shared" si="1003"/>
        <v>0</v>
      </c>
      <c r="AK845" s="314">
        <f t="shared" si="1004"/>
        <v>0</v>
      </c>
      <c r="AL845" s="314">
        <f t="shared" si="1005"/>
        <v>0</v>
      </c>
      <c r="AM845" s="314">
        <f t="shared" si="1006"/>
        <v>0</v>
      </c>
      <c r="AN845" s="314">
        <f t="shared" si="1007"/>
        <v>0</v>
      </c>
      <c r="AO845" s="314">
        <f t="shared" si="1008"/>
        <v>0</v>
      </c>
      <c r="AP845" s="314">
        <f t="shared" si="1009"/>
        <v>0</v>
      </c>
    </row>
    <row r="846" spans="1:42" ht="69" outlineLevel="1">
      <c r="A846" s="583" t="s">
        <v>23</v>
      </c>
      <c r="B846" s="316" t="s">
        <v>1655</v>
      </c>
      <c r="C846" s="317"/>
      <c r="D846" s="304">
        <v>131</v>
      </c>
      <c r="E846" s="304">
        <f t="shared" si="1067"/>
        <v>131</v>
      </c>
      <c r="F846" s="304">
        <f t="shared" si="1070"/>
        <v>131</v>
      </c>
      <c r="G846" s="304">
        <f t="shared" si="1058"/>
        <v>0</v>
      </c>
      <c r="H846" s="303">
        <f t="shared" si="1071"/>
        <v>131</v>
      </c>
      <c r="I846" s="303">
        <f t="shared" si="1072"/>
        <v>131</v>
      </c>
      <c r="J846" s="294"/>
      <c r="K846" s="294"/>
      <c r="L846" s="294"/>
      <c r="M846" s="304"/>
      <c r="N846" s="294"/>
      <c r="O846" s="294"/>
      <c r="P846" s="303">
        <f t="shared" si="1073"/>
        <v>131</v>
      </c>
      <c r="Q846" s="294"/>
      <c r="R846" s="305"/>
      <c r="S846" s="304"/>
      <c r="T846" s="303">
        <f t="shared" si="1074"/>
        <v>131</v>
      </c>
      <c r="U846" s="304">
        <v>131</v>
      </c>
      <c r="V846" s="304"/>
      <c r="W846" s="303">
        <f>Z846+AA846</f>
        <v>0</v>
      </c>
      <c r="X846" s="303"/>
      <c r="Y846" s="303"/>
      <c r="Z846" s="304"/>
      <c r="AA846" s="304"/>
      <c r="AB846" s="304"/>
      <c r="AC846" s="304"/>
      <c r="AD846" s="304"/>
      <c r="AE846" s="304"/>
      <c r="AF846" s="317"/>
      <c r="AG846" s="314">
        <f t="shared" si="1000"/>
        <v>0</v>
      </c>
      <c r="AH846" s="696">
        <f t="shared" si="1001"/>
        <v>0</v>
      </c>
      <c r="AI846" s="314">
        <f t="shared" si="1002"/>
        <v>0</v>
      </c>
      <c r="AJ846" s="314">
        <f t="shared" si="1003"/>
        <v>0</v>
      </c>
      <c r="AK846" s="314">
        <f t="shared" si="1004"/>
        <v>0</v>
      </c>
      <c r="AL846" s="314">
        <f t="shared" si="1005"/>
        <v>0</v>
      </c>
      <c r="AM846" s="314">
        <f t="shared" si="1006"/>
        <v>0</v>
      </c>
      <c r="AN846" s="314">
        <f t="shared" si="1007"/>
        <v>0</v>
      </c>
      <c r="AO846" s="314">
        <f t="shared" si="1008"/>
        <v>0</v>
      </c>
      <c r="AP846" s="314">
        <f t="shared" si="1009"/>
        <v>0</v>
      </c>
    </row>
    <row r="847" spans="1:42" ht="55.2" outlineLevel="1">
      <c r="A847" s="583" t="s">
        <v>23</v>
      </c>
      <c r="B847" s="316" t="s">
        <v>1132</v>
      </c>
      <c r="C847" s="317"/>
      <c r="D847" s="304">
        <v>650</v>
      </c>
      <c r="E847" s="304">
        <f t="shared" si="1067"/>
        <v>650</v>
      </c>
      <c r="F847" s="304">
        <f t="shared" si="1070"/>
        <v>650</v>
      </c>
      <c r="G847" s="304">
        <f t="shared" si="1058"/>
        <v>0</v>
      </c>
      <c r="H847" s="303">
        <f t="shared" si="1071"/>
        <v>650</v>
      </c>
      <c r="I847" s="303">
        <f>M847+P847</f>
        <v>650</v>
      </c>
      <c r="J847" s="294"/>
      <c r="K847" s="294"/>
      <c r="L847" s="294"/>
      <c r="M847" s="304"/>
      <c r="N847" s="294"/>
      <c r="O847" s="294"/>
      <c r="P847" s="303">
        <f>S847+T847</f>
        <v>650</v>
      </c>
      <c r="Q847" s="294"/>
      <c r="R847" s="305"/>
      <c r="S847" s="304"/>
      <c r="T847" s="303">
        <f>U847+V847</f>
        <v>650</v>
      </c>
      <c r="U847" s="304">
        <f>200+300+150</f>
        <v>650</v>
      </c>
      <c r="V847" s="304"/>
      <c r="W847" s="303"/>
      <c r="X847" s="303"/>
      <c r="Y847" s="303"/>
      <c r="Z847" s="304"/>
      <c r="AA847" s="304"/>
      <c r="AB847" s="304"/>
      <c r="AC847" s="304"/>
      <c r="AD847" s="304"/>
      <c r="AE847" s="304"/>
      <c r="AF847" s="317"/>
      <c r="AG847" s="314">
        <f t="shared" si="1000"/>
        <v>0</v>
      </c>
      <c r="AH847" s="696">
        <f t="shared" si="1001"/>
        <v>0</v>
      </c>
      <c r="AI847" s="314">
        <f t="shared" si="1002"/>
        <v>0</v>
      </c>
      <c r="AJ847" s="314">
        <f t="shared" si="1003"/>
        <v>0</v>
      </c>
      <c r="AK847" s="314">
        <f t="shared" si="1004"/>
        <v>0</v>
      </c>
      <c r="AL847" s="314">
        <f t="shared" si="1005"/>
        <v>0</v>
      </c>
      <c r="AM847" s="314">
        <f t="shared" si="1006"/>
        <v>0</v>
      </c>
      <c r="AN847" s="314">
        <f t="shared" si="1007"/>
        <v>0</v>
      </c>
      <c r="AO847" s="314">
        <f t="shared" si="1008"/>
        <v>0</v>
      </c>
      <c r="AP847" s="314">
        <f t="shared" si="1009"/>
        <v>0</v>
      </c>
    </row>
    <row r="848" spans="1:42" ht="27.6" outlineLevel="1">
      <c r="A848" s="583" t="s">
        <v>23</v>
      </c>
      <c r="B848" s="316" t="s">
        <v>1656</v>
      </c>
      <c r="C848" s="317"/>
      <c r="D848" s="304">
        <v>55</v>
      </c>
      <c r="E848" s="304">
        <f>F848+AC848</f>
        <v>55</v>
      </c>
      <c r="F848" s="304">
        <f>H848-AB848</f>
        <v>55</v>
      </c>
      <c r="G848" s="304">
        <f>F848-D848</f>
        <v>0</v>
      </c>
      <c r="H848" s="303">
        <f t="shared" si="1071"/>
        <v>55</v>
      </c>
      <c r="I848" s="303">
        <f t="shared" ref="I848:I851" si="1075">M848+P848</f>
        <v>55</v>
      </c>
      <c r="J848" s="294"/>
      <c r="K848" s="294"/>
      <c r="L848" s="294"/>
      <c r="M848" s="304"/>
      <c r="N848" s="294"/>
      <c r="O848" s="294"/>
      <c r="P848" s="303">
        <f t="shared" ref="P848:P851" si="1076">S848+T848</f>
        <v>55</v>
      </c>
      <c r="Q848" s="294"/>
      <c r="R848" s="305"/>
      <c r="S848" s="304"/>
      <c r="T848" s="303">
        <f t="shared" ref="T848:T851" si="1077">U848+V848</f>
        <v>55</v>
      </c>
      <c r="U848" s="304">
        <v>55</v>
      </c>
      <c r="V848" s="304"/>
      <c r="W848" s="303"/>
      <c r="X848" s="303"/>
      <c r="Y848" s="303"/>
      <c r="Z848" s="304"/>
      <c r="AA848" s="304"/>
      <c r="AB848" s="304"/>
      <c r="AC848" s="304"/>
      <c r="AD848" s="304"/>
      <c r="AE848" s="304"/>
      <c r="AF848" s="1263"/>
      <c r="AG848" s="314">
        <f t="shared" si="1000"/>
        <v>0</v>
      </c>
      <c r="AH848" s="696">
        <f t="shared" si="1001"/>
        <v>0</v>
      </c>
      <c r="AI848" s="314">
        <f t="shared" si="1002"/>
        <v>0</v>
      </c>
      <c r="AJ848" s="314">
        <f t="shared" si="1003"/>
        <v>0</v>
      </c>
      <c r="AK848" s="314">
        <f t="shared" si="1004"/>
        <v>0</v>
      </c>
      <c r="AL848" s="314">
        <f t="shared" si="1005"/>
        <v>0</v>
      </c>
      <c r="AM848" s="314">
        <f t="shared" si="1006"/>
        <v>0</v>
      </c>
      <c r="AN848" s="314">
        <f t="shared" si="1007"/>
        <v>0</v>
      </c>
      <c r="AO848" s="314">
        <f t="shared" si="1008"/>
        <v>0</v>
      </c>
      <c r="AP848" s="314">
        <f t="shared" si="1009"/>
        <v>0</v>
      </c>
    </row>
    <row r="849" spans="1:42" ht="30" customHeight="1" outlineLevel="1">
      <c r="A849" s="593" t="s">
        <v>23</v>
      </c>
      <c r="B849" s="324" t="s">
        <v>2229</v>
      </c>
      <c r="C849" s="304"/>
      <c r="D849" s="304"/>
      <c r="E849" s="304">
        <f t="shared" si="1067"/>
        <v>331</v>
      </c>
      <c r="F849" s="304">
        <f t="shared" si="1070"/>
        <v>331</v>
      </c>
      <c r="G849" s="304">
        <f t="shared" ref="G849:G851" si="1078">F849-D849</f>
        <v>331</v>
      </c>
      <c r="H849" s="303">
        <f t="shared" si="1071"/>
        <v>331</v>
      </c>
      <c r="I849" s="303">
        <f t="shared" si="1075"/>
        <v>331</v>
      </c>
      <c r="J849" s="311"/>
      <c r="K849" s="311"/>
      <c r="L849" s="311"/>
      <c r="M849" s="303"/>
      <c r="N849" s="311"/>
      <c r="O849" s="311"/>
      <c r="P849" s="303">
        <f t="shared" si="1076"/>
        <v>331</v>
      </c>
      <c r="Q849" s="311"/>
      <c r="R849" s="312"/>
      <c r="S849" s="303"/>
      <c r="T849" s="303">
        <f t="shared" si="1077"/>
        <v>331</v>
      </c>
      <c r="U849" s="303"/>
      <c r="V849" s="303">
        <v>331</v>
      </c>
      <c r="W849" s="303"/>
      <c r="X849" s="303"/>
      <c r="Y849" s="303"/>
      <c r="Z849" s="303"/>
      <c r="AA849" s="303"/>
      <c r="AB849" s="304"/>
      <c r="AC849" s="304"/>
      <c r="AD849" s="304"/>
      <c r="AE849" s="304"/>
      <c r="AF849" s="1263" t="s">
        <v>2343</v>
      </c>
      <c r="AG849" s="314">
        <f t="shared" si="1000"/>
        <v>0</v>
      </c>
      <c r="AH849" s="696">
        <f t="shared" si="1001"/>
        <v>0</v>
      </c>
      <c r="AI849" s="314">
        <f t="shared" si="1002"/>
        <v>0</v>
      </c>
      <c r="AJ849" s="314">
        <f t="shared" si="1003"/>
        <v>0</v>
      </c>
      <c r="AK849" s="314">
        <f t="shared" si="1004"/>
        <v>0</v>
      </c>
      <c r="AL849" s="314">
        <f t="shared" si="1005"/>
        <v>0</v>
      </c>
      <c r="AM849" s="314">
        <f t="shared" si="1006"/>
        <v>0</v>
      </c>
      <c r="AN849" s="314">
        <f t="shared" si="1007"/>
        <v>0</v>
      </c>
      <c r="AO849" s="314">
        <f t="shared" si="1008"/>
        <v>0</v>
      </c>
      <c r="AP849" s="314">
        <f t="shared" si="1009"/>
        <v>0</v>
      </c>
    </row>
    <row r="850" spans="1:42" ht="69" outlineLevel="1">
      <c r="A850" s="593" t="s">
        <v>23</v>
      </c>
      <c r="B850" s="324" t="s">
        <v>2230</v>
      </c>
      <c r="C850" s="304"/>
      <c r="D850" s="304"/>
      <c r="E850" s="304">
        <f t="shared" si="1067"/>
        <v>339</v>
      </c>
      <c r="F850" s="304">
        <f t="shared" si="1070"/>
        <v>339</v>
      </c>
      <c r="G850" s="304">
        <f t="shared" si="1078"/>
        <v>339</v>
      </c>
      <c r="H850" s="303">
        <f t="shared" si="1071"/>
        <v>339</v>
      </c>
      <c r="I850" s="303">
        <f t="shared" si="1075"/>
        <v>339</v>
      </c>
      <c r="J850" s="311"/>
      <c r="K850" s="311"/>
      <c r="L850" s="311"/>
      <c r="M850" s="303"/>
      <c r="N850" s="311"/>
      <c r="O850" s="311"/>
      <c r="P850" s="303">
        <f t="shared" si="1076"/>
        <v>339</v>
      </c>
      <c r="Q850" s="311"/>
      <c r="R850" s="312"/>
      <c r="S850" s="303"/>
      <c r="T850" s="303">
        <f t="shared" si="1077"/>
        <v>339</v>
      </c>
      <c r="U850" s="303"/>
      <c r="V850" s="303">
        <v>339</v>
      </c>
      <c r="W850" s="303"/>
      <c r="X850" s="303"/>
      <c r="Y850" s="303"/>
      <c r="Z850" s="303"/>
      <c r="AA850" s="303"/>
      <c r="AB850" s="304"/>
      <c r="AC850" s="304"/>
      <c r="AD850" s="304"/>
      <c r="AE850" s="304"/>
      <c r="AF850" s="1263" t="s">
        <v>2344</v>
      </c>
      <c r="AG850" s="314">
        <f t="shared" si="1000"/>
        <v>0</v>
      </c>
      <c r="AH850" s="696">
        <f t="shared" si="1001"/>
        <v>0</v>
      </c>
      <c r="AI850" s="314">
        <f t="shared" si="1002"/>
        <v>0</v>
      </c>
      <c r="AJ850" s="314">
        <f t="shared" si="1003"/>
        <v>0</v>
      </c>
      <c r="AK850" s="314">
        <f t="shared" si="1004"/>
        <v>0</v>
      </c>
      <c r="AL850" s="314">
        <f t="shared" si="1005"/>
        <v>0</v>
      </c>
      <c r="AM850" s="314">
        <f t="shared" si="1006"/>
        <v>0</v>
      </c>
      <c r="AN850" s="314">
        <f t="shared" si="1007"/>
        <v>0</v>
      </c>
      <c r="AO850" s="314">
        <f t="shared" si="1008"/>
        <v>0</v>
      </c>
      <c r="AP850" s="314">
        <f t="shared" si="1009"/>
        <v>0</v>
      </c>
    </row>
    <row r="851" spans="1:42" ht="82.8" outlineLevel="1">
      <c r="A851" s="593" t="s">
        <v>23</v>
      </c>
      <c r="B851" s="324" t="s">
        <v>2231</v>
      </c>
      <c r="C851" s="304"/>
      <c r="D851" s="304"/>
      <c r="E851" s="304">
        <f t="shared" si="1067"/>
        <v>80</v>
      </c>
      <c r="F851" s="304">
        <f t="shared" si="1070"/>
        <v>80</v>
      </c>
      <c r="G851" s="304">
        <f t="shared" si="1078"/>
        <v>80</v>
      </c>
      <c r="H851" s="303">
        <f t="shared" si="1071"/>
        <v>80</v>
      </c>
      <c r="I851" s="303">
        <f t="shared" si="1075"/>
        <v>80</v>
      </c>
      <c r="J851" s="311"/>
      <c r="K851" s="311"/>
      <c r="L851" s="311"/>
      <c r="M851" s="303"/>
      <c r="N851" s="311"/>
      <c r="O851" s="311"/>
      <c r="P851" s="303">
        <f t="shared" si="1076"/>
        <v>80</v>
      </c>
      <c r="Q851" s="311"/>
      <c r="R851" s="312"/>
      <c r="S851" s="303"/>
      <c r="T851" s="303">
        <f t="shared" si="1077"/>
        <v>80</v>
      </c>
      <c r="U851" s="303"/>
      <c r="V851" s="303">
        <v>80</v>
      </c>
      <c r="W851" s="303"/>
      <c r="X851" s="303"/>
      <c r="Y851" s="303"/>
      <c r="Z851" s="303"/>
      <c r="AA851" s="303"/>
      <c r="AB851" s="304"/>
      <c r="AC851" s="304"/>
      <c r="AD851" s="304"/>
      <c r="AE851" s="304"/>
      <c r="AF851" s="1263" t="s">
        <v>2345</v>
      </c>
      <c r="AG851" s="314">
        <f t="shared" si="1000"/>
        <v>0</v>
      </c>
      <c r="AH851" s="696">
        <f t="shared" si="1001"/>
        <v>0</v>
      </c>
      <c r="AI851" s="314">
        <f t="shared" si="1002"/>
        <v>0</v>
      </c>
      <c r="AJ851" s="314">
        <f t="shared" si="1003"/>
        <v>0</v>
      </c>
      <c r="AK851" s="314">
        <f t="shared" si="1004"/>
        <v>0</v>
      </c>
      <c r="AL851" s="314">
        <f t="shared" si="1005"/>
        <v>0</v>
      </c>
      <c r="AM851" s="314">
        <f t="shared" si="1006"/>
        <v>0</v>
      </c>
      <c r="AN851" s="314">
        <f t="shared" si="1007"/>
        <v>0</v>
      </c>
      <c r="AO851" s="314">
        <f t="shared" si="1008"/>
        <v>0</v>
      </c>
      <c r="AP851" s="314">
        <f t="shared" si="1009"/>
        <v>0</v>
      </c>
    </row>
    <row r="852" spans="1:42" hidden="1" outlineLevel="3">
      <c r="A852" s="583" t="s">
        <v>23</v>
      </c>
      <c r="B852" s="316" t="s">
        <v>1133</v>
      </c>
      <c r="C852" s="317"/>
      <c r="D852" s="304">
        <v>328</v>
      </c>
      <c r="E852" s="304">
        <f t="shared" si="1067"/>
        <v>0</v>
      </c>
      <c r="F852" s="304">
        <f t="shared" si="1070"/>
        <v>0</v>
      </c>
      <c r="G852" s="304">
        <f t="shared" si="1058"/>
        <v>-328</v>
      </c>
      <c r="H852" s="303">
        <f>I852+W852</f>
        <v>0</v>
      </c>
      <c r="I852" s="303">
        <f>M852+P852</f>
        <v>0</v>
      </c>
      <c r="J852" s="294"/>
      <c r="K852" s="294"/>
      <c r="L852" s="294"/>
      <c r="M852" s="304"/>
      <c r="N852" s="294"/>
      <c r="O852" s="294"/>
      <c r="P852" s="303">
        <f>S852+T852</f>
        <v>0</v>
      </c>
      <c r="Q852" s="294"/>
      <c r="R852" s="305"/>
      <c r="S852" s="304"/>
      <c r="T852" s="303">
        <f>U852+V852</f>
        <v>0</v>
      </c>
      <c r="U852" s="304"/>
      <c r="V852" s="304"/>
      <c r="W852" s="303"/>
      <c r="X852" s="303"/>
      <c r="Y852" s="303"/>
      <c r="Z852" s="304"/>
      <c r="AA852" s="304"/>
      <c r="AB852" s="304"/>
      <c r="AC852" s="304"/>
      <c r="AD852" s="304"/>
      <c r="AE852" s="304"/>
      <c r="AF852" s="317"/>
      <c r="AG852" s="314">
        <f t="shared" si="1000"/>
        <v>0</v>
      </c>
      <c r="AH852" s="696">
        <f t="shared" si="1001"/>
        <v>0</v>
      </c>
      <c r="AI852" s="314">
        <f t="shared" si="1002"/>
        <v>0</v>
      </c>
      <c r="AJ852" s="314">
        <f t="shared" si="1003"/>
        <v>0</v>
      </c>
      <c r="AK852" s="314">
        <f t="shared" si="1004"/>
        <v>0</v>
      </c>
      <c r="AL852" s="314">
        <f t="shared" si="1005"/>
        <v>0</v>
      </c>
      <c r="AM852" s="314">
        <f t="shared" si="1006"/>
        <v>0</v>
      </c>
      <c r="AN852" s="314">
        <f t="shared" si="1007"/>
        <v>0</v>
      </c>
      <c r="AO852" s="314">
        <f t="shared" si="1008"/>
        <v>0</v>
      </c>
      <c r="AP852" s="314">
        <f t="shared" si="1009"/>
        <v>0</v>
      </c>
    </row>
    <row r="853" spans="1:42" ht="27.6" hidden="1" outlineLevel="3">
      <c r="A853" s="583" t="s">
        <v>23</v>
      </c>
      <c r="B853" s="316" t="s">
        <v>1657</v>
      </c>
      <c r="C853" s="317"/>
      <c r="D853" s="304">
        <v>50</v>
      </c>
      <c r="E853" s="304">
        <f t="shared" si="1067"/>
        <v>0</v>
      </c>
      <c r="F853" s="304">
        <f t="shared" si="1070"/>
        <v>0</v>
      </c>
      <c r="G853" s="304">
        <f t="shared" si="1058"/>
        <v>-50</v>
      </c>
      <c r="H853" s="303">
        <f t="shared" ref="H853:H854" si="1079">I853+W853</f>
        <v>0</v>
      </c>
      <c r="I853" s="303">
        <f t="shared" ref="I853:I854" si="1080">M853+P853</f>
        <v>0</v>
      </c>
      <c r="J853" s="294"/>
      <c r="K853" s="294"/>
      <c r="L853" s="294"/>
      <c r="M853" s="304"/>
      <c r="N853" s="294"/>
      <c r="O853" s="294"/>
      <c r="P853" s="303">
        <f t="shared" ref="P853:P854" si="1081">S853+T853</f>
        <v>0</v>
      </c>
      <c r="Q853" s="294"/>
      <c r="R853" s="305"/>
      <c r="S853" s="304"/>
      <c r="T853" s="303">
        <f t="shared" ref="T853:T854" si="1082">U853+V853</f>
        <v>0</v>
      </c>
      <c r="U853" s="304"/>
      <c r="V853" s="304"/>
      <c r="W853" s="303"/>
      <c r="X853" s="303"/>
      <c r="Y853" s="303"/>
      <c r="Z853" s="304"/>
      <c r="AA853" s="304"/>
      <c r="AB853" s="304"/>
      <c r="AC853" s="304"/>
      <c r="AD853" s="304"/>
      <c r="AE853" s="304"/>
      <c r="AF853" s="317"/>
      <c r="AG853" s="314">
        <f t="shared" si="1000"/>
        <v>0</v>
      </c>
      <c r="AH853" s="696">
        <f t="shared" si="1001"/>
        <v>0</v>
      </c>
      <c r="AI853" s="314">
        <f t="shared" si="1002"/>
        <v>0</v>
      </c>
      <c r="AJ853" s="314">
        <f t="shared" si="1003"/>
        <v>0</v>
      </c>
      <c r="AK853" s="314">
        <f t="shared" si="1004"/>
        <v>0</v>
      </c>
      <c r="AL853" s="314">
        <f t="shared" si="1005"/>
        <v>0</v>
      </c>
      <c r="AM853" s="314">
        <f t="shared" si="1006"/>
        <v>0</v>
      </c>
      <c r="AN853" s="314">
        <f t="shared" si="1007"/>
        <v>0</v>
      </c>
      <c r="AO853" s="314">
        <f t="shared" si="1008"/>
        <v>0</v>
      </c>
      <c r="AP853" s="314">
        <f t="shared" si="1009"/>
        <v>0</v>
      </c>
    </row>
    <row r="854" spans="1:42" ht="27.6" hidden="1" outlineLevel="3">
      <c r="A854" s="583" t="s">
        <v>23</v>
      </c>
      <c r="B854" s="316" t="s">
        <v>1658</v>
      </c>
      <c r="C854" s="317"/>
      <c r="D854" s="304">
        <v>70</v>
      </c>
      <c r="E854" s="304">
        <f t="shared" si="1067"/>
        <v>0</v>
      </c>
      <c r="F854" s="304">
        <f t="shared" si="1070"/>
        <v>0</v>
      </c>
      <c r="G854" s="304">
        <f t="shared" si="1058"/>
        <v>-70</v>
      </c>
      <c r="H854" s="303">
        <f t="shared" si="1079"/>
        <v>0</v>
      </c>
      <c r="I854" s="303">
        <f t="shared" si="1080"/>
        <v>0</v>
      </c>
      <c r="J854" s="294"/>
      <c r="K854" s="294"/>
      <c r="L854" s="294"/>
      <c r="M854" s="304"/>
      <c r="N854" s="294"/>
      <c r="O854" s="294"/>
      <c r="P854" s="303">
        <f t="shared" si="1081"/>
        <v>0</v>
      </c>
      <c r="Q854" s="294"/>
      <c r="R854" s="305"/>
      <c r="S854" s="304"/>
      <c r="T854" s="303">
        <f t="shared" si="1082"/>
        <v>0</v>
      </c>
      <c r="U854" s="304"/>
      <c r="V854" s="304"/>
      <c r="W854" s="303"/>
      <c r="X854" s="303"/>
      <c r="Y854" s="303"/>
      <c r="Z854" s="304"/>
      <c r="AA854" s="304"/>
      <c r="AB854" s="304"/>
      <c r="AC854" s="304"/>
      <c r="AD854" s="304"/>
      <c r="AE854" s="304"/>
      <c r="AF854" s="317"/>
      <c r="AG854" s="314">
        <f t="shared" ref="AG854:AG918" si="1083">E854-F854-AC854</f>
        <v>0</v>
      </c>
      <c r="AH854" s="696">
        <f t="shared" ref="AH854:AH918" si="1084">F854-H854+AB854</f>
        <v>0</v>
      </c>
      <c r="AI854" s="314">
        <f t="shared" ref="AI854:AI918" si="1085">H854-I854-W854</f>
        <v>0</v>
      </c>
      <c r="AJ854" s="314">
        <f t="shared" ref="AJ854:AJ918" si="1086">I854-M854-P854</f>
        <v>0</v>
      </c>
      <c r="AK854" s="314">
        <f t="shared" ref="AK854:AK918" si="1087">J854-K854-L854</f>
        <v>0</v>
      </c>
      <c r="AL854" s="314">
        <f t="shared" ref="AL854:AL918" si="1088">M854-N854-O854</f>
        <v>0</v>
      </c>
      <c r="AM854" s="314">
        <f t="shared" ref="AM854:AM918" si="1089">P854-S854-T854</f>
        <v>0</v>
      </c>
      <c r="AN854" s="314">
        <f t="shared" ref="AN854:AN918" si="1090">T854-U854-V854</f>
        <v>0</v>
      </c>
      <c r="AO854" s="314">
        <f t="shared" ref="AO854:AO918" si="1091">W854-Z854-AA854</f>
        <v>0</v>
      </c>
      <c r="AP854" s="314">
        <f t="shared" ref="AP854:AP918" si="1092">AC854+AA854+Z854+V854+U854+S854+O854+N854-AB854-E854</f>
        <v>0</v>
      </c>
    </row>
    <row r="855" spans="1:42" s="314" customFormat="1">
      <c r="A855" s="592" t="s">
        <v>1048</v>
      </c>
      <c r="B855" s="320" t="s">
        <v>1134</v>
      </c>
      <c r="C855" s="315" t="s">
        <v>752</v>
      </c>
      <c r="D855" s="297">
        <v>122</v>
      </c>
      <c r="E855" s="297">
        <f t="shared" si="1067"/>
        <v>122</v>
      </c>
      <c r="F855" s="297">
        <f>F856</f>
        <v>122</v>
      </c>
      <c r="G855" s="297">
        <f t="shared" si="1058"/>
        <v>0</v>
      </c>
      <c r="H855" s="297">
        <f t="shared" ref="H855:Z855" si="1093">H856</f>
        <v>122</v>
      </c>
      <c r="I855" s="297">
        <f t="shared" si="1093"/>
        <v>0</v>
      </c>
      <c r="J855" s="297">
        <f t="shared" si="1093"/>
        <v>0</v>
      </c>
      <c r="K855" s="297">
        <f t="shared" si="1093"/>
        <v>0</v>
      </c>
      <c r="L855" s="297">
        <f t="shared" si="1093"/>
        <v>0</v>
      </c>
      <c r="M855" s="297">
        <f t="shared" si="1093"/>
        <v>0</v>
      </c>
      <c r="N855" s="297">
        <f t="shared" si="1093"/>
        <v>0</v>
      </c>
      <c r="O855" s="297">
        <f t="shared" si="1093"/>
        <v>0</v>
      </c>
      <c r="P855" s="297">
        <f t="shared" si="1093"/>
        <v>0</v>
      </c>
      <c r="Q855" s="297">
        <f t="shared" si="1093"/>
        <v>0</v>
      </c>
      <c r="R855" s="297">
        <f t="shared" si="1093"/>
        <v>0</v>
      </c>
      <c r="S855" s="297">
        <f t="shared" si="1093"/>
        <v>0</v>
      </c>
      <c r="T855" s="297">
        <f t="shared" si="1093"/>
        <v>0</v>
      </c>
      <c r="U855" s="297">
        <f t="shared" si="1093"/>
        <v>0</v>
      </c>
      <c r="V855" s="297">
        <f t="shared" si="1093"/>
        <v>0</v>
      </c>
      <c r="W855" s="297">
        <f>W856</f>
        <v>122</v>
      </c>
      <c r="X855" s="297"/>
      <c r="Y855" s="297"/>
      <c r="Z855" s="297">
        <f t="shared" si="1093"/>
        <v>122</v>
      </c>
      <c r="AA855" s="297">
        <f>AA856</f>
        <v>0</v>
      </c>
      <c r="AB855" s="297">
        <f>AB856</f>
        <v>0</v>
      </c>
      <c r="AC855" s="297">
        <f t="shared" ref="AC855:AE855" si="1094">AC856</f>
        <v>0</v>
      </c>
      <c r="AD855" s="297">
        <f t="shared" si="1094"/>
        <v>12</v>
      </c>
      <c r="AE855" s="297">
        <f t="shared" si="1094"/>
        <v>110</v>
      </c>
      <c r="AF855" s="321"/>
      <c r="AG855" s="314">
        <f t="shared" si="1083"/>
        <v>0</v>
      </c>
      <c r="AH855" s="696">
        <f t="shared" si="1084"/>
        <v>0</v>
      </c>
      <c r="AI855" s="314">
        <f t="shared" si="1085"/>
        <v>0</v>
      </c>
      <c r="AJ855" s="314">
        <f t="shared" si="1086"/>
        <v>0</v>
      </c>
      <c r="AK855" s="314">
        <f t="shared" si="1087"/>
        <v>0</v>
      </c>
      <c r="AL855" s="314">
        <f t="shared" si="1088"/>
        <v>0</v>
      </c>
      <c r="AM855" s="314">
        <f t="shared" si="1089"/>
        <v>0</v>
      </c>
      <c r="AN855" s="314">
        <f t="shared" si="1090"/>
        <v>0</v>
      </c>
      <c r="AO855" s="314">
        <f t="shared" si="1091"/>
        <v>0</v>
      </c>
      <c r="AP855" s="314">
        <f t="shared" si="1092"/>
        <v>0</v>
      </c>
    </row>
    <row r="856" spans="1:42" ht="27.6" outlineLevel="1">
      <c r="A856" s="583" t="s">
        <v>23</v>
      </c>
      <c r="B856" s="646" t="s">
        <v>1659</v>
      </c>
      <c r="C856" s="317"/>
      <c r="D856" s="304">
        <v>122</v>
      </c>
      <c r="E856" s="304">
        <f t="shared" si="1067"/>
        <v>122</v>
      </c>
      <c r="F856" s="304">
        <f>H856-AB856</f>
        <v>122</v>
      </c>
      <c r="G856" s="304">
        <f t="shared" si="1058"/>
        <v>0</v>
      </c>
      <c r="H856" s="303">
        <f t="shared" ref="H856" si="1095">I856+W856</f>
        <v>122</v>
      </c>
      <c r="I856" s="303">
        <f>M856+P856</f>
        <v>0</v>
      </c>
      <c r="J856" s="294"/>
      <c r="K856" s="294"/>
      <c r="L856" s="294"/>
      <c r="M856" s="304"/>
      <c r="N856" s="294"/>
      <c r="O856" s="294"/>
      <c r="P856" s="303">
        <f t="shared" ref="P856" si="1096">S856+T856</f>
        <v>0</v>
      </c>
      <c r="Q856" s="294"/>
      <c r="R856" s="305"/>
      <c r="S856" s="304"/>
      <c r="T856" s="303">
        <f t="shared" ref="T856" si="1097">U856+V856</f>
        <v>0</v>
      </c>
      <c r="U856" s="304"/>
      <c r="V856" s="304"/>
      <c r="W856" s="303">
        <f>Z856+AA856</f>
        <v>122</v>
      </c>
      <c r="X856" s="303"/>
      <c r="Y856" s="303"/>
      <c r="Z856" s="304">
        <v>122</v>
      </c>
      <c r="AA856" s="304"/>
      <c r="AB856" s="304"/>
      <c r="AC856" s="304"/>
      <c r="AD856" s="304">
        <v>12</v>
      </c>
      <c r="AE856" s="303">
        <f>E856-AD856</f>
        <v>110</v>
      </c>
      <c r="AF856" s="1272"/>
      <c r="AG856" s="314">
        <f t="shared" si="1083"/>
        <v>0</v>
      </c>
      <c r="AH856" s="696">
        <f t="shared" si="1084"/>
        <v>0</v>
      </c>
      <c r="AI856" s="314">
        <f t="shared" si="1085"/>
        <v>0</v>
      </c>
      <c r="AJ856" s="314">
        <f t="shared" si="1086"/>
        <v>0</v>
      </c>
      <c r="AK856" s="314">
        <f t="shared" si="1087"/>
        <v>0</v>
      </c>
      <c r="AL856" s="314">
        <f t="shared" si="1088"/>
        <v>0</v>
      </c>
      <c r="AM856" s="314">
        <f t="shared" si="1089"/>
        <v>0</v>
      </c>
      <c r="AN856" s="314">
        <f t="shared" si="1090"/>
        <v>0</v>
      </c>
      <c r="AO856" s="314">
        <f t="shared" si="1091"/>
        <v>0</v>
      </c>
      <c r="AP856" s="314">
        <f t="shared" si="1092"/>
        <v>0</v>
      </c>
    </row>
    <row r="857" spans="1:42" s="314" customFormat="1">
      <c r="A857" s="592" t="s">
        <v>787</v>
      </c>
      <c r="B857" s="320" t="s">
        <v>1135</v>
      </c>
      <c r="C857" s="298" t="s">
        <v>764</v>
      </c>
      <c r="D857" s="297">
        <v>15847</v>
      </c>
      <c r="E857" s="297">
        <f>E858+E864+E865+E866</f>
        <v>17477</v>
      </c>
      <c r="F857" s="297">
        <f t="shared" ref="F857:AE857" si="1098">F858+F864+F865+F866</f>
        <v>17477</v>
      </c>
      <c r="G857" s="297">
        <f t="shared" si="1098"/>
        <v>1510</v>
      </c>
      <c r="H857" s="297">
        <f t="shared" si="1098"/>
        <v>17477</v>
      </c>
      <c r="I857" s="297">
        <f t="shared" si="1098"/>
        <v>0</v>
      </c>
      <c r="J857" s="297">
        <f t="shared" si="1098"/>
        <v>0</v>
      </c>
      <c r="K857" s="297">
        <f t="shared" si="1098"/>
        <v>0</v>
      </c>
      <c r="L857" s="297">
        <f t="shared" si="1098"/>
        <v>0</v>
      </c>
      <c r="M857" s="297">
        <f t="shared" si="1098"/>
        <v>0</v>
      </c>
      <c r="N857" s="297">
        <f t="shared" si="1098"/>
        <v>0</v>
      </c>
      <c r="O857" s="297">
        <f t="shared" si="1098"/>
        <v>0</v>
      </c>
      <c r="P857" s="297">
        <f t="shared" si="1098"/>
        <v>0</v>
      </c>
      <c r="Q857" s="297">
        <f t="shared" si="1098"/>
        <v>0</v>
      </c>
      <c r="R857" s="297">
        <f t="shared" si="1098"/>
        <v>0</v>
      </c>
      <c r="S857" s="297">
        <f t="shared" si="1098"/>
        <v>0</v>
      </c>
      <c r="T857" s="297">
        <f t="shared" si="1098"/>
        <v>0</v>
      </c>
      <c r="U857" s="297">
        <f t="shared" si="1098"/>
        <v>0</v>
      </c>
      <c r="V857" s="297">
        <f t="shared" si="1098"/>
        <v>0</v>
      </c>
      <c r="W857" s="297">
        <f t="shared" si="1098"/>
        <v>17477</v>
      </c>
      <c r="X857" s="297">
        <f t="shared" si="1098"/>
        <v>0</v>
      </c>
      <c r="Y857" s="297">
        <f t="shared" si="1098"/>
        <v>0</v>
      </c>
      <c r="Z857" s="297">
        <f>Z858+Z864+Z865+Z866</f>
        <v>15847</v>
      </c>
      <c r="AA857" s="297">
        <f t="shared" si="1098"/>
        <v>1630</v>
      </c>
      <c r="AB857" s="297">
        <f t="shared" si="1098"/>
        <v>0</v>
      </c>
      <c r="AC857" s="297">
        <f t="shared" si="1098"/>
        <v>0</v>
      </c>
      <c r="AD857" s="297">
        <f t="shared" si="1098"/>
        <v>1735</v>
      </c>
      <c r="AE857" s="297">
        <f t="shared" si="1098"/>
        <v>15742</v>
      </c>
      <c r="AF857" s="321"/>
      <c r="AG857" s="314">
        <f t="shared" si="1083"/>
        <v>0</v>
      </c>
      <c r="AH857" s="696">
        <f t="shared" si="1084"/>
        <v>0</v>
      </c>
      <c r="AI857" s="314">
        <f t="shared" si="1085"/>
        <v>0</v>
      </c>
      <c r="AJ857" s="314">
        <f t="shared" si="1086"/>
        <v>0</v>
      </c>
      <c r="AK857" s="314">
        <f t="shared" si="1087"/>
        <v>0</v>
      </c>
      <c r="AL857" s="314">
        <f t="shared" si="1088"/>
        <v>0</v>
      </c>
      <c r="AM857" s="314">
        <f t="shared" si="1089"/>
        <v>0</v>
      </c>
      <c r="AN857" s="314">
        <f t="shared" si="1090"/>
        <v>0</v>
      </c>
      <c r="AO857" s="314">
        <f t="shared" si="1091"/>
        <v>0</v>
      </c>
      <c r="AP857" s="314">
        <f t="shared" si="1092"/>
        <v>0</v>
      </c>
    </row>
    <row r="858" spans="1:42" ht="110.4" outlineLevel="1">
      <c r="A858" s="593" t="s">
        <v>23</v>
      </c>
      <c r="B858" s="1273" t="s">
        <v>1733</v>
      </c>
      <c r="C858" s="302"/>
      <c r="D858" s="304">
        <v>14047</v>
      </c>
      <c r="E858" s="304">
        <f t="shared" ref="E858:E866" si="1099">F858+AC858</f>
        <v>14452</v>
      </c>
      <c r="F858" s="304">
        <f t="shared" ref="F858:F866" si="1100">H858-AB858</f>
        <v>14452</v>
      </c>
      <c r="G858" s="304">
        <f>F858-D858</f>
        <v>405</v>
      </c>
      <c r="H858" s="303">
        <f t="shared" ref="H858:H866" si="1101">I858+W858</f>
        <v>14452</v>
      </c>
      <c r="I858" s="303">
        <f t="shared" ref="I858:I866" si="1102">M858+P858</f>
        <v>0</v>
      </c>
      <c r="J858" s="294"/>
      <c r="K858" s="294"/>
      <c r="L858" s="294"/>
      <c r="M858" s="304"/>
      <c r="N858" s="294"/>
      <c r="O858" s="294"/>
      <c r="P858" s="303">
        <f t="shared" ref="P858:P866" si="1103">S858+T858</f>
        <v>0</v>
      </c>
      <c r="Q858" s="294"/>
      <c r="R858" s="305"/>
      <c r="S858" s="304"/>
      <c r="T858" s="303">
        <f t="shared" ref="T858:T866" si="1104">U858+V858</f>
        <v>0</v>
      </c>
      <c r="U858" s="304"/>
      <c r="V858" s="304"/>
      <c r="W858" s="303">
        <f t="shared" ref="W858:W866" si="1105">Z858+AA858</f>
        <v>14452</v>
      </c>
      <c r="X858" s="303"/>
      <c r="Y858" s="303"/>
      <c r="Z858" s="303">
        <f>13727+120+200</f>
        <v>14047</v>
      </c>
      <c r="AA858" s="303">
        <f>AA862+AA863+AA861</f>
        <v>405</v>
      </c>
      <c r="AB858" s="304"/>
      <c r="AC858" s="304"/>
      <c r="AD858" s="304">
        <v>1435</v>
      </c>
      <c r="AE858" s="303">
        <f>E858-AD858</f>
        <v>13017</v>
      </c>
      <c r="AF858" s="1263"/>
      <c r="AG858" s="314">
        <f t="shared" si="1083"/>
        <v>0</v>
      </c>
      <c r="AH858" s="696">
        <f t="shared" si="1084"/>
        <v>0</v>
      </c>
      <c r="AI858" s="314">
        <f t="shared" si="1085"/>
        <v>0</v>
      </c>
      <c r="AJ858" s="314">
        <f t="shared" si="1086"/>
        <v>0</v>
      </c>
      <c r="AK858" s="314">
        <f t="shared" si="1087"/>
        <v>0</v>
      </c>
      <c r="AL858" s="314">
        <f t="shared" si="1088"/>
        <v>0</v>
      </c>
      <c r="AM858" s="314">
        <f t="shared" si="1089"/>
        <v>0</v>
      </c>
      <c r="AN858" s="314">
        <f t="shared" si="1090"/>
        <v>0</v>
      </c>
      <c r="AO858" s="314">
        <f t="shared" si="1091"/>
        <v>0</v>
      </c>
      <c r="AP858" s="314">
        <f t="shared" si="1092"/>
        <v>0</v>
      </c>
    </row>
    <row r="859" spans="1:42" ht="27.6" outlineLevel="1">
      <c r="A859" s="593"/>
      <c r="B859" s="316" t="s">
        <v>1697</v>
      </c>
      <c r="C859" s="302"/>
      <c r="D859" s="304">
        <v>100</v>
      </c>
      <c r="E859" s="304">
        <f t="shared" si="1099"/>
        <v>100</v>
      </c>
      <c r="F859" s="304">
        <f t="shared" si="1100"/>
        <v>100</v>
      </c>
      <c r="G859" s="304">
        <f>F859-D859</f>
        <v>0</v>
      </c>
      <c r="H859" s="303">
        <f t="shared" si="1101"/>
        <v>100</v>
      </c>
      <c r="I859" s="303">
        <f t="shared" si="1102"/>
        <v>0</v>
      </c>
      <c r="J859" s="294"/>
      <c r="K859" s="294"/>
      <c r="L859" s="294"/>
      <c r="M859" s="304"/>
      <c r="N859" s="294"/>
      <c r="O859" s="294"/>
      <c r="P859" s="303">
        <f t="shared" si="1103"/>
        <v>0</v>
      </c>
      <c r="Q859" s="294"/>
      <c r="R859" s="305"/>
      <c r="S859" s="304"/>
      <c r="T859" s="303">
        <f t="shared" si="1104"/>
        <v>0</v>
      </c>
      <c r="U859" s="304"/>
      <c r="V859" s="304"/>
      <c r="W859" s="303">
        <f t="shared" si="1105"/>
        <v>100</v>
      </c>
      <c r="X859" s="303"/>
      <c r="Y859" s="303"/>
      <c r="Z859" s="303">
        <v>100</v>
      </c>
      <c r="AA859" s="303"/>
      <c r="AB859" s="304"/>
      <c r="AC859" s="304"/>
      <c r="AD859" s="304">
        <v>0</v>
      </c>
      <c r="AE859" s="303">
        <f>E859-AD859</f>
        <v>100</v>
      </c>
      <c r="AF859" s="317"/>
      <c r="AG859" s="314">
        <f t="shared" si="1083"/>
        <v>0</v>
      </c>
      <c r="AH859" s="696">
        <f t="shared" si="1084"/>
        <v>0</v>
      </c>
      <c r="AI859" s="314">
        <f t="shared" si="1085"/>
        <v>0</v>
      </c>
      <c r="AJ859" s="314">
        <f t="shared" si="1086"/>
        <v>0</v>
      </c>
      <c r="AK859" s="314">
        <f t="shared" si="1087"/>
        <v>0</v>
      </c>
      <c r="AL859" s="314">
        <f t="shared" si="1088"/>
        <v>0</v>
      </c>
      <c r="AM859" s="314">
        <f t="shared" si="1089"/>
        <v>0</v>
      </c>
      <c r="AN859" s="314">
        <f t="shared" si="1090"/>
        <v>0</v>
      </c>
      <c r="AO859" s="314">
        <f t="shared" si="1091"/>
        <v>0</v>
      </c>
      <c r="AP859" s="314">
        <f t="shared" si="1092"/>
        <v>0</v>
      </c>
    </row>
    <row r="860" spans="1:42" outlineLevel="1">
      <c r="A860" s="593"/>
      <c r="B860" s="316" t="s">
        <v>2232</v>
      </c>
      <c r="C860" s="302"/>
      <c r="D860" s="304"/>
      <c r="E860" s="304">
        <f t="shared" si="1099"/>
        <v>200</v>
      </c>
      <c r="F860" s="304">
        <f t="shared" si="1100"/>
        <v>200</v>
      </c>
      <c r="G860" s="304"/>
      <c r="H860" s="303">
        <f t="shared" si="1101"/>
        <v>200</v>
      </c>
      <c r="I860" s="303">
        <f t="shared" si="1102"/>
        <v>0</v>
      </c>
      <c r="J860" s="294"/>
      <c r="K860" s="294"/>
      <c r="L860" s="294"/>
      <c r="M860" s="304"/>
      <c r="N860" s="294"/>
      <c r="O860" s="294"/>
      <c r="P860" s="303">
        <f t="shared" si="1103"/>
        <v>0</v>
      </c>
      <c r="Q860" s="294"/>
      <c r="R860" s="305"/>
      <c r="S860" s="304"/>
      <c r="T860" s="303">
        <f t="shared" si="1104"/>
        <v>0</v>
      </c>
      <c r="U860" s="304"/>
      <c r="V860" s="304"/>
      <c r="W860" s="303">
        <f t="shared" si="1105"/>
        <v>200</v>
      </c>
      <c r="X860" s="303"/>
      <c r="Y860" s="303"/>
      <c r="Z860" s="303">
        <v>200</v>
      </c>
      <c r="AA860" s="303"/>
      <c r="AB860" s="304"/>
      <c r="AC860" s="304"/>
      <c r="AD860" s="304"/>
      <c r="AE860" s="303"/>
      <c r="AF860" s="317"/>
      <c r="AG860" s="314">
        <f t="shared" si="1083"/>
        <v>0</v>
      </c>
      <c r="AH860" s="696">
        <f t="shared" si="1084"/>
        <v>0</v>
      </c>
      <c r="AI860" s="314">
        <f t="shared" si="1085"/>
        <v>0</v>
      </c>
      <c r="AJ860" s="314">
        <f t="shared" si="1086"/>
        <v>0</v>
      </c>
      <c r="AK860" s="314">
        <f t="shared" si="1087"/>
        <v>0</v>
      </c>
      <c r="AL860" s="314">
        <f t="shared" si="1088"/>
        <v>0</v>
      </c>
      <c r="AM860" s="314">
        <f t="shared" si="1089"/>
        <v>0</v>
      </c>
      <c r="AN860" s="314">
        <f t="shared" si="1090"/>
        <v>0</v>
      </c>
      <c r="AO860" s="314">
        <f t="shared" si="1091"/>
        <v>0</v>
      </c>
      <c r="AP860" s="314">
        <f t="shared" si="1092"/>
        <v>0</v>
      </c>
    </row>
    <row r="861" spans="1:42" ht="27.6" outlineLevel="1">
      <c r="A861" s="593"/>
      <c r="B861" s="316" t="s">
        <v>2233</v>
      </c>
      <c r="C861" s="302"/>
      <c r="D861" s="304"/>
      <c r="E861" s="304">
        <f t="shared" si="1099"/>
        <v>350</v>
      </c>
      <c r="F861" s="304">
        <f t="shared" si="1100"/>
        <v>350</v>
      </c>
      <c r="G861" s="304"/>
      <c r="H861" s="303">
        <f t="shared" si="1101"/>
        <v>350</v>
      </c>
      <c r="I861" s="303">
        <f t="shared" si="1102"/>
        <v>0</v>
      </c>
      <c r="J861" s="294"/>
      <c r="K861" s="294"/>
      <c r="L861" s="294"/>
      <c r="M861" s="304"/>
      <c r="N861" s="294"/>
      <c r="O861" s="294"/>
      <c r="P861" s="303">
        <f t="shared" si="1103"/>
        <v>0</v>
      </c>
      <c r="Q861" s="294"/>
      <c r="R861" s="305"/>
      <c r="S861" s="304"/>
      <c r="T861" s="303">
        <f t="shared" si="1104"/>
        <v>0</v>
      </c>
      <c r="U861" s="304"/>
      <c r="V861" s="304"/>
      <c r="W861" s="303">
        <f t="shared" si="1105"/>
        <v>350</v>
      </c>
      <c r="X861" s="303"/>
      <c r="Y861" s="303"/>
      <c r="Z861" s="303">
        <v>50</v>
      </c>
      <c r="AA861" s="303">
        <v>300</v>
      </c>
      <c r="AB861" s="304"/>
      <c r="AC861" s="304"/>
      <c r="AD861" s="304"/>
      <c r="AE861" s="303"/>
      <c r="AF861" s="317" t="s">
        <v>2234</v>
      </c>
      <c r="AG861" s="314">
        <f t="shared" si="1083"/>
        <v>0</v>
      </c>
      <c r="AH861" s="696">
        <f t="shared" si="1084"/>
        <v>0</v>
      </c>
      <c r="AI861" s="314">
        <f t="shared" si="1085"/>
        <v>0</v>
      </c>
      <c r="AJ861" s="314">
        <f t="shared" si="1086"/>
        <v>0</v>
      </c>
      <c r="AK861" s="314">
        <f t="shared" si="1087"/>
        <v>0</v>
      </c>
      <c r="AL861" s="314">
        <f t="shared" si="1088"/>
        <v>0</v>
      </c>
      <c r="AM861" s="314">
        <f t="shared" si="1089"/>
        <v>0</v>
      </c>
      <c r="AN861" s="314">
        <f t="shared" si="1090"/>
        <v>0</v>
      </c>
      <c r="AO861" s="314">
        <f t="shared" si="1091"/>
        <v>0</v>
      </c>
      <c r="AP861" s="314">
        <f t="shared" si="1092"/>
        <v>0</v>
      </c>
    </row>
    <row r="862" spans="1:42" ht="27.6" outlineLevel="1">
      <c r="A862" s="593"/>
      <c r="B862" s="316" t="s">
        <v>2235</v>
      </c>
      <c r="C862" s="302"/>
      <c r="D862" s="304"/>
      <c r="E862" s="304">
        <f t="shared" si="1099"/>
        <v>95</v>
      </c>
      <c r="F862" s="304">
        <f t="shared" si="1100"/>
        <v>95</v>
      </c>
      <c r="G862" s="304"/>
      <c r="H862" s="303">
        <f t="shared" si="1101"/>
        <v>95</v>
      </c>
      <c r="I862" s="303">
        <f t="shared" si="1102"/>
        <v>0</v>
      </c>
      <c r="J862" s="294"/>
      <c r="K862" s="294"/>
      <c r="L862" s="294"/>
      <c r="M862" s="304"/>
      <c r="N862" s="294"/>
      <c r="O862" s="294"/>
      <c r="P862" s="303">
        <f t="shared" si="1103"/>
        <v>0</v>
      </c>
      <c r="Q862" s="294"/>
      <c r="R862" s="305"/>
      <c r="S862" s="304"/>
      <c r="T862" s="303">
        <f t="shared" si="1104"/>
        <v>0</v>
      </c>
      <c r="U862" s="304"/>
      <c r="V862" s="304"/>
      <c r="W862" s="303">
        <f t="shared" si="1105"/>
        <v>95</v>
      </c>
      <c r="X862" s="303"/>
      <c r="Y862" s="303"/>
      <c r="Z862" s="303"/>
      <c r="AA862" s="303">
        <v>95</v>
      </c>
      <c r="AB862" s="304"/>
      <c r="AC862" s="304"/>
      <c r="AD862" s="304"/>
      <c r="AE862" s="303"/>
      <c r="AF862" s="317" t="s">
        <v>2346</v>
      </c>
      <c r="AG862" s="314">
        <f t="shared" si="1083"/>
        <v>0</v>
      </c>
      <c r="AH862" s="696">
        <f t="shared" si="1084"/>
        <v>0</v>
      </c>
      <c r="AI862" s="314">
        <f t="shared" si="1085"/>
        <v>0</v>
      </c>
      <c r="AJ862" s="314">
        <f t="shared" si="1086"/>
        <v>0</v>
      </c>
      <c r="AK862" s="314">
        <f t="shared" si="1087"/>
        <v>0</v>
      </c>
      <c r="AL862" s="314">
        <f t="shared" si="1088"/>
        <v>0</v>
      </c>
      <c r="AM862" s="314">
        <f t="shared" si="1089"/>
        <v>0</v>
      </c>
      <c r="AN862" s="314">
        <f t="shared" si="1090"/>
        <v>0</v>
      </c>
      <c r="AO862" s="314">
        <f t="shared" si="1091"/>
        <v>0</v>
      </c>
      <c r="AP862" s="314">
        <f t="shared" si="1092"/>
        <v>0</v>
      </c>
    </row>
    <row r="863" spans="1:42" ht="41.4" outlineLevel="1">
      <c r="A863" s="593"/>
      <c r="B863" s="316" t="s">
        <v>2236</v>
      </c>
      <c r="C863" s="302"/>
      <c r="D863" s="304"/>
      <c r="E863" s="304">
        <f t="shared" si="1099"/>
        <v>70</v>
      </c>
      <c r="F863" s="304">
        <f t="shared" si="1100"/>
        <v>70</v>
      </c>
      <c r="G863" s="304"/>
      <c r="H863" s="303">
        <f t="shared" si="1101"/>
        <v>70</v>
      </c>
      <c r="I863" s="303">
        <f t="shared" si="1102"/>
        <v>0</v>
      </c>
      <c r="J863" s="294"/>
      <c r="K863" s="294"/>
      <c r="L863" s="294"/>
      <c r="M863" s="304"/>
      <c r="N863" s="294"/>
      <c r="O863" s="294"/>
      <c r="P863" s="303">
        <f t="shared" si="1103"/>
        <v>0</v>
      </c>
      <c r="Q863" s="294"/>
      <c r="R863" s="305"/>
      <c r="S863" s="304"/>
      <c r="T863" s="303">
        <f t="shared" si="1104"/>
        <v>0</v>
      </c>
      <c r="U863" s="304"/>
      <c r="V863" s="304"/>
      <c r="W863" s="303">
        <f t="shared" si="1105"/>
        <v>70</v>
      </c>
      <c r="X863" s="303"/>
      <c r="Y863" s="303"/>
      <c r="Z863" s="303">
        <v>60</v>
      </c>
      <c r="AA863" s="303">
        <v>10</v>
      </c>
      <c r="AB863" s="304"/>
      <c r="AC863" s="304"/>
      <c r="AD863" s="304"/>
      <c r="AE863" s="303"/>
      <c r="AF863" s="317"/>
      <c r="AG863" s="314">
        <f t="shared" si="1083"/>
        <v>0</v>
      </c>
      <c r="AH863" s="696">
        <f t="shared" si="1084"/>
        <v>0</v>
      </c>
      <c r="AI863" s="314">
        <f t="shared" si="1085"/>
        <v>0</v>
      </c>
      <c r="AJ863" s="314">
        <f t="shared" si="1086"/>
        <v>0</v>
      </c>
      <c r="AK863" s="314">
        <f t="shared" si="1087"/>
        <v>0</v>
      </c>
      <c r="AL863" s="314">
        <f t="shared" si="1088"/>
        <v>0</v>
      </c>
      <c r="AM863" s="314">
        <f t="shared" si="1089"/>
        <v>0</v>
      </c>
      <c r="AN863" s="314">
        <f t="shared" si="1090"/>
        <v>0</v>
      </c>
      <c r="AO863" s="314">
        <f t="shared" si="1091"/>
        <v>0</v>
      </c>
      <c r="AP863" s="314">
        <f t="shared" si="1092"/>
        <v>0</v>
      </c>
    </row>
    <row r="864" spans="1:42" ht="69" outlineLevel="1">
      <c r="A864" s="593" t="s">
        <v>23</v>
      </c>
      <c r="B864" s="316" t="s">
        <v>1817</v>
      </c>
      <c r="C864" s="302"/>
      <c r="D864" s="304">
        <v>1800</v>
      </c>
      <c r="E864" s="304">
        <f t="shared" si="1099"/>
        <v>3000</v>
      </c>
      <c r="F864" s="304">
        <f t="shared" si="1100"/>
        <v>3000</v>
      </c>
      <c r="G864" s="304">
        <f>F864-D864</f>
        <v>1200</v>
      </c>
      <c r="H864" s="303">
        <f t="shared" si="1101"/>
        <v>3000</v>
      </c>
      <c r="I864" s="303">
        <f t="shared" si="1102"/>
        <v>0</v>
      </c>
      <c r="J864" s="294"/>
      <c r="K864" s="294"/>
      <c r="L864" s="294"/>
      <c r="M864" s="304"/>
      <c r="N864" s="294"/>
      <c r="O864" s="294"/>
      <c r="P864" s="303">
        <f t="shared" si="1103"/>
        <v>0</v>
      </c>
      <c r="Q864" s="294"/>
      <c r="R864" s="305"/>
      <c r="S864" s="304"/>
      <c r="T864" s="303">
        <f t="shared" si="1104"/>
        <v>0</v>
      </c>
      <c r="U864" s="304"/>
      <c r="V864" s="304"/>
      <c r="W864" s="303">
        <f t="shared" si="1105"/>
        <v>3000</v>
      </c>
      <c r="X864" s="303"/>
      <c r="Y864" s="303"/>
      <c r="Z864" s="303">
        <v>1800</v>
      </c>
      <c r="AA864" s="303">
        <v>1200</v>
      </c>
      <c r="AB864" s="304"/>
      <c r="AC864" s="304"/>
      <c r="AD864" s="304">
        <v>300</v>
      </c>
      <c r="AE864" s="303">
        <f>E864-AD864</f>
        <v>2700</v>
      </c>
      <c r="AF864" s="1263" t="s">
        <v>2347</v>
      </c>
      <c r="AG864" s="314">
        <f t="shared" si="1083"/>
        <v>0</v>
      </c>
      <c r="AH864" s="696">
        <f t="shared" si="1084"/>
        <v>0</v>
      </c>
      <c r="AI864" s="314">
        <f t="shared" si="1085"/>
        <v>0</v>
      </c>
      <c r="AJ864" s="314">
        <f t="shared" si="1086"/>
        <v>0</v>
      </c>
      <c r="AK864" s="314">
        <f t="shared" si="1087"/>
        <v>0</v>
      </c>
      <c r="AL864" s="314">
        <f t="shared" si="1088"/>
        <v>0</v>
      </c>
      <c r="AM864" s="314">
        <f t="shared" si="1089"/>
        <v>0</v>
      </c>
      <c r="AN864" s="314">
        <f t="shared" si="1090"/>
        <v>0</v>
      </c>
      <c r="AO864" s="314">
        <f t="shared" si="1091"/>
        <v>0</v>
      </c>
      <c r="AP864" s="314">
        <f t="shared" si="1092"/>
        <v>0</v>
      </c>
    </row>
    <row r="865" spans="1:42" ht="27.6" hidden="1" outlineLevel="3">
      <c r="A865" s="593" t="s">
        <v>23</v>
      </c>
      <c r="B865" s="316" t="s">
        <v>1776</v>
      </c>
      <c r="C865" s="302"/>
      <c r="D865" s="304">
        <v>120</v>
      </c>
      <c r="E865" s="304">
        <f t="shared" si="1099"/>
        <v>0</v>
      </c>
      <c r="F865" s="304">
        <f t="shared" si="1100"/>
        <v>0</v>
      </c>
      <c r="G865" s="304">
        <f>F865-D865</f>
        <v>-120</v>
      </c>
      <c r="H865" s="303">
        <f t="shared" si="1101"/>
        <v>0</v>
      </c>
      <c r="I865" s="303">
        <f t="shared" si="1102"/>
        <v>0</v>
      </c>
      <c r="J865" s="294"/>
      <c r="K865" s="294"/>
      <c r="L865" s="294"/>
      <c r="M865" s="304"/>
      <c r="N865" s="294"/>
      <c r="O865" s="294"/>
      <c r="P865" s="303">
        <f t="shared" si="1103"/>
        <v>0</v>
      </c>
      <c r="Q865" s="294"/>
      <c r="R865" s="305"/>
      <c r="S865" s="304"/>
      <c r="T865" s="303">
        <f t="shared" si="1104"/>
        <v>0</v>
      </c>
      <c r="U865" s="304"/>
      <c r="V865" s="304"/>
      <c r="W865" s="303">
        <f t="shared" si="1105"/>
        <v>0</v>
      </c>
      <c r="X865" s="303"/>
      <c r="Y865" s="303"/>
      <c r="Z865" s="303"/>
      <c r="AA865" s="303"/>
      <c r="AB865" s="304"/>
      <c r="AC865" s="304"/>
      <c r="AD865" s="304">
        <v>0</v>
      </c>
      <c r="AE865" s="303">
        <f>E865-AD865</f>
        <v>0</v>
      </c>
      <c r="AF865" s="317"/>
      <c r="AG865" s="314">
        <f t="shared" si="1083"/>
        <v>0</v>
      </c>
      <c r="AH865" s="696">
        <f t="shared" si="1084"/>
        <v>0</v>
      </c>
      <c r="AI865" s="314">
        <f t="shared" si="1085"/>
        <v>0</v>
      </c>
      <c r="AJ865" s="314">
        <f t="shared" si="1086"/>
        <v>0</v>
      </c>
      <c r="AK865" s="314">
        <f t="shared" si="1087"/>
        <v>0</v>
      </c>
      <c r="AL865" s="314">
        <f t="shared" si="1088"/>
        <v>0</v>
      </c>
      <c r="AM865" s="314">
        <f t="shared" si="1089"/>
        <v>0</v>
      </c>
      <c r="AN865" s="314">
        <f t="shared" si="1090"/>
        <v>0</v>
      </c>
      <c r="AO865" s="314">
        <f t="shared" si="1091"/>
        <v>0</v>
      </c>
      <c r="AP865" s="314">
        <f t="shared" si="1092"/>
        <v>0</v>
      </c>
    </row>
    <row r="866" spans="1:42" ht="27.6" outlineLevel="1" collapsed="1">
      <c r="A866" s="593" t="s">
        <v>23</v>
      </c>
      <c r="B866" s="316" t="s">
        <v>2442</v>
      </c>
      <c r="C866" s="302"/>
      <c r="D866" s="304">
        <v>0</v>
      </c>
      <c r="E866" s="304">
        <f t="shared" si="1099"/>
        <v>25</v>
      </c>
      <c r="F866" s="304">
        <f t="shared" si="1100"/>
        <v>25</v>
      </c>
      <c r="G866" s="304">
        <f>F866-D866</f>
        <v>25</v>
      </c>
      <c r="H866" s="303">
        <f t="shared" si="1101"/>
        <v>25</v>
      </c>
      <c r="I866" s="303">
        <f t="shared" si="1102"/>
        <v>0</v>
      </c>
      <c r="J866" s="294"/>
      <c r="K866" s="294"/>
      <c r="L866" s="294"/>
      <c r="M866" s="304"/>
      <c r="N866" s="294"/>
      <c r="O866" s="294"/>
      <c r="P866" s="303">
        <f t="shared" si="1103"/>
        <v>0</v>
      </c>
      <c r="Q866" s="294"/>
      <c r="R866" s="305"/>
      <c r="S866" s="304"/>
      <c r="T866" s="303">
        <f t="shared" si="1104"/>
        <v>0</v>
      </c>
      <c r="U866" s="304"/>
      <c r="V866" s="304"/>
      <c r="W866" s="303">
        <f t="shared" si="1105"/>
        <v>25</v>
      </c>
      <c r="X866" s="303"/>
      <c r="Y866" s="303"/>
      <c r="Z866" s="303"/>
      <c r="AA866" s="303">
        <v>25</v>
      </c>
      <c r="AB866" s="304"/>
      <c r="AC866" s="304"/>
      <c r="AD866" s="304">
        <v>0</v>
      </c>
      <c r="AE866" s="303">
        <f>E866-AD866</f>
        <v>25</v>
      </c>
      <c r="AF866" s="1263"/>
      <c r="AG866" s="314">
        <f t="shared" si="1083"/>
        <v>0</v>
      </c>
      <c r="AH866" s="696">
        <f t="shared" si="1084"/>
        <v>0</v>
      </c>
      <c r="AI866" s="314">
        <f t="shared" si="1085"/>
        <v>0</v>
      </c>
      <c r="AJ866" s="314">
        <f t="shared" si="1086"/>
        <v>0</v>
      </c>
      <c r="AK866" s="314">
        <f t="shared" si="1087"/>
        <v>0</v>
      </c>
      <c r="AL866" s="314">
        <f t="shared" si="1088"/>
        <v>0</v>
      </c>
      <c r="AM866" s="314">
        <f t="shared" si="1089"/>
        <v>0</v>
      </c>
      <c r="AN866" s="314">
        <f t="shared" si="1090"/>
        <v>0</v>
      </c>
      <c r="AO866" s="314">
        <f t="shared" si="1091"/>
        <v>0</v>
      </c>
      <c r="AP866" s="314">
        <f t="shared" si="1092"/>
        <v>0</v>
      </c>
    </row>
    <row r="867" spans="1:42" s="314" customFormat="1">
      <c r="A867" s="592" t="s">
        <v>437</v>
      </c>
      <c r="B867" s="320" t="s">
        <v>1136</v>
      </c>
      <c r="C867" s="298"/>
      <c r="D867" s="299">
        <f>D868</f>
        <v>36251</v>
      </c>
      <c r="E867" s="299">
        <f>E868</f>
        <v>37084</v>
      </c>
      <c r="F867" s="299">
        <f>F868</f>
        <v>37084</v>
      </c>
      <c r="G867" s="299">
        <f>G868</f>
        <v>833</v>
      </c>
      <c r="H867" s="299">
        <f t="shared" ref="H867:AE867" si="1106">H868</f>
        <v>37084</v>
      </c>
      <c r="I867" s="299">
        <f t="shared" si="1106"/>
        <v>0</v>
      </c>
      <c r="J867" s="299">
        <f t="shared" si="1106"/>
        <v>0</v>
      </c>
      <c r="K867" s="299">
        <f t="shared" si="1106"/>
        <v>0</v>
      </c>
      <c r="L867" s="299">
        <f t="shared" si="1106"/>
        <v>0</v>
      </c>
      <c r="M867" s="299">
        <f t="shared" si="1106"/>
        <v>0</v>
      </c>
      <c r="N867" s="299">
        <f t="shared" si="1106"/>
        <v>0</v>
      </c>
      <c r="O867" s="299">
        <f t="shared" si="1106"/>
        <v>0</v>
      </c>
      <c r="P867" s="299">
        <f t="shared" si="1106"/>
        <v>0</v>
      </c>
      <c r="Q867" s="299">
        <f t="shared" si="1106"/>
        <v>0</v>
      </c>
      <c r="R867" s="299">
        <f t="shared" si="1106"/>
        <v>0</v>
      </c>
      <c r="S867" s="299">
        <f t="shared" si="1106"/>
        <v>0</v>
      </c>
      <c r="T867" s="299">
        <f t="shared" si="1106"/>
        <v>0</v>
      </c>
      <c r="U867" s="299">
        <f t="shared" si="1106"/>
        <v>0</v>
      </c>
      <c r="V867" s="299">
        <f t="shared" si="1106"/>
        <v>0</v>
      </c>
      <c r="W867" s="299">
        <f t="shared" si="1106"/>
        <v>37084</v>
      </c>
      <c r="X867" s="299">
        <f t="shared" si="1106"/>
        <v>0</v>
      </c>
      <c r="Y867" s="299">
        <f t="shared" si="1106"/>
        <v>0</v>
      </c>
      <c r="Z867" s="299">
        <f t="shared" si="1106"/>
        <v>32246</v>
      </c>
      <c r="AA867" s="299">
        <f t="shared" si="1106"/>
        <v>4838</v>
      </c>
      <c r="AB867" s="299">
        <f t="shared" si="1106"/>
        <v>0</v>
      </c>
      <c r="AC867" s="299">
        <f t="shared" si="1106"/>
        <v>0</v>
      </c>
      <c r="AD867" s="299">
        <f t="shared" si="1106"/>
        <v>812</v>
      </c>
      <c r="AE867" s="299">
        <f t="shared" si="1106"/>
        <v>36272</v>
      </c>
      <c r="AF867" s="321"/>
      <c r="AG867" s="314">
        <f t="shared" si="1083"/>
        <v>0</v>
      </c>
      <c r="AH867" s="696">
        <f t="shared" si="1084"/>
        <v>0</v>
      </c>
      <c r="AI867" s="314">
        <f t="shared" si="1085"/>
        <v>0</v>
      </c>
      <c r="AJ867" s="314">
        <f t="shared" si="1086"/>
        <v>0</v>
      </c>
      <c r="AK867" s="314">
        <f t="shared" si="1087"/>
        <v>0</v>
      </c>
      <c r="AL867" s="314">
        <f t="shared" si="1088"/>
        <v>0</v>
      </c>
      <c r="AM867" s="314">
        <f t="shared" si="1089"/>
        <v>0</v>
      </c>
      <c r="AN867" s="314">
        <f t="shared" si="1090"/>
        <v>0</v>
      </c>
      <c r="AO867" s="314">
        <f t="shared" si="1091"/>
        <v>0</v>
      </c>
      <c r="AP867" s="314">
        <f t="shared" si="1092"/>
        <v>0</v>
      </c>
    </row>
    <row r="868" spans="1:42" s="314" customFormat="1">
      <c r="A868" s="592" t="s">
        <v>1660</v>
      </c>
      <c r="B868" s="320" t="s">
        <v>1137</v>
      </c>
      <c r="C868" s="298" t="s">
        <v>762</v>
      </c>
      <c r="D868" s="299">
        <f>D869+D878</f>
        <v>36251</v>
      </c>
      <c r="E868" s="299">
        <f>E869+E878</f>
        <v>37084</v>
      </c>
      <c r="F868" s="299">
        <f>F869+F878</f>
        <v>37084</v>
      </c>
      <c r="G868" s="299">
        <f>F868-D868</f>
        <v>833</v>
      </c>
      <c r="H868" s="299">
        <f t="shared" ref="H868:AE868" si="1107">H869+H878</f>
        <v>37084</v>
      </c>
      <c r="I868" s="299">
        <f t="shared" si="1107"/>
        <v>0</v>
      </c>
      <c r="J868" s="299">
        <f t="shared" si="1107"/>
        <v>0</v>
      </c>
      <c r="K868" s="299">
        <f t="shared" si="1107"/>
        <v>0</v>
      </c>
      <c r="L868" s="299">
        <f t="shared" si="1107"/>
        <v>0</v>
      </c>
      <c r="M868" s="299">
        <f t="shared" si="1107"/>
        <v>0</v>
      </c>
      <c r="N868" s="299">
        <f t="shared" si="1107"/>
        <v>0</v>
      </c>
      <c r="O868" s="299">
        <f t="shared" si="1107"/>
        <v>0</v>
      </c>
      <c r="P868" s="299">
        <f t="shared" si="1107"/>
        <v>0</v>
      </c>
      <c r="Q868" s="299">
        <f t="shared" si="1107"/>
        <v>0</v>
      </c>
      <c r="R868" s="299">
        <f t="shared" si="1107"/>
        <v>0</v>
      </c>
      <c r="S868" s="299">
        <f t="shared" si="1107"/>
        <v>0</v>
      </c>
      <c r="T868" s="299">
        <f t="shared" si="1107"/>
        <v>0</v>
      </c>
      <c r="U868" s="299">
        <f t="shared" si="1107"/>
        <v>0</v>
      </c>
      <c r="V868" s="299">
        <f t="shared" si="1107"/>
        <v>0</v>
      </c>
      <c r="W868" s="299">
        <f t="shared" si="1107"/>
        <v>37084</v>
      </c>
      <c r="X868" s="299">
        <f t="shared" si="1107"/>
        <v>0</v>
      </c>
      <c r="Y868" s="299">
        <f t="shared" si="1107"/>
        <v>0</v>
      </c>
      <c r="Z868" s="299">
        <f t="shared" si="1107"/>
        <v>32246</v>
      </c>
      <c r="AA868" s="299">
        <f t="shared" si="1107"/>
        <v>4838</v>
      </c>
      <c r="AB868" s="299">
        <f t="shared" si="1107"/>
        <v>0</v>
      </c>
      <c r="AC868" s="299">
        <f t="shared" si="1107"/>
        <v>0</v>
      </c>
      <c r="AD868" s="299">
        <f t="shared" si="1107"/>
        <v>812</v>
      </c>
      <c r="AE868" s="299">
        <f t="shared" si="1107"/>
        <v>36272</v>
      </c>
      <c r="AF868" s="321"/>
      <c r="AG868" s="314">
        <f t="shared" si="1083"/>
        <v>0</v>
      </c>
      <c r="AH868" s="696">
        <f t="shared" si="1084"/>
        <v>0</v>
      </c>
      <c r="AI868" s="314">
        <f t="shared" si="1085"/>
        <v>0</v>
      </c>
      <c r="AJ868" s="314">
        <f t="shared" si="1086"/>
        <v>0</v>
      </c>
      <c r="AK868" s="314">
        <f t="shared" si="1087"/>
        <v>0</v>
      </c>
      <c r="AL868" s="314">
        <f t="shared" si="1088"/>
        <v>0</v>
      </c>
      <c r="AM868" s="314">
        <f t="shared" si="1089"/>
        <v>0</v>
      </c>
      <c r="AN868" s="314">
        <f t="shared" si="1090"/>
        <v>0</v>
      </c>
      <c r="AO868" s="314">
        <f t="shared" si="1091"/>
        <v>0</v>
      </c>
      <c r="AP868" s="314">
        <f t="shared" si="1092"/>
        <v>0</v>
      </c>
    </row>
    <row r="869" spans="1:42" s="314" customFormat="1">
      <c r="A869" s="592" t="s">
        <v>45</v>
      </c>
      <c r="B869" s="320" t="s">
        <v>1138</v>
      </c>
      <c r="C869" s="298"/>
      <c r="D869" s="299">
        <f>D870+D876</f>
        <v>27718</v>
      </c>
      <c r="E869" s="299">
        <f>E870+E876</f>
        <v>27219</v>
      </c>
      <c r="F869" s="299">
        <f>F870+F876</f>
        <v>27219</v>
      </c>
      <c r="G869" s="299">
        <f>F869-D869</f>
        <v>-499</v>
      </c>
      <c r="H869" s="299">
        <f t="shared" ref="H869:W869" si="1108">H870+H876</f>
        <v>27219</v>
      </c>
      <c r="I869" s="299">
        <f t="shared" si="1108"/>
        <v>0</v>
      </c>
      <c r="J869" s="299">
        <f t="shared" si="1108"/>
        <v>0</v>
      </c>
      <c r="K869" s="299">
        <f t="shared" si="1108"/>
        <v>0</v>
      </c>
      <c r="L869" s="299">
        <f t="shared" si="1108"/>
        <v>0</v>
      </c>
      <c r="M869" s="299">
        <f t="shared" si="1108"/>
        <v>0</v>
      </c>
      <c r="N869" s="299">
        <f t="shared" si="1108"/>
        <v>0</v>
      </c>
      <c r="O869" s="299">
        <f t="shared" si="1108"/>
        <v>0</v>
      </c>
      <c r="P869" s="299">
        <f t="shared" si="1108"/>
        <v>0</v>
      </c>
      <c r="Q869" s="299">
        <f t="shared" si="1108"/>
        <v>0</v>
      </c>
      <c r="R869" s="299">
        <f t="shared" si="1108"/>
        <v>0</v>
      </c>
      <c r="S869" s="299">
        <f t="shared" si="1108"/>
        <v>0</v>
      </c>
      <c r="T869" s="299">
        <f t="shared" si="1108"/>
        <v>0</v>
      </c>
      <c r="U869" s="299">
        <f t="shared" si="1108"/>
        <v>0</v>
      </c>
      <c r="V869" s="299">
        <f t="shared" si="1108"/>
        <v>0</v>
      </c>
      <c r="W869" s="299">
        <f t="shared" si="1108"/>
        <v>27219</v>
      </c>
      <c r="X869" s="299"/>
      <c r="Y869" s="299"/>
      <c r="Z869" s="299">
        <f>Z870+Z876</f>
        <v>26211</v>
      </c>
      <c r="AA869" s="299">
        <f t="shared" ref="AA869:AE869" si="1109">AA870+AA876</f>
        <v>1008</v>
      </c>
      <c r="AB869" s="299">
        <f t="shared" si="1109"/>
        <v>0</v>
      </c>
      <c r="AC869" s="299">
        <f t="shared" si="1109"/>
        <v>0</v>
      </c>
      <c r="AD869" s="299">
        <f t="shared" si="1109"/>
        <v>291</v>
      </c>
      <c r="AE869" s="299">
        <f t="shared" si="1109"/>
        <v>26928</v>
      </c>
      <c r="AF869" s="321"/>
      <c r="AG869" s="314">
        <f t="shared" si="1083"/>
        <v>0</v>
      </c>
      <c r="AH869" s="696">
        <f t="shared" si="1084"/>
        <v>0</v>
      </c>
      <c r="AI869" s="314">
        <f t="shared" si="1085"/>
        <v>0</v>
      </c>
      <c r="AJ869" s="314">
        <f t="shared" si="1086"/>
        <v>0</v>
      </c>
      <c r="AK869" s="314">
        <f t="shared" si="1087"/>
        <v>0</v>
      </c>
      <c r="AL869" s="314">
        <f t="shared" si="1088"/>
        <v>0</v>
      </c>
      <c r="AM869" s="314">
        <f t="shared" si="1089"/>
        <v>0</v>
      </c>
      <c r="AN869" s="314">
        <f t="shared" si="1090"/>
        <v>0</v>
      </c>
      <c r="AO869" s="314">
        <f t="shared" si="1091"/>
        <v>0</v>
      </c>
      <c r="AP869" s="314">
        <f t="shared" si="1092"/>
        <v>0</v>
      </c>
    </row>
    <row r="870" spans="1:42">
      <c r="A870" s="593" t="s">
        <v>1108</v>
      </c>
      <c r="B870" s="316" t="s">
        <v>1139</v>
      </c>
      <c r="C870" s="302"/>
      <c r="D870" s="304">
        <f t="shared" ref="D870" si="1110">D871+D872+D873+D875</f>
        <v>24826</v>
      </c>
      <c r="E870" s="304">
        <f>E871+E872+E873+E875</f>
        <v>25057</v>
      </c>
      <c r="F870" s="304">
        <f>F871+F872+F873+F875</f>
        <v>25057</v>
      </c>
      <c r="G870" s="304">
        <f>G871+G872+G873+G875</f>
        <v>231</v>
      </c>
      <c r="H870" s="304">
        <f t="shared" ref="H870:AB870" si="1111">H871+H872+H873+H875</f>
        <v>25057</v>
      </c>
      <c r="I870" s="304">
        <f t="shared" si="1111"/>
        <v>0</v>
      </c>
      <c r="J870" s="304">
        <f t="shared" si="1111"/>
        <v>0</v>
      </c>
      <c r="K870" s="304">
        <f t="shared" si="1111"/>
        <v>0</v>
      </c>
      <c r="L870" s="304">
        <f t="shared" si="1111"/>
        <v>0</v>
      </c>
      <c r="M870" s="304">
        <f t="shared" si="1111"/>
        <v>0</v>
      </c>
      <c r="N870" s="304">
        <f t="shared" si="1111"/>
        <v>0</v>
      </c>
      <c r="O870" s="304">
        <f t="shared" si="1111"/>
        <v>0</v>
      </c>
      <c r="P870" s="304">
        <f t="shared" si="1111"/>
        <v>0</v>
      </c>
      <c r="Q870" s="304">
        <f t="shared" si="1111"/>
        <v>0</v>
      </c>
      <c r="R870" s="304">
        <f t="shared" si="1111"/>
        <v>0</v>
      </c>
      <c r="S870" s="304">
        <f t="shared" si="1111"/>
        <v>0</v>
      </c>
      <c r="T870" s="304">
        <f t="shared" si="1111"/>
        <v>0</v>
      </c>
      <c r="U870" s="304">
        <f t="shared" si="1111"/>
        <v>0</v>
      </c>
      <c r="V870" s="304">
        <f t="shared" si="1111"/>
        <v>0</v>
      </c>
      <c r="W870" s="304">
        <f t="shared" si="1111"/>
        <v>25057</v>
      </c>
      <c r="X870" s="304">
        <f t="shared" si="1111"/>
        <v>0</v>
      </c>
      <c r="Y870" s="304">
        <f t="shared" si="1111"/>
        <v>0</v>
      </c>
      <c r="Z870" s="304">
        <f t="shared" si="1111"/>
        <v>24249</v>
      </c>
      <c r="AA870" s="304">
        <f t="shared" si="1111"/>
        <v>808</v>
      </c>
      <c r="AB870" s="304">
        <f t="shared" si="1111"/>
        <v>0</v>
      </c>
      <c r="AC870" s="304"/>
      <c r="AD870" s="304">
        <v>291</v>
      </c>
      <c r="AE870" s="303">
        <f>E870-AD870</f>
        <v>24766</v>
      </c>
      <c r="AF870" s="317"/>
      <c r="AG870" s="314">
        <f t="shared" si="1083"/>
        <v>0</v>
      </c>
      <c r="AH870" s="696">
        <f t="shared" si="1084"/>
        <v>0</v>
      </c>
      <c r="AI870" s="314">
        <f t="shared" si="1085"/>
        <v>0</v>
      </c>
      <c r="AJ870" s="314">
        <f t="shared" si="1086"/>
        <v>0</v>
      </c>
      <c r="AK870" s="314">
        <f t="shared" si="1087"/>
        <v>0</v>
      </c>
      <c r="AL870" s="314">
        <f t="shared" si="1088"/>
        <v>0</v>
      </c>
      <c r="AM870" s="314">
        <f t="shared" si="1089"/>
        <v>0</v>
      </c>
      <c r="AN870" s="314">
        <f t="shared" si="1090"/>
        <v>0</v>
      </c>
      <c r="AO870" s="314">
        <f t="shared" si="1091"/>
        <v>0</v>
      </c>
      <c r="AP870" s="314">
        <f t="shared" si="1092"/>
        <v>0</v>
      </c>
    </row>
    <row r="871" spans="1:42" ht="27.6" outlineLevel="1">
      <c r="A871" s="593" t="s">
        <v>23</v>
      </c>
      <c r="B871" s="316" t="s">
        <v>1140</v>
      </c>
      <c r="C871" s="302"/>
      <c r="D871" s="304">
        <v>8668</v>
      </c>
      <c r="E871" s="304">
        <f t="shared" ref="E871:E877" si="1112">F871+AC871</f>
        <v>8091</v>
      </c>
      <c r="F871" s="304">
        <f t="shared" ref="F871:F877" si="1113">H871-AB871</f>
        <v>8091</v>
      </c>
      <c r="G871" s="304">
        <f t="shared" ref="G871:G877" si="1114">F871-D871</f>
        <v>-577</v>
      </c>
      <c r="H871" s="303">
        <f t="shared" ref="H871:H908" si="1115">I871+W871</f>
        <v>8091</v>
      </c>
      <c r="I871" s="303"/>
      <c r="J871" s="311"/>
      <c r="K871" s="311"/>
      <c r="L871" s="311"/>
      <c r="M871" s="303"/>
      <c r="N871" s="311"/>
      <c r="O871" s="311"/>
      <c r="P871" s="303"/>
      <c r="Q871" s="311"/>
      <c r="R871" s="312"/>
      <c r="S871" s="303"/>
      <c r="T871" s="303"/>
      <c r="U871" s="303"/>
      <c r="V871" s="303"/>
      <c r="W871" s="303">
        <f t="shared" ref="W871:W895" si="1116">Z871+AA871</f>
        <v>8091</v>
      </c>
      <c r="X871" s="303"/>
      <c r="Y871" s="303"/>
      <c r="Z871" s="303">
        <f>8668-577</f>
        <v>8091</v>
      </c>
      <c r="AA871" s="303"/>
      <c r="AB871" s="304"/>
      <c r="AC871" s="304"/>
      <c r="AD871" s="304"/>
      <c r="AE871" s="304"/>
      <c r="AF871" s="317"/>
      <c r="AG871" s="314">
        <f t="shared" si="1083"/>
        <v>0</v>
      </c>
      <c r="AH871" s="696">
        <f t="shared" si="1084"/>
        <v>0</v>
      </c>
      <c r="AI871" s="314">
        <f t="shared" si="1085"/>
        <v>0</v>
      </c>
      <c r="AJ871" s="314">
        <f t="shared" si="1086"/>
        <v>0</v>
      </c>
      <c r="AK871" s="314">
        <f t="shared" si="1087"/>
        <v>0</v>
      </c>
      <c r="AL871" s="314">
        <f t="shared" si="1088"/>
        <v>0</v>
      </c>
      <c r="AM871" s="314">
        <f t="shared" si="1089"/>
        <v>0</v>
      </c>
      <c r="AN871" s="314">
        <f t="shared" si="1090"/>
        <v>0</v>
      </c>
      <c r="AO871" s="314">
        <f t="shared" si="1091"/>
        <v>0</v>
      </c>
      <c r="AP871" s="314">
        <f t="shared" si="1092"/>
        <v>0</v>
      </c>
    </row>
    <row r="872" spans="1:42" ht="41.4" outlineLevel="1">
      <c r="A872" s="593" t="s">
        <v>23</v>
      </c>
      <c r="B872" s="316" t="s">
        <v>1141</v>
      </c>
      <c r="C872" s="302"/>
      <c r="D872" s="304">
        <v>8994</v>
      </c>
      <c r="E872" s="304">
        <f t="shared" si="1112"/>
        <v>9444</v>
      </c>
      <c r="F872" s="304">
        <f t="shared" si="1113"/>
        <v>9444</v>
      </c>
      <c r="G872" s="304">
        <f t="shared" si="1114"/>
        <v>450</v>
      </c>
      <c r="H872" s="303">
        <f t="shared" si="1115"/>
        <v>9444</v>
      </c>
      <c r="I872" s="303"/>
      <c r="J872" s="311"/>
      <c r="K872" s="311"/>
      <c r="L872" s="311"/>
      <c r="M872" s="303"/>
      <c r="N872" s="311"/>
      <c r="O872" s="311"/>
      <c r="P872" s="303"/>
      <c r="Q872" s="311"/>
      <c r="R872" s="312"/>
      <c r="S872" s="303"/>
      <c r="T872" s="303"/>
      <c r="U872" s="303"/>
      <c r="V872" s="303"/>
      <c r="W872" s="303">
        <f t="shared" si="1116"/>
        <v>9444</v>
      </c>
      <c r="X872" s="303"/>
      <c r="Y872" s="303"/>
      <c r="Z872" s="303">
        <v>8994</v>
      </c>
      <c r="AA872" s="303">
        <v>450</v>
      </c>
      <c r="AB872" s="304"/>
      <c r="AC872" s="304"/>
      <c r="AD872" s="304"/>
      <c r="AE872" s="304"/>
      <c r="AF872" s="317"/>
      <c r="AG872" s="314">
        <f t="shared" si="1083"/>
        <v>0</v>
      </c>
      <c r="AH872" s="696">
        <f t="shared" si="1084"/>
        <v>0</v>
      </c>
      <c r="AI872" s="314">
        <f t="shared" si="1085"/>
        <v>0</v>
      </c>
      <c r="AJ872" s="314">
        <f t="shared" si="1086"/>
        <v>0</v>
      </c>
      <c r="AK872" s="314">
        <f t="shared" si="1087"/>
        <v>0</v>
      </c>
      <c r="AL872" s="314">
        <f t="shared" si="1088"/>
        <v>0</v>
      </c>
      <c r="AM872" s="314">
        <f t="shared" si="1089"/>
        <v>0</v>
      </c>
      <c r="AN872" s="314">
        <f t="shared" si="1090"/>
        <v>0</v>
      </c>
      <c r="AO872" s="314">
        <f t="shared" si="1091"/>
        <v>0</v>
      </c>
      <c r="AP872" s="314">
        <f t="shared" si="1092"/>
        <v>0</v>
      </c>
    </row>
    <row r="873" spans="1:42" outlineLevel="1">
      <c r="A873" s="593" t="s">
        <v>23</v>
      </c>
      <c r="B873" s="316" t="s">
        <v>1142</v>
      </c>
      <c r="C873" s="302"/>
      <c r="D873" s="304">
        <v>2320</v>
      </c>
      <c r="E873" s="304">
        <f t="shared" si="1112"/>
        <v>2436</v>
      </c>
      <c r="F873" s="304">
        <f t="shared" si="1113"/>
        <v>2436</v>
      </c>
      <c r="G873" s="304">
        <f t="shared" si="1114"/>
        <v>116</v>
      </c>
      <c r="H873" s="303">
        <f t="shared" si="1115"/>
        <v>2436</v>
      </c>
      <c r="I873" s="303"/>
      <c r="J873" s="311"/>
      <c r="K873" s="311"/>
      <c r="L873" s="311"/>
      <c r="M873" s="303"/>
      <c r="N873" s="311"/>
      <c r="O873" s="311"/>
      <c r="P873" s="303"/>
      <c r="Q873" s="311"/>
      <c r="R873" s="312"/>
      <c r="S873" s="303"/>
      <c r="T873" s="303"/>
      <c r="U873" s="303"/>
      <c r="V873" s="303"/>
      <c r="W873" s="303">
        <f t="shared" si="1116"/>
        <v>2436</v>
      </c>
      <c r="X873" s="303"/>
      <c r="Y873" s="303"/>
      <c r="Z873" s="303">
        <v>2320</v>
      </c>
      <c r="AA873" s="303">
        <v>116</v>
      </c>
      <c r="AB873" s="304"/>
      <c r="AC873" s="304"/>
      <c r="AD873" s="304"/>
      <c r="AE873" s="304"/>
      <c r="AF873" s="317"/>
      <c r="AG873" s="314">
        <f t="shared" si="1083"/>
        <v>0</v>
      </c>
      <c r="AH873" s="696">
        <f t="shared" si="1084"/>
        <v>0</v>
      </c>
      <c r="AI873" s="314">
        <f t="shared" si="1085"/>
        <v>0</v>
      </c>
      <c r="AJ873" s="314">
        <f t="shared" si="1086"/>
        <v>0</v>
      </c>
      <c r="AK873" s="314">
        <f t="shared" si="1087"/>
        <v>0</v>
      </c>
      <c r="AL873" s="314">
        <f t="shared" si="1088"/>
        <v>0</v>
      </c>
      <c r="AM873" s="314">
        <f t="shared" si="1089"/>
        <v>0</v>
      </c>
      <c r="AN873" s="314">
        <f t="shared" si="1090"/>
        <v>0</v>
      </c>
      <c r="AO873" s="314">
        <f t="shared" si="1091"/>
        <v>0</v>
      </c>
      <c r="AP873" s="314">
        <f t="shared" si="1092"/>
        <v>0</v>
      </c>
    </row>
    <row r="874" spans="1:42" s="322" customFormat="1" ht="27.6" outlineLevel="1">
      <c r="A874" s="872"/>
      <c r="B874" s="342" t="s">
        <v>1437</v>
      </c>
      <c r="C874" s="867"/>
      <c r="D874" s="336">
        <v>1000</v>
      </c>
      <c r="E874" s="336">
        <f t="shared" si="1112"/>
        <v>1000</v>
      </c>
      <c r="F874" s="336">
        <f t="shared" si="1113"/>
        <v>1000</v>
      </c>
      <c r="G874" s="336">
        <f t="shared" si="1114"/>
        <v>0</v>
      </c>
      <c r="H874" s="337">
        <f t="shared" si="1115"/>
        <v>1000</v>
      </c>
      <c r="I874" s="337"/>
      <c r="J874" s="873"/>
      <c r="K874" s="873"/>
      <c r="L874" s="873"/>
      <c r="M874" s="337"/>
      <c r="N874" s="873"/>
      <c r="O874" s="873"/>
      <c r="P874" s="337"/>
      <c r="Q874" s="873"/>
      <c r="R874" s="874"/>
      <c r="S874" s="337"/>
      <c r="T874" s="337"/>
      <c r="U874" s="337"/>
      <c r="V874" s="337"/>
      <c r="W874" s="337">
        <f t="shared" si="1116"/>
        <v>1000</v>
      </c>
      <c r="X874" s="337"/>
      <c r="Y874" s="337"/>
      <c r="Z874" s="337">
        <v>1000</v>
      </c>
      <c r="AA874" s="337"/>
      <c r="AB874" s="336"/>
      <c r="AC874" s="336"/>
      <c r="AD874" s="336"/>
      <c r="AE874" s="336"/>
      <c r="AF874" s="341"/>
      <c r="AG874" s="314">
        <f t="shared" si="1083"/>
        <v>0</v>
      </c>
      <c r="AH874" s="696">
        <f t="shared" si="1084"/>
        <v>0</v>
      </c>
      <c r="AI874" s="314">
        <f t="shared" si="1085"/>
        <v>0</v>
      </c>
      <c r="AJ874" s="314">
        <f t="shared" si="1086"/>
        <v>0</v>
      </c>
      <c r="AK874" s="314">
        <f t="shared" si="1087"/>
        <v>0</v>
      </c>
      <c r="AL874" s="314">
        <f t="shared" si="1088"/>
        <v>0</v>
      </c>
      <c r="AM874" s="314">
        <f t="shared" si="1089"/>
        <v>0</v>
      </c>
      <c r="AN874" s="314">
        <f t="shared" si="1090"/>
        <v>0</v>
      </c>
      <c r="AO874" s="314">
        <f t="shared" si="1091"/>
        <v>0</v>
      </c>
      <c r="AP874" s="314">
        <f t="shared" si="1092"/>
        <v>0</v>
      </c>
    </row>
    <row r="875" spans="1:42" outlineLevel="1">
      <c r="A875" s="593" t="s">
        <v>23</v>
      </c>
      <c r="B875" s="316" t="s">
        <v>1143</v>
      </c>
      <c r="C875" s="302"/>
      <c r="D875" s="304">
        <v>4844</v>
      </c>
      <c r="E875" s="304">
        <f t="shared" si="1112"/>
        <v>5086</v>
      </c>
      <c r="F875" s="304">
        <f t="shared" si="1113"/>
        <v>5086</v>
      </c>
      <c r="G875" s="304">
        <f t="shared" si="1114"/>
        <v>242</v>
      </c>
      <c r="H875" s="303">
        <f t="shared" si="1115"/>
        <v>5086</v>
      </c>
      <c r="I875" s="303"/>
      <c r="J875" s="311"/>
      <c r="K875" s="311"/>
      <c r="L875" s="311"/>
      <c r="M875" s="303"/>
      <c r="N875" s="311"/>
      <c r="O875" s="311"/>
      <c r="P875" s="303"/>
      <c r="Q875" s="311"/>
      <c r="R875" s="312"/>
      <c r="S875" s="303"/>
      <c r="T875" s="303"/>
      <c r="U875" s="303"/>
      <c r="V875" s="303"/>
      <c r="W875" s="303">
        <f t="shared" si="1116"/>
        <v>5086</v>
      </c>
      <c r="X875" s="303"/>
      <c r="Y875" s="303"/>
      <c r="Z875" s="303">
        <v>4844</v>
      </c>
      <c r="AA875" s="303">
        <v>242</v>
      </c>
      <c r="AB875" s="304"/>
      <c r="AC875" s="304"/>
      <c r="AD875" s="304"/>
      <c r="AE875" s="304"/>
      <c r="AF875" s="317"/>
      <c r="AG875" s="314">
        <f t="shared" si="1083"/>
        <v>0</v>
      </c>
      <c r="AH875" s="696">
        <f t="shared" si="1084"/>
        <v>0</v>
      </c>
      <c r="AI875" s="314">
        <f t="shared" si="1085"/>
        <v>0</v>
      </c>
      <c r="AJ875" s="314">
        <f t="shared" si="1086"/>
        <v>0</v>
      </c>
      <c r="AK875" s="314">
        <f t="shared" si="1087"/>
        <v>0</v>
      </c>
      <c r="AL875" s="314">
        <f t="shared" si="1088"/>
        <v>0</v>
      </c>
      <c r="AM875" s="314">
        <f t="shared" si="1089"/>
        <v>0</v>
      </c>
      <c r="AN875" s="314">
        <f t="shared" si="1090"/>
        <v>0</v>
      </c>
      <c r="AO875" s="314">
        <f t="shared" si="1091"/>
        <v>0</v>
      </c>
      <c r="AP875" s="314">
        <f t="shared" si="1092"/>
        <v>0</v>
      </c>
    </row>
    <row r="876" spans="1:42" ht="51.75" customHeight="1">
      <c r="A876" s="593" t="s">
        <v>1110</v>
      </c>
      <c r="B876" s="316" t="s">
        <v>1144</v>
      </c>
      <c r="C876" s="302"/>
      <c r="D876" s="304">
        <v>2892</v>
      </c>
      <c r="E876" s="304">
        <f t="shared" si="1112"/>
        <v>2162</v>
      </c>
      <c r="F876" s="304">
        <f t="shared" si="1113"/>
        <v>2162</v>
      </c>
      <c r="G876" s="304">
        <f t="shared" si="1114"/>
        <v>-730</v>
      </c>
      <c r="H876" s="303">
        <f t="shared" si="1115"/>
        <v>2162</v>
      </c>
      <c r="I876" s="303">
        <f>M876+P876</f>
        <v>0</v>
      </c>
      <c r="J876" s="311"/>
      <c r="K876" s="311"/>
      <c r="L876" s="311"/>
      <c r="M876" s="303"/>
      <c r="N876" s="311"/>
      <c r="O876" s="311"/>
      <c r="P876" s="303">
        <f t="shared" ref="P876:P877" si="1117">S876+T876</f>
        <v>0</v>
      </c>
      <c r="Q876" s="311"/>
      <c r="R876" s="312"/>
      <c r="S876" s="303"/>
      <c r="T876" s="303">
        <f t="shared" ref="T876:T877" si="1118">U876+V876</f>
        <v>0</v>
      </c>
      <c r="U876" s="303"/>
      <c r="V876" s="303"/>
      <c r="W876" s="303">
        <f t="shared" si="1116"/>
        <v>2162</v>
      </c>
      <c r="X876" s="303"/>
      <c r="Y876" s="303"/>
      <c r="Z876" s="303">
        <f>1892+70</f>
        <v>1962</v>
      </c>
      <c r="AA876" s="303">
        <v>200</v>
      </c>
      <c r="AB876" s="304"/>
      <c r="AC876" s="304"/>
      <c r="AD876" s="304">
        <v>0</v>
      </c>
      <c r="AE876" s="303">
        <f>E876-AD876</f>
        <v>2162</v>
      </c>
      <c r="AF876" s="1647" t="s">
        <v>2457</v>
      </c>
      <c r="AG876" s="314">
        <f t="shared" si="1083"/>
        <v>0</v>
      </c>
      <c r="AH876" s="696">
        <f t="shared" si="1084"/>
        <v>0</v>
      </c>
      <c r="AI876" s="314">
        <f t="shared" si="1085"/>
        <v>0</v>
      </c>
      <c r="AJ876" s="314">
        <f t="shared" si="1086"/>
        <v>0</v>
      </c>
      <c r="AK876" s="314">
        <f t="shared" si="1087"/>
        <v>0</v>
      </c>
      <c r="AL876" s="314">
        <f t="shared" si="1088"/>
        <v>0</v>
      </c>
      <c r="AM876" s="314">
        <f t="shared" si="1089"/>
        <v>0</v>
      </c>
      <c r="AN876" s="314">
        <f t="shared" si="1090"/>
        <v>0</v>
      </c>
      <c r="AO876" s="314">
        <f t="shared" si="1091"/>
        <v>0</v>
      </c>
      <c r="AP876" s="314">
        <f t="shared" si="1092"/>
        <v>0</v>
      </c>
    </row>
    <row r="877" spans="1:42" ht="69" hidden="1" outlineLevel="3">
      <c r="A877" s="593"/>
      <c r="B877" s="316" t="s">
        <v>1881</v>
      </c>
      <c r="C877" s="302"/>
      <c r="D877" s="304">
        <v>1000</v>
      </c>
      <c r="E877" s="304">
        <f t="shared" si="1112"/>
        <v>0</v>
      </c>
      <c r="F877" s="304">
        <f t="shared" si="1113"/>
        <v>0</v>
      </c>
      <c r="G877" s="304">
        <f t="shared" si="1114"/>
        <v>-1000</v>
      </c>
      <c r="H877" s="303">
        <f t="shared" si="1115"/>
        <v>0</v>
      </c>
      <c r="I877" s="303">
        <f>M877+P877</f>
        <v>0</v>
      </c>
      <c r="J877" s="311"/>
      <c r="K877" s="311"/>
      <c r="L877" s="311"/>
      <c r="M877" s="303"/>
      <c r="N877" s="311"/>
      <c r="O877" s="311"/>
      <c r="P877" s="303">
        <f t="shared" si="1117"/>
        <v>0</v>
      </c>
      <c r="Q877" s="311"/>
      <c r="R877" s="312"/>
      <c r="S877" s="303"/>
      <c r="T877" s="303">
        <f t="shared" si="1118"/>
        <v>0</v>
      </c>
      <c r="U877" s="303"/>
      <c r="V877" s="303"/>
      <c r="W877" s="303">
        <f t="shared" si="1116"/>
        <v>0</v>
      </c>
      <c r="X877" s="303"/>
      <c r="Y877" s="303"/>
      <c r="Z877" s="303"/>
      <c r="AA877" s="303"/>
      <c r="AB877" s="304"/>
      <c r="AC877" s="304"/>
      <c r="AD877" s="304"/>
      <c r="AE877" s="303"/>
      <c r="AF877" s="1648"/>
      <c r="AG877" s="314">
        <f t="shared" si="1083"/>
        <v>0</v>
      </c>
      <c r="AH877" s="696">
        <f t="shared" si="1084"/>
        <v>0</v>
      </c>
      <c r="AI877" s="314">
        <f t="shared" si="1085"/>
        <v>0</v>
      </c>
      <c r="AJ877" s="314">
        <f t="shared" si="1086"/>
        <v>0</v>
      </c>
      <c r="AK877" s="314">
        <f t="shared" si="1087"/>
        <v>0</v>
      </c>
      <c r="AL877" s="314">
        <f t="shared" si="1088"/>
        <v>0</v>
      </c>
      <c r="AM877" s="314">
        <f t="shared" si="1089"/>
        <v>0</v>
      </c>
      <c r="AN877" s="314">
        <f t="shared" si="1090"/>
        <v>0</v>
      </c>
      <c r="AO877" s="314">
        <f t="shared" si="1091"/>
        <v>0</v>
      </c>
      <c r="AP877" s="314">
        <f t="shared" si="1092"/>
        <v>0</v>
      </c>
    </row>
    <row r="878" spans="1:42" s="314" customFormat="1" collapsed="1">
      <c r="A878" s="592" t="s">
        <v>47</v>
      </c>
      <c r="B878" s="320" t="s">
        <v>1145</v>
      </c>
      <c r="C878" s="298"/>
      <c r="D878" s="297">
        <f>SUM(D879:D895)</f>
        <v>8533</v>
      </c>
      <c r="E878" s="297">
        <f>SUM(E879:E892)</f>
        <v>9865</v>
      </c>
      <c r="F878" s="297">
        <f t="shared" ref="F878:AB878" si="1119">SUM(F879:F892)</f>
        <v>9865</v>
      </c>
      <c r="G878" s="297">
        <f t="shared" si="1119"/>
        <v>4302</v>
      </c>
      <c r="H878" s="297">
        <f t="shared" si="1119"/>
        <v>9865</v>
      </c>
      <c r="I878" s="297">
        <f t="shared" si="1119"/>
        <v>0</v>
      </c>
      <c r="J878" s="297">
        <f t="shared" si="1119"/>
        <v>0</v>
      </c>
      <c r="K878" s="297">
        <f t="shared" si="1119"/>
        <v>0</v>
      </c>
      <c r="L878" s="297">
        <f t="shared" si="1119"/>
        <v>0</v>
      </c>
      <c r="M878" s="297">
        <f t="shared" si="1119"/>
        <v>0</v>
      </c>
      <c r="N878" s="297">
        <f t="shared" si="1119"/>
        <v>0</v>
      </c>
      <c r="O878" s="297">
        <f t="shared" si="1119"/>
        <v>0</v>
      </c>
      <c r="P878" s="297">
        <f t="shared" si="1119"/>
        <v>0</v>
      </c>
      <c r="Q878" s="297">
        <f t="shared" si="1119"/>
        <v>0</v>
      </c>
      <c r="R878" s="297">
        <f t="shared" si="1119"/>
        <v>0</v>
      </c>
      <c r="S878" s="297">
        <f t="shared" si="1119"/>
        <v>0</v>
      </c>
      <c r="T878" s="297">
        <f t="shared" si="1119"/>
        <v>0</v>
      </c>
      <c r="U878" s="297">
        <f t="shared" si="1119"/>
        <v>0</v>
      </c>
      <c r="V878" s="297">
        <f t="shared" si="1119"/>
        <v>0</v>
      </c>
      <c r="W878" s="297">
        <f t="shared" si="1119"/>
        <v>9865</v>
      </c>
      <c r="X878" s="297">
        <f t="shared" si="1119"/>
        <v>0</v>
      </c>
      <c r="Y878" s="297">
        <f t="shared" si="1119"/>
        <v>0</v>
      </c>
      <c r="Z878" s="297">
        <f t="shared" si="1119"/>
        <v>6035</v>
      </c>
      <c r="AA878" s="297">
        <f t="shared" si="1119"/>
        <v>3830</v>
      </c>
      <c r="AB878" s="297">
        <f t="shared" si="1119"/>
        <v>0</v>
      </c>
      <c r="AC878" s="297"/>
      <c r="AD878" s="297">
        <v>521</v>
      </c>
      <c r="AE878" s="299">
        <f>E878-AD878</f>
        <v>9344</v>
      </c>
      <c r="AF878" s="321"/>
      <c r="AG878" s="314">
        <f t="shared" si="1083"/>
        <v>0</v>
      </c>
      <c r="AH878" s="696">
        <f t="shared" si="1084"/>
        <v>0</v>
      </c>
      <c r="AI878" s="314">
        <f t="shared" si="1085"/>
        <v>0</v>
      </c>
      <c r="AJ878" s="314">
        <f t="shared" si="1086"/>
        <v>0</v>
      </c>
      <c r="AK878" s="314">
        <f t="shared" si="1087"/>
        <v>0</v>
      </c>
      <c r="AL878" s="314">
        <f t="shared" si="1088"/>
        <v>0</v>
      </c>
      <c r="AM878" s="314">
        <f t="shared" si="1089"/>
        <v>0</v>
      </c>
      <c r="AN878" s="314">
        <f t="shared" si="1090"/>
        <v>0</v>
      </c>
      <c r="AO878" s="314">
        <f t="shared" si="1091"/>
        <v>0</v>
      </c>
      <c r="AP878" s="314">
        <f t="shared" si="1092"/>
        <v>0</v>
      </c>
    </row>
    <row r="879" spans="1:42" s="345" customFormat="1" ht="41.4" outlineLevel="1">
      <c r="A879" s="593" t="s">
        <v>23</v>
      </c>
      <c r="B879" s="1284" t="s">
        <v>1661</v>
      </c>
      <c r="C879" s="334"/>
      <c r="D879" s="304">
        <v>260</v>
      </c>
      <c r="E879" s="304">
        <f t="shared" ref="E879:E895" si="1120">F879+AC879</f>
        <v>273</v>
      </c>
      <c r="F879" s="304">
        <f t="shared" ref="F879:F895" si="1121">H879-AB879</f>
        <v>273</v>
      </c>
      <c r="G879" s="304">
        <f t="shared" ref="G879:G896" si="1122">F879-D879</f>
        <v>13</v>
      </c>
      <c r="H879" s="303">
        <f t="shared" si="1115"/>
        <v>273</v>
      </c>
      <c r="I879" s="316"/>
      <c r="J879" s="343"/>
      <c r="K879" s="343"/>
      <c r="L879" s="343"/>
      <c r="M879" s="316"/>
      <c r="N879" s="343"/>
      <c r="O879" s="343"/>
      <c r="P879" s="316"/>
      <c r="Q879" s="343"/>
      <c r="R879" s="344"/>
      <c r="S879" s="316"/>
      <c r="T879" s="316"/>
      <c r="U879" s="316"/>
      <c r="V879" s="316"/>
      <c r="W879" s="316">
        <f t="shared" si="1116"/>
        <v>273</v>
      </c>
      <c r="X879" s="316"/>
      <c r="Y879" s="316"/>
      <c r="Z879" s="316">
        <v>260</v>
      </c>
      <c r="AA879" s="316">
        <v>13</v>
      </c>
      <c r="AB879" s="304"/>
      <c r="AC879" s="304"/>
      <c r="AD879" s="304"/>
      <c r="AE879" s="304"/>
      <c r="AF879" s="317"/>
      <c r="AG879" s="314">
        <f t="shared" si="1083"/>
        <v>0</v>
      </c>
      <c r="AH879" s="696">
        <f t="shared" si="1084"/>
        <v>0</v>
      </c>
      <c r="AI879" s="314">
        <f t="shared" si="1085"/>
        <v>0</v>
      </c>
      <c r="AJ879" s="314">
        <f t="shared" si="1086"/>
        <v>0</v>
      </c>
      <c r="AK879" s="314">
        <f t="shared" si="1087"/>
        <v>0</v>
      </c>
      <c r="AL879" s="314">
        <f t="shared" si="1088"/>
        <v>0</v>
      </c>
      <c r="AM879" s="314">
        <f t="shared" si="1089"/>
        <v>0</v>
      </c>
      <c r="AN879" s="314">
        <f t="shared" si="1090"/>
        <v>0</v>
      </c>
      <c r="AO879" s="314">
        <f t="shared" si="1091"/>
        <v>0</v>
      </c>
      <c r="AP879" s="314">
        <f t="shared" si="1092"/>
        <v>0</v>
      </c>
    </row>
    <row r="880" spans="1:42" s="345" customFormat="1" ht="27.6" outlineLevel="1">
      <c r="A880" s="593" t="s">
        <v>23</v>
      </c>
      <c r="B880" s="1284" t="s">
        <v>1662</v>
      </c>
      <c r="C880" s="334"/>
      <c r="D880" s="304">
        <v>136</v>
      </c>
      <c r="E880" s="304">
        <f t="shared" si="1120"/>
        <v>136</v>
      </c>
      <c r="F880" s="304">
        <f t="shared" si="1121"/>
        <v>136</v>
      </c>
      <c r="G880" s="304">
        <f t="shared" si="1122"/>
        <v>0</v>
      </c>
      <c r="H880" s="303">
        <f t="shared" si="1115"/>
        <v>136</v>
      </c>
      <c r="I880" s="316"/>
      <c r="J880" s="343"/>
      <c r="K880" s="343"/>
      <c r="L880" s="343"/>
      <c r="M880" s="316"/>
      <c r="N880" s="343"/>
      <c r="O880" s="343"/>
      <c r="P880" s="316"/>
      <c r="Q880" s="343"/>
      <c r="R880" s="344"/>
      <c r="S880" s="316"/>
      <c r="T880" s="316"/>
      <c r="U880" s="316"/>
      <c r="V880" s="316"/>
      <c r="W880" s="316">
        <f t="shared" si="1116"/>
        <v>136</v>
      </c>
      <c r="X880" s="316"/>
      <c r="Y880" s="316"/>
      <c r="Z880" s="316">
        <v>136</v>
      </c>
      <c r="AA880" s="316"/>
      <c r="AB880" s="304"/>
      <c r="AC880" s="304"/>
      <c r="AD880" s="304"/>
      <c r="AE880" s="304"/>
      <c r="AF880" s="1285"/>
      <c r="AG880" s="314">
        <f t="shared" si="1083"/>
        <v>0</v>
      </c>
      <c r="AH880" s="696">
        <f t="shared" si="1084"/>
        <v>0</v>
      </c>
      <c r="AI880" s="314">
        <f t="shared" si="1085"/>
        <v>0</v>
      </c>
      <c r="AJ880" s="314">
        <f t="shared" si="1086"/>
        <v>0</v>
      </c>
      <c r="AK880" s="314">
        <f t="shared" si="1087"/>
        <v>0</v>
      </c>
      <c r="AL880" s="314">
        <f t="shared" si="1088"/>
        <v>0</v>
      </c>
      <c r="AM880" s="314">
        <f t="shared" si="1089"/>
        <v>0</v>
      </c>
      <c r="AN880" s="314">
        <f t="shared" si="1090"/>
        <v>0</v>
      </c>
      <c r="AO880" s="314">
        <f t="shared" si="1091"/>
        <v>0</v>
      </c>
      <c r="AP880" s="314">
        <f t="shared" si="1092"/>
        <v>0</v>
      </c>
    </row>
    <row r="881" spans="1:42" s="345" customFormat="1" ht="27.6" outlineLevel="1">
      <c r="A881" s="593" t="s">
        <v>23</v>
      </c>
      <c r="B881" s="1284" t="s">
        <v>1486</v>
      </c>
      <c r="C881" s="334"/>
      <c r="D881" s="304">
        <v>2350</v>
      </c>
      <c r="E881" s="304">
        <f t="shared" si="1120"/>
        <v>2350</v>
      </c>
      <c r="F881" s="304">
        <f t="shared" si="1121"/>
        <v>2350</v>
      </c>
      <c r="G881" s="304">
        <f t="shared" si="1122"/>
        <v>0</v>
      </c>
      <c r="H881" s="303">
        <f t="shared" si="1115"/>
        <v>2350</v>
      </c>
      <c r="I881" s="316"/>
      <c r="J881" s="343"/>
      <c r="K881" s="343"/>
      <c r="L881" s="343"/>
      <c r="M881" s="316"/>
      <c r="N881" s="343"/>
      <c r="O881" s="343"/>
      <c r="P881" s="316"/>
      <c r="Q881" s="343"/>
      <c r="R881" s="344"/>
      <c r="S881" s="316"/>
      <c r="T881" s="316"/>
      <c r="U881" s="316"/>
      <c r="V881" s="316"/>
      <c r="W881" s="316">
        <f t="shared" si="1116"/>
        <v>2350</v>
      </c>
      <c r="X881" s="316"/>
      <c r="Y881" s="316"/>
      <c r="Z881" s="316">
        <f>500+1850</f>
        <v>2350</v>
      </c>
      <c r="AA881" s="316"/>
      <c r="AB881" s="316"/>
      <c r="AC881" s="304"/>
      <c r="AD881" s="304"/>
      <c r="AE881" s="304"/>
      <c r="AF881" s="1285"/>
      <c r="AG881" s="314">
        <f t="shared" si="1083"/>
        <v>0</v>
      </c>
      <c r="AH881" s="696">
        <f t="shared" si="1084"/>
        <v>0</v>
      </c>
      <c r="AI881" s="314">
        <f t="shared" si="1085"/>
        <v>0</v>
      </c>
      <c r="AJ881" s="314">
        <f t="shared" si="1086"/>
        <v>0</v>
      </c>
      <c r="AK881" s="314">
        <f t="shared" si="1087"/>
        <v>0</v>
      </c>
      <c r="AL881" s="314">
        <f t="shared" si="1088"/>
        <v>0</v>
      </c>
      <c r="AM881" s="314">
        <f t="shared" si="1089"/>
        <v>0</v>
      </c>
      <c r="AN881" s="314">
        <f t="shared" si="1090"/>
        <v>0</v>
      </c>
      <c r="AO881" s="314">
        <f t="shared" si="1091"/>
        <v>0</v>
      </c>
      <c r="AP881" s="314">
        <f t="shared" si="1092"/>
        <v>0</v>
      </c>
    </row>
    <row r="882" spans="1:42" s="345" customFormat="1" ht="110.4" outlineLevel="1">
      <c r="A882" s="593" t="s">
        <v>23</v>
      </c>
      <c r="B882" s="1284" t="s">
        <v>1663</v>
      </c>
      <c r="C882" s="334"/>
      <c r="D882" s="304">
        <v>1838</v>
      </c>
      <c r="E882" s="304">
        <f t="shared" si="1120"/>
        <v>1930</v>
      </c>
      <c r="F882" s="304">
        <f t="shared" si="1121"/>
        <v>1930</v>
      </c>
      <c r="G882" s="304">
        <f t="shared" si="1122"/>
        <v>92</v>
      </c>
      <c r="H882" s="303">
        <f>I882+W882</f>
        <v>1930</v>
      </c>
      <c r="I882" s="316"/>
      <c r="J882" s="343"/>
      <c r="K882" s="343"/>
      <c r="L882" s="343"/>
      <c r="M882" s="316"/>
      <c r="N882" s="343"/>
      <c r="O882" s="343"/>
      <c r="P882" s="316"/>
      <c r="Q882" s="343"/>
      <c r="R882" s="344"/>
      <c r="S882" s="316"/>
      <c r="T882" s="316"/>
      <c r="U882" s="316"/>
      <c r="V882" s="316"/>
      <c r="W882" s="316">
        <f>Z882+AA882</f>
        <v>1930</v>
      </c>
      <c r="X882" s="316"/>
      <c r="Y882" s="316"/>
      <c r="Z882" s="316">
        <v>1838</v>
      </c>
      <c r="AA882" s="316">
        <v>92</v>
      </c>
      <c r="AB882" s="304"/>
      <c r="AC882" s="304"/>
      <c r="AD882" s="304"/>
      <c r="AE882" s="304"/>
      <c r="AF882" s="317"/>
      <c r="AG882" s="314">
        <f t="shared" si="1083"/>
        <v>0</v>
      </c>
      <c r="AH882" s="696">
        <f t="shared" si="1084"/>
        <v>0</v>
      </c>
      <c r="AI882" s="314">
        <f t="shared" si="1085"/>
        <v>0</v>
      </c>
      <c r="AJ882" s="314">
        <f t="shared" si="1086"/>
        <v>0</v>
      </c>
      <c r="AK882" s="314">
        <f t="shared" si="1087"/>
        <v>0</v>
      </c>
      <c r="AL882" s="314">
        <f t="shared" si="1088"/>
        <v>0</v>
      </c>
      <c r="AM882" s="314">
        <f t="shared" si="1089"/>
        <v>0</v>
      </c>
      <c r="AN882" s="314">
        <f t="shared" si="1090"/>
        <v>0</v>
      </c>
      <c r="AO882" s="314">
        <f t="shared" si="1091"/>
        <v>0</v>
      </c>
      <c r="AP882" s="314">
        <f t="shared" si="1092"/>
        <v>0</v>
      </c>
    </row>
    <row r="883" spans="1:42" s="345" customFormat="1" ht="41.4" outlineLevel="1">
      <c r="A883" s="593" t="s">
        <v>23</v>
      </c>
      <c r="B883" s="1284" t="s">
        <v>1146</v>
      </c>
      <c r="C883" s="334"/>
      <c r="D883" s="304">
        <v>300</v>
      </c>
      <c r="E883" s="304">
        <f t="shared" si="1120"/>
        <v>300</v>
      </c>
      <c r="F883" s="304">
        <f t="shared" si="1121"/>
        <v>300</v>
      </c>
      <c r="G883" s="304">
        <f t="shared" si="1122"/>
        <v>0</v>
      </c>
      <c r="H883" s="303">
        <f t="shared" si="1115"/>
        <v>300</v>
      </c>
      <c r="I883" s="316"/>
      <c r="J883" s="343"/>
      <c r="K883" s="343"/>
      <c r="L883" s="343"/>
      <c r="M883" s="316"/>
      <c r="N883" s="343"/>
      <c r="O883" s="343"/>
      <c r="P883" s="316"/>
      <c r="Q883" s="343"/>
      <c r="R883" s="344"/>
      <c r="S883" s="316"/>
      <c r="T883" s="316"/>
      <c r="U883" s="316"/>
      <c r="V883" s="316"/>
      <c r="W883" s="316">
        <f t="shared" si="1116"/>
        <v>300</v>
      </c>
      <c r="X883" s="316"/>
      <c r="Y883" s="316"/>
      <c r="Z883" s="316">
        <v>300</v>
      </c>
      <c r="AA883" s="316"/>
      <c r="AB883" s="304"/>
      <c r="AC883" s="304"/>
      <c r="AD883" s="304"/>
      <c r="AE883" s="304"/>
      <c r="AF883" s="1285"/>
      <c r="AG883" s="314">
        <f t="shared" si="1083"/>
        <v>0</v>
      </c>
      <c r="AH883" s="696">
        <f t="shared" si="1084"/>
        <v>0</v>
      </c>
      <c r="AI883" s="314">
        <f t="shared" si="1085"/>
        <v>0</v>
      </c>
      <c r="AJ883" s="314">
        <f t="shared" si="1086"/>
        <v>0</v>
      </c>
      <c r="AK883" s="314">
        <f t="shared" si="1087"/>
        <v>0</v>
      </c>
      <c r="AL883" s="314">
        <f t="shared" si="1088"/>
        <v>0</v>
      </c>
      <c r="AM883" s="314">
        <f t="shared" si="1089"/>
        <v>0</v>
      </c>
      <c r="AN883" s="314">
        <f t="shared" si="1090"/>
        <v>0</v>
      </c>
      <c r="AO883" s="314">
        <f t="shared" si="1091"/>
        <v>0</v>
      </c>
      <c r="AP883" s="314">
        <f t="shared" si="1092"/>
        <v>0</v>
      </c>
    </row>
    <row r="884" spans="1:42" s="345" customFormat="1" ht="27.6" outlineLevel="1">
      <c r="A884" s="593" t="s">
        <v>23</v>
      </c>
      <c r="B884" s="1284" t="s">
        <v>1147</v>
      </c>
      <c r="C884" s="334"/>
      <c r="D884" s="304">
        <v>100</v>
      </c>
      <c r="E884" s="304">
        <f t="shared" si="1120"/>
        <v>100</v>
      </c>
      <c r="F884" s="304">
        <f t="shared" si="1121"/>
        <v>100</v>
      </c>
      <c r="G884" s="304">
        <f t="shared" si="1122"/>
        <v>0</v>
      </c>
      <c r="H884" s="303">
        <f t="shared" si="1115"/>
        <v>100</v>
      </c>
      <c r="I884" s="316"/>
      <c r="J884" s="343"/>
      <c r="K884" s="343"/>
      <c r="L884" s="343"/>
      <c r="M884" s="316"/>
      <c r="N884" s="343"/>
      <c r="O884" s="343"/>
      <c r="P884" s="316"/>
      <c r="Q884" s="343"/>
      <c r="R884" s="344"/>
      <c r="S884" s="316"/>
      <c r="T884" s="316"/>
      <c r="U884" s="316"/>
      <c r="V884" s="316"/>
      <c r="W884" s="316">
        <f t="shared" si="1116"/>
        <v>100</v>
      </c>
      <c r="X884" s="316"/>
      <c r="Y884" s="316"/>
      <c r="Z884" s="316">
        <v>100</v>
      </c>
      <c r="AA884" s="316"/>
      <c r="AB884" s="304"/>
      <c r="AC884" s="304"/>
      <c r="AD884" s="304"/>
      <c r="AE884" s="304"/>
      <c r="AF884" s="1285"/>
      <c r="AG884" s="314">
        <f t="shared" si="1083"/>
        <v>0</v>
      </c>
      <c r="AH884" s="696">
        <f t="shared" si="1084"/>
        <v>0</v>
      </c>
      <c r="AI884" s="314">
        <f t="shared" si="1085"/>
        <v>0</v>
      </c>
      <c r="AJ884" s="314">
        <f t="shared" si="1086"/>
        <v>0</v>
      </c>
      <c r="AK884" s="314">
        <f t="shared" si="1087"/>
        <v>0</v>
      </c>
      <c r="AL884" s="314">
        <f t="shared" si="1088"/>
        <v>0</v>
      </c>
      <c r="AM884" s="314">
        <f t="shared" si="1089"/>
        <v>0</v>
      </c>
      <c r="AN884" s="314">
        <f t="shared" si="1090"/>
        <v>0</v>
      </c>
      <c r="AO884" s="314">
        <f t="shared" si="1091"/>
        <v>0</v>
      </c>
      <c r="AP884" s="314">
        <f t="shared" si="1092"/>
        <v>0</v>
      </c>
    </row>
    <row r="885" spans="1:42" s="345" customFormat="1" ht="110.4" outlineLevel="1">
      <c r="A885" s="593" t="s">
        <v>23</v>
      </c>
      <c r="B885" s="1284" t="s">
        <v>2279</v>
      </c>
      <c r="C885" s="334"/>
      <c r="D885" s="304">
        <v>373</v>
      </c>
      <c r="E885" s="304">
        <f t="shared" si="1120"/>
        <v>840</v>
      </c>
      <c r="F885" s="304">
        <f t="shared" si="1121"/>
        <v>840</v>
      </c>
      <c r="G885" s="304">
        <f t="shared" si="1122"/>
        <v>467</v>
      </c>
      <c r="H885" s="303">
        <f t="shared" si="1115"/>
        <v>840</v>
      </c>
      <c r="I885" s="316"/>
      <c r="J885" s="343"/>
      <c r="K885" s="343"/>
      <c r="L885" s="343"/>
      <c r="M885" s="316"/>
      <c r="N885" s="343"/>
      <c r="O885" s="343"/>
      <c r="P885" s="316"/>
      <c r="Q885" s="343"/>
      <c r="R885" s="344"/>
      <c r="S885" s="316"/>
      <c r="T885" s="316"/>
      <c r="U885" s="316"/>
      <c r="V885" s="316"/>
      <c r="W885" s="316">
        <f t="shared" si="1116"/>
        <v>840</v>
      </c>
      <c r="X885" s="316"/>
      <c r="Y885" s="316"/>
      <c r="Z885" s="316">
        <f>373+467</f>
        <v>840</v>
      </c>
      <c r="AA885" s="316"/>
      <c r="AB885" s="304"/>
      <c r="AC885" s="304"/>
      <c r="AD885" s="304"/>
      <c r="AE885" s="304"/>
      <c r="AF885" s="1285"/>
      <c r="AG885" s="314">
        <f t="shared" si="1083"/>
        <v>0</v>
      </c>
      <c r="AH885" s="696">
        <f t="shared" si="1084"/>
        <v>0</v>
      </c>
      <c r="AI885" s="314">
        <f t="shared" si="1085"/>
        <v>0</v>
      </c>
      <c r="AJ885" s="314">
        <f t="shared" si="1086"/>
        <v>0</v>
      </c>
      <c r="AK885" s="314">
        <f t="shared" si="1087"/>
        <v>0</v>
      </c>
      <c r="AL885" s="314">
        <f t="shared" si="1088"/>
        <v>0</v>
      </c>
      <c r="AM885" s="314">
        <f t="shared" si="1089"/>
        <v>0</v>
      </c>
      <c r="AN885" s="314">
        <f t="shared" si="1090"/>
        <v>0</v>
      </c>
      <c r="AO885" s="314">
        <f t="shared" si="1091"/>
        <v>0</v>
      </c>
      <c r="AP885" s="314">
        <f t="shared" si="1092"/>
        <v>0</v>
      </c>
    </row>
    <row r="886" spans="1:42" s="345" customFormat="1" ht="27.6" outlineLevel="1">
      <c r="A886" s="593" t="s">
        <v>23</v>
      </c>
      <c r="B886" s="1284" t="s">
        <v>1883</v>
      </c>
      <c r="C886" s="334"/>
      <c r="D886" s="304">
        <v>171</v>
      </c>
      <c r="E886" s="304">
        <f t="shared" si="1120"/>
        <v>171</v>
      </c>
      <c r="F886" s="304">
        <f t="shared" si="1121"/>
        <v>171</v>
      </c>
      <c r="G886" s="304">
        <f t="shared" si="1122"/>
        <v>0</v>
      </c>
      <c r="H886" s="303">
        <f t="shared" si="1115"/>
        <v>171</v>
      </c>
      <c r="I886" s="316"/>
      <c r="J886" s="343"/>
      <c r="K886" s="343"/>
      <c r="L886" s="343"/>
      <c r="M886" s="316"/>
      <c r="N886" s="343"/>
      <c r="O886" s="343"/>
      <c r="P886" s="316"/>
      <c r="Q886" s="343"/>
      <c r="R886" s="344"/>
      <c r="S886" s="316"/>
      <c r="T886" s="316"/>
      <c r="U886" s="316"/>
      <c r="V886" s="316"/>
      <c r="W886" s="316">
        <f t="shared" si="1116"/>
        <v>171</v>
      </c>
      <c r="X886" s="316"/>
      <c r="Y886" s="316"/>
      <c r="Z886" s="316">
        <v>171</v>
      </c>
      <c r="AA886" s="316"/>
      <c r="AB886" s="304"/>
      <c r="AC886" s="304"/>
      <c r="AD886" s="304"/>
      <c r="AE886" s="304"/>
      <c r="AF886" s="1285"/>
      <c r="AG886" s="314">
        <f t="shared" si="1083"/>
        <v>0</v>
      </c>
      <c r="AH886" s="696">
        <f t="shared" si="1084"/>
        <v>0</v>
      </c>
      <c r="AI886" s="314">
        <f t="shared" si="1085"/>
        <v>0</v>
      </c>
      <c r="AJ886" s="314">
        <f t="shared" si="1086"/>
        <v>0</v>
      </c>
      <c r="AK886" s="314">
        <f t="shared" si="1087"/>
        <v>0</v>
      </c>
      <c r="AL886" s="314">
        <f t="shared" si="1088"/>
        <v>0</v>
      </c>
      <c r="AM886" s="314">
        <f t="shared" si="1089"/>
        <v>0</v>
      </c>
      <c r="AN886" s="314">
        <f t="shared" si="1090"/>
        <v>0</v>
      </c>
      <c r="AO886" s="314">
        <f t="shared" si="1091"/>
        <v>0</v>
      </c>
      <c r="AP886" s="314">
        <f t="shared" si="1092"/>
        <v>0</v>
      </c>
    </row>
    <row r="887" spans="1:42" s="345" customFormat="1" ht="41.4" outlineLevel="1">
      <c r="A887" s="593" t="s">
        <v>23</v>
      </c>
      <c r="B887" s="1284" t="s">
        <v>2280</v>
      </c>
      <c r="C887" s="334"/>
      <c r="D887" s="304"/>
      <c r="E887" s="304">
        <f t="shared" si="1120"/>
        <v>40</v>
      </c>
      <c r="F887" s="304">
        <f t="shared" si="1121"/>
        <v>40</v>
      </c>
      <c r="G887" s="304">
        <f t="shared" si="1122"/>
        <v>40</v>
      </c>
      <c r="H887" s="303">
        <f t="shared" si="1115"/>
        <v>40</v>
      </c>
      <c r="I887" s="316"/>
      <c r="J887" s="343"/>
      <c r="K887" s="343"/>
      <c r="L887" s="343"/>
      <c r="M887" s="316"/>
      <c r="N887" s="343"/>
      <c r="O887" s="343"/>
      <c r="P887" s="316"/>
      <c r="Q887" s="343"/>
      <c r="R887" s="344"/>
      <c r="S887" s="316"/>
      <c r="T887" s="316"/>
      <c r="U887" s="316"/>
      <c r="V887" s="316"/>
      <c r="W887" s="316">
        <f t="shared" si="1116"/>
        <v>40</v>
      </c>
      <c r="X887" s="316"/>
      <c r="Y887" s="316"/>
      <c r="Z887" s="316">
        <v>40</v>
      </c>
      <c r="AA887" s="316"/>
      <c r="AB887" s="304"/>
      <c r="AC887" s="304"/>
      <c r="AD887" s="304"/>
      <c r="AE887" s="304"/>
      <c r="AF887" s="1285"/>
      <c r="AG887" s="314">
        <f t="shared" si="1083"/>
        <v>0</v>
      </c>
      <c r="AH887" s="696">
        <f t="shared" si="1084"/>
        <v>0</v>
      </c>
      <c r="AI887" s="314">
        <f t="shared" si="1085"/>
        <v>0</v>
      </c>
      <c r="AJ887" s="314">
        <f t="shared" si="1086"/>
        <v>0</v>
      </c>
      <c r="AK887" s="314">
        <f t="shared" si="1087"/>
        <v>0</v>
      </c>
      <c r="AL887" s="314">
        <f t="shared" si="1088"/>
        <v>0</v>
      </c>
      <c r="AM887" s="314">
        <f t="shared" si="1089"/>
        <v>0</v>
      </c>
      <c r="AN887" s="314">
        <f t="shared" si="1090"/>
        <v>0</v>
      </c>
      <c r="AO887" s="314">
        <f t="shared" si="1091"/>
        <v>0</v>
      </c>
      <c r="AP887" s="314">
        <f t="shared" si="1092"/>
        <v>0</v>
      </c>
    </row>
    <row r="888" spans="1:42" s="345" customFormat="1" ht="69" outlineLevel="1">
      <c r="A888" s="593" t="s">
        <v>23</v>
      </c>
      <c r="B888" s="1284" t="s">
        <v>2237</v>
      </c>
      <c r="C888" s="334"/>
      <c r="D888" s="304"/>
      <c r="E888" s="304">
        <f t="shared" si="1120"/>
        <v>435</v>
      </c>
      <c r="F888" s="304">
        <f t="shared" si="1121"/>
        <v>435</v>
      </c>
      <c r="G888" s="304">
        <f t="shared" si="1122"/>
        <v>435</v>
      </c>
      <c r="H888" s="303">
        <f t="shared" si="1115"/>
        <v>435</v>
      </c>
      <c r="I888" s="316"/>
      <c r="J888" s="343"/>
      <c r="K888" s="343"/>
      <c r="L888" s="343"/>
      <c r="M888" s="316"/>
      <c r="N888" s="343"/>
      <c r="O888" s="343"/>
      <c r="P888" s="316"/>
      <c r="Q888" s="343"/>
      <c r="R888" s="344"/>
      <c r="S888" s="316"/>
      <c r="T888" s="316"/>
      <c r="U888" s="316"/>
      <c r="V888" s="316"/>
      <c r="W888" s="316">
        <f t="shared" si="1116"/>
        <v>435</v>
      </c>
      <c r="X888" s="316"/>
      <c r="Y888" s="316"/>
      <c r="Z888" s="316"/>
      <c r="AA888" s="316">
        <v>435</v>
      </c>
      <c r="AB888" s="304"/>
      <c r="AC888" s="304"/>
      <c r="AD888" s="304"/>
      <c r="AE888" s="304"/>
      <c r="AF888" s="1285" t="s">
        <v>2462</v>
      </c>
      <c r="AG888" s="314">
        <f t="shared" si="1083"/>
        <v>0</v>
      </c>
      <c r="AH888" s="696">
        <f t="shared" si="1084"/>
        <v>0</v>
      </c>
      <c r="AI888" s="314">
        <f t="shared" si="1085"/>
        <v>0</v>
      </c>
      <c r="AJ888" s="314">
        <f t="shared" si="1086"/>
        <v>0</v>
      </c>
      <c r="AK888" s="314">
        <f t="shared" si="1087"/>
        <v>0</v>
      </c>
      <c r="AL888" s="314">
        <f t="shared" si="1088"/>
        <v>0</v>
      </c>
      <c r="AM888" s="314">
        <f t="shared" si="1089"/>
        <v>0</v>
      </c>
      <c r="AN888" s="314">
        <f t="shared" si="1090"/>
        <v>0</v>
      </c>
      <c r="AO888" s="314">
        <f t="shared" si="1091"/>
        <v>0</v>
      </c>
      <c r="AP888" s="314">
        <f t="shared" si="1092"/>
        <v>0</v>
      </c>
    </row>
    <row r="889" spans="1:42" s="345" customFormat="1" ht="41.4" outlineLevel="1">
      <c r="A889" s="593" t="s">
        <v>23</v>
      </c>
      <c r="B889" s="1284" t="s">
        <v>2238</v>
      </c>
      <c r="C889" s="334"/>
      <c r="D889" s="304"/>
      <c r="E889" s="304">
        <f t="shared" si="1120"/>
        <v>290</v>
      </c>
      <c r="F889" s="304">
        <f t="shared" si="1121"/>
        <v>290</v>
      </c>
      <c r="G889" s="304">
        <f t="shared" si="1122"/>
        <v>290</v>
      </c>
      <c r="H889" s="303">
        <f t="shared" si="1115"/>
        <v>290</v>
      </c>
      <c r="I889" s="316"/>
      <c r="J889" s="343"/>
      <c r="K889" s="343"/>
      <c r="L889" s="343"/>
      <c r="M889" s="316"/>
      <c r="N889" s="343"/>
      <c r="O889" s="343"/>
      <c r="P889" s="316"/>
      <c r="Q889" s="343"/>
      <c r="R889" s="344"/>
      <c r="S889" s="316"/>
      <c r="T889" s="316"/>
      <c r="U889" s="316"/>
      <c r="V889" s="316"/>
      <c r="W889" s="316">
        <f t="shared" si="1116"/>
        <v>290</v>
      </c>
      <c r="X889" s="316"/>
      <c r="Y889" s="316"/>
      <c r="Z889" s="316"/>
      <c r="AA889" s="316">
        <v>290</v>
      </c>
      <c r="AB889" s="304"/>
      <c r="AC889" s="304"/>
      <c r="AD889" s="304"/>
      <c r="AE889" s="304"/>
      <c r="AF889" s="1285" t="s">
        <v>2463</v>
      </c>
      <c r="AG889" s="314">
        <f t="shared" si="1083"/>
        <v>0</v>
      </c>
      <c r="AH889" s="696">
        <f t="shared" si="1084"/>
        <v>0</v>
      </c>
      <c r="AI889" s="314">
        <f t="shared" si="1085"/>
        <v>0</v>
      </c>
      <c r="AJ889" s="314">
        <f t="shared" si="1086"/>
        <v>0</v>
      </c>
      <c r="AK889" s="314">
        <f t="shared" si="1087"/>
        <v>0</v>
      </c>
      <c r="AL889" s="314">
        <f t="shared" si="1088"/>
        <v>0</v>
      </c>
      <c r="AM889" s="314">
        <f t="shared" si="1089"/>
        <v>0</v>
      </c>
      <c r="AN889" s="314">
        <f t="shared" si="1090"/>
        <v>0</v>
      </c>
      <c r="AO889" s="314">
        <f t="shared" si="1091"/>
        <v>0</v>
      </c>
      <c r="AP889" s="314">
        <f t="shared" si="1092"/>
        <v>0</v>
      </c>
    </row>
    <row r="890" spans="1:42" s="345" customFormat="1" ht="69" outlineLevel="1">
      <c r="A890" s="593" t="s">
        <v>23</v>
      </c>
      <c r="B890" s="1284" t="s">
        <v>2434</v>
      </c>
      <c r="C890" s="334"/>
      <c r="D890" s="304"/>
      <c r="E890" s="304">
        <f t="shared" si="1120"/>
        <v>2000</v>
      </c>
      <c r="F890" s="304">
        <f t="shared" si="1121"/>
        <v>2000</v>
      </c>
      <c r="G890" s="304">
        <f t="shared" si="1122"/>
        <v>2000</v>
      </c>
      <c r="H890" s="303">
        <f t="shared" si="1115"/>
        <v>2000</v>
      </c>
      <c r="I890" s="316"/>
      <c r="J890" s="343"/>
      <c r="K890" s="343"/>
      <c r="L890" s="343"/>
      <c r="M890" s="316"/>
      <c r="N890" s="343"/>
      <c r="O890" s="343"/>
      <c r="P890" s="316"/>
      <c r="Q890" s="343"/>
      <c r="R890" s="344"/>
      <c r="S890" s="316"/>
      <c r="T890" s="316"/>
      <c r="U890" s="316"/>
      <c r="V890" s="316"/>
      <c r="W890" s="316">
        <f t="shared" si="1116"/>
        <v>2000</v>
      </c>
      <c r="X890" s="316"/>
      <c r="Y890" s="316"/>
      <c r="Z890" s="316"/>
      <c r="AA890" s="316">
        <v>2000</v>
      </c>
      <c r="AB890" s="304"/>
      <c r="AC890" s="304"/>
      <c r="AD890" s="304"/>
      <c r="AE890" s="304"/>
      <c r="AF890" s="1649" t="s">
        <v>2348</v>
      </c>
      <c r="AG890" s="314">
        <f t="shared" si="1083"/>
        <v>0</v>
      </c>
      <c r="AH890" s="696">
        <f t="shared" si="1084"/>
        <v>0</v>
      </c>
      <c r="AI890" s="314">
        <f t="shared" si="1085"/>
        <v>0</v>
      </c>
      <c r="AJ890" s="314">
        <f t="shared" si="1086"/>
        <v>0</v>
      </c>
      <c r="AK890" s="314">
        <f t="shared" si="1087"/>
        <v>0</v>
      </c>
      <c r="AL890" s="314">
        <f t="shared" si="1088"/>
        <v>0</v>
      </c>
      <c r="AM890" s="314">
        <f t="shared" si="1089"/>
        <v>0</v>
      </c>
      <c r="AN890" s="314">
        <f t="shared" si="1090"/>
        <v>0</v>
      </c>
      <c r="AO890" s="314">
        <f t="shared" si="1091"/>
        <v>0</v>
      </c>
      <c r="AP890" s="314">
        <f t="shared" si="1092"/>
        <v>0</v>
      </c>
    </row>
    <row r="891" spans="1:42" s="345" customFormat="1" ht="69" outlineLevel="1">
      <c r="A891" s="593" t="s">
        <v>23</v>
      </c>
      <c r="B891" s="1284" t="s">
        <v>2430</v>
      </c>
      <c r="C891" s="334"/>
      <c r="D891" s="304"/>
      <c r="E891" s="304">
        <f t="shared" si="1120"/>
        <v>1000</v>
      </c>
      <c r="F891" s="304">
        <f t="shared" si="1121"/>
        <v>1000</v>
      </c>
      <c r="G891" s="304">
        <f t="shared" si="1122"/>
        <v>1000</v>
      </c>
      <c r="H891" s="303">
        <f t="shared" si="1115"/>
        <v>1000</v>
      </c>
      <c r="I891" s="316"/>
      <c r="J891" s="343"/>
      <c r="K891" s="343"/>
      <c r="L891" s="343"/>
      <c r="M891" s="316"/>
      <c r="N891" s="343"/>
      <c r="O891" s="343"/>
      <c r="P891" s="316"/>
      <c r="Q891" s="343"/>
      <c r="R891" s="344"/>
      <c r="S891" s="316"/>
      <c r="T891" s="316"/>
      <c r="U891" s="316"/>
      <c r="V891" s="316"/>
      <c r="W891" s="316">
        <f t="shared" si="1116"/>
        <v>1000</v>
      </c>
      <c r="X891" s="316"/>
      <c r="Y891" s="316"/>
      <c r="Z891" s="316"/>
      <c r="AA891" s="316">
        <v>1000</v>
      </c>
      <c r="AB891" s="304"/>
      <c r="AC891" s="304"/>
      <c r="AD891" s="304"/>
      <c r="AE891" s="304"/>
      <c r="AF891" s="1650"/>
      <c r="AG891" s="314">
        <f t="shared" si="1083"/>
        <v>0</v>
      </c>
      <c r="AH891" s="696">
        <f t="shared" si="1084"/>
        <v>0</v>
      </c>
      <c r="AI891" s="314">
        <f t="shared" si="1085"/>
        <v>0</v>
      </c>
      <c r="AJ891" s="314">
        <f t="shared" si="1086"/>
        <v>0</v>
      </c>
      <c r="AK891" s="314">
        <f t="shared" si="1087"/>
        <v>0</v>
      </c>
      <c r="AL891" s="314">
        <f t="shared" si="1088"/>
        <v>0</v>
      </c>
      <c r="AM891" s="314">
        <f t="shared" si="1089"/>
        <v>0</v>
      </c>
      <c r="AN891" s="314">
        <f t="shared" si="1090"/>
        <v>0</v>
      </c>
      <c r="AO891" s="314">
        <f t="shared" si="1091"/>
        <v>0</v>
      </c>
      <c r="AP891" s="314">
        <f t="shared" si="1092"/>
        <v>0</v>
      </c>
    </row>
    <row r="892" spans="1:42" s="345" customFormat="1" ht="41.4" hidden="1" outlineLevel="3">
      <c r="A892" s="593" t="s">
        <v>23</v>
      </c>
      <c r="B892" s="1284" t="s">
        <v>1884</v>
      </c>
      <c r="C892" s="334"/>
      <c r="D892" s="304">
        <v>35</v>
      </c>
      <c r="E892" s="304">
        <f t="shared" si="1120"/>
        <v>0</v>
      </c>
      <c r="F892" s="304">
        <f t="shared" si="1121"/>
        <v>0</v>
      </c>
      <c r="G892" s="304">
        <f t="shared" si="1122"/>
        <v>-35</v>
      </c>
      <c r="H892" s="303">
        <f t="shared" si="1115"/>
        <v>0</v>
      </c>
      <c r="I892" s="316"/>
      <c r="J892" s="343"/>
      <c r="K892" s="343"/>
      <c r="L892" s="343"/>
      <c r="M892" s="316"/>
      <c r="N892" s="343"/>
      <c r="O892" s="343"/>
      <c r="P892" s="316"/>
      <c r="Q892" s="343"/>
      <c r="R892" s="344"/>
      <c r="S892" s="316"/>
      <c r="T892" s="316"/>
      <c r="U892" s="316"/>
      <c r="V892" s="316"/>
      <c r="W892" s="316">
        <f t="shared" si="1116"/>
        <v>0</v>
      </c>
      <c r="X892" s="316"/>
      <c r="Y892" s="316"/>
      <c r="Z892" s="316"/>
      <c r="AA892" s="316"/>
      <c r="AB892" s="304"/>
      <c r="AC892" s="304"/>
      <c r="AD892" s="304"/>
      <c r="AE892" s="304"/>
      <c r="AF892" s="1285"/>
      <c r="AG892" s="314">
        <f t="shared" si="1083"/>
        <v>0</v>
      </c>
      <c r="AH892" s="696">
        <f t="shared" si="1084"/>
        <v>0</v>
      </c>
      <c r="AI892" s="314">
        <f t="shared" si="1085"/>
        <v>0</v>
      </c>
      <c r="AJ892" s="314">
        <f t="shared" si="1086"/>
        <v>0</v>
      </c>
      <c r="AK892" s="314">
        <f t="shared" si="1087"/>
        <v>0</v>
      </c>
      <c r="AL892" s="314">
        <f t="shared" si="1088"/>
        <v>0</v>
      </c>
      <c r="AM892" s="314">
        <f t="shared" si="1089"/>
        <v>0</v>
      </c>
      <c r="AN892" s="314">
        <f t="shared" si="1090"/>
        <v>0</v>
      </c>
      <c r="AO892" s="314">
        <f t="shared" si="1091"/>
        <v>0</v>
      </c>
      <c r="AP892" s="314">
        <f t="shared" si="1092"/>
        <v>0</v>
      </c>
    </row>
    <row r="893" spans="1:42" s="345" customFormat="1" ht="96.6" hidden="1" outlineLevel="3">
      <c r="A893" s="593" t="s">
        <v>23</v>
      </c>
      <c r="B893" s="1284" t="s">
        <v>1882</v>
      </c>
      <c r="C893" s="334"/>
      <c r="D893" s="304">
        <v>2000</v>
      </c>
      <c r="E893" s="304">
        <f t="shared" si="1120"/>
        <v>0</v>
      </c>
      <c r="F893" s="304">
        <f t="shared" si="1121"/>
        <v>0</v>
      </c>
      <c r="G893" s="304">
        <f t="shared" si="1122"/>
        <v>-2000</v>
      </c>
      <c r="H893" s="303">
        <f t="shared" si="1115"/>
        <v>0</v>
      </c>
      <c r="I893" s="316"/>
      <c r="J893" s="343"/>
      <c r="K893" s="343"/>
      <c r="L893" s="343"/>
      <c r="M893" s="316"/>
      <c r="N893" s="343"/>
      <c r="O893" s="343"/>
      <c r="P893" s="316"/>
      <c r="Q893" s="343"/>
      <c r="R893" s="344"/>
      <c r="S893" s="316"/>
      <c r="T893" s="316"/>
      <c r="U893" s="316"/>
      <c r="V893" s="316"/>
      <c r="W893" s="316">
        <f t="shared" si="1116"/>
        <v>0</v>
      </c>
      <c r="X893" s="316"/>
      <c r="Y893" s="316"/>
      <c r="Z893" s="316"/>
      <c r="AA893" s="316"/>
      <c r="AB893" s="304"/>
      <c r="AC893" s="304"/>
      <c r="AD893" s="304"/>
      <c r="AE893" s="304"/>
      <c r="AF893" s="1285"/>
      <c r="AG893" s="314">
        <f t="shared" si="1083"/>
        <v>0</v>
      </c>
      <c r="AH893" s="696">
        <f t="shared" si="1084"/>
        <v>0</v>
      </c>
      <c r="AI893" s="314">
        <f t="shared" si="1085"/>
        <v>0</v>
      </c>
      <c r="AJ893" s="314">
        <f t="shared" si="1086"/>
        <v>0</v>
      </c>
      <c r="AK893" s="314">
        <f t="shared" si="1087"/>
        <v>0</v>
      </c>
      <c r="AL893" s="314">
        <f t="shared" si="1088"/>
        <v>0</v>
      </c>
      <c r="AM893" s="314">
        <f t="shared" si="1089"/>
        <v>0</v>
      </c>
      <c r="AN893" s="314">
        <f t="shared" si="1090"/>
        <v>0</v>
      </c>
      <c r="AO893" s="314">
        <f t="shared" si="1091"/>
        <v>0</v>
      </c>
      <c r="AP893" s="314">
        <f t="shared" si="1092"/>
        <v>0</v>
      </c>
    </row>
    <row r="894" spans="1:42" s="345" customFormat="1" ht="55.2" hidden="1" outlineLevel="3">
      <c r="A894" s="593" t="s">
        <v>23</v>
      </c>
      <c r="B894" s="1284" t="s">
        <v>1698</v>
      </c>
      <c r="C894" s="334"/>
      <c r="D894" s="304">
        <v>20</v>
      </c>
      <c r="E894" s="304">
        <f t="shared" si="1120"/>
        <v>0</v>
      </c>
      <c r="F894" s="304">
        <f t="shared" si="1121"/>
        <v>0</v>
      </c>
      <c r="G894" s="304">
        <f t="shared" si="1122"/>
        <v>-20</v>
      </c>
      <c r="H894" s="303">
        <f t="shared" si="1115"/>
        <v>0</v>
      </c>
      <c r="I894" s="316"/>
      <c r="J894" s="343"/>
      <c r="K894" s="343"/>
      <c r="L894" s="343"/>
      <c r="M894" s="316"/>
      <c r="N894" s="343"/>
      <c r="O894" s="343"/>
      <c r="P894" s="316"/>
      <c r="Q894" s="343"/>
      <c r="R894" s="344"/>
      <c r="S894" s="316"/>
      <c r="T894" s="316"/>
      <c r="U894" s="316"/>
      <c r="V894" s="316"/>
      <c r="W894" s="316">
        <f t="shared" si="1116"/>
        <v>0</v>
      </c>
      <c r="X894" s="316"/>
      <c r="Y894" s="316"/>
      <c r="Z894" s="316"/>
      <c r="AA894" s="316"/>
      <c r="AB894" s="304"/>
      <c r="AC894" s="304"/>
      <c r="AD894" s="304"/>
      <c r="AE894" s="304"/>
      <c r="AF894" s="1285"/>
      <c r="AG894" s="314">
        <f t="shared" si="1083"/>
        <v>0</v>
      </c>
      <c r="AH894" s="696">
        <f t="shared" si="1084"/>
        <v>0</v>
      </c>
      <c r="AI894" s="314">
        <f t="shared" si="1085"/>
        <v>0</v>
      </c>
      <c r="AJ894" s="314">
        <f t="shared" si="1086"/>
        <v>0</v>
      </c>
      <c r="AK894" s="314">
        <f t="shared" si="1087"/>
        <v>0</v>
      </c>
      <c r="AL894" s="314">
        <f t="shared" si="1088"/>
        <v>0</v>
      </c>
      <c r="AM894" s="314">
        <f t="shared" si="1089"/>
        <v>0</v>
      </c>
      <c r="AN894" s="314">
        <f t="shared" si="1090"/>
        <v>0</v>
      </c>
      <c r="AO894" s="314">
        <f t="shared" si="1091"/>
        <v>0</v>
      </c>
      <c r="AP894" s="314">
        <f t="shared" si="1092"/>
        <v>0</v>
      </c>
    </row>
    <row r="895" spans="1:42" s="345" customFormat="1" ht="41.4" hidden="1" outlineLevel="3">
      <c r="A895" s="593" t="s">
        <v>23</v>
      </c>
      <c r="B895" s="1284" t="s">
        <v>1868</v>
      </c>
      <c r="C895" s="334"/>
      <c r="D895" s="304">
        <v>950</v>
      </c>
      <c r="E895" s="304">
        <f t="shared" si="1120"/>
        <v>0</v>
      </c>
      <c r="F895" s="304">
        <f t="shared" si="1121"/>
        <v>0</v>
      </c>
      <c r="G895" s="304">
        <f t="shared" si="1122"/>
        <v>-950</v>
      </c>
      <c r="H895" s="303">
        <f t="shared" si="1115"/>
        <v>0</v>
      </c>
      <c r="I895" s="316"/>
      <c r="J895" s="343"/>
      <c r="K895" s="343"/>
      <c r="L895" s="343"/>
      <c r="M895" s="316"/>
      <c r="N895" s="343"/>
      <c r="O895" s="343"/>
      <c r="P895" s="316"/>
      <c r="Q895" s="343"/>
      <c r="R895" s="344"/>
      <c r="S895" s="316"/>
      <c r="T895" s="316"/>
      <c r="U895" s="316"/>
      <c r="V895" s="316"/>
      <c r="W895" s="316">
        <f t="shared" si="1116"/>
        <v>0</v>
      </c>
      <c r="X895" s="316"/>
      <c r="Y895" s="316"/>
      <c r="Z895" s="316"/>
      <c r="AA895" s="316"/>
      <c r="AB895" s="304"/>
      <c r="AC895" s="304"/>
      <c r="AD895" s="304"/>
      <c r="AE895" s="304"/>
      <c r="AF895" s="1285"/>
      <c r="AG895" s="314">
        <f t="shared" si="1083"/>
        <v>0</v>
      </c>
      <c r="AH895" s="696">
        <f t="shared" si="1084"/>
        <v>0</v>
      </c>
      <c r="AI895" s="314">
        <f t="shared" si="1085"/>
        <v>0</v>
      </c>
      <c r="AJ895" s="314">
        <f t="shared" si="1086"/>
        <v>0</v>
      </c>
      <c r="AK895" s="314">
        <f t="shared" si="1087"/>
        <v>0</v>
      </c>
      <c r="AL895" s="314">
        <f t="shared" si="1088"/>
        <v>0</v>
      </c>
      <c r="AM895" s="314">
        <f t="shared" si="1089"/>
        <v>0</v>
      </c>
      <c r="AN895" s="314">
        <f t="shared" si="1090"/>
        <v>0</v>
      </c>
      <c r="AO895" s="314">
        <f t="shared" si="1091"/>
        <v>0</v>
      </c>
      <c r="AP895" s="314">
        <f t="shared" si="1092"/>
        <v>0</v>
      </c>
    </row>
    <row r="896" spans="1:42" s="314" customFormat="1">
      <c r="A896" s="592" t="s">
        <v>438</v>
      </c>
      <c r="B896" s="320" t="s">
        <v>1148</v>
      </c>
      <c r="C896" s="298" t="s">
        <v>762</v>
      </c>
      <c r="D896" s="299">
        <f>D897+D904</f>
        <v>29804</v>
      </c>
      <c r="E896" s="299">
        <f>E897+E904</f>
        <v>30367</v>
      </c>
      <c r="F896" s="299">
        <f>F897+F904</f>
        <v>30367</v>
      </c>
      <c r="G896" s="299">
        <f t="shared" si="1122"/>
        <v>563</v>
      </c>
      <c r="H896" s="299">
        <f t="shared" ref="H896:AE896" si="1123">H897+H904</f>
        <v>30367</v>
      </c>
      <c r="I896" s="299">
        <f t="shared" si="1123"/>
        <v>0</v>
      </c>
      <c r="J896" s="299">
        <f t="shared" si="1123"/>
        <v>0</v>
      </c>
      <c r="K896" s="299">
        <f t="shared" si="1123"/>
        <v>0</v>
      </c>
      <c r="L896" s="299">
        <f t="shared" si="1123"/>
        <v>0</v>
      </c>
      <c r="M896" s="299">
        <f t="shared" si="1123"/>
        <v>0</v>
      </c>
      <c r="N896" s="299">
        <f t="shared" si="1123"/>
        <v>0</v>
      </c>
      <c r="O896" s="299">
        <f t="shared" si="1123"/>
        <v>0</v>
      </c>
      <c r="P896" s="299">
        <f t="shared" si="1123"/>
        <v>0</v>
      </c>
      <c r="Q896" s="299">
        <f t="shared" si="1123"/>
        <v>0</v>
      </c>
      <c r="R896" s="299">
        <f t="shared" si="1123"/>
        <v>0</v>
      </c>
      <c r="S896" s="299">
        <f t="shared" si="1123"/>
        <v>0</v>
      </c>
      <c r="T896" s="299">
        <f t="shared" si="1123"/>
        <v>0</v>
      </c>
      <c r="U896" s="299">
        <f t="shared" si="1123"/>
        <v>0</v>
      </c>
      <c r="V896" s="299">
        <f t="shared" si="1123"/>
        <v>0</v>
      </c>
      <c r="W896" s="299">
        <f t="shared" si="1123"/>
        <v>30367</v>
      </c>
      <c r="X896" s="299">
        <f t="shared" si="1123"/>
        <v>0</v>
      </c>
      <c r="Y896" s="299">
        <f t="shared" si="1123"/>
        <v>0</v>
      </c>
      <c r="Z896" s="299">
        <f t="shared" si="1123"/>
        <v>24624</v>
      </c>
      <c r="AA896" s="299">
        <f t="shared" si="1123"/>
        <v>5743</v>
      </c>
      <c r="AB896" s="299">
        <f t="shared" si="1123"/>
        <v>0</v>
      </c>
      <c r="AC896" s="299">
        <f t="shared" si="1123"/>
        <v>0</v>
      </c>
      <c r="AD896" s="299">
        <f t="shared" si="1123"/>
        <v>723</v>
      </c>
      <c r="AE896" s="299">
        <f t="shared" si="1123"/>
        <v>29644</v>
      </c>
      <c r="AF896" s="321"/>
      <c r="AG896" s="314">
        <f t="shared" si="1083"/>
        <v>0</v>
      </c>
      <c r="AH896" s="696">
        <f t="shared" si="1084"/>
        <v>0</v>
      </c>
      <c r="AI896" s="314">
        <f t="shared" si="1085"/>
        <v>0</v>
      </c>
      <c r="AJ896" s="314">
        <f t="shared" si="1086"/>
        <v>0</v>
      </c>
      <c r="AK896" s="314">
        <f t="shared" si="1087"/>
        <v>0</v>
      </c>
      <c r="AL896" s="314">
        <f t="shared" si="1088"/>
        <v>0</v>
      </c>
      <c r="AM896" s="314">
        <f t="shared" si="1089"/>
        <v>0</v>
      </c>
      <c r="AN896" s="314">
        <f t="shared" si="1090"/>
        <v>0</v>
      </c>
      <c r="AO896" s="314">
        <f t="shared" si="1091"/>
        <v>0</v>
      </c>
      <c r="AP896" s="314">
        <f t="shared" si="1092"/>
        <v>0</v>
      </c>
    </row>
    <row r="897" spans="1:42">
      <c r="A897" s="593" t="s">
        <v>45</v>
      </c>
      <c r="B897" s="316" t="s">
        <v>1149</v>
      </c>
      <c r="C897" s="302"/>
      <c r="D897" s="304">
        <f>D898+D899+D900+D901+D902+D903</f>
        <v>22439</v>
      </c>
      <c r="E897" s="304">
        <f>E898+E899+E900+E901+E902+E903</f>
        <v>23932</v>
      </c>
      <c r="F897" s="304">
        <f>F898+F899+F900+F901+F902+F903</f>
        <v>23932</v>
      </c>
      <c r="G897" s="304">
        <f>G898+G899+G900+G901+G902+G903</f>
        <v>1493</v>
      </c>
      <c r="H897" s="304">
        <f t="shared" ref="H897:AA897" si="1124">H898+H899+H900+H901+H902+H903</f>
        <v>23932</v>
      </c>
      <c r="I897" s="304">
        <f t="shared" si="1124"/>
        <v>0</v>
      </c>
      <c r="J897" s="304">
        <f t="shared" si="1124"/>
        <v>0</v>
      </c>
      <c r="K897" s="304">
        <f t="shared" si="1124"/>
        <v>0</v>
      </c>
      <c r="L897" s="304">
        <f t="shared" si="1124"/>
        <v>0</v>
      </c>
      <c r="M897" s="304">
        <f t="shared" si="1124"/>
        <v>0</v>
      </c>
      <c r="N897" s="304">
        <f t="shared" si="1124"/>
        <v>0</v>
      </c>
      <c r="O897" s="304">
        <f t="shared" si="1124"/>
        <v>0</v>
      </c>
      <c r="P897" s="304">
        <f t="shared" si="1124"/>
        <v>0</v>
      </c>
      <c r="Q897" s="304">
        <f t="shared" si="1124"/>
        <v>0</v>
      </c>
      <c r="R897" s="304">
        <f t="shared" si="1124"/>
        <v>0</v>
      </c>
      <c r="S897" s="304">
        <f t="shared" si="1124"/>
        <v>0</v>
      </c>
      <c r="T897" s="304">
        <f t="shared" si="1124"/>
        <v>0</v>
      </c>
      <c r="U897" s="304">
        <f t="shared" si="1124"/>
        <v>0</v>
      </c>
      <c r="V897" s="304">
        <f t="shared" si="1124"/>
        <v>0</v>
      </c>
      <c r="W897" s="304">
        <f t="shared" si="1124"/>
        <v>23932</v>
      </c>
      <c r="X897" s="304">
        <f t="shared" si="1124"/>
        <v>0</v>
      </c>
      <c r="Y897" s="304">
        <f t="shared" si="1124"/>
        <v>0</v>
      </c>
      <c r="Z897" s="304">
        <f t="shared" si="1124"/>
        <v>22439</v>
      </c>
      <c r="AA897" s="304">
        <f t="shared" si="1124"/>
        <v>1493</v>
      </c>
      <c r="AB897" s="304"/>
      <c r="AC897" s="304"/>
      <c r="AD897" s="304">
        <v>274</v>
      </c>
      <c r="AE897" s="303">
        <f>E897-AD897</f>
        <v>23658</v>
      </c>
      <c r="AF897" s="317"/>
      <c r="AG897" s="314">
        <f t="shared" si="1083"/>
        <v>0</v>
      </c>
      <c r="AH897" s="696">
        <f t="shared" si="1084"/>
        <v>0</v>
      </c>
      <c r="AI897" s="314">
        <f t="shared" si="1085"/>
        <v>0</v>
      </c>
      <c r="AJ897" s="314">
        <f t="shared" si="1086"/>
        <v>0</v>
      </c>
      <c r="AK897" s="314">
        <f t="shared" si="1087"/>
        <v>0</v>
      </c>
      <c r="AL897" s="314">
        <f t="shared" si="1088"/>
        <v>0</v>
      </c>
      <c r="AM897" s="314">
        <f t="shared" si="1089"/>
        <v>0</v>
      </c>
      <c r="AN897" s="314">
        <f t="shared" si="1090"/>
        <v>0</v>
      </c>
      <c r="AO897" s="314">
        <f t="shared" si="1091"/>
        <v>0</v>
      </c>
      <c r="AP897" s="314">
        <f t="shared" si="1092"/>
        <v>0</v>
      </c>
    </row>
    <row r="898" spans="1:42" ht="55.2" outlineLevel="1">
      <c r="A898" s="593" t="s">
        <v>23</v>
      </c>
      <c r="B898" s="316" t="s">
        <v>1523</v>
      </c>
      <c r="C898" s="302"/>
      <c r="D898" s="304">
        <v>2704</v>
      </c>
      <c r="E898" s="304">
        <f t="shared" ref="E898:E903" si="1125">F898+AC898</f>
        <v>2974</v>
      </c>
      <c r="F898" s="304">
        <f t="shared" ref="F898:F903" si="1126">H898-AB898</f>
        <v>2974</v>
      </c>
      <c r="G898" s="304">
        <f t="shared" ref="G898:G903" si="1127">F898-D898</f>
        <v>270</v>
      </c>
      <c r="H898" s="303">
        <f t="shared" si="1115"/>
        <v>2974</v>
      </c>
      <c r="I898" s="303"/>
      <c r="J898" s="311"/>
      <c r="K898" s="311"/>
      <c r="L898" s="311"/>
      <c r="M898" s="303"/>
      <c r="N898" s="311"/>
      <c r="O898" s="311"/>
      <c r="P898" s="303"/>
      <c r="Q898" s="311"/>
      <c r="R898" s="312"/>
      <c r="S898" s="303"/>
      <c r="T898" s="303"/>
      <c r="U898" s="303"/>
      <c r="V898" s="303"/>
      <c r="W898" s="303">
        <f t="shared" ref="W898:W908" si="1128">Z898+AA898</f>
        <v>2974</v>
      </c>
      <c r="X898" s="303"/>
      <c r="Y898" s="303"/>
      <c r="Z898" s="303">
        <v>2704</v>
      </c>
      <c r="AA898" s="303">
        <v>270</v>
      </c>
      <c r="AB898" s="304"/>
      <c r="AC898" s="304"/>
      <c r="AD898" s="304"/>
      <c r="AE898" s="304"/>
      <c r="AF898" s="317"/>
      <c r="AG898" s="314">
        <f t="shared" si="1083"/>
        <v>0</v>
      </c>
      <c r="AH898" s="696">
        <f t="shared" si="1084"/>
        <v>0</v>
      </c>
      <c r="AI898" s="314">
        <f t="shared" si="1085"/>
        <v>0</v>
      </c>
      <c r="AJ898" s="314">
        <f t="shared" si="1086"/>
        <v>0</v>
      </c>
      <c r="AK898" s="314">
        <f t="shared" si="1087"/>
        <v>0</v>
      </c>
      <c r="AL898" s="314">
        <f t="shared" si="1088"/>
        <v>0</v>
      </c>
      <c r="AM898" s="314">
        <f t="shared" si="1089"/>
        <v>0</v>
      </c>
      <c r="AN898" s="314">
        <f t="shared" si="1090"/>
        <v>0</v>
      </c>
      <c r="AO898" s="314">
        <f t="shared" si="1091"/>
        <v>0</v>
      </c>
      <c r="AP898" s="314">
        <f t="shared" si="1092"/>
        <v>0</v>
      </c>
    </row>
    <row r="899" spans="1:42" outlineLevel="1">
      <c r="A899" s="593" t="s">
        <v>23</v>
      </c>
      <c r="B899" s="316" t="s">
        <v>1454</v>
      </c>
      <c r="C899" s="302"/>
      <c r="D899" s="304">
        <v>1000</v>
      </c>
      <c r="E899" s="304">
        <f t="shared" si="1125"/>
        <v>1100</v>
      </c>
      <c r="F899" s="304">
        <f t="shared" si="1126"/>
        <v>1100</v>
      </c>
      <c r="G899" s="304">
        <f t="shared" si="1127"/>
        <v>100</v>
      </c>
      <c r="H899" s="303">
        <f t="shared" si="1115"/>
        <v>1100</v>
      </c>
      <c r="I899" s="303"/>
      <c r="J899" s="311"/>
      <c r="K899" s="311"/>
      <c r="L899" s="311"/>
      <c r="M899" s="303"/>
      <c r="N899" s="311"/>
      <c r="O899" s="311"/>
      <c r="P899" s="303"/>
      <c r="Q899" s="311"/>
      <c r="R899" s="312"/>
      <c r="S899" s="303"/>
      <c r="T899" s="303"/>
      <c r="U899" s="303"/>
      <c r="V899" s="303"/>
      <c r="W899" s="303">
        <f t="shared" si="1128"/>
        <v>1100</v>
      </c>
      <c r="X899" s="303"/>
      <c r="Y899" s="303"/>
      <c r="Z899" s="303">
        <v>1000</v>
      </c>
      <c r="AA899" s="303">
        <v>100</v>
      </c>
      <c r="AB899" s="304"/>
      <c r="AC899" s="304"/>
      <c r="AD899" s="304"/>
      <c r="AE899" s="304"/>
      <c r="AF899" s="317"/>
      <c r="AG899" s="314">
        <f t="shared" si="1083"/>
        <v>0</v>
      </c>
      <c r="AH899" s="696">
        <f t="shared" si="1084"/>
        <v>0</v>
      </c>
      <c r="AI899" s="314">
        <f t="shared" si="1085"/>
        <v>0</v>
      </c>
      <c r="AJ899" s="314">
        <f t="shared" si="1086"/>
        <v>0</v>
      </c>
      <c r="AK899" s="314">
        <f t="shared" si="1087"/>
        <v>0</v>
      </c>
      <c r="AL899" s="314">
        <f t="shared" si="1088"/>
        <v>0</v>
      </c>
      <c r="AM899" s="314">
        <f t="shared" si="1089"/>
        <v>0</v>
      </c>
      <c r="AN899" s="314">
        <f t="shared" si="1090"/>
        <v>0</v>
      </c>
      <c r="AO899" s="314">
        <f t="shared" si="1091"/>
        <v>0</v>
      </c>
      <c r="AP899" s="314">
        <f t="shared" si="1092"/>
        <v>0</v>
      </c>
    </row>
    <row r="900" spans="1:42" ht="41.4" outlineLevel="1">
      <c r="A900" s="593" t="s">
        <v>23</v>
      </c>
      <c r="B900" s="316" t="s">
        <v>1487</v>
      </c>
      <c r="C900" s="302"/>
      <c r="D900" s="304">
        <v>1229</v>
      </c>
      <c r="E900" s="304">
        <f t="shared" si="1125"/>
        <v>1352</v>
      </c>
      <c r="F900" s="304">
        <f t="shared" si="1126"/>
        <v>1352</v>
      </c>
      <c r="G900" s="304">
        <f t="shared" si="1127"/>
        <v>123</v>
      </c>
      <c r="H900" s="303">
        <f t="shared" si="1115"/>
        <v>1352</v>
      </c>
      <c r="I900" s="303"/>
      <c r="J900" s="311"/>
      <c r="K900" s="311"/>
      <c r="L900" s="311"/>
      <c r="M900" s="303"/>
      <c r="N900" s="311"/>
      <c r="O900" s="311"/>
      <c r="P900" s="303"/>
      <c r="Q900" s="311"/>
      <c r="R900" s="312"/>
      <c r="S900" s="303"/>
      <c r="T900" s="303"/>
      <c r="U900" s="303"/>
      <c r="V900" s="303"/>
      <c r="W900" s="303">
        <f t="shared" si="1128"/>
        <v>1352</v>
      </c>
      <c r="X900" s="303"/>
      <c r="Y900" s="303"/>
      <c r="Z900" s="303">
        <v>1229</v>
      </c>
      <c r="AA900" s="303">
        <v>123</v>
      </c>
      <c r="AB900" s="304"/>
      <c r="AC900" s="304"/>
      <c r="AD900" s="304"/>
      <c r="AE900" s="304"/>
      <c r="AF900" s="317"/>
      <c r="AG900" s="314">
        <f t="shared" si="1083"/>
        <v>0</v>
      </c>
      <c r="AH900" s="696">
        <f t="shared" si="1084"/>
        <v>0</v>
      </c>
      <c r="AI900" s="314">
        <f t="shared" si="1085"/>
        <v>0</v>
      </c>
      <c r="AJ900" s="314">
        <f t="shared" si="1086"/>
        <v>0</v>
      </c>
      <c r="AK900" s="314">
        <f t="shared" si="1087"/>
        <v>0</v>
      </c>
      <c r="AL900" s="314">
        <f t="shared" si="1088"/>
        <v>0</v>
      </c>
      <c r="AM900" s="314">
        <f t="shared" si="1089"/>
        <v>0</v>
      </c>
      <c r="AN900" s="314">
        <f t="shared" si="1090"/>
        <v>0</v>
      </c>
      <c r="AO900" s="314">
        <f t="shared" si="1091"/>
        <v>0</v>
      </c>
      <c r="AP900" s="314">
        <f t="shared" si="1092"/>
        <v>0</v>
      </c>
    </row>
    <row r="901" spans="1:42" ht="27.6" outlineLevel="1">
      <c r="A901" s="593" t="s">
        <v>23</v>
      </c>
      <c r="B901" s="316" t="s">
        <v>1662</v>
      </c>
      <c r="C901" s="302"/>
      <c r="D901" s="304">
        <v>486</v>
      </c>
      <c r="E901" s="304">
        <f t="shared" si="1125"/>
        <v>486</v>
      </c>
      <c r="F901" s="304">
        <f t="shared" si="1126"/>
        <v>486</v>
      </c>
      <c r="G901" s="304">
        <f t="shared" si="1127"/>
        <v>0</v>
      </c>
      <c r="H901" s="303">
        <f t="shared" si="1115"/>
        <v>486</v>
      </c>
      <c r="I901" s="303"/>
      <c r="J901" s="311"/>
      <c r="K901" s="311"/>
      <c r="L901" s="311"/>
      <c r="M901" s="303"/>
      <c r="N901" s="311"/>
      <c r="O901" s="311"/>
      <c r="P901" s="303"/>
      <c r="Q901" s="311"/>
      <c r="R901" s="312"/>
      <c r="S901" s="303"/>
      <c r="T901" s="303"/>
      <c r="U901" s="303"/>
      <c r="V901" s="303"/>
      <c r="W901" s="303">
        <f t="shared" si="1128"/>
        <v>486</v>
      </c>
      <c r="X901" s="303"/>
      <c r="Y901" s="303"/>
      <c r="Z901" s="303">
        <v>486</v>
      </c>
      <c r="AA901" s="303"/>
      <c r="AB901" s="304"/>
      <c r="AC901" s="304"/>
      <c r="AD901" s="304"/>
      <c r="AE901" s="304"/>
      <c r="AF901" s="317"/>
      <c r="AG901" s="314">
        <f t="shared" si="1083"/>
        <v>0</v>
      </c>
      <c r="AH901" s="696">
        <f t="shared" si="1084"/>
        <v>0</v>
      </c>
      <c r="AI901" s="314">
        <f t="shared" si="1085"/>
        <v>0</v>
      </c>
      <c r="AJ901" s="314">
        <f t="shared" si="1086"/>
        <v>0</v>
      </c>
      <c r="AK901" s="314">
        <f t="shared" si="1087"/>
        <v>0</v>
      </c>
      <c r="AL901" s="314">
        <f t="shared" si="1088"/>
        <v>0</v>
      </c>
      <c r="AM901" s="314">
        <f t="shared" si="1089"/>
        <v>0</v>
      </c>
      <c r="AN901" s="314">
        <f t="shared" si="1090"/>
        <v>0</v>
      </c>
      <c r="AO901" s="314">
        <f t="shared" si="1091"/>
        <v>0</v>
      </c>
      <c r="AP901" s="314">
        <f t="shared" si="1092"/>
        <v>0</v>
      </c>
    </row>
    <row r="902" spans="1:42" ht="41.4" outlineLevel="1">
      <c r="A902" s="593" t="s">
        <v>23</v>
      </c>
      <c r="B902" s="316" t="s">
        <v>1150</v>
      </c>
      <c r="C902" s="302"/>
      <c r="D902" s="304">
        <v>13020</v>
      </c>
      <c r="E902" s="304">
        <f t="shared" si="1125"/>
        <v>13020</v>
      </c>
      <c r="F902" s="304">
        <f t="shared" si="1126"/>
        <v>13020</v>
      </c>
      <c r="G902" s="304">
        <f t="shared" si="1127"/>
        <v>0</v>
      </c>
      <c r="H902" s="303">
        <f t="shared" si="1115"/>
        <v>13020</v>
      </c>
      <c r="I902" s="303"/>
      <c r="J902" s="311"/>
      <c r="K902" s="311"/>
      <c r="L902" s="311"/>
      <c r="M902" s="303"/>
      <c r="N902" s="311"/>
      <c r="O902" s="311"/>
      <c r="P902" s="303"/>
      <c r="Q902" s="311"/>
      <c r="R902" s="312"/>
      <c r="S902" s="303"/>
      <c r="T902" s="303"/>
      <c r="U902" s="303"/>
      <c r="V902" s="303"/>
      <c r="W902" s="303">
        <f t="shared" si="1128"/>
        <v>13020</v>
      </c>
      <c r="X902" s="303"/>
      <c r="Y902" s="303"/>
      <c r="Z902" s="303">
        <v>13020</v>
      </c>
      <c r="AA902" s="303"/>
      <c r="AB902" s="304"/>
      <c r="AC902" s="304"/>
      <c r="AD902" s="304"/>
      <c r="AE902" s="304"/>
      <c r="AF902" s="317"/>
      <c r="AG902" s="314">
        <f t="shared" si="1083"/>
        <v>0</v>
      </c>
      <c r="AH902" s="696">
        <f t="shared" si="1084"/>
        <v>0</v>
      </c>
      <c r="AI902" s="314">
        <f t="shared" si="1085"/>
        <v>0</v>
      </c>
      <c r="AJ902" s="314">
        <f t="shared" si="1086"/>
        <v>0</v>
      </c>
      <c r="AK902" s="314">
        <f t="shared" si="1087"/>
        <v>0</v>
      </c>
      <c r="AL902" s="314">
        <f t="shared" si="1088"/>
        <v>0</v>
      </c>
      <c r="AM902" s="314">
        <f t="shared" si="1089"/>
        <v>0</v>
      </c>
      <c r="AN902" s="314">
        <f t="shared" si="1090"/>
        <v>0</v>
      </c>
      <c r="AO902" s="314">
        <f t="shared" si="1091"/>
        <v>0</v>
      </c>
      <c r="AP902" s="314">
        <f t="shared" si="1092"/>
        <v>0</v>
      </c>
    </row>
    <row r="903" spans="1:42" ht="27.6" outlineLevel="1">
      <c r="A903" s="593" t="s">
        <v>23</v>
      </c>
      <c r="B903" s="316" t="s">
        <v>1151</v>
      </c>
      <c r="C903" s="302"/>
      <c r="D903" s="304">
        <v>4000</v>
      </c>
      <c r="E903" s="304">
        <f t="shared" si="1125"/>
        <v>5000</v>
      </c>
      <c r="F903" s="304">
        <f t="shared" si="1126"/>
        <v>5000</v>
      </c>
      <c r="G903" s="304">
        <f t="shared" si="1127"/>
        <v>1000</v>
      </c>
      <c r="H903" s="303">
        <f t="shared" si="1115"/>
        <v>5000</v>
      </c>
      <c r="I903" s="303"/>
      <c r="J903" s="311"/>
      <c r="K903" s="311"/>
      <c r="L903" s="311"/>
      <c r="M903" s="303"/>
      <c r="N903" s="311"/>
      <c r="O903" s="311"/>
      <c r="P903" s="303"/>
      <c r="Q903" s="311"/>
      <c r="R903" s="312"/>
      <c r="S903" s="303"/>
      <c r="T903" s="303"/>
      <c r="U903" s="303"/>
      <c r="V903" s="303"/>
      <c r="W903" s="303">
        <f t="shared" si="1128"/>
        <v>5000</v>
      </c>
      <c r="X903" s="303"/>
      <c r="Y903" s="325"/>
      <c r="Z903" s="303">
        <v>4000</v>
      </c>
      <c r="AA903" s="303">
        <v>1000</v>
      </c>
      <c r="AB903" s="304"/>
      <c r="AC903" s="304"/>
      <c r="AD903" s="304"/>
      <c r="AE903" s="304"/>
      <c r="AF903" s="317"/>
      <c r="AG903" s="314">
        <f t="shared" si="1083"/>
        <v>0</v>
      </c>
      <c r="AH903" s="696">
        <f t="shared" si="1084"/>
        <v>0</v>
      </c>
      <c r="AI903" s="314">
        <f t="shared" si="1085"/>
        <v>0</v>
      </c>
      <c r="AJ903" s="314">
        <f t="shared" si="1086"/>
        <v>0</v>
      </c>
      <c r="AK903" s="314">
        <f t="shared" si="1087"/>
        <v>0</v>
      </c>
      <c r="AL903" s="314">
        <f t="shared" si="1088"/>
        <v>0</v>
      </c>
      <c r="AM903" s="314">
        <f t="shared" si="1089"/>
        <v>0</v>
      </c>
      <c r="AN903" s="314">
        <f t="shared" si="1090"/>
        <v>0</v>
      </c>
      <c r="AO903" s="314">
        <f t="shared" si="1091"/>
        <v>0</v>
      </c>
      <c r="AP903" s="314">
        <f t="shared" si="1092"/>
        <v>0</v>
      </c>
    </row>
    <row r="904" spans="1:42">
      <c r="A904" s="593" t="s">
        <v>47</v>
      </c>
      <c r="B904" s="316" t="s">
        <v>1145</v>
      </c>
      <c r="C904" s="302"/>
      <c r="D904" s="304">
        <v>7365</v>
      </c>
      <c r="E904" s="304">
        <f>E905+E906+E907+E908+E914+E909+E915+E916+E910+E917+E918+E911+E912+E913</f>
        <v>6435</v>
      </c>
      <c r="F904" s="304">
        <f t="shared" ref="F904:AC904" si="1129">F905+F906+F907+F908+F914+F909+F915+F916+F910+F917+F918+F911+F912+F913</f>
        <v>6435</v>
      </c>
      <c r="G904" s="304">
        <f t="shared" si="1129"/>
        <v>-930</v>
      </c>
      <c r="H904" s="304">
        <f t="shared" si="1129"/>
        <v>6435</v>
      </c>
      <c r="I904" s="304">
        <f t="shared" si="1129"/>
        <v>0</v>
      </c>
      <c r="J904" s="304">
        <f t="shared" si="1129"/>
        <v>0</v>
      </c>
      <c r="K904" s="304">
        <f t="shared" si="1129"/>
        <v>0</v>
      </c>
      <c r="L904" s="304">
        <f t="shared" si="1129"/>
        <v>0</v>
      </c>
      <c r="M904" s="304">
        <f t="shared" si="1129"/>
        <v>0</v>
      </c>
      <c r="N904" s="304">
        <f t="shared" si="1129"/>
        <v>0</v>
      </c>
      <c r="O904" s="304">
        <f t="shared" si="1129"/>
        <v>0</v>
      </c>
      <c r="P904" s="304">
        <f t="shared" si="1129"/>
        <v>0</v>
      </c>
      <c r="Q904" s="304">
        <f t="shared" si="1129"/>
        <v>0</v>
      </c>
      <c r="R904" s="304">
        <f t="shared" si="1129"/>
        <v>0</v>
      </c>
      <c r="S904" s="304">
        <f t="shared" si="1129"/>
        <v>0</v>
      </c>
      <c r="T904" s="304">
        <f t="shared" si="1129"/>
        <v>0</v>
      </c>
      <c r="U904" s="304">
        <f t="shared" si="1129"/>
        <v>0</v>
      </c>
      <c r="V904" s="304">
        <f t="shared" si="1129"/>
        <v>0</v>
      </c>
      <c r="W904" s="304">
        <f t="shared" si="1129"/>
        <v>6435</v>
      </c>
      <c r="X904" s="304">
        <f t="shared" si="1129"/>
        <v>0</v>
      </c>
      <c r="Y904" s="304">
        <f t="shared" si="1129"/>
        <v>0</v>
      </c>
      <c r="Z904" s="304">
        <f t="shared" si="1129"/>
        <v>2185</v>
      </c>
      <c r="AA904" s="304">
        <f t="shared" si="1129"/>
        <v>4250</v>
      </c>
      <c r="AB904" s="304">
        <f t="shared" si="1129"/>
        <v>0</v>
      </c>
      <c r="AC904" s="304">
        <f t="shared" si="1129"/>
        <v>0</v>
      </c>
      <c r="AD904" s="304">
        <v>449</v>
      </c>
      <c r="AE904" s="303">
        <f>E904-AD904</f>
        <v>5986</v>
      </c>
      <c r="AF904" s="317"/>
      <c r="AG904" s="314">
        <f t="shared" si="1083"/>
        <v>0</v>
      </c>
      <c r="AH904" s="696">
        <f t="shared" si="1084"/>
        <v>0</v>
      </c>
      <c r="AI904" s="314">
        <f t="shared" si="1085"/>
        <v>0</v>
      </c>
      <c r="AJ904" s="314">
        <f t="shared" si="1086"/>
        <v>0</v>
      </c>
      <c r="AK904" s="314">
        <f t="shared" si="1087"/>
        <v>0</v>
      </c>
      <c r="AL904" s="314">
        <f t="shared" si="1088"/>
        <v>0</v>
      </c>
      <c r="AM904" s="314">
        <f t="shared" si="1089"/>
        <v>0</v>
      </c>
      <c r="AN904" s="314">
        <f t="shared" si="1090"/>
        <v>0</v>
      </c>
      <c r="AO904" s="314">
        <f t="shared" si="1091"/>
        <v>0</v>
      </c>
      <c r="AP904" s="314">
        <f t="shared" si="1092"/>
        <v>0</v>
      </c>
    </row>
    <row r="905" spans="1:42" ht="41.4" outlineLevel="1">
      <c r="A905" s="593" t="s">
        <v>23</v>
      </c>
      <c r="B905" s="316" t="s">
        <v>1488</v>
      </c>
      <c r="C905" s="302"/>
      <c r="D905" s="304">
        <v>450</v>
      </c>
      <c r="E905" s="304">
        <f t="shared" ref="E905:E918" si="1130">F905+AC905</f>
        <v>470</v>
      </c>
      <c r="F905" s="304">
        <f t="shared" ref="F905:F918" si="1131">H905-AB905</f>
        <v>470</v>
      </c>
      <c r="G905" s="304">
        <f t="shared" ref="G905:G918" si="1132">F905-D905</f>
        <v>20</v>
      </c>
      <c r="H905" s="303">
        <f t="shared" si="1115"/>
        <v>470</v>
      </c>
      <c r="I905" s="303"/>
      <c r="J905" s="311"/>
      <c r="K905" s="311"/>
      <c r="L905" s="311"/>
      <c r="M905" s="303"/>
      <c r="N905" s="311"/>
      <c r="O905" s="311"/>
      <c r="P905" s="303"/>
      <c r="Q905" s="311"/>
      <c r="R905" s="312"/>
      <c r="S905" s="303"/>
      <c r="T905" s="303"/>
      <c r="U905" s="303"/>
      <c r="V905" s="303"/>
      <c r="W905" s="303">
        <f t="shared" si="1128"/>
        <v>470</v>
      </c>
      <c r="X905" s="303"/>
      <c r="Y905" s="303"/>
      <c r="Z905" s="303">
        <f>150+300+20</f>
        <v>470</v>
      </c>
      <c r="AA905" s="303">
        <v>0</v>
      </c>
      <c r="AB905" s="304"/>
      <c r="AC905" s="304"/>
      <c r="AD905" s="304"/>
      <c r="AE905" s="304"/>
      <c r="AF905" s="316"/>
      <c r="AG905" s="314">
        <f t="shared" si="1083"/>
        <v>0</v>
      </c>
      <c r="AH905" s="696">
        <f t="shared" si="1084"/>
        <v>0</v>
      </c>
      <c r="AI905" s="314">
        <f t="shared" si="1085"/>
        <v>0</v>
      </c>
      <c r="AJ905" s="314">
        <f t="shared" si="1086"/>
        <v>0</v>
      </c>
      <c r="AK905" s="314">
        <f t="shared" si="1087"/>
        <v>0</v>
      </c>
      <c r="AL905" s="314">
        <f t="shared" si="1088"/>
        <v>0</v>
      </c>
      <c r="AM905" s="314">
        <f t="shared" si="1089"/>
        <v>0</v>
      </c>
      <c r="AN905" s="314">
        <f t="shared" si="1090"/>
        <v>0</v>
      </c>
      <c r="AO905" s="314">
        <f t="shared" si="1091"/>
        <v>0</v>
      </c>
      <c r="AP905" s="314">
        <f t="shared" si="1092"/>
        <v>0</v>
      </c>
    </row>
    <row r="906" spans="1:42" ht="55.2" outlineLevel="1">
      <c r="A906" s="593" t="s">
        <v>23</v>
      </c>
      <c r="B906" s="316" t="s">
        <v>1152</v>
      </c>
      <c r="C906" s="302"/>
      <c r="D906" s="304">
        <v>240</v>
      </c>
      <c r="E906" s="304">
        <f t="shared" si="1130"/>
        <v>240</v>
      </c>
      <c r="F906" s="304">
        <f t="shared" si="1131"/>
        <v>240</v>
      </c>
      <c r="G906" s="304">
        <f t="shared" si="1132"/>
        <v>0</v>
      </c>
      <c r="H906" s="303">
        <f t="shared" si="1115"/>
        <v>240</v>
      </c>
      <c r="I906" s="303"/>
      <c r="J906" s="311"/>
      <c r="K906" s="311"/>
      <c r="L906" s="311"/>
      <c r="M906" s="303"/>
      <c r="N906" s="311"/>
      <c r="O906" s="311"/>
      <c r="P906" s="303"/>
      <c r="Q906" s="311"/>
      <c r="R906" s="312"/>
      <c r="S906" s="303"/>
      <c r="T906" s="303"/>
      <c r="U906" s="303"/>
      <c r="V906" s="303"/>
      <c r="W906" s="303">
        <f t="shared" si="1128"/>
        <v>240</v>
      </c>
      <c r="X906" s="303"/>
      <c r="Y906" s="303"/>
      <c r="Z906" s="303">
        <v>240</v>
      </c>
      <c r="AA906" s="303"/>
      <c r="AB906" s="304"/>
      <c r="AC906" s="304"/>
      <c r="AD906" s="304"/>
      <c r="AE906" s="304"/>
      <c r="AF906" s="317"/>
      <c r="AG906" s="314">
        <f t="shared" si="1083"/>
        <v>0</v>
      </c>
      <c r="AH906" s="696">
        <f t="shared" si="1084"/>
        <v>0</v>
      </c>
      <c r="AI906" s="314">
        <f t="shared" si="1085"/>
        <v>0</v>
      </c>
      <c r="AJ906" s="314">
        <f t="shared" si="1086"/>
        <v>0</v>
      </c>
      <c r="AK906" s="314">
        <f t="shared" si="1087"/>
        <v>0</v>
      </c>
      <c r="AL906" s="314">
        <f t="shared" si="1088"/>
        <v>0</v>
      </c>
      <c r="AM906" s="314">
        <f t="shared" si="1089"/>
        <v>0</v>
      </c>
      <c r="AN906" s="314">
        <f t="shared" si="1090"/>
        <v>0</v>
      </c>
      <c r="AO906" s="314">
        <f t="shared" si="1091"/>
        <v>0</v>
      </c>
      <c r="AP906" s="314">
        <f t="shared" si="1092"/>
        <v>0</v>
      </c>
    </row>
    <row r="907" spans="1:42" ht="55.2" outlineLevel="1">
      <c r="A907" s="593" t="s">
        <v>23</v>
      </c>
      <c r="B907" s="316" t="s">
        <v>1664</v>
      </c>
      <c r="C907" s="302"/>
      <c r="D907" s="304">
        <v>680</v>
      </c>
      <c r="E907" s="304">
        <f t="shared" si="1130"/>
        <v>720</v>
      </c>
      <c r="F907" s="304">
        <f t="shared" si="1131"/>
        <v>720</v>
      </c>
      <c r="G907" s="304">
        <f t="shared" si="1132"/>
        <v>40</v>
      </c>
      <c r="H907" s="303">
        <f t="shared" si="1115"/>
        <v>720</v>
      </c>
      <c r="I907" s="303"/>
      <c r="J907" s="311"/>
      <c r="K907" s="311"/>
      <c r="L907" s="311"/>
      <c r="M907" s="303"/>
      <c r="N907" s="311"/>
      <c r="O907" s="311"/>
      <c r="P907" s="303"/>
      <c r="Q907" s="311"/>
      <c r="R907" s="312"/>
      <c r="S907" s="303"/>
      <c r="T907" s="303"/>
      <c r="U907" s="303"/>
      <c r="V907" s="303"/>
      <c r="W907" s="303">
        <f t="shared" si="1128"/>
        <v>720</v>
      </c>
      <c r="X907" s="303"/>
      <c r="Y907" s="303"/>
      <c r="Z907" s="303">
        <f>680+40</f>
        <v>720</v>
      </c>
      <c r="AA907" s="303">
        <v>0</v>
      </c>
      <c r="AB907" s="304"/>
      <c r="AC907" s="304"/>
      <c r="AD907" s="304"/>
      <c r="AE907" s="304"/>
      <c r="AF907" s="316"/>
      <c r="AG907" s="314">
        <f t="shared" si="1083"/>
        <v>0</v>
      </c>
      <c r="AH907" s="696">
        <f t="shared" si="1084"/>
        <v>0</v>
      </c>
      <c r="AI907" s="314">
        <f t="shared" si="1085"/>
        <v>0</v>
      </c>
      <c r="AJ907" s="314">
        <f t="shared" si="1086"/>
        <v>0</v>
      </c>
      <c r="AK907" s="314">
        <f t="shared" si="1087"/>
        <v>0</v>
      </c>
      <c r="AL907" s="314">
        <f t="shared" si="1088"/>
        <v>0</v>
      </c>
      <c r="AM907" s="314">
        <f t="shared" si="1089"/>
        <v>0</v>
      </c>
      <c r="AN907" s="314">
        <f t="shared" si="1090"/>
        <v>0</v>
      </c>
      <c r="AO907" s="314">
        <f t="shared" si="1091"/>
        <v>0</v>
      </c>
      <c r="AP907" s="314">
        <f t="shared" si="1092"/>
        <v>0</v>
      </c>
    </row>
    <row r="908" spans="1:42" ht="41.4" outlineLevel="1">
      <c r="A908" s="593" t="s">
        <v>23</v>
      </c>
      <c r="B908" s="316" t="s">
        <v>1153</v>
      </c>
      <c r="C908" s="302"/>
      <c r="D908" s="304">
        <v>500</v>
      </c>
      <c r="E908" s="304">
        <f t="shared" si="1130"/>
        <v>500</v>
      </c>
      <c r="F908" s="304">
        <f t="shared" si="1131"/>
        <v>500</v>
      </c>
      <c r="G908" s="304">
        <f t="shared" si="1132"/>
        <v>0</v>
      </c>
      <c r="H908" s="303">
        <f t="shared" si="1115"/>
        <v>500</v>
      </c>
      <c r="I908" s="303"/>
      <c r="J908" s="311"/>
      <c r="K908" s="311"/>
      <c r="L908" s="311"/>
      <c r="M908" s="303"/>
      <c r="N908" s="311"/>
      <c r="O908" s="311"/>
      <c r="P908" s="303"/>
      <c r="Q908" s="311"/>
      <c r="R908" s="312"/>
      <c r="S908" s="303"/>
      <c r="T908" s="303"/>
      <c r="U908" s="303"/>
      <c r="V908" s="303"/>
      <c r="W908" s="303">
        <f t="shared" si="1128"/>
        <v>500</v>
      </c>
      <c r="X908" s="303"/>
      <c r="Y908" s="303"/>
      <c r="Z908" s="303">
        <v>500</v>
      </c>
      <c r="AA908" s="303"/>
      <c r="AB908" s="304"/>
      <c r="AC908" s="304"/>
      <c r="AD908" s="304"/>
      <c r="AE908" s="304"/>
      <c r="AF908" s="317"/>
      <c r="AG908" s="314">
        <f t="shared" si="1083"/>
        <v>0</v>
      </c>
      <c r="AH908" s="696">
        <f t="shared" si="1084"/>
        <v>0</v>
      </c>
      <c r="AI908" s="314">
        <f t="shared" si="1085"/>
        <v>0</v>
      </c>
      <c r="AJ908" s="314">
        <f t="shared" si="1086"/>
        <v>0</v>
      </c>
      <c r="AK908" s="314">
        <f t="shared" si="1087"/>
        <v>0</v>
      </c>
      <c r="AL908" s="314">
        <f t="shared" si="1088"/>
        <v>0</v>
      </c>
      <c r="AM908" s="314">
        <f t="shared" si="1089"/>
        <v>0</v>
      </c>
      <c r="AN908" s="314">
        <f t="shared" si="1090"/>
        <v>0</v>
      </c>
      <c r="AO908" s="314">
        <f t="shared" si="1091"/>
        <v>0</v>
      </c>
      <c r="AP908" s="314">
        <f t="shared" si="1092"/>
        <v>0</v>
      </c>
    </row>
    <row r="909" spans="1:42" ht="27.6" outlineLevel="1">
      <c r="A909" s="593" t="s">
        <v>23</v>
      </c>
      <c r="B909" s="316" t="s">
        <v>1666</v>
      </c>
      <c r="C909" s="302"/>
      <c r="D909" s="304">
        <v>255</v>
      </c>
      <c r="E909" s="304">
        <f t="shared" si="1130"/>
        <v>255</v>
      </c>
      <c r="F909" s="304">
        <f t="shared" si="1131"/>
        <v>255</v>
      </c>
      <c r="G909" s="304">
        <f t="shared" si="1132"/>
        <v>0</v>
      </c>
      <c r="H909" s="303">
        <f>I909+W909</f>
        <v>255</v>
      </c>
      <c r="I909" s="303"/>
      <c r="J909" s="311"/>
      <c r="K909" s="311"/>
      <c r="L909" s="311"/>
      <c r="M909" s="303"/>
      <c r="N909" s="311"/>
      <c r="O909" s="311"/>
      <c r="P909" s="303"/>
      <c r="Q909" s="311"/>
      <c r="R909" s="312"/>
      <c r="S909" s="303"/>
      <c r="T909" s="303"/>
      <c r="U909" s="303"/>
      <c r="V909" s="303"/>
      <c r="W909" s="303">
        <f>Z909+AA909</f>
        <v>255</v>
      </c>
      <c r="X909" s="303"/>
      <c r="Y909" s="303"/>
      <c r="Z909" s="303">
        <v>255</v>
      </c>
      <c r="AA909" s="303"/>
      <c r="AB909" s="304"/>
      <c r="AC909" s="304"/>
      <c r="AD909" s="304"/>
      <c r="AE909" s="304"/>
      <c r="AF909" s="317"/>
      <c r="AG909" s="314">
        <f t="shared" si="1083"/>
        <v>0</v>
      </c>
      <c r="AH909" s="696">
        <f t="shared" si="1084"/>
        <v>0</v>
      </c>
      <c r="AI909" s="314">
        <f t="shared" si="1085"/>
        <v>0</v>
      </c>
      <c r="AJ909" s="314">
        <f t="shared" si="1086"/>
        <v>0</v>
      </c>
      <c r="AK909" s="314">
        <f t="shared" si="1087"/>
        <v>0</v>
      </c>
      <c r="AL909" s="314">
        <f t="shared" si="1088"/>
        <v>0</v>
      </c>
      <c r="AM909" s="314">
        <f t="shared" si="1089"/>
        <v>0</v>
      </c>
      <c r="AN909" s="314">
        <f t="shared" si="1090"/>
        <v>0</v>
      </c>
      <c r="AO909" s="314">
        <f t="shared" si="1091"/>
        <v>0</v>
      </c>
      <c r="AP909" s="314">
        <f t="shared" si="1092"/>
        <v>0</v>
      </c>
    </row>
    <row r="910" spans="1:42" ht="41.4" hidden="1" outlineLevel="3">
      <c r="A910" s="593" t="s">
        <v>23</v>
      </c>
      <c r="B910" s="316" t="s">
        <v>1668</v>
      </c>
      <c r="C910" s="302"/>
      <c r="D910" s="304">
        <v>60</v>
      </c>
      <c r="E910" s="304">
        <f t="shared" si="1130"/>
        <v>0</v>
      </c>
      <c r="F910" s="304">
        <f t="shared" si="1131"/>
        <v>0</v>
      </c>
      <c r="G910" s="304">
        <f t="shared" si="1132"/>
        <v>-60</v>
      </c>
      <c r="H910" s="303">
        <f>I910+W910</f>
        <v>0</v>
      </c>
      <c r="I910" s="303"/>
      <c r="J910" s="311"/>
      <c r="K910" s="311"/>
      <c r="L910" s="311"/>
      <c r="M910" s="303"/>
      <c r="N910" s="311"/>
      <c r="O910" s="311"/>
      <c r="P910" s="303"/>
      <c r="Q910" s="311"/>
      <c r="R910" s="312"/>
      <c r="S910" s="303"/>
      <c r="T910" s="303"/>
      <c r="U910" s="303"/>
      <c r="V910" s="303"/>
      <c r="W910" s="303">
        <f>Z910+AA910</f>
        <v>0</v>
      </c>
      <c r="X910" s="303"/>
      <c r="Y910" s="303"/>
      <c r="Z910" s="303"/>
      <c r="AA910" s="303"/>
      <c r="AB910" s="304"/>
      <c r="AC910" s="304"/>
      <c r="AD910" s="304"/>
      <c r="AE910" s="304"/>
      <c r="AF910" s="317"/>
      <c r="AG910" s="314">
        <f t="shared" si="1083"/>
        <v>0</v>
      </c>
      <c r="AH910" s="696">
        <f t="shared" si="1084"/>
        <v>0</v>
      </c>
      <c r="AI910" s="314">
        <f t="shared" si="1085"/>
        <v>0</v>
      </c>
      <c r="AJ910" s="314">
        <f t="shared" si="1086"/>
        <v>0</v>
      </c>
      <c r="AK910" s="314">
        <f t="shared" si="1087"/>
        <v>0</v>
      </c>
      <c r="AL910" s="314">
        <f t="shared" si="1088"/>
        <v>0</v>
      </c>
      <c r="AM910" s="314">
        <f t="shared" si="1089"/>
        <v>0</v>
      </c>
      <c r="AN910" s="314">
        <f t="shared" si="1090"/>
        <v>0</v>
      </c>
      <c r="AO910" s="314">
        <f t="shared" si="1091"/>
        <v>0</v>
      </c>
      <c r="AP910" s="314">
        <f t="shared" si="1092"/>
        <v>0</v>
      </c>
    </row>
    <row r="911" spans="1:42" s="345" customFormat="1" ht="69" outlineLevel="1" collapsed="1">
      <c r="A911" s="593" t="s">
        <v>23</v>
      </c>
      <c r="B911" s="1284" t="s">
        <v>2449</v>
      </c>
      <c r="C911" s="334"/>
      <c r="D911" s="304"/>
      <c r="E911" s="304">
        <f t="shared" si="1130"/>
        <v>850</v>
      </c>
      <c r="F911" s="304">
        <f t="shared" si="1131"/>
        <v>850</v>
      </c>
      <c r="G911" s="304">
        <f t="shared" si="1132"/>
        <v>850</v>
      </c>
      <c r="H911" s="303">
        <f t="shared" ref="H911:H918" si="1133">I911+W911</f>
        <v>850</v>
      </c>
      <c r="I911" s="316"/>
      <c r="J911" s="343"/>
      <c r="K911" s="343"/>
      <c r="L911" s="343"/>
      <c r="M911" s="316"/>
      <c r="N911" s="343"/>
      <c r="O911" s="343"/>
      <c r="P911" s="316"/>
      <c r="Q911" s="343"/>
      <c r="R911" s="344"/>
      <c r="S911" s="316"/>
      <c r="T911" s="316"/>
      <c r="U911" s="316"/>
      <c r="V911" s="316"/>
      <c r="W911" s="316">
        <f t="shared" ref="W911:W918" si="1134">Z911+AA911</f>
        <v>850</v>
      </c>
      <c r="X911" s="316"/>
      <c r="Y911" s="316"/>
      <c r="Z911" s="316"/>
      <c r="AA911" s="316">
        <v>850</v>
      </c>
      <c r="AB911" s="304"/>
      <c r="AC911" s="304"/>
      <c r="AD911" s="304"/>
      <c r="AE911" s="304"/>
      <c r="AF911" s="317" t="s">
        <v>2458</v>
      </c>
      <c r="AG911" s="314">
        <f t="shared" si="1083"/>
        <v>0</v>
      </c>
      <c r="AH911" s="696">
        <f t="shared" si="1084"/>
        <v>0</v>
      </c>
      <c r="AI911" s="314">
        <f t="shared" si="1085"/>
        <v>0</v>
      </c>
      <c r="AJ911" s="314">
        <f t="shared" si="1086"/>
        <v>0</v>
      </c>
      <c r="AK911" s="314">
        <f t="shared" si="1087"/>
        <v>0</v>
      </c>
      <c r="AL911" s="314">
        <f t="shared" si="1088"/>
        <v>0</v>
      </c>
      <c r="AM911" s="314">
        <f t="shared" si="1089"/>
        <v>0</v>
      </c>
      <c r="AN911" s="314">
        <f t="shared" si="1090"/>
        <v>0</v>
      </c>
      <c r="AO911" s="314">
        <f t="shared" si="1091"/>
        <v>0</v>
      </c>
      <c r="AP911" s="314">
        <f t="shared" si="1092"/>
        <v>0</v>
      </c>
    </row>
    <row r="912" spans="1:42" s="345" customFormat="1" ht="69" outlineLevel="1">
      <c r="A912" s="593" t="s">
        <v>23</v>
      </c>
      <c r="B912" s="1284" t="s">
        <v>2435</v>
      </c>
      <c r="C912" s="334"/>
      <c r="D912" s="304"/>
      <c r="E912" s="304">
        <f t="shared" si="1130"/>
        <v>400</v>
      </c>
      <c r="F912" s="304">
        <f t="shared" si="1131"/>
        <v>400</v>
      </c>
      <c r="G912" s="304">
        <f t="shared" si="1132"/>
        <v>400</v>
      </c>
      <c r="H912" s="303">
        <f t="shared" si="1133"/>
        <v>400</v>
      </c>
      <c r="I912" s="316"/>
      <c r="J912" s="343"/>
      <c r="K912" s="343"/>
      <c r="L912" s="343"/>
      <c r="M912" s="316"/>
      <c r="N912" s="343"/>
      <c r="O912" s="343"/>
      <c r="P912" s="316"/>
      <c r="Q912" s="343"/>
      <c r="R912" s="344"/>
      <c r="S912" s="316"/>
      <c r="T912" s="316"/>
      <c r="U912" s="316"/>
      <c r="V912" s="316"/>
      <c r="W912" s="316">
        <f t="shared" si="1134"/>
        <v>400</v>
      </c>
      <c r="X912" s="316"/>
      <c r="Y912" s="316"/>
      <c r="Z912" s="316"/>
      <c r="AA912" s="316">
        <v>400</v>
      </c>
      <c r="AB912" s="304"/>
      <c r="AC912" s="304"/>
      <c r="AD912" s="304"/>
      <c r="AE912" s="304"/>
      <c r="AF912" s="1642" t="s">
        <v>2459</v>
      </c>
      <c r="AG912" s="314">
        <f t="shared" si="1083"/>
        <v>0</v>
      </c>
      <c r="AH912" s="696">
        <f t="shared" si="1084"/>
        <v>0</v>
      </c>
      <c r="AI912" s="314">
        <f t="shared" si="1085"/>
        <v>0</v>
      </c>
      <c r="AJ912" s="314">
        <f t="shared" si="1086"/>
        <v>0</v>
      </c>
      <c r="AK912" s="314">
        <f t="shared" si="1087"/>
        <v>0</v>
      </c>
      <c r="AL912" s="314">
        <f t="shared" si="1088"/>
        <v>0</v>
      </c>
      <c r="AM912" s="314">
        <f t="shared" si="1089"/>
        <v>0</v>
      </c>
      <c r="AN912" s="314">
        <f t="shared" si="1090"/>
        <v>0</v>
      </c>
      <c r="AO912" s="314">
        <f t="shared" si="1091"/>
        <v>0</v>
      </c>
      <c r="AP912" s="314">
        <f t="shared" si="1092"/>
        <v>0</v>
      </c>
    </row>
    <row r="913" spans="1:42" s="345" customFormat="1" ht="41.4" outlineLevel="1">
      <c r="A913" s="593" t="s">
        <v>23</v>
      </c>
      <c r="B913" s="1284" t="s">
        <v>2431</v>
      </c>
      <c r="C913" s="334"/>
      <c r="D913" s="304"/>
      <c r="E913" s="304">
        <f t="shared" si="1130"/>
        <v>3000</v>
      </c>
      <c r="F913" s="304">
        <f t="shared" si="1131"/>
        <v>3000</v>
      </c>
      <c r="G913" s="304">
        <f t="shared" si="1132"/>
        <v>3000</v>
      </c>
      <c r="H913" s="303">
        <f t="shared" si="1133"/>
        <v>3000</v>
      </c>
      <c r="I913" s="316"/>
      <c r="J913" s="343"/>
      <c r="K913" s="343"/>
      <c r="L913" s="343"/>
      <c r="M913" s="316"/>
      <c r="N913" s="343"/>
      <c r="O913" s="343"/>
      <c r="P913" s="316"/>
      <c r="Q913" s="343"/>
      <c r="R913" s="344"/>
      <c r="S913" s="316"/>
      <c r="T913" s="316"/>
      <c r="U913" s="316"/>
      <c r="V913" s="316"/>
      <c r="W913" s="316">
        <f t="shared" si="1134"/>
        <v>3000</v>
      </c>
      <c r="X913" s="316"/>
      <c r="Y913" s="316"/>
      <c r="Z913" s="316"/>
      <c r="AA913" s="316">
        <v>3000</v>
      </c>
      <c r="AB913" s="304"/>
      <c r="AC913" s="304"/>
      <c r="AD913" s="304"/>
      <c r="AE913" s="304"/>
      <c r="AF913" s="1643"/>
      <c r="AG913" s="314">
        <f t="shared" si="1083"/>
        <v>0</v>
      </c>
      <c r="AH913" s="696">
        <f t="shared" si="1084"/>
        <v>0</v>
      </c>
      <c r="AI913" s="314">
        <f t="shared" si="1085"/>
        <v>0</v>
      </c>
      <c r="AJ913" s="314">
        <f t="shared" si="1086"/>
        <v>0</v>
      </c>
      <c r="AK913" s="314">
        <f t="shared" si="1087"/>
        <v>0</v>
      </c>
      <c r="AL913" s="314">
        <f t="shared" si="1088"/>
        <v>0</v>
      </c>
      <c r="AM913" s="314">
        <f t="shared" si="1089"/>
        <v>0</v>
      </c>
      <c r="AN913" s="314">
        <f t="shared" si="1090"/>
        <v>0</v>
      </c>
      <c r="AO913" s="314">
        <f t="shared" si="1091"/>
        <v>0</v>
      </c>
      <c r="AP913" s="314">
        <f t="shared" si="1092"/>
        <v>0</v>
      </c>
    </row>
    <row r="914" spans="1:42" ht="82.8" hidden="1" outlineLevel="3">
      <c r="A914" s="593" t="s">
        <v>23</v>
      </c>
      <c r="B914" s="316" t="s">
        <v>1665</v>
      </c>
      <c r="C914" s="302"/>
      <c r="D914" s="304">
        <v>610</v>
      </c>
      <c r="E914" s="304">
        <f t="shared" si="1130"/>
        <v>0</v>
      </c>
      <c r="F914" s="304">
        <f t="shared" si="1131"/>
        <v>0</v>
      </c>
      <c r="G914" s="304">
        <f t="shared" si="1132"/>
        <v>-610</v>
      </c>
      <c r="H914" s="303">
        <f t="shared" si="1133"/>
        <v>0</v>
      </c>
      <c r="I914" s="303"/>
      <c r="J914" s="311"/>
      <c r="K914" s="311"/>
      <c r="L914" s="311"/>
      <c r="M914" s="303"/>
      <c r="N914" s="311"/>
      <c r="O914" s="311"/>
      <c r="P914" s="303"/>
      <c r="Q914" s="311"/>
      <c r="R914" s="312"/>
      <c r="S914" s="303"/>
      <c r="T914" s="303"/>
      <c r="U914" s="303"/>
      <c r="V914" s="303"/>
      <c r="W914" s="303">
        <f t="shared" si="1134"/>
        <v>0</v>
      </c>
      <c r="X914" s="303"/>
      <c r="Y914" s="303"/>
      <c r="Z914" s="303"/>
      <c r="AA914" s="303"/>
      <c r="AB914" s="304"/>
      <c r="AC914" s="304"/>
      <c r="AD914" s="304"/>
      <c r="AE914" s="304"/>
      <c r="AF914" s="317"/>
      <c r="AG914" s="314">
        <f t="shared" si="1083"/>
        <v>0</v>
      </c>
      <c r="AH914" s="696">
        <f t="shared" si="1084"/>
        <v>0</v>
      </c>
      <c r="AI914" s="314">
        <f t="shared" si="1085"/>
        <v>0</v>
      </c>
      <c r="AJ914" s="314">
        <f t="shared" si="1086"/>
        <v>0</v>
      </c>
      <c r="AK914" s="314">
        <f t="shared" si="1087"/>
        <v>0</v>
      </c>
      <c r="AL914" s="314">
        <f t="shared" si="1088"/>
        <v>0</v>
      </c>
      <c r="AM914" s="314">
        <f t="shared" si="1089"/>
        <v>0</v>
      </c>
      <c r="AN914" s="314">
        <f t="shared" si="1090"/>
        <v>0</v>
      </c>
      <c r="AO914" s="314">
        <f t="shared" si="1091"/>
        <v>0</v>
      </c>
      <c r="AP914" s="314">
        <f t="shared" si="1092"/>
        <v>0</v>
      </c>
    </row>
    <row r="915" spans="1:42" ht="55.2" hidden="1" outlineLevel="3">
      <c r="A915" s="593" t="s">
        <v>23</v>
      </c>
      <c r="B915" s="316" t="s">
        <v>1667</v>
      </c>
      <c r="C915" s="302"/>
      <c r="D915" s="304">
        <v>170</v>
      </c>
      <c r="E915" s="304">
        <f t="shared" si="1130"/>
        <v>0</v>
      </c>
      <c r="F915" s="304">
        <f t="shared" si="1131"/>
        <v>0</v>
      </c>
      <c r="G915" s="304">
        <f t="shared" si="1132"/>
        <v>-170</v>
      </c>
      <c r="H915" s="303">
        <f t="shared" si="1133"/>
        <v>0</v>
      </c>
      <c r="I915" s="303"/>
      <c r="J915" s="311"/>
      <c r="K915" s="311"/>
      <c r="L915" s="311"/>
      <c r="M915" s="303"/>
      <c r="N915" s="311"/>
      <c r="O915" s="311"/>
      <c r="P915" s="303"/>
      <c r="Q915" s="311"/>
      <c r="R915" s="312"/>
      <c r="S915" s="303"/>
      <c r="T915" s="303"/>
      <c r="U915" s="303"/>
      <c r="V915" s="303"/>
      <c r="W915" s="303">
        <f t="shared" si="1134"/>
        <v>0</v>
      </c>
      <c r="X915" s="303"/>
      <c r="Y915" s="303"/>
      <c r="Z915" s="303"/>
      <c r="AA915" s="303"/>
      <c r="AB915" s="304"/>
      <c r="AC915" s="304"/>
      <c r="AD915" s="304"/>
      <c r="AE915" s="304"/>
      <c r="AF915" s="317"/>
      <c r="AG915" s="314">
        <f t="shared" si="1083"/>
        <v>0</v>
      </c>
      <c r="AH915" s="696">
        <f t="shared" si="1084"/>
        <v>0</v>
      </c>
      <c r="AI915" s="314">
        <f t="shared" si="1085"/>
        <v>0</v>
      </c>
      <c r="AJ915" s="314">
        <f t="shared" si="1086"/>
        <v>0</v>
      </c>
      <c r="AK915" s="314">
        <f t="shared" si="1087"/>
        <v>0</v>
      </c>
      <c r="AL915" s="314">
        <f t="shared" si="1088"/>
        <v>0</v>
      </c>
      <c r="AM915" s="314">
        <f t="shared" si="1089"/>
        <v>0</v>
      </c>
      <c r="AN915" s="314">
        <f t="shared" si="1090"/>
        <v>0</v>
      </c>
      <c r="AO915" s="314">
        <f t="shared" si="1091"/>
        <v>0</v>
      </c>
      <c r="AP915" s="314">
        <f t="shared" si="1092"/>
        <v>0</v>
      </c>
    </row>
    <row r="916" spans="1:42" ht="41.4" hidden="1" outlineLevel="3">
      <c r="A916" s="593" t="s">
        <v>23</v>
      </c>
      <c r="B916" s="316" t="s">
        <v>1869</v>
      </c>
      <c r="C916" s="302"/>
      <c r="D916" s="304">
        <v>1000</v>
      </c>
      <c r="E916" s="304">
        <f t="shared" si="1130"/>
        <v>0</v>
      </c>
      <c r="F916" s="304">
        <f t="shared" si="1131"/>
        <v>0</v>
      </c>
      <c r="G916" s="304">
        <f t="shared" si="1132"/>
        <v>-1000</v>
      </c>
      <c r="H916" s="303">
        <f t="shared" si="1133"/>
        <v>0</v>
      </c>
      <c r="I916" s="303"/>
      <c r="J916" s="311"/>
      <c r="K916" s="311"/>
      <c r="L916" s="311"/>
      <c r="M916" s="303"/>
      <c r="N916" s="311"/>
      <c r="O916" s="311"/>
      <c r="P916" s="303"/>
      <c r="Q916" s="311"/>
      <c r="R916" s="312"/>
      <c r="S916" s="303"/>
      <c r="T916" s="303"/>
      <c r="U916" s="303"/>
      <c r="V916" s="303"/>
      <c r="W916" s="303">
        <f t="shared" si="1134"/>
        <v>0</v>
      </c>
      <c r="X916" s="303"/>
      <c r="Y916" s="303"/>
      <c r="Z916" s="303"/>
      <c r="AA916" s="303"/>
      <c r="AB916" s="304"/>
      <c r="AC916" s="304"/>
      <c r="AD916" s="304"/>
      <c r="AE916" s="304"/>
      <c r="AF916" s="317"/>
      <c r="AG916" s="314">
        <f t="shared" si="1083"/>
        <v>0</v>
      </c>
      <c r="AH916" s="696">
        <f t="shared" si="1084"/>
        <v>0</v>
      </c>
      <c r="AI916" s="314">
        <f t="shared" si="1085"/>
        <v>0</v>
      </c>
      <c r="AJ916" s="314">
        <f t="shared" si="1086"/>
        <v>0</v>
      </c>
      <c r="AK916" s="314">
        <f t="shared" si="1087"/>
        <v>0</v>
      </c>
      <c r="AL916" s="314">
        <f t="shared" si="1088"/>
        <v>0</v>
      </c>
      <c r="AM916" s="314">
        <f t="shared" si="1089"/>
        <v>0</v>
      </c>
      <c r="AN916" s="314">
        <f t="shared" si="1090"/>
        <v>0</v>
      </c>
      <c r="AO916" s="314">
        <f t="shared" si="1091"/>
        <v>0</v>
      </c>
      <c r="AP916" s="314">
        <f t="shared" si="1092"/>
        <v>0</v>
      </c>
    </row>
    <row r="917" spans="1:42" ht="69" hidden="1" outlineLevel="3">
      <c r="A917" s="593" t="s">
        <v>23</v>
      </c>
      <c r="B917" s="316" t="s">
        <v>1818</v>
      </c>
      <c r="C917" s="302"/>
      <c r="D917" s="304">
        <v>400</v>
      </c>
      <c r="E917" s="304">
        <f t="shared" si="1130"/>
        <v>0</v>
      </c>
      <c r="F917" s="304">
        <f t="shared" si="1131"/>
        <v>0</v>
      </c>
      <c r="G917" s="304">
        <f t="shared" si="1132"/>
        <v>-400</v>
      </c>
      <c r="H917" s="303">
        <f t="shared" si="1133"/>
        <v>0</v>
      </c>
      <c r="I917" s="303"/>
      <c r="J917" s="311"/>
      <c r="K917" s="311"/>
      <c r="L917" s="311"/>
      <c r="M917" s="303"/>
      <c r="N917" s="311"/>
      <c r="O917" s="311"/>
      <c r="P917" s="303"/>
      <c r="Q917" s="311"/>
      <c r="R917" s="312"/>
      <c r="S917" s="303"/>
      <c r="T917" s="303"/>
      <c r="U917" s="303"/>
      <c r="V917" s="303"/>
      <c r="W917" s="303">
        <f t="shared" si="1134"/>
        <v>0</v>
      </c>
      <c r="X917" s="303"/>
      <c r="Y917" s="303"/>
      <c r="Z917" s="303"/>
      <c r="AA917" s="303"/>
      <c r="AB917" s="304"/>
      <c r="AC917" s="304"/>
      <c r="AD917" s="304"/>
      <c r="AE917" s="304"/>
      <c r="AF917" s="317"/>
      <c r="AG917" s="314">
        <f t="shared" si="1083"/>
        <v>0</v>
      </c>
      <c r="AH917" s="696">
        <f t="shared" si="1084"/>
        <v>0</v>
      </c>
      <c r="AI917" s="314">
        <f t="shared" si="1085"/>
        <v>0</v>
      </c>
      <c r="AJ917" s="314">
        <f t="shared" si="1086"/>
        <v>0</v>
      </c>
      <c r="AK917" s="314">
        <f t="shared" si="1087"/>
        <v>0</v>
      </c>
      <c r="AL917" s="314">
        <f t="shared" si="1088"/>
        <v>0</v>
      </c>
      <c r="AM917" s="314">
        <f t="shared" si="1089"/>
        <v>0</v>
      </c>
      <c r="AN917" s="314">
        <f t="shared" si="1090"/>
        <v>0</v>
      </c>
      <c r="AO917" s="314">
        <f t="shared" si="1091"/>
        <v>0</v>
      </c>
      <c r="AP917" s="314">
        <f t="shared" si="1092"/>
        <v>0</v>
      </c>
    </row>
    <row r="918" spans="1:42" ht="69" hidden="1" outlineLevel="3">
      <c r="A918" s="593" t="s">
        <v>23</v>
      </c>
      <c r="B918" s="316" t="s">
        <v>1819</v>
      </c>
      <c r="C918" s="302"/>
      <c r="D918" s="304">
        <v>3000</v>
      </c>
      <c r="E918" s="304">
        <f t="shared" si="1130"/>
        <v>0</v>
      </c>
      <c r="F918" s="304">
        <f t="shared" si="1131"/>
        <v>0</v>
      </c>
      <c r="G918" s="304">
        <f t="shared" si="1132"/>
        <v>-3000</v>
      </c>
      <c r="H918" s="303">
        <f t="shared" si="1133"/>
        <v>0</v>
      </c>
      <c r="I918" s="303"/>
      <c r="J918" s="311"/>
      <c r="K918" s="311"/>
      <c r="L918" s="311"/>
      <c r="M918" s="303"/>
      <c r="N918" s="311"/>
      <c r="O918" s="311"/>
      <c r="P918" s="303"/>
      <c r="Q918" s="311"/>
      <c r="R918" s="312"/>
      <c r="S918" s="303"/>
      <c r="T918" s="303"/>
      <c r="U918" s="303"/>
      <c r="V918" s="303"/>
      <c r="W918" s="303">
        <f t="shared" si="1134"/>
        <v>0</v>
      </c>
      <c r="X918" s="303"/>
      <c r="Y918" s="303"/>
      <c r="Z918" s="303"/>
      <c r="AA918" s="303"/>
      <c r="AB918" s="304"/>
      <c r="AC918" s="304"/>
      <c r="AD918" s="304"/>
      <c r="AE918" s="304"/>
      <c r="AF918" s="317"/>
      <c r="AG918" s="314">
        <f t="shared" si="1083"/>
        <v>0</v>
      </c>
      <c r="AH918" s="696">
        <f t="shared" si="1084"/>
        <v>0</v>
      </c>
      <c r="AI918" s="314">
        <f t="shared" si="1085"/>
        <v>0</v>
      </c>
      <c r="AJ918" s="314">
        <f t="shared" si="1086"/>
        <v>0</v>
      </c>
      <c r="AK918" s="314">
        <f t="shared" si="1087"/>
        <v>0</v>
      </c>
      <c r="AL918" s="314">
        <f t="shared" si="1088"/>
        <v>0</v>
      </c>
      <c r="AM918" s="314">
        <f t="shared" si="1089"/>
        <v>0</v>
      </c>
      <c r="AN918" s="314">
        <f t="shared" si="1090"/>
        <v>0</v>
      </c>
      <c r="AO918" s="314">
        <f t="shared" si="1091"/>
        <v>0</v>
      </c>
      <c r="AP918" s="314">
        <f t="shared" si="1092"/>
        <v>0</v>
      </c>
    </row>
    <row r="919" spans="1:42" s="875" customFormat="1" ht="27.6">
      <c r="A919" s="595" t="s">
        <v>91</v>
      </c>
      <c r="B919" s="320" t="s">
        <v>1154</v>
      </c>
      <c r="C919" s="315"/>
      <c r="D919" s="320">
        <f t="shared" ref="D919:AE919" si="1135">D920+D929+D940+D949+D956+D958+D968+D979+D987+D995+D1007+D1014+D1020+D1039+D1052+D1061+D1062+D1063</f>
        <v>34416</v>
      </c>
      <c r="E919" s="320">
        <f t="shared" si="1135"/>
        <v>36396</v>
      </c>
      <c r="F919" s="320">
        <f t="shared" si="1135"/>
        <v>35707</v>
      </c>
      <c r="G919" s="320">
        <f t="shared" si="1135"/>
        <v>1291</v>
      </c>
      <c r="H919" s="320">
        <f t="shared" si="1135"/>
        <v>35707</v>
      </c>
      <c r="I919" s="320">
        <f t="shared" si="1135"/>
        <v>12788</v>
      </c>
      <c r="J919" s="320">
        <f t="shared" si="1135"/>
        <v>24</v>
      </c>
      <c r="K919" s="320">
        <f t="shared" si="1135"/>
        <v>22</v>
      </c>
      <c r="L919" s="320">
        <f t="shared" si="1135"/>
        <v>2</v>
      </c>
      <c r="M919" s="320">
        <f t="shared" si="1135"/>
        <v>2674</v>
      </c>
      <c r="N919" s="320">
        <f t="shared" si="1135"/>
        <v>2564</v>
      </c>
      <c r="O919" s="320">
        <f t="shared" si="1135"/>
        <v>110</v>
      </c>
      <c r="P919" s="320">
        <f t="shared" si="1135"/>
        <v>10114</v>
      </c>
      <c r="Q919" s="320">
        <f t="shared" si="1135"/>
        <v>0</v>
      </c>
      <c r="R919" s="320">
        <f t="shared" si="1135"/>
        <v>0</v>
      </c>
      <c r="S919" s="320">
        <f t="shared" si="1135"/>
        <v>744</v>
      </c>
      <c r="T919" s="320">
        <f t="shared" si="1135"/>
        <v>9370</v>
      </c>
      <c r="U919" s="320">
        <f t="shared" si="1135"/>
        <v>7068</v>
      </c>
      <c r="V919" s="320">
        <f t="shared" si="1135"/>
        <v>2302</v>
      </c>
      <c r="W919" s="320">
        <f t="shared" si="1135"/>
        <v>22919</v>
      </c>
      <c r="X919" s="320">
        <f t="shared" si="1135"/>
        <v>0</v>
      </c>
      <c r="Y919" s="320">
        <f t="shared" si="1135"/>
        <v>0</v>
      </c>
      <c r="Z919" s="320">
        <f t="shared" si="1135"/>
        <v>22919</v>
      </c>
      <c r="AA919" s="320">
        <f t="shared" si="1135"/>
        <v>0</v>
      </c>
      <c r="AB919" s="320">
        <f t="shared" si="1135"/>
        <v>0</v>
      </c>
      <c r="AC919" s="320">
        <f t="shared" si="1135"/>
        <v>689</v>
      </c>
      <c r="AD919" s="320">
        <f t="shared" si="1135"/>
        <v>997</v>
      </c>
      <c r="AE919" s="320">
        <f t="shared" si="1135"/>
        <v>35399</v>
      </c>
      <c r="AF919" s="321"/>
      <c r="AG919" s="314">
        <f t="shared" ref="AG919:AG982" si="1136">E919-F919-AC919</f>
        <v>0</v>
      </c>
      <c r="AH919" s="696">
        <f t="shared" ref="AH919:AH982" si="1137">F919-H919+AB919</f>
        <v>0</v>
      </c>
      <c r="AI919" s="314">
        <f t="shared" ref="AI919:AI982" si="1138">H919-I919-W919</f>
        <v>0</v>
      </c>
      <c r="AJ919" s="314">
        <f t="shared" ref="AJ919:AJ982" si="1139">I919-M919-P919</f>
        <v>0</v>
      </c>
      <c r="AK919" s="314">
        <f t="shared" ref="AK919:AK982" si="1140">J919-K919-L919</f>
        <v>0</v>
      </c>
      <c r="AL919" s="314">
        <f t="shared" ref="AL919:AL982" si="1141">M919-N919-O919</f>
        <v>0</v>
      </c>
      <c r="AM919" s="314">
        <f t="shared" ref="AM919:AM982" si="1142">P919-S919-T919</f>
        <v>0</v>
      </c>
      <c r="AN919" s="314">
        <f t="shared" ref="AN919:AN982" si="1143">T919-U919-V919</f>
        <v>0</v>
      </c>
      <c r="AO919" s="314">
        <f t="shared" ref="AO919:AO982" si="1144">W919-Z919-AA919</f>
        <v>0</v>
      </c>
      <c r="AP919" s="314">
        <f t="shared" ref="AP919:AP982" si="1145">AC919+AA919+Z919+V919+U919+S919+O919+N919-AB919-E919</f>
        <v>0</v>
      </c>
    </row>
    <row r="920" spans="1:42" s="314" customFormat="1">
      <c r="A920" s="592" t="s">
        <v>18</v>
      </c>
      <c r="B920" s="320" t="s">
        <v>1155</v>
      </c>
      <c r="C920" s="298" t="s">
        <v>756</v>
      </c>
      <c r="D920" s="297">
        <f t="shared" ref="D920" si="1146">D921+D922</f>
        <v>703</v>
      </c>
      <c r="E920" s="297">
        <f>E921+E922</f>
        <v>734</v>
      </c>
      <c r="F920" s="297">
        <f>F921+F922</f>
        <v>715</v>
      </c>
      <c r="G920" s="297">
        <f t="shared" ref="G920:G941" si="1147">F920-D920</f>
        <v>12</v>
      </c>
      <c r="H920" s="297">
        <f t="shared" ref="H920:Z920" si="1148">H921+H922</f>
        <v>715</v>
      </c>
      <c r="I920" s="297">
        <f t="shared" si="1148"/>
        <v>715</v>
      </c>
      <c r="J920" s="297">
        <f t="shared" si="1148"/>
        <v>0</v>
      </c>
      <c r="K920" s="297">
        <f t="shared" si="1148"/>
        <v>0</v>
      </c>
      <c r="L920" s="297">
        <f t="shared" si="1148"/>
        <v>0</v>
      </c>
      <c r="M920" s="297">
        <f t="shared" si="1148"/>
        <v>0</v>
      </c>
      <c r="N920" s="297">
        <f t="shared" si="1148"/>
        <v>0</v>
      </c>
      <c r="O920" s="297">
        <f t="shared" si="1148"/>
        <v>0</v>
      </c>
      <c r="P920" s="297">
        <f t="shared" si="1148"/>
        <v>715</v>
      </c>
      <c r="Q920" s="297">
        <f t="shared" si="1148"/>
        <v>0</v>
      </c>
      <c r="R920" s="297">
        <f t="shared" si="1148"/>
        <v>0</v>
      </c>
      <c r="S920" s="297">
        <f t="shared" si="1148"/>
        <v>0</v>
      </c>
      <c r="T920" s="297">
        <f t="shared" si="1148"/>
        <v>715</v>
      </c>
      <c r="U920" s="297">
        <f t="shared" si="1148"/>
        <v>626</v>
      </c>
      <c r="V920" s="297">
        <f t="shared" si="1148"/>
        <v>89</v>
      </c>
      <c r="W920" s="297">
        <f>W921+W922</f>
        <v>0</v>
      </c>
      <c r="X920" s="297"/>
      <c r="Y920" s="297"/>
      <c r="Z920" s="297">
        <f t="shared" si="1148"/>
        <v>0</v>
      </c>
      <c r="AA920" s="297">
        <f>AA921+AA922</f>
        <v>0</v>
      </c>
      <c r="AB920" s="297">
        <f>AB921+AB922</f>
        <v>0</v>
      </c>
      <c r="AC920" s="297">
        <f t="shared" ref="AC920:AE920" si="1149">AC921+AC922</f>
        <v>19</v>
      </c>
      <c r="AD920" s="297">
        <f t="shared" si="1149"/>
        <v>63</v>
      </c>
      <c r="AE920" s="297">
        <f t="shared" si="1149"/>
        <v>671</v>
      </c>
      <c r="AF920" s="321"/>
      <c r="AG920" s="314">
        <f t="shared" si="1136"/>
        <v>0</v>
      </c>
      <c r="AH920" s="696">
        <f t="shared" si="1137"/>
        <v>0</v>
      </c>
      <c r="AI920" s="314">
        <f t="shared" si="1138"/>
        <v>0</v>
      </c>
      <c r="AJ920" s="314">
        <f t="shared" si="1139"/>
        <v>0</v>
      </c>
      <c r="AK920" s="314">
        <f t="shared" si="1140"/>
        <v>0</v>
      </c>
      <c r="AL920" s="314">
        <f t="shared" si="1141"/>
        <v>0</v>
      </c>
      <c r="AM920" s="314">
        <f t="shared" si="1142"/>
        <v>0</v>
      </c>
      <c r="AN920" s="314">
        <f t="shared" si="1143"/>
        <v>0</v>
      </c>
      <c r="AO920" s="314">
        <f t="shared" si="1144"/>
        <v>0</v>
      </c>
      <c r="AP920" s="314">
        <f t="shared" si="1145"/>
        <v>0</v>
      </c>
    </row>
    <row r="921" spans="1:42" ht="41.4">
      <c r="A921" s="593" t="s">
        <v>45</v>
      </c>
      <c r="B921" s="316" t="s">
        <v>1156</v>
      </c>
      <c r="C921" s="304"/>
      <c r="D921" s="304">
        <v>90</v>
      </c>
      <c r="E921" s="304">
        <f t="shared" ref="E921:E928" si="1150">F921+AC921</f>
        <v>109</v>
      </c>
      <c r="F921" s="304">
        <f t="shared" ref="F921:F928" si="1151">H921-AB921</f>
        <v>90</v>
      </c>
      <c r="G921" s="304">
        <f t="shared" si="1147"/>
        <v>0</v>
      </c>
      <c r="H921" s="303">
        <f t="shared" ref="H921:H928" si="1152">I921+W921</f>
        <v>90</v>
      </c>
      <c r="I921" s="303">
        <f>M921+P921</f>
        <v>90</v>
      </c>
      <c r="J921" s="311"/>
      <c r="K921" s="311"/>
      <c r="L921" s="311"/>
      <c r="M921" s="303"/>
      <c r="N921" s="311"/>
      <c r="O921" s="311"/>
      <c r="P921" s="303">
        <f t="shared" ref="P921:P928" si="1153">S921+T921</f>
        <v>90</v>
      </c>
      <c r="Q921" s="311"/>
      <c r="R921" s="312"/>
      <c r="S921" s="303"/>
      <c r="T921" s="303">
        <f t="shared" ref="T921" si="1154">U921+V921</f>
        <v>90</v>
      </c>
      <c r="U921" s="303">
        <v>90</v>
      </c>
      <c r="V921" s="303"/>
      <c r="W921" s="303">
        <f>Z921+AA921</f>
        <v>0</v>
      </c>
      <c r="X921" s="303"/>
      <c r="Y921" s="303"/>
      <c r="Z921" s="303"/>
      <c r="AA921" s="303"/>
      <c r="AB921" s="304"/>
      <c r="AC921" s="304">
        <v>19</v>
      </c>
      <c r="AD921" s="304">
        <v>0</v>
      </c>
      <c r="AE921" s="303">
        <f>E921-AD921</f>
        <v>109</v>
      </c>
      <c r="AF921" s="317"/>
      <c r="AG921" s="314">
        <f t="shared" si="1136"/>
        <v>0</v>
      </c>
      <c r="AH921" s="696">
        <f t="shared" si="1137"/>
        <v>0</v>
      </c>
      <c r="AI921" s="314">
        <f t="shared" si="1138"/>
        <v>0</v>
      </c>
      <c r="AJ921" s="314">
        <f t="shared" si="1139"/>
        <v>0</v>
      </c>
      <c r="AK921" s="314">
        <f t="shared" si="1140"/>
        <v>0</v>
      </c>
      <c r="AL921" s="314">
        <f t="shared" si="1141"/>
        <v>0</v>
      </c>
      <c r="AM921" s="314">
        <f t="shared" si="1142"/>
        <v>0</v>
      </c>
      <c r="AN921" s="314">
        <f t="shared" si="1143"/>
        <v>0</v>
      </c>
      <c r="AO921" s="314">
        <f t="shared" si="1144"/>
        <v>0</v>
      </c>
      <c r="AP921" s="314">
        <f t="shared" si="1145"/>
        <v>0</v>
      </c>
    </row>
    <row r="922" spans="1:42" ht="27.6">
      <c r="A922" s="593" t="s">
        <v>47</v>
      </c>
      <c r="B922" s="316" t="s">
        <v>1157</v>
      </c>
      <c r="C922" s="304"/>
      <c r="D922" s="304">
        <v>613</v>
      </c>
      <c r="E922" s="304">
        <f t="shared" si="1150"/>
        <v>625</v>
      </c>
      <c r="F922" s="304">
        <f t="shared" si="1151"/>
        <v>625</v>
      </c>
      <c r="G922" s="304">
        <f t="shared" si="1147"/>
        <v>12</v>
      </c>
      <c r="H922" s="303">
        <f t="shared" si="1152"/>
        <v>625</v>
      </c>
      <c r="I922" s="303">
        <f t="shared" ref="I922:I928" si="1155">M922+P922</f>
        <v>625</v>
      </c>
      <c r="J922" s="311"/>
      <c r="K922" s="311"/>
      <c r="L922" s="311"/>
      <c r="M922" s="303"/>
      <c r="N922" s="311"/>
      <c r="O922" s="311"/>
      <c r="P922" s="303">
        <f t="shared" si="1153"/>
        <v>625</v>
      </c>
      <c r="Q922" s="311"/>
      <c r="R922" s="312"/>
      <c r="S922" s="303"/>
      <c r="T922" s="303">
        <f>U922+V922</f>
        <v>625</v>
      </c>
      <c r="U922" s="303">
        <f>U923+U924+U925</f>
        <v>536</v>
      </c>
      <c r="V922" s="303">
        <f>V926+V927</f>
        <v>89</v>
      </c>
      <c r="W922" s="303">
        <f>Z922+AA922</f>
        <v>0</v>
      </c>
      <c r="X922" s="303"/>
      <c r="Y922" s="303"/>
      <c r="Z922" s="303"/>
      <c r="AA922" s="303"/>
      <c r="AB922" s="304"/>
      <c r="AC922" s="304"/>
      <c r="AD922" s="304">
        <v>63</v>
      </c>
      <c r="AE922" s="303">
        <f>E922-AD922</f>
        <v>562</v>
      </c>
      <c r="AF922" s="317"/>
      <c r="AG922" s="314">
        <f t="shared" si="1136"/>
        <v>0</v>
      </c>
      <c r="AH922" s="696">
        <f t="shared" si="1137"/>
        <v>0</v>
      </c>
      <c r="AI922" s="314">
        <f t="shared" si="1138"/>
        <v>0</v>
      </c>
      <c r="AJ922" s="314">
        <f t="shared" si="1139"/>
        <v>0</v>
      </c>
      <c r="AK922" s="314">
        <f t="shared" si="1140"/>
        <v>0</v>
      </c>
      <c r="AL922" s="314">
        <f t="shared" si="1141"/>
        <v>0</v>
      </c>
      <c r="AM922" s="314">
        <f t="shared" si="1142"/>
        <v>0</v>
      </c>
      <c r="AN922" s="314">
        <f t="shared" si="1143"/>
        <v>0</v>
      </c>
      <c r="AO922" s="314">
        <f t="shared" si="1144"/>
        <v>0</v>
      </c>
      <c r="AP922" s="314">
        <f t="shared" si="1145"/>
        <v>0</v>
      </c>
    </row>
    <row r="923" spans="1:42" outlineLevel="1">
      <c r="A923" s="1298" t="s">
        <v>23</v>
      </c>
      <c r="B923" s="1289" t="s">
        <v>2308</v>
      </c>
      <c r="C923" s="304"/>
      <c r="D923" s="304">
        <v>410</v>
      </c>
      <c r="E923" s="304">
        <f t="shared" si="1150"/>
        <v>410</v>
      </c>
      <c r="F923" s="304">
        <f t="shared" si="1151"/>
        <v>410</v>
      </c>
      <c r="G923" s="304">
        <f t="shared" si="1147"/>
        <v>0</v>
      </c>
      <c r="H923" s="303">
        <f t="shared" si="1152"/>
        <v>410</v>
      </c>
      <c r="I923" s="303">
        <f t="shared" si="1155"/>
        <v>410</v>
      </c>
      <c r="J923" s="311"/>
      <c r="K923" s="311"/>
      <c r="L923" s="311"/>
      <c r="M923" s="303"/>
      <c r="N923" s="311"/>
      <c r="O923" s="311"/>
      <c r="P923" s="303">
        <f t="shared" si="1153"/>
        <v>410</v>
      </c>
      <c r="Q923" s="311"/>
      <c r="R923" s="312"/>
      <c r="S923" s="303"/>
      <c r="T923" s="303">
        <f t="shared" ref="T923:T928" si="1156">U923+V923</f>
        <v>410</v>
      </c>
      <c r="U923" s="1291">
        <v>410</v>
      </c>
      <c r="V923" s="303"/>
      <c r="W923" s="303"/>
      <c r="X923" s="303"/>
      <c r="Y923" s="303"/>
      <c r="Z923" s="303"/>
      <c r="AA923" s="303"/>
      <c r="AB923" s="304"/>
      <c r="AC923" s="304"/>
      <c r="AD923" s="304"/>
      <c r="AE923" s="304"/>
      <c r="AF923" s="1292"/>
      <c r="AG923" s="314">
        <f t="shared" si="1136"/>
        <v>0</v>
      </c>
      <c r="AH923" s="696">
        <f t="shared" si="1137"/>
        <v>0</v>
      </c>
      <c r="AI923" s="314">
        <f t="shared" si="1138"/>
        <v>0</v>
      </c>
      <c r="AJ923" s="314">
        <f t="shared" si="1139"/>
        <v>0</v>
      </c>
      <c r="AK923" s="314">
        <f t="shared" si="1140"/>
        <v>0</v>
      </c>
      <c r="AL923" s="314">
        <f t="shared" si="1141"/>
        <v>0</v>
      </c>
      <c r="AM923" s="314">
        <f t="shared" si="1142"/>
        <v>0</v>
      </c>
      <c r="AN923" s="314">
        <f t="shared" si="1143"/>
        <v>0</v>
      </c>
      <c r="AO923" s="314">
        <f t="shared" si="1144"/>
        <v>0</v>
      </c>
      <c r="AP923" s="314">
        <f t="shared" si="1145"/>
        <v>0</v>
      </c>
    </row>
    <row r="924" spans="1:42" ht="69" outlineLevel="1">
      <c r="A924" s="1298" t="s">
        <v>23</v>
      </c>
      <c r="B924" s="1289" t="s">
        <v>1888</v>
      </c>
      <c r="C924" s="304"/>
      <c r="D924" s="304">
        <v>72</v>
      </c>
      <c r="E924" s="304">
        <f t="shared" si="1150"/>
        <v>72</v>
      </c>
      <c r="F924" s="304">
        <f t="shared" si="1151"/>
        <v>72</v>
      </c>
      <c r="G924" s="304">
        <f t="shared" si="1147"/>
        <v>0</v>
      </c>
      <c r="H924" s="303">
        <f t="shared" si="1152"/>
        <v>72</v>
      </c>
      <c r="I924" s="303">
        <f t="shared" si="1155"/>
        <v>72</v>
      </c>
      <c r="J924" s="311"/>
      <c r="K924" s="311"/>
      <c r="L924" s="311"/>
      <c r="M924" s="303"/>
      <c r="N924" s="311"/>
      <c r="O924" s="311"/>
      <c r="P924" s="303">
        <f t="shared" si="1153"/>
        <v>72</v>
      </c>
      <c r="Q924" s="311"/>
      <c r="R924" s="312"/>
      <c r="S924" s="303"/>
      <c r="T924" s="303">
        <f t="shared" si="1156"/>
        <v>72</v>
      </c>
      <c r="U924" s="1291">
        <v>72</v>
      </c>
      <c r="V924" s="303"/>
      <c r="W924" s="303"/>
      <c r="X924" s="303"/>
      <c r="Y924" s="303"/>
      <c r="Z924" s="303"/>
      <c r="AA924" s="303"/>
      <c r="AB924" s="304"/>
      <c r="AC924" s="304"/>
      <c r="AD924" s="304"/>
      <c r="AE924" s="304"/>
      <c r="AF924" s="1292"/>
      <c r="AG924" s="314">
        <f t="shared" si="1136"/>
        <v>0</v>
      </c>
      <c r="AH924" s="696">
        <f t="shared" si="1137"/>
        <v>0</v>
      </c>
      <c r="AI924" s="314">
        <f t="shared" si="1138"/>
        <v>0</v>
      </c>
      <c r="AJ924" s="314">
        <f t="shared" si="1139"/>
        <v>0</v>
      </c>
      <c r="AK924" s="314">
        <f t="shared" si="1140"/>
        <v>0</v>
      </c>
      <c r="AL924" s="314">
        <f t="shared" si="1141"/>
        <v>0</v>
      </c>
      <c r="AM924" s="314">
        <f t="shared" si="1142"/>
        <v>0</v>
      </c>
      <c r="AN924" s="314">
        <f t="shared" si="1143"/>
        <v>0</v>
      </c>
      <c r="AO924" s="314">
        <f t="shared" si="1144"/>
        <v>0</v>
      </c>
      <c r="AP924" s="314">
        <f t="shared" si="1145"/>
        <v>0</v>
      </c>
    </row>
    <row r="925" spans="1:42" ht="41.4" outlineLevel="1">
      <c r="A925" s="1298" t="s">
        <v>23</v>
      </c>
      <c r="B925" s="1289" t="s">
        <v>1889</v>
      </c>
      <c r="C925" s="304"/>
      <c r="D925" s="304">
        <v>54</v>
      </c>
      <c r="E925" s="304">
        <f t="shared" si="1150"/>
        <v>54</v>
      </c>
      <c r="F925" s="304">
        <f t="shared" si="1151"/>
        <v>54</v>
      </c>
      <c r="G925" s="304">
        <f t="shared" si="1147"/>
        <v>0</v>
      </c>
      <c r="H925" s="303">
        <f t="shared" si="1152"/>
        <v>54</v>
      </c>
      <c r="I925" s="303">
        <f t="shared" si="1155"/>
        <v>54</v>
      </c>
      <c r="J925" s="311"/>
      <c r="K925" s="311"/>
      <c r="L925" s="311"/>
      <c r="M925" s="303"/>
      <c r="N925" s="311"/>
      <c r="O925" s="311"/>
      <c r="P925" s="303">
        <f t="shared" si="1153"/>
        <v>54</v>
      </c>
      <c r="Q925" s="311"/>
      <c r="R925" s="312"/>
      <c r="S925" s="303"/>
      <c r="T925" s="303">
        <f t="shared" si="1156"/>
        <v>54</v>
      </c>
      <c r="U925" s="1291">
        <v>54</v>
      </c>
      <c r="V925" s="303"/>
      <c r="W925" s="303"/>
      <c r="X925" s="303"/>
      <c r="Y925" s="303"/>
      <c r="Z925" s="303"/>
      <c r="AA925" s="303"/>
      <c r="AB925" s="304"/>
      <c r="AC925" s="304"/>
      <c r="AD925" s="304"/>
      <c r="AE925" s="304"/>
      <c r="AF925" s="1292"/>
      <c r="AG925" s="314">
        <f t="shared" si="1136"/>
        <v>0</v>
      </c>
      <c r="AH925" s="696">
        <f t="shared" si="1137"/>
        <v>0</v>
      </c>
      <c r="AI925" s="314">
        <f t="shared" si="1138"/>
        <v>0</v>
      </c>
      <c r="AJ925" s="314">
        <f t="shared" si="1139"/>
        <v>0</v>
      </c>
      <c r="AK925" s="314">
        <f t="shared" si="1140"/>
        <v>0</v>
      </c>
      <c r="AL925" s="314">
        <f t="shared" si="1141"/>
        <v>0</v>
      </c>
      <c r="AM925" s="314">
        <f t="shared" si="1142"/>
        <v>0</v>
      </c>
      <c r="AN925" s="314">
        <f t="shared" si="1143"/>
        <v>0</v>
      </c>
      <c r="AO925" s="314">
        <f t="shared" si="1144"/>
        <v>0</v>
      </c>
      <c r="AP925" s="314">
        <f t="shared" si="1145"/>
        <v>0</v>
      </c>
    </row>
    <row r="926" spans="1:42" ht="41.4" outlineLevel="1">
      <c r="A926" s="1298" t="s">
        <v>23</v>
      </c>
      <c r="B926" s="1289" t="s">
        <v>2239</v>
      </c>
      <c r="C926" s="304"/>
      <c r="D926" s="304"/>
      <c r="E926" s="304">
        <f t="shared" si="1150"/>
        <v>32</v>
      </c>
      <c r="F926" s="304">
        <f t="shared" si="1151"/>
        <v>32</v>
      </c>
      <c r="G926" s="304">
        <f t="shared" si="1147"/>
        <v>32</v>
      </c>
      <c r="H926" s="303">
        <f t="shared" si="1152"/>
        <v>32</v>
      </c>
      <c r="I926" s="303">
        <f t="shared" si="1155"/>
        <v>32</v>
      </c>
      <c r="J926" s="311"/>
      <c r="K926" s="311"/>
      <c r="L926" s="311"/>
      <c r="M926" s="303"/>
      <c r="N926" s="311"/>
      <c r="O926" s="311"/>
      <c r="P926" s="303">
        <f t="shared" si="1153"/>
        <v>32</v>
      </c>
      <c r="Q926" s="311"/>
      <c r="R926" s="312"/>
      <c r="S926" s="303"/>
      <c r="T926" s="303">
        <f t="shared" si="1156"/>
        <v>32</v>
      </c>
      <c r="U926" s="1291"/>
      <c r="V926" s="303">
        <v>32</v>
      </c>
      <c r="W926" s="303"/>
      <c r="X926" s="303"/>
      <c r="Y926" s="303"/>
      <c r="Z926" s="303"/>
      <c r="AA926" s="303"/>
      <c r="AB926" s="304"/>
      <c r="AC926" s="304"/>
      <c r="AD926" s="304"/>
      <c r="AE926" s="304"/>
      <c r="AF926" s="1640" t="s">
        <v>2349</v>
      </c>
      <c r="AG926" s="314">
        <f t="shared" si="1136"/>
        <v>0</v>
      </c>
      <c r="AH926" s="696">
        <f t="shared" si="1137"/>
        <v>0</v>
      </c>
      <c r="AI926" s="314">
        <f t="shared" si="1138"/>
        <v>0</v>
      </c>
      <c r="AJ926" s="314">
        <f t="shared" si="1139"/>
        <v>0</v>
      </c>
      <c r="AK926" s="314">
        <f t="shared" si="1140"/>
        <v>0</v>
      </c>
      <c r="AL926" s="314">
        <f t="shared" si="1141"/>
        <v>0</v>
      </c>
      <c r="AM926" s="314">
        <f t="shared" si="1142"/>
        <v>0</v>
      </c>
      <c r="AN926" s="314">
        <f t="shared" si="1143"/>
        <v>0</v>
      </c>
      <c r="AO926" s="314">
        <f t="shared" si="1144"/>
        <v>0</v>
      </c>
      <c r="AP926" s="314">
        <f t="shared" si="1145"/>
        <v>0</v>
      </c>
    </row>
    <row r="927" spans="1:42" ht="41.4" outlineLevel="1">
      <c r="A927" s="1298" t="s">
        <v>23</v>
      </c>
      <c r="B927" s="1289" t="s">
        <v>2240</v>
      </c>
      <c r="C927" s="304"/>
      <c r="D927" s="304"/>
      <c r="E927" s="304">
        <f t="shared" si="1150"/>
        <v>57</v>
      </c>
      <c r="F927" s="304">
        <f t="shared" si="1151"/>
        <v>57</v>
      </c>
      <c r="G927" s="304">
        <f t="shared" si="1147"/>
        <v>57</v>
      </c>
      <c r="H927" s="303">
        <f t="shared" si="1152"/>
        <v>57</v>
      </c>
      <c r="I927" s="303">
        <f t="shared" si="1155"/>
        <v>57</v>
      </c>
      <c r="J927" s="311"/>
      <c r="K927" s="311"/>
      <c r="L927" s="311"/>
      <c r="M927" s="303"/>
      <c r="N927" s="311"/>
      <c r="O927" s="311"/>
      <c r="P927" s="303">
        <f t="shared" si="1153"/>
        <v>57</v>
      </c>
      <c r="Q927" s="311"/>
      <c r="R927" s="312"/>
      <c r="S927" s="303"/>
      <c r="T927" s="303">
        <f t="shared" si="1156"/>
        <v>57</v>
      </c>
      <c r="U927" s="1291"/>
      <c r="V927" s="303">
        <v>57</v>
      </c>
      <c r="W927" s="303"/>
      <c r="X927" s="303"/>
      <c r="Y927" s="303"/>
      <c r="Z927" s="303"/>
      <c r="AA927" s="303"/>
      <c r="AB927" s="304"/>
      <c r="AC927" s="304"/>
      <c r="AD927" s="304"/>
      <c r="AE927" s="304"/>
      <c r="AF927" s="1641"/>
      <c r="AG927" s="314">
        <f t="shared" si="1136"/>
        <v>0</v>
      </c>
      <c r="AH927" s="696">
        <f t="shared" si="1137"/>
        <v>0</v>
      </c>
      <c r="AI927" s="314">
        <f t="shared" si="1138"/>
        <v>0</v>
      </c>
      <c r="AJ927" s="314">
        <f t="shared" si="1139"/>
        <v>0</v>
      </c>
      <c r="AK927" s="314">
        <f t="shared" si="1140"/>
        <v>0</v>
      </c>
      <c r="AL927" s="314">
        <f t="shared" si="1141"/>
        <v>0</v>
      </c>
      <c r="AM927" s="314">
        <f t="shared" si="1142"/>
        <v>0</v>
      </c>
      <c r="AN927" s="314">
        <f t="shared" si="1143"/>
        <v>0</v>
      </c>
      <c r="AO927" s="314">
        <f t="shared" si="1144"/>
        <v>0</v>
      </c>
      <c r="AP927" s="314">
        <f t="shared" si="1145"/>
        <v>0</v>
      </c>
    </row>
    <row r="928" spans="1:42" ht="27.6" hidden="1" outlineLevel="3">
      <c r="A928" s="1298" t="s">
        <v>23</v>
      </c>
      <c r="B928" s="1289" t="s">
        <v>2241</v>
      </c>
      <c r="C928" s="304"/>
      <c r="D928" s="304">
        <v>77</v>
      </c>
      <c r="E928" s="304">
        <f t="shared" si="1150"/>
        <v>0</v>
      </c>
      <c r="F928" s="304">
        <f t="shared" si="1151"/>
        <v>0</v>
      </c>
      <c r="G928" s="304">
        <f t="shared" si="1147"/>
        <v>-77</v>
      </c>
      <c r="H928" s="303">
        <f t="shared" si="1152"/>
        <v>0</v>
      </c>
      <c r="I928" s="303">
        <f t="shared" si="1155"/>
        <v>0</v>
      </c>
      <c r="J928" s="311"/>
      <c r="K928" s="311"/>
      <c r="L928" s="311"/>
      <c r="M928" s="303"/>
      <c r="N928" s="311"/>
      <c r="O928" s="311"/>
      <c r="P928" s="303">
        <f t="shared" si="1153"/>
        <v>0</v>
      </c>
      <c r="Q928" s="311"/>
      <c r="R928" s="312"/>
      <c r="S928" s="303"/>
      <c r="T928" s="303">
        <f t="shared" si="1156"/>
        <v>0</v>
      </c>
      <c r="U928" s="1291"/>
      <c r="V928" s="303"/>
      <c r="W928" s="303"/>
      <c r="X928" s="303"/>
      <c r="Y928" s="303"/>
      <c r="Z928" s="303"/>
      <c r="AA928" s="303"/>
      <c r="AB928" s="304"/>
      <c r="AC928" s="304"/>
      <c r="AD928" s="304"/>
      <c r="AE928" s="304"/>
      <c r="AF928" s="1292"/>
      <c r="AG928" s="314">
        <f t="shared" si="1136"/>
        <v>0</v>
      </c>
      <c r="AH928" s="696">
        <f t="shared" si="1137"/>
        <v>0</v>
      </c>
      <c r="AI928" s="314">
        <f t="shared" si="1138"/>
        <v>0</v>
      </c>
      <c r="AJ928" s="314">
        <f t="shared" si="1139"/>
        <v>0</v>
      </c>
      <c r="AK928" s="314">
        <f t="shared" si="1140"/>
        <v>0</v>
      </c>
      <c r="AL928" s="314">
        <f t="shared" si="1141"/>
        <v>0</v>
      </c>
      <c r="AM928" s="314">
        <f t="shared" si="1142"/>
        <v>0</v>
      </c>
      <c r="AN928" s="314">
        <f t="shared" si="1143"/>
        <v>0</v>
      </c>
      <c r="AO928" s="314">
        <f t="shared" si="1144"/>
        <v>0</v>
      </c>
      <c r="AP928" s="314">
        <f t="shared" si="1145"/>
        <v>0</v>
      </c>
    </row>
    <row r="929" spans="1:42" s="314" customFormat="1">
      <c r="A929" s="592" t="s">
        <v>26</v>
      </c>
      <c r="B929" s="320" t="s">
        <v>1158</v>
      </c>
      <c r="C929" s="298" t="s">
        <v>756</v>
      </c>
      <c r="D929" s="297">
        <f t="shared" ref="D929:AE929" si="1157">D930+D931</f>
        <v>436</v>
      </c>
      <c r="E929" s="297">
        <f>E930+E931</f>
        <v>607</v>
      </c>
      <c r="F929" s="297">
        <f>F930+F931</f>
        <v>588</v>
      </c>
      <c r="G929" s="297">
        <f t="shared" si="1147"/>
        <v>152</v>
      </c>
      <c r="H929" s="297">
        <f t="shared" si="1157"/>
        <v>588</v>
      </c>
      <c r="I929" s="297">
        <f t="shared" si="1157"/>
        <v>588</v>
      </c>
      <c r="J929" s="297">
        <f t="shared" si="1157"/>
        <v>0</v>
      </c>
      <c r="K929" s="297">
        <f t="shared" si="1157"/>
        <v>0</v>
      </c>
      <c r="L929" s="297">
        <f t="shared" si="1157"/>
        <v>0</v>
      </c>
      <c r="M929" s="297">
        <f t="shared" si="1157"/>
        <v>0</v>
      </c>
      <c r="N929" s="297">
        <f t="shared" si="1157"/>
        <v>0</v>
      </c>
      <c r="O929" s="297">
        <f t="shared" si="1157"/>
        <v>0</v>
      </c>
      <c r="P929" s="297">
        <f t="shared" si="1157"/>
        <v>588</v>
      </c>
      <c r="Q929" s="297">
        <f t="shared" si="1157"/>
        <v>0</v>
      </c>
      <c r="R929" s="297">
        <f t="shared" si="1157"/>
        <v>0</v>
      </c>
      <c r="S929" s="297">
        <f t="shared" si="1157"/>
        <v>0</v>
      </c>
      <c r="T929" s="297">
        <f t="shared" si="1157"/>
        <v>588</v>
      </c>
      <c r="U929" s="297">
        <f t="shared" si="1157"/>
        <v>436</v>
      </c>
      <c r="V929" s="297">
        <f t="shared" si="1157"/>
        <v>152</v>
      </c>
      <c r="W929" s="297">
        <f>W930+W931</f>
        <v>0</v>
      </c>
      <c r="X929" s="297"/>
      <c r="Y929" s="297"/>
      <c r="Z929" s="297">
        <f t="shared" si="1157"/>
        <v>0</v>
      </c>
      <c r="AA929" s="297">
        <f>AA930+AA931</f>
        <v>0</v>
      </c>
      <c r="AB929" s="297">
        <f>AB930+AB931</f>
        <v>0</v>
      </c>
      <c r="AC929" s="297">
        <f t="shared" ref="AC929" si="1158">AC930+AC931</f>
        <v>19</v>
      </c>
      <c r="AD929" s="297">
        <f t="shared" si="1157"/>
        <v>50</v>
      </c>
      <c r="AE929" s="297">
        <f t="shared" si="1157"/>
        <v>557</v>
      </c>
      <c r="AF929" s="321"/>
      <c r="AG929" s="314">
        <f t="shared" si="1136"/>
        <v>0</v>
      </c>
      <c r="AH929" s="696">
        <f t="shared" si="1137"/>
        <v>0</v>
      </c>
      <c r="AI929" s="314">
        <f t="shared" si="1138"/>
        <v>0</v>
      </c>
      <c r="AJ929" s="314">
        <f t="shared" si="1139"/>
        <v>0</v>
      </c>
      <c r="AK929" s="314">
        <f t="shared" si="1140"/>
        <v>0</v>
      </c>
      <c r="AL929" s="314">
        <f t="shared" si="1141"/>
        <v>0</v>
      </c>
      <c r="AM929" s="314">
        <f t="shared" si="1142"/>
        <v>0</v>
      </c>
      <c r="AN929" s="314">
        <f t="shared" si="1143"/>
        <v>0</v>
      </c>
      <c r="AO929" s="314">
        <f t="shared" si="1144"/>
        <v>0</v>
      </c>
      <c r="AP929" s="314">
        <f t="shared" si="1145"/>
        <v>0</v>
      </c>
    </row>
    <row r="930" spans="1:42" ht="41.4">
      <c r="A930" s="593" t="s">
        <v>45</v>
      </c>
      <c r="B930" s="316" t="s">
        <v>1156</v>
      </c>
      <c r="C930" s="304"/>
      <c r="D930" s="304">
        <v>90</v>
      </c>
      <c r="E930" s="304">
        <f t="shared" ref="E930:E939" si="1159">F930+AC930</f>
        <v>109</v>
      </c>
      <c r="F930" s="304">
        <f t="shared" ref="F930:F939" si="1160">H930-AB930</f>
        <v>90</v>
      </c>
      <c r="G930" s="304">
        <f t="shared" si="1147"/>
        <v>0</v>
      </c>
      <c r="H930" s="303">
        <f t="shared" ref="H930:H939" si="1161">I930+W930</f>
        <v>90</v>
      </c>
      <c r="I930" s="303">
        <f>M930+P930</f>
        <v>90</v>
      </c>
      <c r="J930" s="311"/>
      <c r="K930" s="311"/>
      <c r="L930" s="311"/>
      <c r="M930" s="303"/>
      <c r="N930" s="311"/>
      <c r="O930" s="311"/>
      <c r="P930" s="303">
        <f t="shared" ref="P930" si="1162">S930+T930</f>
        <v>90</v>
      </c>
      <c r="Q930" s="311"/>
      <c r="R930" s="312"/>
      <c r="S930" s="303"/>
      <c r="T930" s="303">
        <f t="shared" ref="T930" si="1163">U930+V930</f>
        <v>90</v>
      </c>
      <c r="U930" s="303">
        <v>90</v>
      </c>
      <c r="V930" s="303"/>
      <c r="W930" s="303">
        <f>Z930+AA930</f>
        <v>0</v>
      </c>
      <c r="X930" s="303"/>
      <c r="Y930" s="303"/>
      <c r="Z930" s="303"/>
      <c r="AA930" s="303"/>
      <c r="AB930" s="304"/>
      <c r="AC930" s="304">
        <v>19</v>
      </c>
      <c r="AD930" s="304">
        <v>0</v>
      </c>
      <c r="AE930" s="303">
        <f>E930-AD930</f>
        <v>109</v>
      </c>
      <c r="AF930" s="317"/>
      <c r="AG930" s="314">
        <f t="shared" si="1136"/>
        <v>0</v>
      </c>
      <c r="AH930" s="696">
        <f t="shared" si="1137"/>
        <v>0</v>
      </c>
      <c r="AI930" s="314">
        <f t="shared" si="1138"/>
        <v>0</v>
      </c>
      <c r="AJ930" s="314">
        <f t="shared" si="1139"/>
        <v>0</v>
      </c>
      <c r="AK930" s="314">
        <f t="shared" si="1140"/>
        <v>0</v>
      </c>
      <c r="AL930" s="314">
        <f t="shared" si="1141"/>
        <v>0</v>
      </c>
      <c r="AM930" s="314">
        <f t="shared" si="1142"/>
        <v>0</v>
      </c>
      <c r="AN930" s="314">
        <f t="shared" si="1143"/>
        <v>0</v>
      </c>
      <c r="AO930" s="314">
        <f t="shared" si="1144"/>
        <v>0</v>
      </c>
      <c r="AP930" s="314">
        <f t="shared" si="1145"/>
        <v>0</v>
      </c>
    </row>
    <row r="931" spans="1:42" ht="27.6">
      <c r="A931" s="593" t="s">
        <v>47</v>
      </c>
      <c r="B931" s="316" t="s">
        <v>1157</v>
      </c>
      <c r="C931" s="304"/>
      <c r="D931" s="304">
        <v>346</v>
      </c>
      <c r="E931" s="304">
        <f t="shared" si="1159"/>
        <v>498</v>
      </c>
      <c r="F931" s="304">
        <f t="shared" si="1160"/>
        <v>498</v>
      </c>
      <c r="G931" s="304">
        <f t="shared" si="1147"/>
        <v>152</v>
      </c>
      <c r="H931" s="303">
        <f t="shared" si="1161"/>
        <v>498</v>
      </c>
      <c r="I931" s="303">
        <f>M931+P931</f>
        <v>498</v>
      </c>
      <c r="J931" s="311"/>
      <c r="K931" s="311"/>
      <c r="L931" s="311"/>
      <c r="M931" s="303"/>
      <c r="N931" s="311"/>
      <c r="O931" s="311"/>
      <c r="P931" s="303">
        <f>S931+T931</f>
        <v>498</v>
      </c>
      <c r="Q931" s="311"/>
      <c r="R931" s="312"/>
      <c r="S931" s="303"/>
      <c r="T931" s="303">
        <f>U931+V931</f>
        <v>498</v>
      </c>
      <c r="U931" s="303">
        <f>U932+U933+U934+U935+U936+U937</f>
        <v>346</v>
      </c>
      <c r="V931" s="303">
        <f>V939+V938</f>
        <v>152</v>
      </c>
      <c r="W931" s="303">
        <f>Z931+AA931</f>
        <v>0</v>
      </c>
      <c r="X931" s="303"/>
      <c r="Y931" s="303"/>
      <c r="Z931" s="303"/>
      <c r="AA931" s="303"/>
      <c r="AB931" s="304"/>
      <c r="AC931" s="304"/>
      <c r="AD931" s="304">
        <v>50</v>
      </c>
      <c r="AE931" s="303">
        <f>E931-AD931</f>
        <v>448</v>
      </c>
      <c r="AF931" s="317"/>
      <c r="AG931" s="314">
        <f t="shared" si="1136"/>
        <v>0</v>
      </c>
      <c r="AH931" s="696">
        <f t="shared" si="1137"/>
        <v>0</v>
      </c>
      <c r="AI931" s="314">
        <f t="shared" si="1138"/>
        <v>0</v>
      </c>
      <c r="AJ931" s="314">
        <f t="shared" si="1139"/>
        <v>0</v>
      </c>
      <c r="AK931" s="314">
        <f t="shared" si="1140"/>
        <v>0</v>
      </c>
      <c r="AL931" s="314">
        <f t="shared" si="1141"/>
        <v>0</v>
      </c>
      <c r="AM931" s="314">
        <f t="shared" si="1142"/>
        <v>0</v>
      </c>
      <c r="AN931" s="314">
        <f t="shared" si="1143"/>
        <v>0</v>
      </c>
      <c r="AO931" s="314">
        <f t="shared" si="1144"/>
        <v>0</v>
      </c>
      <c r="AP931" s="314">
        <f t="shared" si="1145"/>
        <v>0</v>
      </c>
    </row>
    <row r="932" spans="1:42" ht="69" outlineLevel="1">
      <c r="A932" s="593" t="s">
        <v>23</v>
      </c>
      <c r="B932" s="346" t="s">
        <v>1159</v>
      </c>
      <c r="C932" s="304"/>
      <c r="D932" s="304">
        <v>26</v>
      </c>
      <c r="E932" s="304">
        <f t="shared" si="1159"/>
        <v>26</v>
      </c>
      <c r="F932" s="304">
        <f t="shared" si="1160"/>
        <v>26</v>
      </c>
      <c r="G932" s="304">
        <f t="shared" si="1147"/>
        <v>0</v>
      </c>
      <c r="H932" s="303">
        <f t="shared" si="1161"/>
        <v>26</v>
      </c>
      <c r="I932" s="303">
        <f t="shared" ref="I932:I939" si="1164">M932+P932</f>
        <v>26</v>
      </c>
      <c r="J932" s="311"/>
      <c r="K932" s="311"/>
      <c r="L932" s="311"/>
      <c r="M932" s="303"/>
      <c r="N932" s="311"/>
      <c r="O932" s="311"/>
      <c r="P932" s="303">
        <f t="shared" ref="P932:P939" si="1165">S932+T932</f>
        <v>26</v>
      </c>
      <c r="Q932" s="311"/>
      <c r="R932" s="312"/>
      <c r="S932" s="303"/>
      <c r="T932" s="303">
        <f t="shared" ref="T932:T939" si="1166">U932+V932</f>
        <v>26</v>
      </c>
      <c r="U932" s="347">
        <v>26</v>
      </c>
      <c r="V932" s="303"/>
      <c r="W932" s="303"/>
      <c r="X932" s="303"/>
      <c r="Y932" s="303"/>
      <c r="Z932" s="303"/>
      <c r="AA932" s="303"/>
      <c r="AB932" s="304"/>
      <c r="AC932" s="304"/>
      <c r="AD932" s="304"/>
      <c r="AE932" s="304"/>
      <c r="AF932" s="347"/>
      <c r="AG932" s="314">
        <f t="shared" si="1136"/>
        <v>0</v>
      </c>
      <c r="AH932" s="696">
        <f t="shared" si="1137"/>
        <v>0</v>
      </c>
      <c r="AI932" s="314">
        <f t="shared" si="1138"/>
        <v>0</v>
      </c>
      <c r="AJ932" s="314">
        <f t="shared" si="1139"/>
        <v>0</v>
      </c>
      <c r="AK932" s="314">
        <f t="shared" si="1140"/>
        <v>0</v>
      </c>
      <c r="AL932" s="314">
        <f t="shared" si="1141"/>
        <v>0</v>
      </c>
      <c r="AM932" s="314">
        <f t="shared" si="1142"/>
        <v>0</v>
      </c>
      <c r="AN932" s="314">
        <f t="shared" si="1143"/>
        <v>0</v>
      </c>
      <c r="AO932" s="314">
        <f t="shared" si="1144"/>
        <v>0</v>
      </c>
      <c r="AP932" s="314">
        <f t="shared" si="1145"/>
        <v>0</v>
      </c>
    </row>
    <row r="933" spans="1:42" ht="124.2" outlineLevel="1">
      <c r="A933" s="593" t="s">
        <v>23</v>
      </c>
      <c r="B933" s="348" t="s">
        <v>1160</v>
      </c>
      <c r="C933" s="304"/>
      <c r="D933" s="304">
        <v>28</v>
      </c>
      <c r="E933" s="304">
        <f t="shared" si="1159"/>
        <v>28</v>
      </c>
      <c r="F933" s="304">
        <f t="shared" si="1160"/>
        <v>28</v>
      </c>
      <c r="G933" s="304">
        <f t="shared" si="1147"/>
        <v>0</v>
      </c>
      <c r="H933" s="303">
        <f t="shared" si="1161"/>
        <v>28</v>
      </c>
      <c r="I933" s="303">
        <f t="shared" si="1164"/>
        <v>28</v>
      </c>
      <c r="J933" s="311"/>
      <c r="K933" s="311"/>
      <c r="L933" s="311"/>
      <c r="M933" s="303"/>
      <c r="N933" s="311"/>
      <c r="O933" s="311"/>
      <c r="P933" s="303">
        <f t="shared" si="1165"/>
        <v>28</v>
      </c>
      <c r="Q933" s="311"/>
      <c r="R933" s="312"/>
      <c r="S933" s="303"/>
      <c r="T933" s="303">
        <f t="shared" si="1166"/>
        <v>28</v>
      </c>
      <c r="U933" s="347">
        <v>28</v>
      </c>
      <c r="V933" s="303"/>
      <c r="W933" s="303"/>
      <c r="X933" s="303"/>
      <c r="Y933" s="303"/>
      <c r="Z933" s="303"/>
      <c r="AA933" s="303"/>
      <c r="AB933" s="304"/>
      <c r="AC933" s="304"/>
      <c r="AD933" s="304"/>
      <c r="AE933" s="304"/>
      <c r="AF933" s="605"/>
      <c r="AG933" s="314">
        <f t="shared" si="1136"/>
        <v>0</v>
      </c>
      <c r="AH933" s="696">
        <f t="shared" si="1137"/>
        <v>0</v>
      </c>
      <c r="AI933" s="314">
        <f t="shared" si="1138"/>
        <v>0</v>
      </c>
      <c r="AJ933" s="314">
        <f t="shared" si="1139"/>
        <v>0</v>
      </c>
      <c r="AK933" s="314">
        <f t="shared" si="1140"/>
        <v>0</v>
      </c>
      <c r="AL933" s="314">
        <f t="shared" si="1141"/>
        <v>0</v>
      </c>
      <c r="AM933" s="314">
        <f t="shared" si="1142"/>
        <v>0</v>
      </c>
      <c r="AN933" s="314">
        <f t="shared" si="1143"/>
        <v>0</v>
      </c>
      <c r="AO933" s="314">
        <f t="shared" si="1144"/>
        <v>0</v>
      </c>
      <c r="AP933" s="314">
        <f t="shared" si="1145"/>
        <v>0</v>
      </c>
    </row>
    <row r="934" spans="1:42" ht="124.2" outlineLevel="1">
      <c r="A934" s="593" t="s">
        <v>23</v>
      </c>
      <c r="B934" s="348" t="s">
        <v>1161</v>
      </c>
      <c r="C934" s="304"/>
      <c r="D934" s="304">
        <v>139</v>
      </c>
      <c r="E934" s="304">
        <f t="shared" si="1159"/>
        <v>139</v>
      </c>
      <c r="F934" s="304">
        <f t="shared" si="1160"/>
        <v>139</v>
      </c>
      <c r="G934" s="304">
        <f t="shared" si="1147"/>
        <v>0</v>
      </c>
      <c r="H934" s="303">
        <f t="shared" si="1161"/>
        <v>139</v>
      </c>
      <c r="I934" s="303">
        <f t="shared" si="1164"/>
        <v>139</v>
      </c>
      <c r="J934" s="311"/>
      <c r="K934" s="311"/>
      <c r="L934" s="311"/>
      <c r="M934" s="303"/>
      <c r="N934" s="311"/>
      <c r="O934" s="311"/>
      <c r="P934" s="303">
        <f t="shared" si="1165"/>
        <v>139</v>
      </c>
      <c r="Q934" s="311"/>
      <c r="R934" s="312"/>
      <c r="S934" s="303"/>
      <c r="T934" s="303">
        <f t="shared" si="1166"/>
        <v>139</v>
      </c>
      <c r="U934" s="347">
        <v>139</v>
      </c>
      <c r="V934" s="303"/>
      <c r="W934" s="303"/>
      <c r="X934" s="303"/>
      <c r="Y934" s="303"/>
      <c r="Z934" s="303"/>
      <c r="AA934" s="303"/>
      <c r="AB934" s="304"/>
      <c r="AC934" s="304"/>
      <c r="AD934" s="304"/>
      <c r="AE934" s="304"/>
      <c r="AF934" s="605"/>
      <c r="AG934" s="314">
        <f t="shared" si="1136"/>
        <v>0</v>
      </c>
      <c r="AH934" s="696">
        <f t="shared" si="1137"/>
        <v>0</v>
      </c>
      <c r="AI934" s="314">
        <f t="shared" si="1138"/>
        <v>0</v>
      </c>
      <c r="AJ934" s="314">
        <f t="shared" si="1139"/>
        <v>0</v>
      </c>
      <c r="AK934" s="314">
        <f t="shared" si="1140"/>
        <v>0</v>
      </c>
      <c r="AL934" s="314">
        <f t="shared" si="1141"/>
        <v>0</v>
      </c>
      <c r="AM934" s="314">
        <f t="shared" si="1142"/>
        <v>0</v>
      </c>
      <c r="AN934" s="314">
        <f t="shared" si="1143"/>
        <v>0</v>
      </c>
      <c r="AO934" s="314">
        <f t="shared" si="1144"/>
        <v>0</v>
      </c>
      <c r="AP934" s="314">
        <f t="shared" si="1145"/>
        <v>0</v>
      </c>
    </row>
    <row r="935" spans="1:42" ht="27.6" outlineLevel="1" collapsed="1">
      <c r="A935" s="593" t="s">
        <v>23</v>
      </c>
      <c r="B935" s="346" t="s">
        <v>1162</v>
      </c>
      <c r="C935" s="304"/>
      <c r="D935" s="304">
        <v>120</v>
      </c>
      <c r="E935" s="304">
        <f t="shared" si="1159"/>
        <v>120</v>
      </c>
      <c r="F935" s="304">
        <f t="shared" si="1160"/>
        <v>120</v>
      </c>
      <c r="G935" s="304">
        <f t="shared" si="1147"/>
        <v>0</v>
      </c>
      <c r="H935" s="303">
        <f t="shared" si="1161"/>
        <v>120</v>
      </c>
      <c r="I935" s="303">
        <f t="shared" si="1164"/>
        <v>120</v>
      </c>
      <c r="J935" s="311"/>
      <c r="K935" s="311"/>
      <c r="L935" s="311"/>
      <c r="M935" s="303"/>
      <c r="N935" s="311"/>
      <c r="O935" s="311"/>
      <c r="P935" s="303">
        <f t="shared" si="1165"/>
        <v>120</v>
      </c>
      <c r="Q935" s="311"/>
      <c r="R935" s="312"/>
      <c r="S935" s="303"/>
      <c r="T935" s="303">
        <f t="shared" si="1166"/>
        <v>120</v>
      </c>
      <c r="U935" s="347">
        <v>120</v>
      </c>
      <c r="V935" s="303"/>
      <c r="W935" s="303"/>
      <c r="X935" s="303"/>
      <c r="Y935" s="303"/>
      <c r="Z935" s="303"/>
      <c r="AA935" s="303"/>
      <c r="AB935" s="304"/>
      <c r="AC935" s="304"/>
      <c r="AD935" s="304"/>
      <c r="AE935" s="304"/>
      <c r="AF935" s="347"/>
      <c r="AG935" s="314">
        <f t="shared" si="1136"/>
        <v>0</v>
      </c>
      <c r="AH935" s="696">
        <f t="shared" si="1137"/>
        <v>0</v>
      </c>
      <c r="AI935" s="314">
        <f t="shared" si="1138"/>
        <v>0</v>
      </c>
      <c r="AJ935" s="314">
        <f t="shared" si="1139"/>
        <v>0</v>
      </c>
      <c r="AK935" s="314">
        <f t="shared" si="1140"/>
        <v>0</v>
      </c>
      <c r="AL935" s="314">
        <f t="shared" si="1141"/>
        <v>0</v>
      </c>
      <c r="AM935" s="314">
        <f t="shared" si="1142"/>
        <v>0</v>
      </c>
      <c r="AN935" s="314">
        <f t="shared" si="1143"/>
        <v>0</v>
      </c>
      <c r="AO935" s="314">
        <f t="shared" si="1144"/>
        <v>0</v>
      </c>
      <c r="AP935" s="314">
        <f t="shared" si="1145"/>
        <v>0</v>
      </c>
    </row>
    <row r="936" spans="1:42" ht="41.4" outlineLevel="1">
      <c r="A936" s="593" t="s">
        <v>23</v>
      </c>
      <c r="B936" s="346" t="s">
        <v>1163</v>
      </c>
      <c r="C936" s="304"/>
      <c r="D936" s="304">
        <v>10</v>
      </c>
      <c r="E936" s="304">
        <f t="shared" si="1159"/>
        <v>10</v>
      </c>
      <c r="F936" s="304">
        <f t="shared" si="1160"/>
        <v>10</v>
      </c>
      <c r="G936" s="304">
        <f t="shared" si="1147"/>
        <v>0</v>
      </c>
      <c r="H936" s="303">
        <f t="shared" si="1161"/>
        <v>10</v>
      </c>
      <c r="I936" s="303">
        <f t="shared" si="1164"/>
        <v>10</v>
      </c>
      <c r="J936" s="311"/>
      <c r="K936" s="311"/>
      <c r="L936" s="311"/>
      <c r="M936" s="303"/>
      <c r="N936" s="311"/>
      <c r="O936" s="311"/>
      <c r="P936" s="303">
        <f t="shared" si="1165"/>
        <v>10</v>
      </c>
      <c r="Q936" s="311"/>
      <c r="R936" s="312"/>
      <c r="S936" s="303"/>
      <c r="T936" s="303">
        <f t="shared" si="1166"/>
        <v>10</v>
      </c>
      <c r="U936" s="347">
        <v>10</v>
      </c>
      <c r="V936" s="303"/>
      <c r="W936" s="303"/>
      <c r="X936" s="303"/>
      <c r="Y936" s="303"/>
      <c r="Z936" s="303"/>
      <c r="AA936" s="303"/>
      <c r="AB936" s="304"/>
      <c r="AC936" s="304"/>
      <c r="AD936" s="304"/>
      <c r="AE936" s="304"/>
      <c r="AF936" s="347"/>
      <c r="AG936" s="314">
        <f t="shared" si="1136"/>
        <v>0</v>
      </c>
      <c r="AH936" s="696">
        <f t="shared" si="1137"/>
        <v>0</v>
      </c>
      <c r="AI936" s="314">
        <f t="shared" si="1138"/>
        <v>0</v>
      </c>
      <c r="AJ936" s="314">
        <f t="shared" si="1139"/>
        <v>0</v>
      </c>
      <c r="AK936" s="314">
        <f t="shared" si="1140"/>
        <v>0</v>
      </c>
      <c r="AL936" s="314">
        <f t="shared" si="1141"/>
        <v>0</v>
      </c>
      <c r="AM936" s="314">
        <f t="shared" si="1142"/>
        <v>0</v>
      </c>
      <c r="AN936" s="314">
        <f t="shared" si="1143"/>
        <v>0</v>
      </c>
      <c r="AO936" s="314">
        <f t="shared" si="1144"/>
        <v>0</v>
      </c>
      <c r="AP936" s="314">
        <f t="shared" si="1145"/>
        <v>0</v>
      </c>
    </row>
    <row r="937" spans="1:42" outlineLevel="1">
      <c r="A937" s="593" t="s">
        <v>23</v>
      </c>
      <c r="B937" s="346" t="s">
        <v>1164</v>
      </c>
      <c r="C937" s="304"/>
      <c r="D937" s="304">
        <v>23</v>
      </c>
      <c r="E937" s="304">
        <f t="shared" si="1159"/>
        <v>23</v>
      </c>
      <c r="F937" s="304">
        <f t="shared" si="1160"/>
        <v>23</v>
      </c>
      <c r="G937" s="304">
        <f t="shared" si="1147"/>
        <v>0</v>
      </c>
      <c r="H937" s="303">
        <f t="shared" si="1161"/>
        <v>23</v>
      </c>
      <c r="I937" s="303">
        <f t="shared" si="1164"/>
        <v>23</v>
      </c>
      <c r="J937" s="311"/>
      <c r="K937" s="311"/>
      <c r="L937" s="311"/>
      <c r="M937" s="303"/>
      <c r="N937" s="311"/>
      <c r="O937" s="311"/>
      <c r="P937" s="303">
        <f t="shared" si="1165"/>
        <v>23</v>
      </c>
      <c r="Q937" s="311"/>
      <c r="R937" s="312"/>
      <c r="S937" s="303"/>
      <c r="T937" s="303">
        <f t="shared" si="1166"/>
        <v>23</v>
      </c>
      <c r="U937" s="347">
        <v>23</v>
      </c>
      <c r="V937" s="303"/>
      <c r="W937" s="303"/>
      <c r="X937" s="303"/>
      <c r="Y937" s="303"/>
      <c r="Z937" s="303"/>
      <c r="AA937" s="303"/>
      <c r="AB937" s="304"/>
      <c r="AC937" s="304"/>
      <c r="AD937" s="304"/>
      <c r="AE937" s="304"/>
      <c r="AF937" s="347"/>
      <c r="AG937" s="314">
        <f t="shared" si="1136"/>
        <v>0</v>
      </c>
      <c r="AH937" s="696">
        <f t="shared" si="1137"/>
        <v>0</v>
      </c>
      <c r="AI937" s="314">
        <f t="shared" si="1138"/>
        <v>0</v>
      </c>
      <c r="AJ937" s="314">
        <f t="shared" si="1139"/>
        <v>0</v>
      </c>
      <c r="AK937" s="314">
        <f t="shared" si="1140"/>
        <v>0</v>
      </c>
      <c r="AL937" s="314">
        <f t="shared" si="1141"/>
        <v>0</v>
      </c>
      <c r="AM937" s="314">
        <f t="shared" si="1142"/>
        <v>0</v>
      </c>
      <c r="AN937" s="314">
        <f t="shared" si="1143"/>
        <v>0</v>
      </c>
      <c r="AO937" s="314">
        <f t="shared" si="1144"/>
        <v>0</v>
      </c>
      <c r="AP937" s="314">
        <f t="shared" si="1145"/>
        <v>0</v>
      </c>
    </row>
    <row r="938" spans="1:42" ht="96.6" outlineLevel="1">
      <c r="A938" s="593" t="s">
        <v>23</v>
      </c>
      <c r="B938" s="346" t="s">
        <v>2309</v>
      </c>
      <c r="C938" s="304"/>
      <c r="D938" s="304"/>
      <c r="E938" s="304">
        <f t="shared" si="1159"/>
        <v>15</v>
      </c>
      <c r="F938" s="304">
        <f t="shared" si="1160"/>
        <v>15</v>
      </c>
      <c r="G938" s="304">
        <f t="shared" si="1147"/>
        <v>15</v>
      </c>
      <c r="H938" s="303">
        <f t="shared" si="1161"/>
        <v>15</v>
      </c>
      <c r="I938" s="303">
        <f t="shared" si="1164"/>
        <v>15</v>
      </c>
      <c r="J938" s="311"/>
      <c r="K938" s="311"/>
      <c r="L938" s="311"/>
      <c r="M938" s="303"/>
      <c r="N938" s="311"/>
      <c r="O938" s="311"/>
      <c r="P938" s="303">
        <f t="shared" si="1165"/>
        <v>15</v>
      </c>
      <c r="Q938" s="311"/>
      <c r="R938" s="312"/>
      <c r="S938" s="303"/>
      <c r="T938" s="303">
        <f t="shared" si="1166"/>
        <v>15</v>
      </c>
      <c r="U938" s="347"/>
      <c r="V938" s="303">
        <v>15</v>
      </c>
      <c r="W938" s="303"/>
      <c r="X938" s="303"/>
      <c r="Y938" s="303"/>
      <c r="Z938" s="303"/>
      <c r="AA938" s="303"/>
      <c r="AB938" s="304"/>
      <c r="AC938" s="304"/>
      <c r="AD938" s="304"/>
      <c r="AE938" s="304"/>
      <c r="AF938" s="347" t="s">
        <v>2367</v>
      </c>
      <c r="AG938" s="314">
        <f t="shared" si="1136"/>
        <v>0</v>
      </c>
      <c r="AH938" s="696">
        <f t="shared" si="1137"/>
        <v>0</v>
      </c>
      <c r="AI938" s="314">
        <f t="shared" si="1138"/>
        <v>0</v>
      </c>
      <c r="AJ938" s="314">
        <f t="shared" si="1139"/>
        <v>0</v>
      </c>
      <c r="AK938" s="314">
        <f t="shared" si="1140"/>
        <v>0</v>
      </c>
      <c r="AL938" s="314">
        <f t="shared" si="1141"/>
        <v>0</v>
      </c>
      <c r="AM938" s="314">
        <f t="shared" si="1142"/>
        <v>0</v>
      </c>
      <c r="AN938" s="314">
        <f t="shared" si="1143"/>
        <v>0</v>
      </c>
      <c r="AO938" s="314">
        <f t="shared" si="1144"/>
        <v>0</v>
      </c>
      <c r="AP938" s="314">
        <f t="shared" si="1145"/>
        <v>0</v>
      </c>
    </row>
    <row r="939" spans="1:42" ht="55.2" outlineLevel="1">
      <c r="A939" s="593" t="s">
        <v>23</v>
      </c>
      <c r="B939" s="346" t="s">
        <v>2242</v>
      </c>
      <c r="C939" s="304"/>
      <c r="D939" s="304"/>
      <c r="E939" s="304">
        <f t="shared" si="1159"/>
        <v>137</v>
      </c>
      <c r="F939" s="304">
        <f t="shared" si="1160"/>
        <v>137</v>
      </c>
      <c r="G939" s="304">
        <f t="shared" si="1147"/>
        <v>137</v>
      </c>
      <c r="H939" s="303">
        <f t="shared" si="1161"/>
        <v>137</v>
      </c>
      <c r="I939" s="303">
        <f t="shared" si="1164"/>
        <v>137</v>
      </c>
      <c r="J939" s="311"/>
      <c r="K939" s="311"/>
      <c r="L939" s="311"/>
      <c r="M939" s="303"/>
      <c r="N939" s="311"/>
      <c r="O939" s="311"/>
      <c r="P939" s="303">
        <f t="shared" si="1165"/>
        <v>137</v>
      </c>
      <c r="Q939" s="311"/>
      <c r="R939" s="312"/>
      <c r="S939" s="303"/>
      <c r="T939" s="303">
        <f t="shared" si="1166"/>
        <v>137</v>
      </c>
      <c r="U939" s="347"/>
      <c r="V939" s="303">
        <v>137</v>
      </c>
      <c r="W939" s="303"/>
      <c r="X939" s="303"/>
      <c r="Y939" s="303"/>
      <c r="Z939" s="303"/>
      <c r="AA939" s="303"/>
      <c r="AB939" s="304"/>
      <c r="AC939" s="304"/>
      <c r="AD939" s="304"/>
      <c r="AE939" s="304"/>
      <c r="AF939" s="347" t="s">
        <v>2350</v>
      </c>
      <c r="AG939" s="314">
        <f t="shared" si="1136"/>
        <v>0</v>
      </c>
      <c r="AH939" s="696">
        <f t="shared" si="1137"/>
        <v>0</v>
      </c>
      <c r="AI939" s="314">
        <f t="shared" si="1138"/>
        <v>0</v>
      </c>
      <c r="AJ939" s="314">
        <f t="shared" si="1139"/>
        <v>0</v>
      </c>
      <c r="AK939" s="314">
        <f t="shared" si="1140"/>
        <v>0</v>
      </c>
      <c r="AL939" s="314">
        <f t="shared" si="1141"/>
        <v>0</v>
      </c>
      <c r="AM939" s="314">
        <f t="shared" si="1142"/>
        <v>0</v>
      </c>
      <c r="AN939" s="314">
        <f t="shared" si="1143"/>
        <v>0</v>
      </c>
      <c r="AO939" s="314">
        <f t="shared" si="1144"/>
        <v>0</v>
      </c>
      <c r="AP939" s="314">
        <f t="shared" si="1145"/>
        <v>0</v>
      </c>
    </row>
    <row r="940" spans="1:42" s="314" customFormat="1" ht="27.6">
      <c r="A940" s="592" t="s">
        <v>59</v>
      </c>
      <c r="B940" s="320" t="s">
        <v>1165</v>
      </c>
      <c r="C940" s="298" t="s">
        <v>756</v>
      </c>
      <c r="D940" s="297">
        <f t="shared" ref="D940:AE940" si="1167">D941+D942</f>
        <v>455</v>
      </c>
      <c r="E940" s="297">
        <f>E941+E942</f>
        <v>551</v>
      </c>
      <c r="F940" s="297">
        <f>F941+F942</f>
        <v>532</v>
      </c>
      <c r="G940" s="297">
        <f t="shared" si="1147"/>
        <v>77</v>
      </c>
      <c r="H940" s="297">
        <f t="shared" si="1167"/>
        <v>532</v>
      </c>
      <c r="I940" s="297">
        <f t="shared" si="1167"/>
        <v>532</v>
      </c>
      <c r="J940" s="297">
        <f t="shared" si="1167"/>
        <v>0</v>
      </c>
      <c r="K940" s="297">
        <f t="shared" si="1167"/>
        <v>0</v>
      </c>
      <c r="L940" s="297">
        <f t="shared" si="1167"/>
        <v>0</v>
      </c>
      <c r="M940" s="297">
        <f t="shared" si="1167"/>
        <v>0</v>
      </c>
      <c r="N940" s="297">
        <f t="shared" si="1167"/>
        <v>0</v>
      </c>
      <c r="O940" s="297">
        <f t="shared" si="1167"/>
        <v>0</v>
      </c>
      <c r="P940" s="297">
        <f t="shared" si="1167"/>
        <v>532</v>
      </c>
      <c r="Q940" s="297">
        <f t="shared" si="1167"/>
        <v>0</v>
      </c>
      <c r="R940" s="297">
        <f t="shared" si="1167"/>
        <v>0</v>
      </c>
      <c r="S940" s="297">
        <f t="shared" si="1167"/>
        <v>0</v>
      </c>
      <c r="T940" s="297">
        <f t="shared" si="1167"/>
        <v>532</v>
      </c>
      <c r="U940" s="297">
        <f t="shared" si="1167"/>
        <v>420</v>
      </c>
      <c r="V940" s="297">
        <f t="shared" si="1167"/>
        <v>112</v>
      </c>
      <c r="W940" s="297">
        <f>W941+W942</f>
        <v>0</v>
      </c>
      <c r="X940" s="297"/>
      <c r="Y940" s="297"/>
      <c r="Z940" s="297">
        <f t="shared" si="1167"/>
        <v>0</v>
      </c>
      <c r="AA940" s="297">
        <f>AA941+AA942</f>
        <v>0</v>
      </c>
      <c r="AB940" s="297">
        <f>AB941+AB942</f>
        <v>0</v>
      </c>
      <c r="AC940" s="297">
        <f t="shared" ref="AC940" si="1168">AC941+AC942</f>
        <v>19</v>
      </c>
      <c r="AD940" s="297">
        <f t="shared" si="1167"/>
        <v>44</v>
      </c>
      <c r="AE940" s="297">
        <f t="shared" si="1167"/>
        <v>507</v>
      </c>
      <c r="AF940" s="321"/>
      <c r="AG940" s="314">
        <f t="shared" si="1136"/>
        <v>0</v>
      </c>
      <c r="AH940" s="696">
        <f t="shared" si="1137"/>
        <v>0</v>
      </c>
      <c r="AI940" s="314">
        <f t="shared" si="1138"/>
        <v>0</v>
      </c>
      <c r="AJ940" s="314">
        <f t="shared" si="1139"/>
        <v>0</v>
      </c>
      <c r="AK940" s="314">
        <f t="shared" si="1140"/>
        <v>0</v>
      </c>
      <c r="AL940" s="314">
        <f t="shared" si="1141"/>
        <v>0</v>
      </c>
      <c r="AM940" s="314">
        <f t="shared" si="1142"/>
        <v>0</v>
      </c>
      <c r="AN940" s="314">
        <f t="shared" si="1143"/>
        <v>0</v>
      </c>
      <c r="AO940" s="314">
        <f t="shared" si="1144"/>
        <v>0</v>
      </c>
      <c r="AP940" s="314">
        <f t="shared" si="1145"/>
        <v>0</v>
      </c>
    </row>
    <row r="941" spans="1:42" ht="41.4">
      <c r="A941" s="593" t="s">
        <v>45</v>
      </c>
      <c r="B941" s="316" t="s">
        <v>1156</v>
      </c>
      <c r="C941" s="304"/>
      <c r="D941" s="304">
        <v>90</v>
      </c>
      <c r="E941" s="304">
        <f t="shared" ref="E941:E948" si="1169">F941+AC941</f>
        <v>109</v>
      </c>
      <c r="F941" s="304">
        <f>H941-AB941</f>
        <v>90</v>
      </c>
      <c r="G941" s="304">
        <f t="shared" si="1147"/>
        <v>0</v>
      </c>
      <c r="H941" s="303">
        <f t="shared" ref="H941:H948" si="1170">I941+W941</f>
        <v>90</v>
      </c>
      <c r="I941" s="303">
        <f>M941+P941</f>
        <v>90</v>
      </c>
      <c r="J941" s="311"/>
      <c r="K941" s="311"/>
      <c r="L941" s="311"/>
      <c r="M941" s="303"/>
      <c r="N941" s="311"/>
      <c r="O941" s="311"/>
      <c r="P941" s="303">
        <f t="shared" ref="P941:P948" si="1171">S941+T941</f>
        <v>90</v>
      </c>
      <c r="Q941" s="311"/>
      <c r="R941" s="312"/>
      <c r="S941" s="303"/>
      <c r="T941" s="303">
        <f t="shared" ref="T941:T948" si="1172">U941+V941</f>
        <v>90</v>
      </c>
      <c r="U941" s="303">
        <v>90</v>
      </c>
      <c r="V941" s="303"/>
      <c r="W941" s="303">
        <f>Z941+AA941</f>
        <v>0</v>
      </c>
      <c r="X941" s="303"/>
      <c r="Y941" s="303"/>
      <c r="Z941" s="303"/>
      <c r="AA941" s="303"/>
      <c r="AB941" s="304"/>
      <c r="AC941" s="304">
        <v>19</v>
      </c>
      <c r="AD941" s="304">
        <v>0</v>
      </c>
      <c r="AE941" s="303">
        <f>E941-AD941</f>
        <v>109</v>
      </c>
      <c r="AF941" s="317"/>
      <c r="AG941" s="314">
        <f t="shared" si="1136"/>
        <v>0</v>
      </c>
      <c r="AH941" s="696">
        <f t="shared" si="1137"/>
        <v>0</v>
      </c>
      <c r="AI941" s="314">
        <f t="shared" si="1138"/>
        <v>0</v>
      </c>
      <c r="AJ941" s="314">
        <f t="shared" si="1139"/>
        <v>0</v>
      </c>
      <c r="AK941" s="314">
        <f t="shared" si="1140"/>
        <v>0</v>
      </c>
      <c r="AL941" s="314">
        <f t="shared" si="1141"/>
        <v>0</v>
      </c>
      <c r="AM941" s="314">
        <f t="shared" si="1142"/>
        <v>0</v>
      </c>
      <c r="AN941" s="314">
        <f t="shared" si="1143"/>
        <v>0</v>
      </c>
      <c r="AO941" s="314">
        <f t="shared" si="1144"/>
        <v>0</v>
      </c>
      <c r="AP941" s="314">
        <f t="shared" si="1145"/>
        <v>0</v>
      </c>
    </row>
    <row r="942" spans="1:42" ht="27.6">
      <c r="A942" s="593" t="s">
        <v>47</v>
      </c>
      <c r="B942" s="316" t="s">
        <v>1157</v>
      </c>
      <c r="C942" s="304"/>
      <c r="D942" s="304">
        <v>365</v>
      </c>
      <c r="E942" s="304">
        <f>E943+E944+E945+E946+E947</f>
        <v>442</v>
      </c>
      <c r="F942" s="304">
        <f t="shared" ref="F942:W942" si="1173">F943+F944+F945+F946+F947</f>
        <v>442</v>
      </c>
      <c r="G942" s="304">
        <f t="shared" si="1173"/>
        <v>112</v>
      </c>
      <c r="H942" s="304">
        <f t="shared" si="1173"/>
        <v>442</v>
      </c>
      <c r="I942" s="304">
        <f t="shared" si="1173"/>
        <v>442</v>
      </c>
      <c r="J942" s="304">
        <f t="shared" si="1173"/>
        <v>0</v>
      </c>
      <c r="K942" s="304">
        <f t="shared" si="1173"/>
        <v>0</v>
      </c>
      <c r="L942" s="304">
        <f t="shared" si="1173"/>
        <v>0</v>
      </c>
      <c r="M942" s="304">
        <f t="shared" si="1173"/>
        <v>0</v>
      </c>
      <c r="N942" s="304">
        <f t="shared" si="1173"/>
        <v>0</v>
      </c>
      <c r="O942" s="304">
        <f t="shared" si="1173"/>
        <v>0</v>
      </c>
      <c r="P942" s="304">
        <f t="shared" si="1173"/>
        <v>442</v>
      </c>
      <c r="Q942" s="304">
        <f t="shared" si="1173"/>
        <v>0</v>
      </c>
      <c r="R942" s="304">
        <f t="shared" si="1173"/>
        <v>0</v>
      </c>
      <c r="S942" s="304">
        <f t="shared" si="1173"/>
        <v>0</v>
      </c>
      <c r="T942" s="304">
        <f t="shared" si="1173"/>
        <v>442</v>
      </c>
      <c r="U942" s="304">
        <f t="shared" si="1173"/>
        <v>330</v>
      </c>
      <c r="V942" s="304">
        <f t="shared" si="1173"/>
        <v>112</v>
      </c>
      <c r="W942" s="304">
        <f t="shared" si="1173"/>
        <v>0</v>
      </c>
      <c r="X942" s="303"/>
      <c r="Y942" s="303"/>
      <c r="Z942" s="303"/>
      <c r="AA942" s="303"/>
      <c r="AB942" s="304"/>
      <c r="AC942" s="304"/>
      <c r="AD942" s="304">
        <v>44</v>
      </c>
      <c r="AE942" s="303">
        <f>E942-AD942</f>
        <v>398</v>
      </c>
      <c r="AF942" s="317"/>
      <c r="AG942" s="314">
        <f t="shared" si="1136"/>
        <v>0</v>
      </c>
      <c r="AH942" s="696">
        <f t="shared" si="1137"/>
        <v>0</v>
      </c>
      <c r="AI942" s="314">
        <f t="shared" si="1138"/>
        <v>0</v>
      </c>
      <c r="AJ942" s="314">
        <f t="shared" si="1139"/>
        <v>0</v>
      </c>
      <c r="AK942" s="314">
        <f t="shared" si="1140"/>
        <v>0</v>
      </c>
      <c r="AL942" s="314">
        <f t="shared" si="1141"/>
        <v>0</v>
      </c>
      <c r="AM942" s="314">
        <f t="shared" si="1142"/>
        <v>0</v>
      </c>
      <c r="AN942" s="314">
        <f t="shared" si="1143"/>
        <v>0</v>
      </c>
      <c r="AO942" s="314">
        <f t="shared" si="1144"/>
        <v>0</v>
      </c>
      <c r="AP942" s="314">
        <f t="shared" si="1145"/>
        <v>0</v>
      </c>
    </row>
    <row r="943" spans="1:42" ht="55.2" outlineLevel="1">
      <c r="A943" s="605" t="s">
        <v>23</v>
      </c>
      <c r="B943" s="346" t="s">
        <v>1166</v>
      </c>
      <c r="C943" s="304"/>
      <c r="D943" s="304">
        <v>80</v>
      </c>
      <c r="E943" s="304">
        <f t="shared" si="1169"/>
        <v>80</v>
      </c>
      <c r="F943" s="304">
        <f t="shared" ref="F943:F948" si="1174">H943-AB943</f>
        <v>80</v>
      </c>
      <c r="G943" s="304">
        <f t="shared" ref="G943:G999" si="1175">F943-D943</f>
        <v>0</v>
      </c>
      <c r="H943" s="303">
        <f t="shared" si="1170"/>
        <v>80</v>
      </c>
      <c r="I943" s="303">
        <f t="shared" ref="I943:I948" si="1176">M943+P943</f>
        <v>80</v>
      </c>
      <c r="J943" s="311"/>
      <c r="K943" s="311"/>
      <c r="L943" s="311"/>
      <c r="M943" s="303"/>
      <c r="N943" s="311"/>
      <c r="O943" s="311"/>
      <c r="P943" s="303">
        <f t="shared" si="1171"/>
        <v>80</v>
      </c>
      <c r="Q943" s="311"/>
      <c r="R943" s="312"/>
      <c r="S943" s="303"/>
      <c r="T943" s="303">
        <f t="shared" si="1172"/>
        <v>80</v>
      </c>
      <c r="U943" s="303">
        <v>80</v>
      </c>
      <c r="V943" s="303"/>
      <c r="W943" s="303"/>
      <c r="X943" s="303"/>
      <c r="Y943" s="303"/>
      <c r="Z943" s="303"/>
      <c r="AA943" s="303"/>
      <c r="AB943" s="304"/>
      <c r="AC943" s="304"/>
      <c r="AD943" s="304"/>
      <c r="AE943" s="304"/>
      <c r="AF943" s="347"/>
      <c r="AG943" s="314">
        <f t="shared" si="1136"/>
        <v>0</v>
      </c>
      <c r="AH943" s="696">
        <f t="shared" si="1137"/>
        <v>0</v>
      </c>
      <c r="AI943" s="314">
        <f t="shared" si="1138"/>
        <v>0</v>
      </c>
      <c r="AJ943" s="314">
        <f t="shared" si="1139"/>
        <v>0</v>
      </c>
      <c r="AK943" s="314">
        <f t="shared" si="1140"/>
        <v>0</v>
      </c>
      <c r="AL943" s="314">
        <f t="shared" si="1141"/>
        <v>0</v>
      </c>
      <c r="AM943" s="314">
        <f t="shared" si="1142"/>
        <v>0</v>
      </c>
      <c r="AN943" s="314">
        <f t="shared" si="1143"/>
        <v>0</v>
      </c>
      <c r="AO943" s="314">
        <f t="shared" si="1144"/>
        <v>0</v>
      </c>
      <c r="AP943" s="314">
        <f t="shared" si="1145"/>
        <v>0</v>
      </c>
    </row>
    <row r="944" spans="1:42" ht="41.4" outlineLevel="1">
      <c r="A944" s="605" t="s">
        <v>23</v>
      </c>
      <c r="B944" s="346" t="s">
        <v>1167</v>
      </c>
      <c r="C944" s="304"/>
      <c r="D944" s="304">
        <v>80</v>
      </c>
      <c r="E944" s="304">
        <f t="shared" si="1169"/>
        <v>80</v>
      </c>
      <c r="F944" s="304">
        <f t="shared" si="1174"/>
        <v>80</v>
      </c>
      <c r="G944" s="304">
        <f t="shared" si="1175"/>
        <v>0</v>
      </c>
      <c r="H944" s="303">
        <f t="shared" si="1170"/>
        <v>80</v>
      </c>
      <c r="I944" s="303">
        <f t="shared" si="1176"/>
        <v>80</v>
      </c>
      <c r="J944" s="311"/>
      <c r="K944" s="311"/>
      <c r="L944" s="311"/>
      <c r="M944" s="303"/>
      <c r="N944" s="311"/>
      <c r="O944" s="311"/>
      <c r="P944" s="303">
        <f t="shared" si="1171"/>
        <v>80</v>
      </c>
      <c r="Q944" s="311"/>
      <c r="R944" s="312"/>
      <c r="S944" s="303"/>
      <c r="T944" s="303">
        <f t="shared" si="1172"/>
        <v>80</v>
      </c>
      <c r="U944" s="303">
        <v>80</v>
      </c>
      <c r="V944" s="303"/>
      <c r="W944" s="303"/>
      <c r="X944" s="303"/>
      <c r="Y944" s="303"/>
      <c r="Z944" s="303"/>
      <c r="AA944" s="303"/>
      <c r="AB944" s="304"/>
      <c r="AC944" s="304"/>
      <c r="AD944" s="304"/>
      <c r="AE944" s="304"/>
      <c r="AF944" s="347"/>
      <c r="AG944" s="314">
        <f t="shared" si="1136"/>
        <v>0</v>
      </c>
      <c r="AH944" s="696">
        <f t="shared" si="1137"/>
        <v>0</v>
      </c>
      <c r="AI944" s="314">
        <f t="shared" si="1138"/>
        <v>0</v>
      </c>
      <c r="AJ944" s="314">
        <f t="shared" si="1139"/>
        <v>0</v>
      </c>
      <c r="AK944" s="314">
        <f t="shared" si="1140"/>
        <v>0</v>
      </c>
      <c r="AL944" s="314">
        <f t="shared" si="1141"/>
        <v>0</v>
      </c>
      <c r="AM944" s="314">
        <f t="shared" si="1142"/>
        <v>0</v>
      </c>
      <c r="AN944" s="314">
        <f t="shared" si="1143"/>
        <v>0</v>
      </c>
      <c r="AO944" s="314">
        <f t="shared" si="1144"/>
        <v>0</v>
      </c>
      <c r="AP944" s="314">
        <f t="shared" si="1145"/>
        <v>0</v>
      </c>
    </row>
    <row r="945" spans="1:42" ht="27.6" outlineLevel="1" collapsed="1">
      <c r="A945" s="605" t="s">
        <v>23</v>
      </c>
      <c r="B945" s="346" t="s">
        <v>1168</v>
      </c>
      <c r="C945" s="304"/>
      <c r="D945" s="304">
        <v>25</v>
      </c>
      <c r="E945" s="304">
        <f t="shared" si="1169"/>
        <v>25</v>
      </c>
      <c r="F945" s="304">
        <f t="shared" si="1174"/>
        <v>25</v>
      </c>
      <c r="G945" s="304">
        <f t="shared" si="1175"/>
        <v>0</v>
      </c>
      <c r="H945" s="303">
        <f t="shared" si="1170"/>
        <v>25</v>
      </c>
      <c r="I945" s="303">
        <f t="shared" si="1176"/>
        <v>25</v>
      </c>
      <c r="J945" s="311"/>
      <c r="K945" s="311"/>
      <c r="L945" s="311"/>
      <c r="M945" s="303"/>
      <c r="N945" s="311"/>
      <c r="O945" s="311"/>
      <c r="P945" s="303">
        <f t="shared" si="1171"/>
        <v>25</v>
      </c>
      <c r="Q945" s="311"/>
      <c r="R945" s="312"/>
      <c r="S945" s="303"/>
      <c r="T945" s="303">
        <f t="shared" si="1172"/>
        <v>25</v>
      </c>
      <c r="U945" s="303">
        <v>25</v>
      </c>
      <c r="V945" s="303"/>
      <c r="W945" s="303"/>
      <c r="X945" s="303"/>
      <c r="Y945" s="303"/>
      <c r="Z945" s="303"/>
      <c r="AA945" s="303"/>
      <c r="AB945" s="304"/>
      <c r="AC945" s="304"/>
      <c r="AD945" s="304"/>
      <c r="AE945" s="304"/>
      <c r="AF945" s="347"/>
      <c r="AG945" s="314">
        <f t="shared" si="1136"/>
        <v>0</v>
      </c>
      <c r="AH945" s="696">
        <f t="shared" si="1137"/>
        <v>0</v>
      </c>
      <c r="AI945" s="314">
        <f t="shared" si="1138"/>
        <v>0</v>
      </c>
      <c r="AJ945" s="314">
        <f t="shared" si="1139"/>
        <v>0</v>
      </c>
      <c r="AK945" s="314">
        <f t="shared" si="1140"/>
        <v>0</v>
      </c>
      <c r="AL945" s="314">
        <f t="shared" si="1141"/>
        <v>0</v>
      </c>
      <c r="AM945" s="314">
        <f t="shared" si="1142"/>
        <v>0</v>
      </c>
      <c r="AN945" s="314">
        <f t="shared" si="1143"/>
        <v>0</v>
      </c>
      <c r="AO945" s="314">
        <f t="shared" si="1144"/>
        <v>0</v>
      </c>
      <c r="AP945" s="314">
        <f t="shared" si="1145"/>
        <v>0</v>
      </c>
    </row>
    <row r="946" spans="1:42" ht="138" outlineLevel="1">
      <c r="A946" s="605" t="s">
        <v>23</v>
      </c>
      <c r="B946" s="348" t="s">
        <v>1169</v>
      </c>
      <c r="C946" s="304"/>
      <c r="D946" s="304">
        <v>145</v>
      </c>
      <c r="E946" s="304">
        <f t="shared" si="1169"/>
        <v>145</v>
      </c>
      <c r="F946" s="304">
        <f t="shared" si="1174"/>
        <v>145</v>
      </c>
      <c r="G946" s="304">
        <f t="shared" si="1175"/>
        <v>0</v>
      </c>
      <c r="H946" s="303">
        <f t="shared" si="1170"/>
        <v>145</v>
      </c>
      <c r="I946" s="303">
        <f t="shared" si="1176"/>
        <v>145</v>
      </c>
      <c r="J946" s="311"/>
      <c r="K946" s="311"/>
      <c r="L946" s="311"/>
      <c r="M946" s="303"/>
      <c r="N946" s="311"/>
      <c r="O946" s="311"/>
      <c r="P946" s="303">
        <f t="shared" si="1171"/>
        <v>145</v>
      </c>
      <c r="Q946" s="311"/>
      <c r="R946" s="312"/>
      <c r="S946" s="303"/>
      <c r="T946" s="303">
        <f t="shared" si="1172"/>
        <v>145</v>
      </c>
      <c r="U946" s="303">
        <v>145</v>
      </c>
      <c r="V946" s="303"/>
      <c r="W946" s="303"/>
      <c r="X946" s="303"/>
      <c r="Y946" s="303"/>
      <c r="Z946" s="303"/>
      <c r="AA946" s="303"/>
      <c r="AB946" s="304"/>
      <c r="AC946" s="304"/>
      <c r="AD946" s="304"/>
      <c r="AE946" s="304"/>
      <c r="AF946" s="605"/>
      <c r="AG946" s="314">
        <f t="shared" si="1136"/>
        <v>0</v>
      </c>
      <c r="AH946" s="696">
        <f t="shared" si="1137"/>
        <v>0</v>
      </c>
      <c r="AI946" s="314">
        <f t="shared" si="1138"/>
        <v>0</v>
      </c>
      <c r="AJ946" s="314">
        <f t="shared" si="1139"/>
        <v>0</v>
      </c>
      <c r="AK946" s="314">
        <f t="shared" si="1140"/>
        <v>0</v>
      </c>
      <c r="AL946" s="314">
        <f t="shared" si="1141"/>
        <v>0</v>
      </c>
      <c r="AM946" s="314">
        <f t="shared" si="1142"/>
        <v>0</v>
      </c>
      <c r="AN946" s="314">
        <f t="shared" si="1143"/>
        <v>0</v>
      </c>
      <c r="AO946" s="314">
        <f t="shared" si="1144"/>
        <v>0</v>
      </c>
      <c r="AP946" s="314">
        <f t="shared" si="1145"/>
        <v>0</v>
      </c>
    </row>
    <row r="947" spans="1:42" ht="27.6" outlineLevel="1">
      <c r="A947" s="605" t="s">
        <v>23</v>
      </c>
      <c r="B947" s="348" t="s">
        <v>2243</v>
      </c>
      <c r="C947" s="304"/>
      <c r="D947" s="304"/>
      <c r="E947" s="304">
        <f t="shared" si="1169"/>
        <v>112</v>
      </c>
      <c r="F947" s="304">
        <f t="shared" si="1174"/>
        <v>112</v>
      </c>
      <c r="G947" s="304">
        <f t="shared" si="1175"/>
        <v>112</v>
      </c>
      <c r="H947" s="303">
        <f t="shared" si="1170"/>
        <v>112</v>
      </c>
      <c r="I947" s="303">
        <f t="shared" si="1176"/>
        <v>112</v>
      </c>
      <c r="J947" s="311"/>
      <c r="K947" s="311"/>
      <c r="L947" s="311"/>
      <c r="M947" s="303"/>
      <c r="N947" s="311"/>
      <c r="O947" s="311"/>
      <c r="P947" s="303">
        <f t="shared" si="1171"/>
        <v>112</v>
      </c>
      <c r="Q947" s="311"/>
      <c r="R947" s="312"/>
      <c r="S947" s="303"/>
      <c r="T947" s="303">
        <f t="shared" si="1172"/>
        <v>112</v>
      </c>
      <c r="U947" s="303"/>
      <c r="V947" s="303">
        <v>112</v>
      </c>
      <c r="W947" s="303"/>
      <c r="X947" s="303"/>
      <c r="Y947" s="303"/>
      <c r="Z947" s="303"/>
      <c r="AA947" s="303"/>
      <c r="AB947" s="304"/>
      <c r="AC947" s="304"/>
      <c r="AD947" s="304"/>
      <c r="AE947" s="304"/>
      <c r="AF947" s="605"/>
      <c r="AG947" s="314">
        <f t="shared" si="1136"/>
        <v>0</v>
      </c>
      <c r="AH947" s="696">
        <f t="shared" si="1137"/>
        <v>0</v>
      </c>
      <c r="AI947" s="314">
        <f t="shared" si="1138"/>
        <v>0</v>
      </c>
      <c r="AJ947" s="314">
        <f t="shared" si="1139"/>
        <v>0</v>
      </c>
      <c r="AK947" s="314">
        <f t="shared" si="1140"/>
        <v>0</v>
      </c>
      <c r="AL947" s="314">
        <f t="shared" si="1141"/>
        <v>0</v>
      </c>
      <c r="AM947" s="314">
        <f t="shared" si="1142"/>
        <v>0</v>
      </c>
      <c r="AN947" s="314">
        <f t="shared" si="1143"/>
        <v>0</v>
      </c>
      <c r="AO947" s="314">
        <f t="shared" si="1144"/>
        <v>0</v>
      </c>
      <c r="AP947" s="314">
        <f t="shared" si="1145"/>
        <v>0</v>
      </c>
    </row>
    <row r="948" spans="1:42" ht="27.6" hidden="1" outlineLevel="3">
      <c r="A948" s="605" t="s">
        <v>23</v>
      </c>
      <c r="B948" s="348" t="s">
        <v>1870</v>
      </c>
      <c r="C948" s="304"/>
      <c r="D948" s="304">
        <v>35</v>
      </c>
      <c r="E948" s="304">
        <f t="shared" si="1169"/>
        <v>0</v>
      </c>
      <c r="F948" s="304">
        <f t="shared" si="1174"/>
        <v>0</v>
      </c>
      <c r="G948" s="304">
        <f t="shared" si="1175"/>
        <v>-35</v>
      </c>
      <c r="H948" s="303">
        <f t="shared" si="1170"/>
        <v>0</v>
      </c>
      <c r="I948" s="303">
        <f t="shared" si="1176"/>
        <v>0</v>
      </c>
      <c r="J948" s="311"/>
      <c r="K948" s="311"/>
      <c r="L948" s="311"/>
      <c r="M948" s="303"/>
      <c r="N948" s="311"/>
      <c r="O948" s="311"/>
      <c r="P948" s="303">
        <f t="shared" si="1171"/>
        <v>0</v>
      </c>
      <c r="Q948" s="311"/>
      <c r="R948" s="312"/>
      <c r="S948" s="303"/>
      <c r="T948" s="303">
        <f t="shared" si="1172"/>
        <v>0</v>
      </c>
      <c r="U948" s="303"/>
      <c r="V948" s="303"/>
      <c r="W948" s="303"/>
      <c r="X948" s="303"/>
      <c r="Y948" s="303"/>
      <c r="Z948" s="303"/>
      <c r="AA948" s="303"/>
      <c r="AB948" s="304"/>
      <c r="AC948" s="304"/>
      <c r="AD948" s="304"/>
      <c r="AE948" s="304"/>
      <c r="AF948" s="605"/>
      <c r="AG948" s="314">
        <f t="shared" si="1136"/>
        <v>0</v>
      </c>
      <c r="AH948" s="696">
        <f t="shared" si="1137"/>
        <v>0</v>
      </c>
      <c r="AI948" s="314">
        <f t="shared" si="1138"/>
        <v>0</v>
      </c>
      <c r="AJ948" s="314">
        <f t="shared" si="1139"/>
        <v>0</v>
      </c>
      <c r="AK948" s="314">
        <f t="shared" si="1140"/>
        <v>0</v>
      </c>
      <c r="AL948" s="314">
        <f t="shared" si="1141"/>
        <v>0</v>
      </c>
      <c r="AM948" s="314">
        <f t="shared" si="1142"/>
        <v>0</v>
      </c>
      <c r="AN948" s="314">
        <f t="shared" si="1143"/>
        <v>0</v>
      </c>
      <c r="AO948" s="314">
        <f t="shared" si="1144"/>
        <v>0</v>
      </c>
      <c r="AP948" s="314">
        <f t="shared" si="1145"/>
        <v>0</v>
      </c>
    </row>
    <row r="949" spans="1:42" s="314" customFormat="1">
      <c r="A949" s="592" t="s">
        <v>73</v>
      </c>
      <c r="B949" s="320" t="s">
        <v>1170</v>
      </c>
      <c r="C949" s="298" t="s">
        <v>756</v>
      </c>
      <c r="D949" s="297">
        <f t="shared" ref="D949:AE949" si="1177">D950+D951</f>
        <v>456</v>
      </c>
      <c r="E949" s="297">
        <f>E950+E951</f>
        <v>588</v>
      </c>
      <c r="F949" s="297">
        <f>F950+F951</f>
        <v>569</v>
      </c>
      <c r="G949" s="297">
        <f t="shared" si="1175"/>
        <v>113</v>
      </c>
      <c r="H949" s="297">
        <f t="shared" si="1177"/>
        <v>569</v>
      </c>
      <c r="I949" s="297">
        <f t="shared" si="1177"/>
        <v>569</v>
      </c>
      <c r="J949" s="297">
        <f t="shared" si="1177"/>
        <v>0</v>
      </c>
      <c r="K949" s="297">
        <f t="shared" si="1177"/>
        <v>0</v>
      </c>
      <c r="L949" s="297">
        <f t="shared" si="1177"/>
        <v>0</v>
      </c>
      <c r="M949" s="297">
        <f t="shared" si="1177"/>
        <v>0</v>
      </c>
      <c r="N949" s="297">
        <f t="shared" si="1177"/>
        <v>0</v>
      </c>
      <c r="O949" s="297">
        <f t="shared" si="1177"/>
        <v>0</v>
      </c>
      <c r="P949" s="297">
        <f t="shared" si="1177"/>
        <v>569</v>
      </c>
      <c r="Q949" s="297">
        <f t="shared" si="1177"/>
        <v>0</v>
      </c>
      <c r="R949" s="297">
        <f t="shared" si="1177"/>
        <v>0</v>
      </c>
      <c r="S949" s="297">
        <f t="shared" si="1177"/>
        <v>0</v>
      </c>
      <c r="T949" s="297">
        <f t="shared" si="1177"/>
        <v>569</v>
      </c>
      <c r="U949" s="297">
        <f>U950+U951</f>
        <v>456</v>
      </c>
      <c r="V949" s="297">
        <f t="shared" si="1177"/>
        <v>113</v>
      </c>
      <c r="W949" s="297">
        <f>W950+W951</f>
        <v>0</v>
      </c>
      <c r="X949" s="297"/>
      <c r="Y949" s="297"/>
      <c r="Z949" s="297">
        <f t="shared" si="1177"/>
        <v>0</v>
      </c>
      <c r="AA949" s="297">
        <f>AA950+AA951</f>
        <v>0</v>
      </c>
      <c r="AB949" s="297">
        <f>AB950+AB951</f>
        <v>0</v>
      </c>
      <c r="AC949" s="297">
        <f t="shared" ref="AC949" si="1178">AC950+AC951</f>
        <v>19</v>
      </c>
      <c r="AD949" s="297">
        <f t="shared" si="1177"/>
        <v>48</v>
      </c>
      <c r="AE949" s="297">
        <f t="shared" si="1177"/>
        <v>540</v>
      </c>
      <c r="AF949" s="321"/>
      <c r="AG949" s="314">
        <f t="shared" si="1136"/>
        <v>0</v>
      </c>
      <c r="AH949" s="696">
        <f t="shared" si="1137"/>
        <v>0</v>
      </c>
      <c r="AI949" s="314">
        <f t="shared" si="1138"/>
        <v>0</v>
      </c>
      <c r="AJ949" s="314">
        <f t="shared" si="1139"/>
        <v>0</v>
      </c>
      <c r="AK949" s="314">
        <f t="shared" si="1140"/>
        <v>0</v>
      </c>
      <c r="AL949" s="314">
        <f t="shared" si="1141"/>
        <v>0</v>
      </c>
      <c r="AM949" s="314">
        <f t="shared" si="1142"/>
        <v>0</v>
      </c>
      <c r="AN949" s="314">
        <f t="shared" si="1143"/>
        <v>0</v>
      </c>
      <c r="AO949" s="314">
        <f t="shared" si="1144"/>
        <v>0</v>
      </c>
      <c r="AP949" s="314">
        <f t="shared" si="1145"/>
        <v>0</v>
      </c>
    </row>
    <row r="950" spans="1:42" ht="41.4">
      <c r="A950" s="593" t="s">
        <v>45</v>
      </c>
      <c r="B950" s="316" t="s">
        <v>1156</v>
      </c>
      <c r="C950" s="304"/>
      <c r="D950" s="304">
        <v>90</v>
      </c>
      <c r="E950" s="304">
        <f t="shared" ref="E950:E955" si="1179">F950+AC950</f>
        <v>109</v>
      </c>
      <c r="F950" s="304">
        <f t="shared" ref="F950:F955" si="1180">H950-AB950</f>
        <v>90</v>
      </c>
      <c r="G950" s="304">
        <f t="shared" si="1175"/>
        <v>0</v>
      </c>
      <c r="H950" s="303">
        <f t="shared" ref="H950:H955" si="1181">I950+W950</f>
        <v>90</v>
      </c>
      <c r="I950" s="303">
        <f>M950+P950</f>
        <v>90</v>
      </c>
      <c r="J950" s="311"/>
      <c r="K950" s="311"/>
      <c r="L950" s="311"/>
      <c r="M950" s="303"/>
      <c r="N950" s="311"/>
      <c r="O950" s="311"/>
      <c r="P950" s="303">
        <f t="shared" ref="P950:P955" si="1182">S950+T950</f>
        <v>90</v>
      </c>
      <c r="Q950" s="311"/>
      <c r="R950" s="312"/>
      <c r="S950" s="303"/>
      <c r="T950" s="303">
        <f t="shared" ref="T950:T955" si="1183">U950+V950</f>
        <v>90</v>
      </c>
      <c r="U950" s="303">
        <v>90</v>
      </c>
      <c r="V950" s="303"/>
      <c r="W950" s="303">
        <f>Z950+AA950</f>
        <v>0</v>
      </c>
      <c r="X950" s="303"/>
      <c r="Y950" s="303"/>
      <c r="Z950" s="303"/>
      <c r="AA950" s="303"/>
      <c r="AB950" s="304"/>
      <c r="AC950" s="304">
        <v>19</v>
      </c>
      <c r="AD950" s="304">
        <v>0</v>
      </c>
      <c r="AE950" s="303">
        <f>E950-AD950</f>
        <v>109</v>
      </c>
      <c r="AF950" s="317"/>
      <c r="AG950" s="314">
        <f t="shared" si="1136"/>
        <v>0</v>
      </c>
      <c r="AH950" s="696">
        <f t="shared" si="1137"/>
        <v>0</v>
      </c>
      <c r="AI950" s="314">
        <f t="shared" si="1138"/>
        <v>0</v>
      </c>
      <c r="AJ950" s="314">
        <f t="shared" si="1139"/>
        <v>0</v>
      </c>
      <c r="AK950" s="314">
        <f t="shared" si="1140"/>
        <v>0</v>
      </c>
      <c r="AL950" s="314">
        <f t="shared" si="1141"/>
        <v>0</v>
      </c>
      <c r="AM950" s="314">
        <f t="shared" si="1142"/>
        <v>0</v>
      </c>
      <c r="AN950" s="314">
        <f t="shared" si="1143"/>
        <v>0</v>
      </c>
      <c r="AO950" s="314">
        <f t="shared" si="1144"/>
        <v>0</v>
      </c>
      <c r="AP950" s="314">
        <f t="shared" si="1145"/>
        <v>0</v>
      </c>
    </row>
    <row r="951" spans="1:42" ht="27.6">
      <c r="A951" s="593" t="s">
        <v>47</v>
      </c>
      <c r="B951" s="316" t="s">
        <v>1157</v>
      </c>
      <c r="C951" s="304"/>
      <c r="D951" s="304">
        <v>366</v>
      </c>
      <c r="E951" s="304">
        <f t="shared" si="1179"/>
        <v>479</v>
      </c>
      <c r="F951" s="304">
        <f t="shared" si="1180"/>
        <v>479</v>
      </c>
      <c r="G951" s="304">
        <f t="shared" si="1175"/>
        <v>113</v>
      </c>
      <c r="H951" s="303">
        <f t="shared" si="1181"/>
        <v>479</v>
      </c>
      <c r="I951" s="303">
        <f t="shared" ref="I951:I955" si="1184">M951+P951</f>
        <v>479</v>
      </c>
      <c r="J951" s="311"/>
      <c r="K951" s="311"/>
      <c r="L951" s="311"/>
      <c r="M951" s="303"/>
      <c r="N951" s="311"/>
      <c r="O951" s="311"/>
      <c r="P951" s="303">
        <f t="shared" si="1182"/>
        <v>479</v>
      </c>
      <c r="Q951" s="311"/>
      <c r="R951" s="312"/>
      <c r="S951" s="303"/>
      <c r="T951" s="303">
        <f t="shared" si="1183"/>
        <v>479</v>
      </c>
      <c r="U951" s="303">
        <v>366</v>
      </c>
      <c r="V951" s="303">
        <f>V955</f>
        <v>113</v>
      </c>
      <c r="W951" s="303">
        <f>Z951+AA951</f>
        <v>0</v>
      </c>
      <c r="X951" s="303"/>
      <c r="Y951" s="303"/>
      <c r="Z951" s="303"/>
      <c r="AA951" s="303"/>
      <c r="AB951" s="304"/>
      <c r="AC951" s="304"/>
      <c r="AD951" s="304">
        <v>48</v>
      </c>
      <c r="AE951" s="303">
        <f>E951-AD951</f>
        <v>431</v>
      </c>
      <c r="AF951" s="317"/>
      <c r="AG951" s="314">
        <f t="shared" si="1136"/>
        <v>0</v>
      </c>
      <c r="AH951" s="696">
        <f t="shared" si="1137"/>
        <v>0</v>
      </c>
      <c r="AI951" s="314">
        <f t="shared" si="1138"/>
        <v>0</v>
      </c>
      <c r="AJ951" s="314">
        <f t="shared" si="1139"/>
        <v>0</v>
      </c>
      <c r="AK951" s="314">
        <f t="shared" si="1140"/>
        <v>0</v>
      </c>
      <c r="AL951" s="314">
        <f t="shared" si="1141"/>
        <v>0</v>
      </c>
      <c r="AM951" s="314">
        <f t="shared" si="1142"/>
        <v>0</v>
      </c>
      <c r="AN951" s="314">
        <f t="shared" si="1143"/>
        <v>0</v>
      </c>
      <c r="AO951" s="314">
        <f t="shared" si="1144"/>
        <v>0</v>
      </c>
      <c r="AP951" s="314">
        <f t="shared" si="1145"/>
        <v>0</v>
      </c>
    </row>
    <row r="952" spans="1:42" ht="27.6" outlineLevel="1">
      <c r="A952" s="593" t="s">
        <v>23</v>
      </c>
      <c r="B952" s="346" t="s">
        <v>1171</v>
      </c>
      <c r="C952" s="304"/>
      <c r="D952" s="304">
        <v>208</v>
      </c>
      <c r="E952" s="304">
        <f t="shared" si="1179"/>
        <v>208</v>
      </c>
      <c r="F952" s="304">
        <f t="shared" si="1180"/>
        <v>208</v>
      </c>
      <c r="G952" s="304">
        <f t="shared" si="1175"/>
        <v>0</v>
      </c>
      <c r="H952" s="303">
        <f t="shared" si="1181"/>
        <v>208</v>
      </c>
      <c r="I952" s="303">
        <f t="shared" si="1184"/>
        <v>208</v>
      </c>
      <c r="J952" s="311"/>
      <c r="K952" s="311"/>
      <c r="L952" s="311"/>
      <c r="M952" s="303"/>
      <c r="N952" s="311"/>
      <c r="O952" s="311"/>
      <c r="P952" s="303">
        <f t="shared" si="1182"/>
        <v>208</v>
      </c>
      <c r="Q952" s="311"/>
      <c r="R952" s="312"/>
      <c r="S952" s="303"/>
      <c r="T952" s="303">
        <f t="shared" si="1183"/>
        <v>208</v>
      </c>
      <c r="U952" s="303">
        <v>208</v>
      </c>
      <c r="V952" s="303"/>
      <c r="W952" s="303"/>
      <c r="X952" s="303"/>
      <c r="Y952" s="303"/>
      <c r="Z952" s="303"/>
      <c r="AA952" s="303"/>
      <c r="AB952" s="304"/>
      <c r="AC952" s="304"/>
      <c r="AD952" s="304"/>
      <c r="AE952" s="304"/>
      <c r="AF952" s="347"/>
      <c r="AG952" s="314">
        <f t="shared" si="1136"/>
        <v>0</v>
      </c>
      <c r="AH952" s="696">
        <f t="shared" si="1137"/>
        <v>0</v>
      </c>
      <c r="AI952" s="314">
        <f t="shared" si="1138"/>
        <v>0</v>
      </c>
      <c r="AJ952" s="314">
        <f t="shared" si="1139"/>
        <v>0</v>
      </c>
      <c r="AK952" s="314">
        <f t="shared" si="1140"/>
        <v>0</v>
      </c>
      <c r="AL952" s="314">
        <f t="shared" si="1141"/>
        <v>0</v>
      </c>
      <c r="AM952" s="314">
        <f t="shared" si="1142"/>
        <v>0</v>
      </c>
      <c r="AN952" s="314">
        <f t="shared" si="1143"/>
        <v>0</v>
      </c>
      <c r="AO952" s="314">
        <f t="shared" si="1144"/>
        <v>0</v>
      </c>
      <c r="AP952" s="314">
        <f t="shared" si="1145"/>
        <v>0</v>
      </c>
    </row>
    <row r="953" spans="1:42" ht="41.4" outlineLevel="1">
      <c r="A953" s="593" t="s">
        <v>23</v>
      </c>
      <c r="B953" s="346" t="s">
        <v>1172</v>
      </c>
      <c r="C953" s="304"/>
      <c r="D953" s="304">
        <v>54</v>
      </c>
      <c r="E953" s="304">
        <f t="shared" si="1179"/>
        <v>54</v>
      </c>
      <c r="F953" s="304">
        <f t="shared" si="1180"/>
        <v>54</v>
      </c>
      <c r="G953" s="304">
        <f t="shared" si="1175"/>
        <v>0</v>
      </c>
      <c r="H953" s="303">
        <f t="shared" si="1181"/>
        <v>54</v>
      </c>
      <c r="I953" s="303">
        <f t="shared" si="1184"/>
        <v>54</v>
      </c>
      <c r="J953" s="311"/>
      <c r="K953" s="311"/>
      <c r="L953" s="311"/>
      <c r="M953" s="303"/>
      <c r="N953" s="311"/>
      <c r="O953" s="311"/>
      <c r="P953" s="303">
        <f t="shared" si="1182"/>
        <v>54</v>
      </c>
      <c r="Q953" s="311"/>
      <c r="R953" s="312"/>
      <c r="S953" s="303"/>
      <c r="T953" s="303">
        <f t="shared" si="1183"/>
        <v>54</v>
      </c>
      <c r="U953" s="303">
        <v>54</v>
      </c>
      <c r="V953" s="303"/>
      <c r="W953" s="303"/>
      <c r="X953" s="303"/>
      <c r="Y953" s="303"/>
      <c r="Z953" s="303"/>
      <c r="AA953" s="303"/>
      <c r="AB953" s="304"/>
      <c r="AC953" s="304"/>
      <c r="AD953" s="304"/>
      <c r="AE953" s="304"/>
      <c r="AF953" s="347"/>
      <c r="AG953" s="314">
        <f t="shared" si="1136"/>
        <v>0</v>
      </c>
      <c r="AH953" s="696">
        <f t="shared" si="1137"/>
        <v>0</v>
      </c>
      <c r="AI953" s="314">
        <f t="shared" si="1138"/>
        <v>0</v>
      </c>
      <c r="AJ953" s="314">
        <f t="shared" si="1139"/>
        <v>0</v>
      </c>
      <c r="AK953" s="314">
        <f t="shared" si="1140"/>
        <v>0</v>
      </c>
      <c r="AL953" s="314">
        <f t="shared" si="1141"/>
        <v>0</v>
      </c>
      <c r="AM953" s="314">
        <f t="shared" si="1142"/>
        <v>0</v>
      </c>
      <c r="AN953" s="314">
        <f t="shared" si="1143"/>
        <v>0</v>
      </c>
      <c r="AO953" s="314">
        <f t="shared" si="1144"/>
        <v>0</v>
      </c>
      <c r="AP953" s="314">
        <f t="shared" si="1145"/>
        <v>0</v>
      </c>
    </row>
    <row r="954" spans="1:42" ht="41.4" outlineLevel="1">
      <c r="A954" s="593" t="s">
        <v>23</v>
      </c>
      <c r="B954" s="346" t="s">
        <v>2450</v>
      </c>
      <c r="C954" s="304"/>
      <c r="D954" s="304">
        <v>104</v>
      </c>
      <c r="E954" s="304">
        <f t="shared" si="1179"/>
        <v>104</v>
      </c>
      <c r="F954" s="304">
        <f t="shared" si="1180"/>
        <v>104</v>
      </c>
      <c r="G954" s="304">
        <f t="shared" si="1175"/>
        <v>0</v>
      </c>
      <c r="H954" s="303">
        <f t="shared" si="1181"/>
        <v>104</v>
      </c>
      <c r="I954" s="303">
        <f t="shared" si="1184"/>
        <v>104</v>
      </c>
      <c r="J954" s="311"/>
      <c r="K954" s="311"/>
      <c r="L954" s="311"/>
      <c r="M954" s="303"/>
      <c r="N954" s="311"/>
      <c r="O954" s="311"/>
      <c r="P954" s="303">
        <f t="shared" si="1182"/>
        <v>104</v>
      </c>
      <c r="Q954" s="311"/>
      <c r="R954" s="312"/>
      <c r="S954" s="303"/>
      <c r="T954" s="303">
        <f t="shared" si="1183"/>
        <v>104</v>
      </c>
      <c r="U954" s="303">
        <v>104</v>
      </c>
      <c r="V954" s="303"/>
      <c r="W954" s="303"/>
      <c r="X954" s="303"/>
      <c r="Y954" s="303"/>
      <c r="Z954" s="303"/>
      <c r="AA954" s="303"/>
      <c r="AB954" s="304"/>
      <c r="AC954" s="304"/>
      <c r="AD954" s="304"/>
      <c r="AE954" s="304"/>
      <c r="AF954" s="347"/>
      <c r="AG954" s="314">
        <f t="shared" si="1136"/>
        <v>0</v>
      </c>
      <c r="AH954" s="696">
        <f t="shared" si="1137"/>
        <v>0</v>
      </c>
      <c r="AI954" s="314">
        <f t="shared" si="1138"/>
        <v>0</v>
      </c>
      <c r="AJ954" s="314">
        <f t="shared" si="1139"/>
        <v>0</v>
      </c>
      <c r="AK954" s="314">
        <f t="shared" si="1140"/>
        <v>0</v>
      </c>
      <c r="AL954" s="314">
        <f t="shared" si="1141"/>
        <v>0</v>
      </c>
      <c r="AM954" s="314">
        <f t="shared" si="1142"/>
        <v>0</v>
      </c>
      <c r="AN954" s="314">
        <f t="shared" si="1143"/>
        <v>0</v>
      </c>
      <c r="AO954" s="314">
        <f t="shared" si="1144"/>
        <v>0</v>
      </c>
      <c r="AP954" s="314">
        <f t="shared" si="1145"/>
        <v>0</v>
      </c>
    </row>
    <row r="955" spans="1:42" ht="82.8" outlineLevel="1">
      <c r="A955" s="593" t="s">
        <v>23</v>
      </c>
      <c r="B955" s="346" t="s">
        <v>2244</v>
      </c>
      <c r="C955" s="304"/>
      <c r="D955" s="304"/>
      <c r="E955" s="304">
        <f t="shared" si="1179"/>
        <v>113</v>
      </c>
      <c r="F955" s="304">
        <f t="shared" si="1180"/>
        <v>113</v>
      </c>
      <c r="G955" s="304">
        <f t="shared" si="1175"/>
        <v>113</v>
      </c>
      <c r="H955" s="303">
        <f t="shared" si="1181"/>
        <v>113</v>
      </c>
      <c r="I955" s="303">
        <f t="shared" si="1184"/>
        <v>113</v>
      </c>
      <c r="J955" s="311"/>
      <c r="K955" s="311"/>
      <c r="L955" s="311"/>
      <c r="M955" s="303"/>
      <c r="N955" s="311"/>
      <c r="O955" s="311"/>
      <c r="P955" s="303">
        <f t="shared" si="1182"/>
        <v>113</v>
      </c>
      <c r="Q955" s="311"/>
      <c r="R955" s="312"/>
      <c r="S955" s="303"/>
      <c r="T955" s="303">
        <f t="shared" si="1183"/>
        <v>113</v>
      </c>
      <c r="U955" s="303"/>
      <c r="V955" s="303">
        <v>113</v>
      </c>
      <c r="W955" s="303"/>
      <c r="X955" s="303"/>
      <c r="Y955" s="303"/>
      <c r="Z955" s="303"/>
      <c r="AA955" s="303"/>
      <c r="AB955" s="304"/>
      <c r="AC955" s="304"/>
      <c r="AD955" s="304"/>
      <c r="AE955" s="304"/>
      <c r="AF955" s="347" t="s">
        <v>2351</v>
      </c>
      <c r="AG955" s="314">
        <f t="shared" si="1136"/>
        <v>0</v>
      </c>
      <c r="AH955" s="696">
        <f t="shared" si="1137"/>
        <v>0</v>
      </c>
      <c r="AI955" s="314">
        <f t="shared" si="1138"/>
        <v>0</v>
      </c>
      <c r="AJ955" s="314">
        <f t="shared" si="1139"/>
        <v>0</v>
      </c>
      <c r="AK955" s="314">
        <f t="shared" si="1140"/>
        <v>0</v>
      </c>
      <c r="AL955" s="314">
        <f t="shared" si="1141"/>
        <v>0</v>
      </c>
      <c r="AM955" s="314">
        <f t="shared" si="1142"/>
        <v>0</v>
      </c>
      <c r="AN955" s="314">
        <f t="shared" si="1143"/>
        <v>0</v>
      </c>
      <c r="AO955" s="314">
        <f t="shared" si="1144"/>
        <v>0</v>
      </c>
      <c r="AP955" s="314">
        <f t="shared" si="1145"/>
        <v>0</v>
      </c>
    </row>
    <row r="956" spans="1:42" s="314" customFormat="1">
      <c r="A956" s="592" t="s">
        <v>74</v>
      </c>
      <c r="B956" s="320" t="s">
        <v>1173</v>
      </c>
      <c r="C956" s="298" t="s">
        <v>756</v>
      </c>
      <c r="D956" s="297">
        <f t="shared" ref="D956" si="1185">D957</f>
        <v>90</v>
      </c>
      <c r="E956" s="297">
        <f>E957</f>
        <v>90</v>
      </c>
      <c r="F956" s="297">
        <f>F957</f>
        <v>90</v>
      </c>
      <c r="G956" s="297">
        <f t="shared" si="1175"/>
        <v>0</v>
      </c>
      <c r="H956" s="297">
        <f>H957</f>
        <v>90</v>
      </c>
      <c r="I956" s="299">
        <f>M956+P956</f>
        <v>90</v>
      </c>
      <c r="J956" s="318"/>
      <c r="K956" s="318"/>
      <c r="L956" s="318"/>
      <c r="M956" s="299"/>
      <c r="N956" s="318"/>
      <c r="O956" s="318"/>
      <c r="P956" s="299">
        <f>S956+T956</f>
        <v>90</v>
      </c>
      <c r="Q956" s="318"/>
      <c r="R956" s="319"/>
      <c r="S956" s="299"/>
      <c r="T956" s="299">
        <f>U956+V956</f>
        <v>90</v>
      </c>
      <c r="U956" s="299">
        <f>U957</f>
        <v>90</v>
      </c>
      <c r="V956" s="299"/>
      <c r="W956" s="299">
        <f>Z956+AA956</f>
        <v>0</v>
      </c>
      <c r="X956" s="299"/>
      <c r="Y956" s="299"/>
      <c r="Z956" s="299"/>
      <c r="AA956" s="299"/>
      <c r="AB956" s="297"/>
      <c r="AC956" s="297"/>
      <c r="AD956" s="297">
        <v>9</v>
      </c>
      <c r="AE956" s="299">
        <f>E956-AD956</f>
        <v>81</v>
      </c>
      <c r="AF956" s="321"/>
      <c r="AG956" s="314">
        <f t="shared" si="1136"/>
        <v>0</v>
      </c>
      <c r="AH956" s="696">
        <f t="shared" si="1137"/>
        <v>0</v>
      </c>
      <c r="AI956" s="314">
        <f t="shared" si="1138"/>
        <v>0</v>
      </c>
      <c r="AJ956" s="314">
        <f t="shared" si="1139"/>
        <v>0</v>
      </c>
      <c r="AK956" s="314">
        <f t="shared" si="1140"/>
        <v>0</v>
      </c>
      <c r="AL956" s="314">
        <f t="shared" si="1141"/>
        <v>0</v>
      </c>
      <c r="AM956" s="314">
        <f t="shared" si="1142"/>
        <v>0</v>
      </c>
      <c r="AN956" s="314">
        <f t="shared" si="1143"/>
        <v>0</v>
      </c>
      <c r="AO956" s="314">
        <f t="shared" si="1144"/>
        <v>0</v>
      </c>
      <c r="AP956" s="314">
        <f t="shared" si="1145"/>
        <v>0</v>
      </c>
    </row>
    <row r="957" spans="1:42" ht="55.2" outlineLevel="1">
      <c r="A957" s="593"/>
      <c r="B957" s="316" t="s">
        <v>1174</v>
      </c>
      <c r="C957" s="302"/>
      <c r="D957" s="304">
        <v>90</v>
      </c>
      <c r="E957" s="304">
        <f>F957+AC957</f>
        <v>90</v>
      </c>
      <c r="F957" s="304">
        <f>H957-AB957</f>
        <v>90</v>
      </c>
      <c r="G957" s="304">
        <f t="shared" si="1175"/>
        <v>0</v>
      </c>
      <c r="H957" s="303">
        <f t="shared" ref="H957" si="1186">I957+W957</f>
        <v>90</v>
      </c>
      <c r="I957" s="303">
        <f>M957+P957</f>
        <v>90</v>
      </c>
      <c r="J957" s="311"/>
      <c r="K957" s="311"/>
      <c r="L957" s="311"/>
      <c r="M957" s="303"/>
      <c r="N957" s="311"/>
      <c r="O957" s="311"/>
      <c r="P957" s="303">
        <f>S957+T957</f>
        <v>90</v>
      </c>
      <c r="Q957" s="311"/>
      <c r="R957" s="312"/>
      <c r="S957" s="303"/>
      <c r="T957" s="303">
        <f>U957+V957</f>
        <v>90</v>
      </c>
      <c r="U957" s="303">
        <v>90</v>
      </c>
      <c r="V957" s="303"/>
      <c r="W957" s="303"/>
      <c r="X957" s="303"/>
      <c r="Y957" s="303"/>
      <c r="Z957" s="303"/>
      <c r="AA957" s="303"/>
      <c r="AB957" s="304"/>
      <c r="AC957" s="304"/>
      <c r="AD957" s="304"/>
      <c r="AE957" s="304"/>
      <c r="AF957" s="317"/>
      <c r="AG957" s="314">
        <f t="shared" si="1136"/>
        <v>0</v>
      </c>
      <c r="AH957" s="696">
        <f t="shared" si="1137"/>
        <v>0</v>
      </c>
      <c r="AI957" s="314">
        <f t="shared" si="1138"/>
        <v>0</v>
      </c>
      <c r="AJ957" s="314">
        <f t="shared" si="1139"/>
        <v>0</v>
      </c>
      <c r="AK957" s="314">
        <f t="shared" si="1140"/>
        <v>0</v>
      </c>
      <c r="AL957" s="314">
        <f t="shared" si="1141"/>
        <v>0</v>
      </c>
      <c r="AM957" s="314">
        <f t="shared" si="1142"/>
        <v>0</v>
      </c>
      <c r="AN957" s="314">
        <f t="shared" si="1143"/>
        <v>0</v>
      </c>
      <c r="AO957" s="314">
        <f t="shared" si="1144"/>
        <v>0</v>
      </c>
      <c r="AP957" s="314">
        <f t="shared" si="1145"/>
        <v>0</v>
      </c>
    </row>
    <row r="958" spans="1:42" s="314" customFormat="1">
      <c r="A958" s="592" t="s">
        <v>75</v>
      </c>
      <c r="B958" s="320" t="s">
        <v>1175</v>
      </c>
      <c r="C958" s="298" t="s">
        <v>756</v>
      </c>
      <c r="D958" s="299">
        <f t="shared" ref="D958:P958" si="1187">D959+D960</f>
        <v>1082</v>
      </c>
      <c r="E958" s="299">
        <f>E959+E960</f>
        <v>1194</v>
      </c>
      <c r="F958" s="299">
        <f>F959+F960</f>
        <v>1131</v>
      </c>
      <c r="G958" s="299">
        <f t="shared" si="1175"/>
        <v>49</v>
      </c>
      <c r="H958" s="299">
        <f t="shared" si="1187"/>
        <v>1131</v>
      </c>
      <c r="I958" s="299">
        <f t="shared" si="1187"/>
        <v>1131</v>
      </c>
      <c r="J958" s="318">
        <f t="shared" si="1187"/>
        <v>3</v>
      </c>
      <c r="K958" s="318">
        <f t="shared" si="1187"/>
        <v>3</v>
      </c>
      <c r="L958" s="318">
        <f t="shared" si="1187"/>
        <v>0</v>
      </c>
      <c r="M958" s="299">
        <f t="shared" si="1187"/>
        <v>304</v>
      </c>
      <c r="N958" s="318">
        <f t="shared" si="1187"/>
        <v>304</v>
      </c>
      <c r="O958" s="318">
        <f t="shared" si="1187"/>
        <v>0</v>
      </c>
      <c r="P958" s="299">
        <f t="shared" si="1187"/>
        <v>827</v>
      </c>
      <c r="Q958" s="318"/>
      <c r="R958" s="318"/>
      <c r="S958" s="299">
        <f>S959+S960</f>
        <v>93</v>
      </c>
      <c r="T958" s="299">
        <f>T959+T960</f>
        <v>734</v>
      </c>
      <c r="U958" s="299">
        <f>U959+U960</f>
        <v>692</v>
      </c>
      <c r="V958" s="299">
        <f>V959+V960</f>
        <v>42</v>
      </c>
      <c r="W958" s="299">
        <f>W959+W960</f>
        <v>0</v>
      </c>
      <c r="X958" s="299"/>
      <c r="Y958" s="299"/>
      <c r="Z958" s="299">
        <f t="shared" ref="Z958:AE958" si="1188">Z959+Z960</f>
        <v>0</v>
      </c>
      <c r="AA958" s="299">
        <f>AA959+AA960</f>
        <v>0</v>
      </c>
      <c r="AB958" s="299">
        <f>AB959+AB960</f>
        <v>0</v>
      </c>
      <c r="AC958" s="299">
        <f t="shared" ref="AC958" si="1189">AC959+AC960</f>
        <v>63</v>
      </c>
      <c r="AD958" s="299">
        <f t="shared" si="1188"/>
        <v>82</v>
      </c>
      <c r="AE958" s="299">
        <f t="shared" si="1188"/>
        <v>1112</v>
      </c>
      <c r="AF958" s="321"/>
      <c r="AG958" s="314">
        <f t="shared" si="1136"/>
        <v>0</v>
      </c>
      <c r="AH958" s="696">
        <f t="shared" si="1137"/>
        <v>0</v>
      </c>
      <c r="AI958" s="314">
        <f t="shared" si="1138"/>
        <v>0</v>
      </c>
      <c r="AJ958" s="314">
        <f t="shared" si="1139"/>
        <v>0</v>
      </c>
      <c r="AK958" s="314">
        <f t="shared" si="1140"/>
        <v>0</v>
      </c>
      <c r="AL958" s="314">
        <f t="shared" si="1141"/>
        <v>0</v>
      </c>
      <c r="AM958" s="314">
        <f t="shared" si="1142"/>
        <v>0</v>
      </c>
      <c r="AN958" s="314">
        <f t="shared" si="1143"/>
        <v>0</v>
      </c>
      <c r="AO958" s="314">
        <f t="shared" si="1144"/>
        <v>0</v>
      </c>
      <c r="AP958" s="314">
        <f t="shared" si="1145"/>
        <v>0</v>
      </c>
    </row>
    <row r="959" spans="1:42" ht="41.4">
      <c r="A959" s="583" t="s">
        <v>45</v>
      </c>
      <c r="B959" s="346" t="s">
        <v>1176</v>
      </c>
      <c r="C959" s="317"/>
      <c r="D959" s="304">
        <v>390</v>
      </c>
      <c r="E959" s="304">
        <f t="shared" ref="E959:E967" si="1190">F959+AC959</f>
        <v>460</v>
      </c>
      <c r="F959" s="304">
        <f t="shared" ref="F959:F967" si="1191">H959-AB959</f>
        <v>397</v>
      </c>
      <c r="G959" s="304">
        <f t="shared" si="1175"/>
        <v>7</v>
      </c>
      <c r="H959" s="303">
        <f t="shared" ref="H959:H967" si="1192">I959+W959</f>
        <v>397</v>
      </c>
      <c r="I959" s="303">
        <f t="shared" ref="I959:I967" si="1193">M959+P959</f>
        <v>397</v>
      </c>
      <c r="J959" s="294">
        <v>3</v>
      </c>
      <c r="K959" s="294">
        <v>3</v>
      </c>
      <c r="L959" s="294">
        <f>J959-K959</f>
        <v>0</v>
      </c>
      <c r="M959" s="304">
        <f>N959+O959</f>
        <v>304</v>
      </c>
      <c r="N959" s="294">
        <v>304</v>
      </c>
      <c r="O959" s="294">
        <v>0</v>
      </c>
      <c r="P959" s="303">
        <f t="shared" ref="P959:P967" si="1194">S959+T959</f>
        <v>93</v>
      </c>
      <c r="Q959" s="294">
        <v>31</v>
      </c>
      <c r="R959" s="305">
        <v>1</v>
      </c>
      <c r="S959" s="304">
        <f>ROUND(J959*Q959*R959,0)</f>
        <v>93</v>
      </c>
      <c r="T959" s="303">
        <f t="shared" ref="T959:T967" si="1195">U959+V959</f>
        <v>0</v>
      </c>
      <c r="U959" s="304"/>
      <c r="V959" s="304"/>
      <c r="W959" s="303">
        <f>Z959+AA959</f>
        <v>0</v>
      </c>
      <c r="X959" s="303"/>
      <c r="Y959" s="303"/>
      <c r="Z959" s="304"/>
      <c r="AA959" s="304"/>
      <c r="AB959" s="304"/>
      <c r="AC959" s="304">
        <v>63</v>
      </c>
      <c r="AD959" s="304">
        <v>9</v>
      </c>
      <c r="AE959" s="303">
        <f>E959-AD959</f>
        <v>451</v>
      </c>
      <c r="AF959" s="347"/>
      <c r="AG959" s="314">
        <f t="shared" si="1136"/>
        <v>0</v>
      </c>
      <c r="AH959" s="696">
        <f t="shared" si="1137"/>
        <v>0</v>
      </c>
      <c r="AI959" s="314">
        <f t="shared" si="1138"/>
        <v>0</v>
      </c>
      <c r="AJ959" s="314">
        <f t="shared" si="1139"/>
        <v>0</v>
      </c>
      <c r="AK959" s="314">
        <f t="shared" si="1140"/>
        <v>0</v>
      </c>
      <c r="AL959" s="314">
        <f t="shared" si="1141"/>
        <v>0</v>
      </c>
      <c r="AM959" s="314">
        <f t="shared" si="1142"/>
        <v>0</v>
      </c>
      <c r="AN959" s="314">
        <f t="shared" si="1143"/>
        <v>0</v>
      </c>
      <c r="AO959" s="314">
        <f t="shared" si="1144"/>
        <v>0</v>
      </c>
      <c r="AP959" s="314">
        <f t="shared" si="1145"/>
        <v>0</v>
      </c>
    </row>
    <row r="960" spans="1:42" ht="27.6">
      <c r="A960" s="583" t="s">
        <v>47</v>
      </c>
      <c r="B960" s="316" t="s">
        <v>1157</v>
      </c>
      <c r="C960" s="317"/>
      <c r="D960" s="304">
        <v>692</v>
      </c>
      <c r="E960" s="304">
        <f t="shared" si="1190"/>
        <v>734</v>
      </c>
      <c r="F960" s="304">
        <f t="shared" si="1191"/>
        <v>734</v>
      </c>
      <c r="G960" s="304">
        <f t="shared" si="1175"/>
        <v>42</v>
      </c>
      <c r="H960" s="303">
        <f t="shared" si="1192"/>
        <v>734</v>
      </c>
      <c r="I960" s="303">
        <f t="shared" si="1193"/>
        <v>734</v>
      </c>
      <c r="J960" s="294"/>
      <c r="K960" s="294"/>
      <c r="L960" s="294"/>
      <c r="M960" s="304"/>
      <c r="N960" s="294"/>
      <c r="O960" s="294"/>
      <c r="P960" s="303">
        <f t="shared" si="1194"/>
        <v>734</v>
      </c>
      <c r="Q960" s="294"/>
      <c r="R960" s="305"/>
      <c r="S960" s="304"/>
      <c r="T960" s="303">
        <f t="shared" si="1195"/>
        <v>734</v>
      </c>
      <c r="U960" s="304">
        <f>SUM(U961:U966)</f>
        <v>692</v>
      </c>
      <c r="V960" s="304">
        <f>SUM(V961:V967)</f>
        <v>42</v>
      </c>
      <c r="W960" s="303">
        <f>Z960+AA960</f>
        <v>0</v>
      </c>
      <c r="X960" s="303"/>
      <c r="Y960" s="303"/>
      <c r="Z960" s="304"/>
      <c r="AA960" s="304"/>
      <c r="AB960" s="304"/>
      <c r="AC960" s="304"/>
      <c r="AD960" s="304">
        <v>73</v>
      </c>
      <c r="AE960" s="303">
        <f>E960-AD960</f>
        <v>661</v>
      </c>
      <c r="AF960" s="317"/>
      <c r="AG960" s="314">
        <f t="shared" si="1136"/>
        <v>0</v>
      </c>
      <c r="AH960" s="696">
        <f t="shared" si="1137"/>
        <v>0</v>
      </c>
      <c r="AI960" s="314">
        <f t="shared" si="1138"/>
        <v>0</v>
      </c>
      <c r="AJ960" s="314">
        <f t="shared" si="1139"/>
        <v>0</v>
      </c>
      <c r="AK960" s="314">
        <f t="shared" si="1140"/>
        <v>0</v>
      </c>
      <c r="AL960" s="314">
        <f t="shared" si="1141"/>
        <v>0</v>
      </c>
      <c r="AM960" s="314">
        <f t="shared" si="1142"/>
        <v>0</v>
      </c>
      <c r="AN960" s="314">
        <f t="shared" si="1143"/>
        <v>0</v>
      </c>
      <c r="AO960" s="314">
        <f t="shared" si="1144"/>
        <v>0</v>
      </c>
      <c r="AP960" s="314">
        <f t="shared" si="1145"/>
        <v>0</v>
      </c>
    </row>
    <row r="961" spans="1:42" ht="55.2" outlineLevel="1">
      <c r="A961" s="1298" t="s">
        <v>23</v>
      </c>
      <c r="B961" s="346" t="s">
        <v>1177</v>
      </c>
      <c r="C961" s="317"/>
      <c r="D961" s="304">
        <v>208</v>
      </c>
      <c r="E961" s="304">
        <f t="shared" si="1190"/>
        <v>228</v>
      </c>
      <c r="F961" s="304">
        <f t="shared" si="1191"/>
        <v>228</v>
      </c>
      <c r="G961" s="304">
        <f t="shared" si="1175"/>
        <v>20</v>
      </c>
      <c r="H961" s="303">
        <f t="shared" si="1192"/>
        <v>228</v>
      </c>
      <c r="I961" s="303">
        <f t="shared" si="1193"/>
        <v>228</v>
      </c>
      <c r="J961" s="294"/>
      <c r="K961" s="294"/>
      <c r="L961" s="294"/>
      <c r="M961" s="304"/>
      <c r="N961" s="294"/>
      <c r="O961" s="294"/>
      <c r="P961" s="303">
        <f t="shared" si="1194"/>
        <v>228</v>
      </c>
      <c r="Q961" s="294"/>
      <c r="R961" s="305"/>
      <c r="S961" s="304"/>
      <c r="T961" s="303">
        <f t="shared" si="1195"/>
        <v>228</v>
      </c>
      <c r="U961" s="347">
        <v>208</v>
      </c>
      <c r="V961" s="304">
        <v>20</v>
      </c>
      <c r="W961" s="303"/>
      <c r="X961" s="303"/>
      <c r="Y961" s="303"/>
      <c r="Z961" s="304"/>
      <c r="AA961" s="304"/>
      <c r="AB961" s="304"/>
      <c r="AC961" s="304"/>
      <c r="AD961" s="304"/>
      <c r="AE961" s="304"/>
      <c r="AF961" s="347" t="s">
        <v>2352</v>
      </c>
      <c r="AG961" s="314">
        <f t="shared" si="1136"/>
        <v>0</v>
      </c>
      <c r="AH961" s="696">
        <f t="shared" si="1137"/>
        <v>0</v>
      </c>
      <c r="AI961" s="314">
        <f t="shared" si="1138"/>
        <v>0</v>
      </c>
      <c r="AJ961" s="314">
        <f t="shared" si="1139"/>
        <v>0</v>
      </c>
      <c r="AK961" s="314">
        <f t="shared" si="1140"/>
        <v>0</v>
      </c>
      <c r="AL961" s="314">
        <f t="shared" si="1141"/>
        <v>0</v>
      </c>
      <c r="AM961" s="314">
        <f t="shared" si="1142"/>
        <v>0</v>
      </c>
      <c r="AN961" s="314">
        <f t="shared" si="1143"/>
        <v>0</v>
      </c>
      <c r="AO961" s="314">
        <f t="shared" si="1144"/>
        <v>0</v>
      </c>
      <c r="AP961" s="314">
        <f t="shared" si="1145"/>
        <v>0</v>
      </c>
    </row>
    <row r="962" spans="1:42" outlineLevel="1">
      <c r="A962" s="1298" t="s">
        <v>23</v>
      </c>
      <c r="B962" s="346" t="s">
        <v>1178</v>
      </c>
      <c r="C962" s="317"/>
      <c r="D962" s="304">
        <v>154</v>
      </c>
      <c r="E962" s="304">
        <f t="shared" si="1190"/>
        <v>154</v>
      </c>
      <c r="F962" s="304">
        <f t="shared" si="1191"/>
        <v>154</v>
      </c>
      <c r="G962" s="304">
        <f t="shared" si="1175"/>
        <v>0</v>
      </c>
      <c r="H962" s="303">
        <f t="shared" si="1192"/>
        <v>154</v>
      </c>
      <c r="I962" s="303">
        <f t="shared" si="1193"/>
        <v>154</v>
      </c>
      <c r="J962" s="294"/>
      <c r="K962" s="294"/>
      <c r="L962" s="294"/>
      <c r="M962" s="304"/>
      <c r="N962" s="294"/>
      <c r="O962" s="294"/>
      <c r="P962" s="303">
        <f t="shared" si="1194"/>
        <v>154</v>
      </c>
      <c r="Q962" s="294"/>
      <c r="R962" s="305"/>
      <c r="S962" s="304"/>
      <c r="T962" s="303">
        <f t="shared" si="1195"/>
        <v>154</v>
      </c>
      <c r="U962" s="347">
        <v>154</v>
      </c>
      <c r="V962" s="304"/>
      <c r="W962" s="303"/>
      <c r="X962" s="303"/>
      <c r="Y962" s="303"/>
      <c r="Z962" s="304"/>
      <c r="AA962" s="304"/>
      <c r="AB962" s="304"/>
      <c r="AC962" s="304"/>
      <c r="AD962" s="304"/>
      <c r="AE962" s="304"/>
      <c r="AF962" s="347"/>
      <c r="AG962" s="314">
        <f t="shared" si="1136"/>
        <v>0</v>
      </c>
      <c r="AH962" s="696">
        <f t="shared" si="1137"/>
        <v>0</v>
      </c>
      <c r="AI962" s="314">
        <f t="shared" si="1138"/>
        <v>0</v>
      </c>
      <c r="AJ962" s="314">
        <f t="shared" si="1139"/>
        <v>0</v>
      </c>
      <c r="AK962" s="314">
        <f t="shared" si="1140"/>
        <v>0</v>
      </c>
      <c r="AL962" s="314">
        <f t="shared" si="1141"/>
        <v>0</v>
      </c>
      <c r="AM962" s="314">
        <f t="shared" si="1142"/>
        <v>0</v>
      </c>
      <c r="AN962" s="314">
        <f t="shared" si="1143"/>
        <v>0</v>
      </c>
      <c r="AO962" s="314">
        <f t="shared" si="1144"/>
        <v>0</v>
      </c>
      <c r="AP962" s="314">
        <f t="shared" si="1145"/>
        <v>0</v>
      </c>
    </row>
    <row r="963" spans="1:42" outlineLevel="1">
      <c r="A963" s="1298" t="s">
        <v>23</v>
      </c>
      <c r="B963" s="346" t="s">
        <v>1179</v>
      </c>
      <c r="C963" s="317"/>
      <c r="D963" s="304">
        <v>140</v>
      </c>
      <c r="E963" s="304">
        <f t="shared" si="1190"/>
        <v>140</v>
      </c>
      <c r="F963" s="304">
        <f t="shared" si="1191"/>
        <v>140</v>
      </c>
      <c r="G963" s="304">
        <f t="shared" si="1175"/>
        <v>0</v>
      </c>
      <c r="H963" s="303">
        <f t="shared" si="1192"/>
        <v>140</v>
      </c>
      <c r="I963" s="303">
        <f t="shared" si="1193"/>
        <v>140</v>
      </c>
      <c r="J963" s="294"/>
      <c r="K963" s="294"/>
      <c r="L963" s="294"/>
      <c r="M963" s="304"/>
      <c r="N963" s="294"/>
      <c r="O963" s="294"/>
      <c r="P963" s="303">
        <f t="shared" si="1194"/>
        <v>140</v>
      </c>
      <c r="Q963" s="294"/>
      <c r="R963" s="305"/>
      <c r="S963" s="304"/>
      <c r="T963" s="303">
        <f t="shared" si="1195"/>
        <v>140</v>
      </c>
      <c r="U963" s="347">
        <v>140</v>
      </c>
      <c r="V963" s="304"/>
      <c r="W963" s="303"/>
      <c r="X963" s="303"/>
      <c r="Y963" s="303"/>
      <c r="Z963" s="304"/>
      <c r="AA963" s="304"/>
      <c r="AB963" s="304"/>
      <c r="AC963" s="304"/>
      <c r="AD963" s="304"/>
      <c r="AE963" s="304"/>
      <c r="AF963" s="347"/>
      <c r="AG963" s="314">
        <f t="shared" si="1136"/>
        <v>0</v>
      </c>
      <c r="AH963" s="696">
        <f t="shared" si="1137"/>
        <v>0</v>
      </c>
      <c r="AI963" s="314">
        <f t="shared" si="1138"/>
        <v>0</v>
      </c>
      <c r="AJ963" s="314">
        <f t="shared" si="1139"/>
        <v>0</v>
      </c>
      <c r="AK963" s="314">
        <f t="shared" si="1140"/>
        <v>0</v>
      </c>
      <c r="AL963" s="314">
        <f t="shared" si="1141"/>
        <v>0</v>
      </c>
      <c r="AM963" s="314">
        <f t="shared" si="1142"/>
        <v>0</v>
      </c>
      <c r="AN963" s="314">
        <f t="shared" si="1143"/>
        <v>0</v>
      </c>
      <c r="AO963" s="314">
        <f t="shared" si="1144"/>
        <v>0</v>
      </c>
      <c r="AP963" s="314">
        <f t="shared" si="1145"/>
        <v>0</v>
      </c>
    </row>
    <row r="964" spans="1:42" ht="41.4" outlineLevel="1">
      <c r="A964" s="1298" t="s">
        <v>23</v>
      </c>
      <c r="B964" s="346" t="s">
        <v>1180</v>
      </c>
      <c r="C964" s="317"/>
      <c r="D964" s="304">
        <v>52</v>
      </c>
      <c r="E964" s="304">
        <f t="shared" si="1190"/>
        <v>52</v>
      </c>
      <c r="F964" s="304">
        <f t="shared" si="1191"/>
        <v>52</v>
      </c>
      <c r="G964" s="304">
        <f t="shared" si="1175"/>
        <v>0</v>
      </c>
      <c r="H964" s="303">
        <f t="shared" si="1192"/>
        <v>52</v>
      </c>
      <c r="I964" s="303">
        <f t="shared" si="1193"/>
        <v>52</v>
      </c>
      <c r="J964" s="294"/>
      <c r="K964" s="294"/>
      <c r="L964" s="294"/>
      <c r="M964" s="304"/>
      <c r="N964" s="294"/>
      <c r="O964" s="294"/>
      <c r="P964" s="303">
        <f t="shared" si="1194"/>
        <v>52</v>
      </c>
      <c r="Q964" s="294"/>
      <c r="R964" s="305"/>
      <c r="S964" s="304"/>
      <c r="T964" s="303">
        <f t="shared" si="1195"/>
        <v>52</v>
      </c>
      <c r="U964" s="347">
        <v>52</v>
      </c>
      <c r="V964" s="304"/>
      <c r="W964" s="303"/>
      <c r="X964" s="303"/>
      <c r="Y964" s="303"/>
      <c r="Z964" s="304"/>
      <c r="AA964" s="304"/>
      <c r="AB964" s="304"/>
      <c r="AC964" s="304"/>
      <c r="AD964" s="304"/>
      <c r="AE964" s="304"/>
      <c r="AF964" s="347"/>
      <c r="AG964" s="314">
        <f t="shared" si="1136"/>
        <v>0</v>
      </c>
      <c r="AH964" s="696">
        <f t="shared" si="1137"/>
        <v>0</v>
      </c>
      <c r="AI964" s="314">
        <f t="shared" si="1138"/>
        <v>0</v>
      </c>
      <c r="AJ964" s="314">
        <f t="shared" si="1139"/>
        <v>0</v>
      </c>
      <c r="AK964" s="314">
        <f t="shared" si="1140"/>
        <v>0</v>
      </c>
      <c r="AL964" s="314">
        <f t="shared" si="1141"/>
        <v>0</v>
      </c>
      <c r="AM964" s="314">
        <f t="shared" si="1142"/>
        <v>0</v>
      </c>
      <c r="AN964" s="314">
        <f t="shared" si="1143"/>
        <v>0</v>
      </c>
      <c r="AO964" s="314">
        <f t="shared" si="1144"/>
        <v>0</v>
      </c>
      <c r="AP964" s="314">
        <f t="shared" si="1145"/>
        <v>0</v>
      </c>
    </row>
    <row r="965" spans="1:42" ht="27.6" outlineLevel="1" collapsed="1">
      <c r="A965" s="1298" t="s">
        <v>23</v>
      </c>
      <c r="B965" s="346" t="s">
        <v>1181</v>
      </c>
      <c r="C965" s="317"/>
      <c r="D965" s="304">
        <v>120</v>
      </c>
      <c r="E965" s="304">
        <f t="shared" si="1190"/>
        <v>120</v>
      </c>
      <c r="F965" s="304">
        <f t="shared" si="1191"/>
        <v>120</v>
      </c>
      <c r="G965" s="304">
        <f t="shared" si="1175"/>
        <v>0</v>
      </c>
      <c r="H965" s="303">
        <f t="shared" si="1192"/>
        <v>120</v>
      </c>
      <c r="I965" s="303">
        <f t="shared" si="1193"/>
        <v>120</v>
      </c>
      <c r="J965" s="294"/>
      <c r="K965" s="294"/>
      <c r="L965" s="294"/>
      <c r="M965" s="304"/>
      <c r="N965" s="294"/>
      <c r="O965" s="294"/>
      <c r="P965" s="303">
        <f t="shared" si="1194"/>
        <v>120</v>
      </c>
      <c r="Q965" s="294"/>
      <c r="R965" s="305"/>
      <c r="S965" s="304"/>
      <c r="T965" s="303">
        <f t="shared" si="1195"/>
        <v>120</v>
      </c>
      <c r="U965" s="347">
        <v>120</v>
      </c>
      <c r="V965" s="304"/>
      <c r="W965" s="303"/>
      <c r="X965" s="303"/>
      <c r="Y965" s="303"/>
      <c r="Z965" s="304"/>
      <c r="AA965" s="304"/>
      <c r="AB965" s="304"/>
      <c r="AC965" s="304"/>
      <c r="AD965" s="304"/>
      <c r="AE965" s="304"/>
      <c r="AF965" s="347"/>
      <c r="AG965" s="314">
        <f t="shared" si="1136"/>
        <v>0</v>
      </c>
      <c r="AH965" s="696">
        <f t="shared" si="1137"/>
        <v>0</v>
      </c>
      <c r="AI965" s="314">
        <f t="shared" si="1138"/>
        <v>0</v>
      </c>
      <c r="AJ965" s="314">
        <f t="shared" si="1139"/>
        <v>0</v>
      </c>
      <c r="AK965" s="314">
        <f t="shared" si="1140"/>
        <v>0</v>
      </c>
      <c r="AL965" s="314">
        <f t="shared" si="1141"/>
        <v>0</v>
      </c>
      <c r="AM965" s="314">
        <f t="shared" si="1142"/>
        <v>0</v>
      </c>
      <c r="AN965" s="314">
        <f t="shared" si="1143"/>
        <v>0</v>
      </c>
      <c r="AO965" s="314">
        <f t="shared" si="1144"/>
        <v>0</v>
      </c>
      <c r="AP965" s="314">
        <f t="shared" si="1145"/>
        <v>0</v>
      </c>
    </row>
    <row r="966" spans="1:42" ht="55.2" outlineLevel="1">
      <c r="A966" s="1298" t="s">
        <v>23</v>
      </c>
      <c r="B966" s="346" t="s">
        <v>1438</v>
      </c>
      <c r="C966" s="317"/>
      <c r="D966" s="304">
        <v>18</v>
      </c>
      <c r="E966" s="304">
        <f t="shared" si="1190"/>
        <v>18</v>
      </c>
      <c r="F966" s="304">
        <f t="shared" si="1191"/>
        <v>18</v>
      </c>
      <c r="G966" s="304">
        <f t="shared" si="1175"/>
        <v>0</v>
      </c>
      <c r="H966" s="303">
        <f t="shared" si="1192"/>
        <v>18</v>
      </c>
      <c r="I966" s="303">
        <f t="shared" si="1193"/>
        <v>18</v>
      </c>
      <c r="J966" s="294"/>
      <c r="K966" s="294"/>
      <c r="L966" s="294"/>
      <c r="M966" s="304"/>
      <c r="N966" s="294"/>
      <c r="O966" s="294"/>
      <c r="P966" s="303">
        <f t="shared" si="1194"/>
        <v>18</v>
      </c>
      <c r="Q966" s="294"/>
      <c r="R966" s="305"/>
      <c r="S966" s="304"/>
      <c r="T966" s="303">
        <f t="shared" si="1195"/>
        <v>18</v>
      </c>
      <c r="U966" s="347">
        <v>18</v>
      </c>
      <c r="V966" s="304"/>
      <c r="W966" s="303"/>
      <c r="X966" s="303"/>
      <c r="Y966" s="303"/>
      <c r="Z966" s="304"/>
      <c r="AA966" s="304"/>
      <c r="AB966" s="304"/>
      <c r="AC966" s="304"/>
      <c r="AD966" s="304"/>
      <c r="AE966" s="304"/>
      <c r="AF966" s="347"/>
      <c r="AG966" s="314">
        <f t="shared" si="1136"/>
        <v>0</v>
      </c>
      <c r="AH966" s="696">
        <f t="shared" si="1137"/>
        <v>0</v>
      </c>
      <c r="AI966" s="314">
        <f t="shared" si="1138"/>
        <v>0</v>
      </c>
      <c r="AJ966" s="314">
        <f t="shared" si="1139"/>
        <v>0</v>
      </c>
      <c r="AK966" s="314">
        <f t="shared" si="1140"/>
        <v>0</v>
      </c>
      <c r="AL966" s="314">
        <f t="shared" si="1141"/>
        <v>0</v>
      </c>
      <c r="AM966" s="314">
        <f t="shared" si="1142"/>
        <v>0</v>
      </c>
      <c r="AN966" s="314">
        <f t="shared" si="1143"/>
        <v>0</v>
      </c>
      <c r="AO966" s="314">
        <f t="shared" si="1144"/>
        <v>0</v>
      </c>
      <c r="AP966" s="314">
        <f t="shared" si="1145"/>
        <v>0</v>
      </c>
    </row>
    <row r="967" spans="1:42" ht="41.4" outlineLevel="1">
      <c r="A967" s="1298" t="s">
        <v>23</v>
      </c>
      <c r="B967" s="346" t="s">
        <v>2470</v>
      </c>
      <c r="C967" s="317"/>
      <c r="D967" s="304"/>
      <c r="E967" s="304">
        <f t="shared" si="1190"/>
        <v>22</v>
      </c>
      <c r="F967" s="304">
        <f t="shared" si="1191"/>
        <v>22</v>
      </c>
      <c r="G967" s="304">
        <f t="shared" si="1175"/>
        <v>22</v>
      </c>
      <c r="H967" s="303">
        <f t="shared" si="1192"/>
        <v>22</v>
      </c>
      <c r="I967" s="303">
        <f t="shared" si="1193"/>
        <v>22</v>
      </c>
      <c r="J967" s="294"/>
      <c r="K967" s="294"/>
      <c r="L967" s="294"/>
      <c r="M967" s="304"/>
      <c r="N967" s="294"/>
      <c r="O967" s="294"/>
      <c r="P967" s="303">
        <f t="shared" si="1194"/>
        <v>22</v>
      </c>
      <c r="Q967" s="294"/>
      <c r="R967" s="305"/>
      <c r="S967" s="304"/>
      <c r="T967" s="303">
        <f t="shared" si="1195"/>
        <v>22</v>
      </c>
      <c r="U967" s="347"/>
      <c r="V967" s="304">
        <v>22</v>
      </c>
      <c r="W967" s="303"/>
      <c r="X967" s="303"/>
      <c r="Y967" s="303"/>
      <c r="Z967" s="304"/>
      <c r="AA967" s="304"/>
      <c r="AB967" s="304"/>
      <c r="AC967" s="304"/>
      <c r="AD967" s="304"/>
      <c r="AE967" s="304"/>
      <c r="AF967" s="347" t="s">
        <v>2563</v>
      </c>
      <c r="AG967" s="314">
        <f t="shared" si="1136"/>
        <v>0</v>
      </c>
      <c r="AH967" s="696">
        <f t="shared" si="1137"/>
        <v>0</v>
      </c>
      <c r="AI967" s="314">
        <f t="shared" si="1138"/>
        <v>0</v>
      </c>
      <c r="AJ967" s="314">
        <f t="shared" si="1139"/>
        <v>0</v>
      </c>
      <c r="AK967" s="314">
        <f t="shared" si="1140"/>
        <v>0</v>
      </c>
      <c r="AL967" s="314">
        <f t="shared" si="1141"/>
        <v>0</v>
      </c>
      <c r="AM967" s="314">
        <f t="shared" si="1142"/>
        <v>0</v>
      </c>
      <c r="AN967" s="314">
        <f t="shared" si="1143"/>
        <v>0</v>
      </c>
      <c r="AO967" s="314">
        <f t="shared" si="1144"/>
        <v>0</v>
      </c>
      <c r="AP967" s="314">
        <f t="shared" si="1145"/>
        <v>0</v>
      </c>
    </row>
    <row r="968" spans="1:42" s="314" customFormat="1">
      <c r="A968" s="592" t="s">
        <v>76</v>
      </c>
      <c r="B968" s="320" t="s">
        <v>1182</v>
      </c>
      <c r="C968" s="298"/>
      <c r="D968" s="299">
        <f>D969+D971+D978+D970</f>
        <v>2108</v>
      </c>
      <c r="E968" s="299">
        <f>E969+E971+E978+E970</f>
        <v>2450</v>
      </c>
      <c r="F968" s="299">
        <f>F969+F971+F978+F970</f>
        <v>2386</v>
      </c>
      <c r="G968" s="299">
        <f t="shared" si="1175"/>
        <v>278</v>
      </c>
      <c r="H968" s="299">
        <f t="shared" ref="H968:P968" si="1196">H969+H971+H978+H970</f>
        <v>2386</v>
      </c>
      <c r="I968" s="299">
        <f t="shared" si="1196"/>
        <v>1791</v>
      </c>
      <c r="J968" s="299">
        <f t="shared" si="1196"/>
        <v>2</v>
      </c>
      <c r="K968" s="299">
        <f t="shared" si="1196"/>
        <v>2</v>
      </c>
      <c r="L968" s="299">
        <f t="shared" si="1196"/>
        <v>0</v>
      </c>
      <c r="M968" s="299">
        <f t="shared" si="1196"/>
        <v>216</v>
      </c>
      <c r="N968" s="299">
        <f t="shared" si="1196"/>
        <v>216</v>
      </c>
      <c r="O968" s="299">
        <f t="shared" si="1196"/>
        <v>0</v>
      </c>
      <c r="P968" s="299">
        <f t="shared" si="1196"/>
        <v>1575</v>
      </c>
      <c r="Q968" s="299"/>
      <c r="R968" s="299"/>
      <c r="S968" s="299">
        <f>S969+S971+S978+S970</f>
        <v>62</v>
      </c>
      <c r="T968" s="299">
        <f>T969+T971+T978+T970</f>
        <v>1513</v>
      </c>
      <c r="U968" s="299">
        <f>U969+U971+U978+U970</f>
        <v>1395</v>
      </c>
      <c r="V968" s="299">
        <f>V969+V971+V978+V970</f>
        <v>118</v>
      </c>
      <c r="W968" s="299">
        <f>W969+W971+W978+W970</f>
        <v>595</v>
      </c>
      <c r="X968" s="299"/>
      <c r="Y968" s="299"/>
      <c r="Z968" s="299">
        <f t="shared" ref="Z968:AE968" si="1197">Z969+Z971+Z978+Z970</f>
        <v>595</v>
      </c>
      <c r="AA968" s="299">
        <f t="shared" si="1197"/>
        <v>0</v>
      </c>
      <c r="AB968" s="299">
        <f t="shared" si="1197"/>
        <v>0</v>
      </c>
      <c r="AC968" s="299">
        <f t="shared" si="1197"/>
        <v>64</v>
      </c>
      <c r="AD968" s="299">
        <f t="shared" si="1197"/>
        <v>197</v>
      </c>
      <c r="AE968" s="299">
        <f t="shared" si="1197"/>
        <v>2253</v>
      </c>
      <c r="AF968" s="321"/>
      <c r="AG968" s="314">
        <f t="shared" si="1136"/>
        <v>0</v>
      </c>
      <c r="AH968" s="696">
        <f t="shared" si="1137"/>
        <v>0</v>
      </c>
      <c r="AI968" s="314">
        <f t="shared" si="1138"/>
        <v>0</v>
      </c>
      <c r="AJ968" s="314">
        <f t="shared" si="1139"/>
        <v>0</v>
      </c>
      <c r="AK968" s="314">
        <f t="shared" si="1140"/>
        <v>0</v>
      </c>
      <c r="AL968" s="314">
        <f t="shared" si="1141"/>
        <v>0</v>
      </c>
      <c r="AM968" s="314">
        <f t="shared" si="1142"/>
        <v>0</v>
      </c>
      <c r="AN968" s="314">
        <f t="shared" si="1143"/>
        <v>0</v>
      </c>
      <c r="AO968" s="314">
        <f t="shared" si="1144"/>
        <v>0</v>
      </c>
      <c r="AP968" s="314">
        <f t="shared" si="1145"/>
        <v>0</v>
      </c>
    </row>
    <row r="969" spans="1:42" ht="41.4">
      <c r="A969" s="593" t="s">
        <v>45</v>
      </c>
      <c r="B969" s="316" t="s">
        <v>1156</v>
      </c>
      <c r="C969" s="302" t="s">
        <v>756</v>
      </c>
      <c r="D969" s="304">
        <v>90</v>
      </c>
      <c r="E969" s="304">
        <f t="shared" ref="E969:E978" si="1198">F969+AC969</f>
        <v>109</v>
      </c>
      <c r="F969" s="304">
        <f t="shared" ref="F969:F978" si="1199">H969-AB969</f>
        <v>90</v>
      </c>
      <c r="G969" s="304">
        <f t="shared" si="1175"/>
        <v>0</v>
      </c>
      <c r="H969" s="303">
        <f t="shared" ref="H969:H978" si="1200">I969+W969</f>
        <v>90</v>
      </c>
      <c r="I969" s="303">
        <f>M969+P969</f>
        <v>90</v>
      </c>
      <c r="J969" s="294"/>
      <c r="K969" s="294"/>
      <c r="L969" s="294"/>
      <c r="M969" s="304">
        <f>N969+O969</f>
        <v>0</v>
      </c>
      <c r="N969" s="294"/>
      <c r="O969" s="294">
        <v>0</v>
      </c>
      <c r="P969" s="303">
        <f>S969+T969</f>
        <v>90</v>
      </c>
      <c r="Q969" s="294"/>
      <c r="R969" s="305"/>
      <c r="S969" s="304"/>
      <c r="T969" s="303">
        <f>U969+V969</f>
        <v>90</v>
      </c>
      <c r="U969" s="304">
        <v>90</v>
      </c>
      <c r="V969" s="304"/>
      <c r="W969" s="303">
        <f>Z969+AA969</f>
        <v>0</v>
      </c>
      <c r="X969" s="303"/>
      <c r="Y969" s="303"/>
      <c r="Z969" s="304"/>
      <c r="AA969" s="304"/>
      <c r="AB969" s="304"/>
      <c r="AC969" s="304">
        <v>19</v>
      </c>
      <c r="AD969" s="304">
        <v>0</v>
      </c>
      <c r="AE969" s="303">
        <f>E969-AD969</f>
        <v>109</v>
      </c>
      <c r="AF969" s="317"/>
      <c r="AG969" s="314">
        <f t="shared" si="1136"/>
        <v>0</v>
      </c>
      <c r="AH969" s="696">
        <f t="shared" si="1137"/>
        <v>0</v>
      </c>
      <c r="AI969" s="314">
        <f t="shared" si="1138"/>
        <v>0</v>
      </c>
      <c r="AJ969" s="314">
        <f t="shared" si="1139"/>
        <v>0</v>
      </c>
      <c r="AK969" s="314">
        <f t="shared" si="1140"/>
        <v>0</v>
      </c>
      <c r="AL969" s="314">
        <f t="shared" si="1141"/>
        <v>0</v>
      </c>
      <c r="AM969" s="314">
        <f t="shared" si="1142"/>
        <v>0</v>
      </c>
      <c r="AN969" s="314">
        <f t="shared" si="1143"/>
        <v>0</v>
      </c>
      <c r="AO969" s="314">
        <f t="shared" si="1144"/>
        <v>0</v>
      </c>
      <c r="AP969" s="314">
        <f t="shared" si="1145"/>
        <v>0</v>
      </c>
    </row>
    <row r="970" spans="1:42" ht="41.4">
      <c r="A970" s="583" t="s">
        <v>47</v>
      </c>
      <c r="B970" s="346" t="s">
        <v>1176</v>
      </c>
      <c r="C970" s="302" t="s">
        <v>756</v>
      </c>
      <c r="D970" s="304">
        <v>263</v>
      </c>
      <c r="E970" s="304">
        <f t="shared" si="1198"/>
        <v>323</v>
      </c>
      <c r="F970" s="304">
        <f t="shared" si="1199"/>
        <v>278</v>
      </c>
      <c r="G970" s="304">
        <f t="shared" si="1175"/>
        <v>15</v>
      </c>
      <c r="H970" s="303">
        <f t="shared" si="1200"/>
        <v>278</v>
      </c>
      <c r="I970" s="303">
        <f t="shared" ref="I970" si="1201">M970+P970</f>
        <v>278</v>
      </c>
      <c r="J970" s="294">
        <v>2</v>
      </c>
      <c r="K970" s="294">
        <v>2</v>
      </c>
      <c r="L970" s="294">
        <f>J970-K970</f>
        <v>0</v>
      </c>
      <c r="M970" s="304">
        <f>N970+O970</f>
        <v>216</v>
      </c>
      <c r="N970" s="294">
        <v>216</v>
      </c>
      <c r="O970" s="294">
        <v>0</v>
      </c>
      <c r="P970" s="303">
        <f t="shared" ref="P970" si="1202">S970+T970</f>
        <v>62</v>
      </c>
      <c r="Q970" s="294">
        <v>31</v>
      </c>
      <c r="R970" s="305">
        <v>1</v>
      </c>
      <c r="S970" s="304">
        <f>ROUND(J970*Q970*R970,0)</f>
        <v>62</v>
      </c>
      <c r="T970" s="303">
        <f t="shared" ref="T970" si="1203">U970+V970</f>
        <v>0</v>
      </c>
      <c r="U970" s="304"/>
      <c r="V970" s="304"/>
      <c r="W970" s="303">
        <f>Z970+AA970</f>
        <v>0</v>
      </c>
      <c r="X970" s="303"/>
      <c r="Y970" s="303"/>
      <c r="Z970" s="304"/>
      <c r="AA970" s="304"/>
      <c r="AB970" s="304"/>
      <c r="AC970" s="304">
        <v>45</v>
      </c>
      <c r="AD970" s="304">
        <v>6</v>
      </c>
      <c r="AE970" s="303">
        <f>E970-AD970</f>
        <v>317</v>
      </c>
      <c r="AF970" s="347"/>
      <c r="AG970" s="314">
        <f t="shared" si="1136"/>
        <v>0</v>
      </c>
      <c r="AH970" s="696">
        <f t="shared" si="1137"/>
        <v>0</v>
      </c>
      <c r="AI970" s="314">
        <f t="shared" si="1138"/>
        <v>0</v>
      </c>
      <c r="AJ970" s="314">
        <f t="shared" si="1139"/>
        <v>0</v>
      </c>
      <c r="AK970" s="314">
        <f t="shared" si="1140"/>
        <v>0</v>
      </c>
      <c r="AL970" s="314">
        <f t="shared" si="1141"/>
        <v>0</v>
      </c>
      <c r="AM970" s="314">
        <f t="shared" si="1142"/>
        <v>0</v>
      </c>
      <c r="AN970" s="314">
        <f t="shared" si="1143"/>
        <v>0</v>
      </c>
      <c r="AO970" s="314">
        <f t="shared" si="1144"/>
        <v>0</v>
      </c>
      <c r="AP970" s="314">
        <f t="shared" si="1145"/>
        <v>0</v>
      </c>
    </row>
    <row r="971" spans="1:42" ht="27.6">
      <c r="A971" s="593" t="s">
        <v>49</v>
      </c>
      <c r="B971" s="316" t="s">
        <v>1157</v>
      </c>
      <c r="C971" s="302" t="s">
        <v>756</v>
      </c>
      <c r="D971" s="304">
        <v>1305</v>
      </c>
      <c r="E971" s="304">
        <f t="shared" si="1198"/>
        <v>1423</v>
      </c>
      <c r="F971" s="304">
        <f t="shared" si="1199"/>
        <v>1423</v>
      </c>
      <c r="G971" s="304">
        <f t="shared" si="1175"/>
        <v>118</v>
      </c>
      <c r="H971" s="303">
        <f t="shared" si="1200"/>
        <v>1423</v>
      </c>
      <c r="I971" s="303">
        <f>M971+P971</f>
        <v>1423</v>
      </c>
      <c r="J971" s="294"/>
      <c r="K971" s="294"/>
      <c r="L971" s="294"/>
      <c r="M971" s="304">
        <f>N971+O971</f>
        <v>0</v>
      </c>
      <c r="N971" s="294"/>
      <c r="O971" s="294"/>
      <c r="P971" s="303">
        <f>S971+T971</f>
        <v>1423</v>
      </c>
      <c r="Q971" s="294"/>
      <c r="R971" s="305"/>
      <c r="S971" s="304"/>
      <c r="T971" s="303">
        <f>U971+V971</f>
        <v>1423</v>
      </c>
      <c r="U971" s="303">
        <f>SUM(U972:U976)</f>
        <v>1305</v>
      </c>
      <c r="V971" s="303">
        <f>V977+V972</f>
        <v>118</v>
      </c>
      <c r="W971" s="303"/>
      <c r="X971" s="303"/>
      <c r="Y971" s="303"/>
      <c r="Z971" s="303"/>
      <c r="AA971" s="303"/>
      <c r="AB971" s="303"/>
      <c r="AC971" s="303"/>
      <c r="AD971" s="303">
        <v>142</v>
      </c>
      <c r="AE971" s="303">
        <f>E971-AD971</f>
        <v>1281</v>
      </c>
      <c r="AF971" s="317"/>
      <c r="AG971" s="314">
        <f t="shared" si="1136"/>
        <v>0</v>
      </c>
      <c r="AH971" s="696">
        <f t="shared" si="1137"/>
        <v>0</v>
      </c>
      <c r="AI971" s="314">
        <f t="shared" si="1138"/>
        <v>0</v>
      </c>
      <c r="AJ971" s="314">
        <f t="shared" si="1139"/>
        <v>0</v>
      </c>
      <c r="AK971" s="314">
        <f t="shared" si="1140"/>
        <v>0</v>
      </c>
      <c r="AL971" s="314">
        <f t="shared" si="1141"/>
        <v>0</v>
      </c>
      <c r="AM971" s="314">
        <f t="shared" si="1142"/>
        <v>0</v>
      </c>
      <c r="AN971" s="314">
        <f t="shared" si="1143"/>
        <v>0</v>
      </c>
      <c r="AO971" s="314">
        <f t="shared" si="1144"/>
        <v>0</v>
      </c>
      <c r="AP971" s="314">
        <f t="shared" si="1145"/>
        <v>0</v>
      </c>
    </row>
    <row r="972" spans="1:42" ht="41.4" outlineLevel="1">
      <c r="A972" s="605" t="s">
        <v>23</v>
      </c>
      <c r="B972" s="346" t="s">
        <v>1183</v>
      </c>
      <c r="C972" s="302"/>
      <c r="D972" s="304">
        <v>182</v>
      </c>
      <c r="E972" s="304">
        <f t="shared" si="1198"/>
        <v>245</v>
      </c>
      <c r="F972" s="304">
        <f t="shared" si="1199"/>
        <v>245</v>
      </c>
      <c r="G972" s="304">
        <f t="shared" si="1175"/>
        <v>63</v>
      </c>
      <c r="H972" s="303">
        <f t="shared" si="1200"/>
        <v>245</v>
      </c>
      <c r="I972" s="303">
        <f t="shared" ref="I972:I978" si="1204">M972+P972</f>
        <v>245</v>
      </c>
      <c r="J972" s="294"/>
      <c r="K972" s="294"/>
      <c r="L972" s="294"/>
      <c r="M972" s="304">
        <f t="shared" ref="M972:M978" si="1205">N972+O972</f>
        <v>0</v>
      </c>
      <c r="N972" s="294"/>
      <c r="O972" s="294"/>
      <c r="P972" s="303">
        <f t="shared" ref="P972:P978" si="1206">S972+T972</f>
        <v>245</v>
      </c>
      <c r="Q972" s="294"/>
      <c r="R972" s="305"/>
      <c r="S972" s="304"/>
      <c r="T972" s="303">
        <f t="shared" ref="T972:T978" si="1207">U972+V972</f>
        <v>245</v>
      </c>
      <c r="U972" s="303">
        <f>171+11</f>
        <v>182</v>
      </c>
      <c r="V972" s="303">
        <v>63</v>
      </c>
      <c r="W972" s="303"/>
      <c r="X972" s="303"/>
      <c r="Y972" s="303"/>
      <c r="Z972" s="303"/>
      <c r="AA972" s="303"/>
      <c r="AB972" s="303"/>
      <c r="AC972" s="303"/>
      <c r="AD972" s="303"/>
      <c r="AE972" s="303"/>
      <c r="AF972" s="347">
        <v>0</v>
      </c>
      <c r="AG972" s="314">
        <f t="shared" si="1136"/>
        <v>0</v>
      </c>
      <c r="AH972" s="696">
        <f t="shared" si="1137"/>
        <v>0</v>
      </c>
      <c r="AI972" s="314">
        <f t="shared" si="1138"/>
        <v>0</v>
      </c>
      <c r="AJ972" s="314">
        <f t="shared" si="1139"/>
        <v>0</v>
      </c>
      <c r="AK972" s="314">
        <f t="shared" si="1140"/>
        <v>0</v>
      </c>
      <c r="AL972" s="314">
        <f t="shared" si="1141"/>
        <v>0</v>
      </c>
      <c r="AM972" s="314">
        <f t="shared" si="1142"/>
        <v>0</v>
      </c>
      <c r="AN972" s="314">
        <f t="shared" si="1143"/>
        <v>0</v>
      </c>
      <c r="AO972" s="314">
        <f t="shared" si="1144"/>
        <v>0</v>
      </c>
      <c r="AP972" s="314">
        <f t="shared" si="1145"/>
        <v>0</v>
      </c>
    </row>
    <row r="973" spans="1:42" ht="110.4" outlineLevel="1">
      <c r="A973" s="605" t="s">
        <v>23</v>
      </c>
      <c r="B973" s="348" t="s">
        <v>1184</v>
      </c>
      <c r="C973" s="302"/>
      <c r="D973" s="304">
        <v>126</v>
      </c>
      <c r="E973" s="304">
        <f t="shared" si="1198"/>
        <v>126</v>
      </c>
      <c r="F973" s="304">
        <f t="shared" si="1199"/>
        <v>126</v>
      </c>
      <c r="G973" s="304">
        <f t="shared" si="1175"/>
        <v>0</v>
      </c>
      <c r="H973" s="303">
        <f t="shared" si="1200"/>
        <v>126</v>
      </c>
      <c r="I973" s="303">
        <f t="shared" si="1204"/>
        <v>126</v>
      </c>
      <c r="J973" s="294"/>
      <c r="K973" s="294"/>
      <c r="L973" s="294"/>
      <c r="M973" s="304">
        <f t="shared" si="1205"/>
        <v>0</v>
      </c>
      <c r="N973" s="294"/>
      <c r="O973" s="294"/>
      <c r="P973" s="303">
        <f t="shared" si="1206"/>
        <v>126</v>
      </c>
      <c r="Q973" s="294"/>
      <c r="R973" s="305"/>
      <c r="S973" s="304"/>
      <c r="T973" s="303">
        <f t="shared" si="1207"/>
        <v>126</v>
      </c>
      <c r="U973" s="303">
        <f>97+29</f>
        <v>126</v>
      </c>
      <c r="V973" s="303"/>
      <c r="W973" s="303"/>
      <c r="X973" s="303"/>
      <c r="Y973" s="303"/>
      <c r="Z973" s="303"/>
      <c r="AA973" s="303"/>
      <c r="AB973" s="303"/>
      <c r="AC973" s="303"/>
      <c r="AD973" s="303"/>
      <c r="AE973" s="303"/>
      <c r="AF973" s="605"/>
      <c r="AG973" s="314">
        <f t="shared" si="1136"/>
        <v>0</v>
      </c>
      <c r="AH973" s="696">
        <f t="shared" si="1137"/>
        <v>0</v>
      </c>
      <c r="AI973" s="314">
        <f t="shared" si="1138"/>
        <v>0</v>
      </c>
      <c r="AJ973" s="314">
        <f t="shared" si="1139"/>
        <v>0</v>
      </c>
      <c r="AK973" s="314">
        <f t="shared" si="1140"/>
        <v>0</v>
      </c>
      <c r="AL973" s="314">
        <f t="shared" si="1141"/>
        <v>0</v>
      </c>
      <c r="AM973" s="314">
        <f t="shared" si="1142"/>
        <v>0</v>
      </c>
      <c r="AN973" s="314">
        <f t="shared" si="1143"/>
        <v>0</v>
      </c>
      <c r="AO973" s="314">
        <f t="shared" si="1144"/>
        <v>0</v>
      </c>
      <c r="AP973" s="314">
        <f t="shared" si="1145"/>
        <v>0</v>
      </c>
    </row>
    <row r="974" spans="1:42" ht="69" outlineLevel="1">
      <c r="A974" s="605" t="s">
        <v>23</v>
      </c>
      <c r="B974" s="346" t="s">
        <v>1185</v>
      </c>
      <c r="C974" s="302"/>
      <c r="D974" s="304">
        <v>460</v>
      </c>
      <c r="E974" s="304">
        <f t="shared" si="1198"/>
        <v>460</v>
      </c>
      <c r="F974" s="304">
        <f t="shared" si="1199"/>
        <v>460</v>
      </c>
      <c r="G974" s="304">
        <f t="shared" si="1175"/>
        <v>0</v>
      </c>
      <c r="H974" s="303">
        <f t="shared" si="1200"/>
        <v>460</v>
      </c>
      <c r="I974" s="303">
        <f t="shared" si="1204"/>
        <v>460</v>
      </c>
      <c r="J974" s="294"/>
      <c r="K974" s="294"/>
      <c r="L974" s="294"/>
      <c r="M974" s="304">
        <f t="shared" si="1205"/>
        <v>0</v>
      </c>
      <c r="N974" s="294"/>
      <c r="O974" s="294"/>
      <c r="P974" s="303">
        <f t="shared" si="1206"/>
        <v>460</v>
      </c>
      <c r="Q974" s="294"/>
      <c r="R974" s="305"/>
      <c r="S974" s="304"/>
      <c r="T974" s="303">
        <f t="shared" si="1207"/>
        <v>460</v>
      </c>
      <c r="U974" s="303">
        <f>400-40+100</f>
        <v>460</v>
      </c>
      <c r="V974" s="303"/>
      <c r="W974" s="303"/>
      <c r="X974" s="303"/>
      <c r="Y974" s="303"/>
      <c r="Z974" s="303"/>
      <c r="AA974" s="303"/>
      <c r="AB974" s="303"/>
      <c r="AC974" s="303"/>
      <c r="AD974" s="303"/>
      <c r="AE974" s="303"/>
      <c r="AF974" s="347"/>
      <c r="AG974" s="314">
        <f t="shared" si="1136"/>
        <v>0</v>
      </c>
      <c r="AH974" s="696">
        <f t="shared" si="1137"/>
        <v>0</v>
      </c>
      <c r="AI974" s="314">
        <f t="shared" si="1138"/>
        <v>0</v>
      </c>
      <c r="AJ974" s="314">
        <f t="shared" si="1139"/>
        <v>0</v>
      </c>
      <c r="AK974" s="314">
        <f t="shared" si="1140"/>
        <v>0</v>
      </c>
      <c r="AL974" s="314">
        <f t="shared" si="1141"/>
        <v>0</v>
      </c>
      <c r="AM974" s="314">
        <f t="shared" si="1142"/>
        <v>0</v>
      </c>
      <c r="AN974" s="314">
        <f t="shared" si="1143"/>
        <v>0</v>
      </c>
      <c r="AO974" s="314">
        <f t="shared" si="1144"/>
        <v>0</v>
      </c>
      <c r="AP974" s="314">
        <f t="shared" si="1145"/>
        <v>0</v>
      </c>
    </row>
    <row r="975" spans="1:42" outlineLevel="1" collapsed="1">
      <c r="A975" s="605" t="s">
        <v>23</v>
      </c>
      <c r="B975" s="346" t="s">
        <v>1186</v>
      </c>
      <c r="C975" s="302"/>
      <c r="D975" s="304">
        <v>225</v>
      </c>
      <c r="E975" s="304">
        <f t="shared" si="1198"/>
        <v>225</v>
      </c>
      <c r="F975" s="304">
        <f t="shared" si="1199"/>
        <v>225</v>
      </c>
      <c r="G975" s="304">
        <f t="shared" si="1175"/>
        <v>0</v>
      </c>
      <c r="H975" s="303">
        <f t="shared" si="1200"/>
        <v>225</v>
      </c>
      <c r="I975" s="303">
        <f t="shared" si="1204"/>
        <v>225</v>
      </c>
      <c r="J975" s="294"/>
      <c r="K975" s="294"/>
      <c r="L975" s="294"/>
      <c r="M975" s="304">
        <f t="shared" si="1205"/>
        <v>0</v>
      </c>
      <c r="N975" s="294"/>
      <c r="O975" s="294"/>
      <c r="P975" s="303">
        <f t="shared" si="1206"/>
        <v>225</v>
      </c>
      <c r="Q975" s="294"/>
      <c r="R975" s="305"/>
      <c r="S975" s="304"/>
      <c r="T975" s="303">
        <f t="shared" si="1207"/>
        <v>225</v>
      </c>
      <c r="U975" s="303">
        <v>225</v>
      </c>
      <c r="V975" s="303"/>
      <c r="W975" s="303"/>
      <c r="X975" s="303"/>
      <c r="Y975" s="303"/>
      <c r="Z975" s="303"/>
      <c r="AA975" s="303"/>
      <c r="AB975" s="303"/>
      <c r="AC975" s="303"/>
      <c r="AD975" s="303"/>
      <c r="AE975" s="303"/>
      <c r="AF975" s="347"/>
      <c r="AG975" s="314">
        <f t="shared" si="1136"/>
        <v>0</v>
      </c>
      <c r="AH975" s="696">
        <f t="shared" si="1137"/>
        <v>0</v>
      </c>
      <c r="AI975" s="314">
        <f t="shared" si="1138"/>
        <v>0</v>
      </c>
      <c r="AJ975" s="314">
        <f t="shared" si="1139"/>
        <v>0</v>
      </c>
      <c r="AK975" s="314">
        <f t="shared" si="1140"/>
        <v>0</v>
      </c>
      <c r="AL975" s="314">
        <f t="shared" si="1141"/>
        <v>0</v>
      </c>
      <c r="AM975" s="314">
        <f t="shared" si="1142"/>
        <v>0</v>
      </c>
      <c r="AN975" s="314">
        <f t="shared" si="1143"/>
        <v>0</v>
      </c>
      <c r="AO975" s="314">
        <f t="shared" si="1144"/>
        <v>0</v>
      </c>
      <c r="AP975" s="314">
        <f t="shared" si="1145"/>
        <v>0</v>
      </c>
    </row>
    <row r="976" spans="1:42" outlineLevel="1">
      <c r="A976" s="605" t="s">
        <v>23</v>
      </c>
      <c r="B976" s="346" t="s">
        <v>1187</v>
      </c>
      <c r="C976" s="302"/>
      <c r="D976" s="304">
        <v>312</v>
      </c>
      <c r="E976" s="304">
        <f t="shared" si="1198"/>
        <v>312</v>
      </c>
      <c r="F976" s="304">
        <f t="shared" si="1199"/>
        <v>312</v>
      </c>
      <c r="G976" s="304">
        <f t="shared" si="1175"/>
        <v>0</v>
      </c>
      <c r="H976" s="303">
        <f t="shared" si="1200"/>
        <v>312</v>
      </c>
      <c r="I976" s="303">
        <f t="shared" si="1204"/>
        <v>312</v>
      </c>
      <c r="J976" s="294"/>
      <c r="K976" s="294"/>
      <c r="L976" s="294"/>
      <c r="M976" s="304">
        <f t="shared" si="1205"/>
        <v>0</v>
      </c>
      <c r="N976" s="294"/>
      <c r="O976" s="294"/>
      <c r="P976" s="303">
        <f t="shared" si="1206"/>
        <v>312</v>
      </c>
      <c r="Q976" s="294"/>
      <c r="R976" s="305"/>
      <c r="S976" s="304"/>
      <c r="T976" s="303">
        <f t="shared" si="1207"/>
        <v>312</v>
      </c>
      <c r="U976" s="303">
        <v>312</v>
      </c>
      <c r="V976" s="303"/>
      <c r="W976" s="303"/>
      <c r="X976" s="303"/>
      <c r="Y976" s="303"/>
      <c r="Z976" s="303"/>
      <c r="AA976" s="303"/>
      <c r="AB976" s="303"/>
      <c r="AC976" s="303"/>
      <c r="AD976" s="303"/>
      <c r="AE976" s="303"/>
      <c r="AF976" s="347"/>
      <c r="AG976" s="314">
        <f t="shared" si="1136"/>
        <v>0</v>
      </c>
      <c r="AH976" s="696">
        <f t="shared" si="1137"/>
        <v>0</v>
      </c>
      <c r="AI976" s="314">
        <f t="shared" si="1138"/>
        <v>0</v>
      </c>
      <c r="AJ976" s="314">
        <f t="shared" si="1139"/>
        <v>0</v>
      </c>
      <c r="AK976" s="314">
        <f t="shared" si="1140"/>
        <v>0</v>
      </c>
      <c r="AL976" s="314">
        <f t="shared" si="1141"/>
        <v>0</v>
      </c>
      <c r="AM976" s="314">
        <f t="shared" si="1142"/>
        <v>0</v>
      </c>
      <c r="AN976" s="314">
        <f t="shared" si="1143"/>
        <v>0</v>
      </c>
      <c r="AO976" s="314">
        <f t="shared" si="1144"/>
        <v>0</v>
      </c>
      <c r="AP976" s="314">
        <f t="shared" si="1145"/>
        <v>0</v>
      </c>
    </row>
    <row r="977" spans="1:42" ht="55.2" outlineLevel="1">
      <c r="A977" s="605" t="s">
        <v>23</v>
      </c>
      <c r="B977" s="346" t="s">
        <v>2436</v>
      </c>
      <c r="C977" s="302"/>
      <c r="D977" s="304"/>
      <c r="E977" s="304">
        <f t="shared" si="1198"/>
        <v>55</v>
      </c>
      <c r="F977" s="304">
        <f t="shared" si="1199"/>
        <v>55</v>
      </c>
      <c r="G977" s="304">
        <f t="shared" si="1175"/>
        <v>55</v>
      </c>
      <c r="H977" s="303">
        <f t="shared" si="1200"/>
        <v>55</v>
      </c>
      <c r="I977" s="303">
        <f t="shared" si="1204"/>
        <v>55</v>
      </c>
      <c r="J977" s="294"/>
      <c r="K977" s="294"/>
      <c r="L977" s="294"/>
      <c r="M977" s="304">
        <f t="shared" si="1205"/>
        <v>0</v>
      </c>
      <c r="N977" s="294"/>
      <c r="O977" s="294"/>
      <c r="P977" s="303">
        <f t="shared" si="1206"/>
        <v>55</v>
      </c>
      <c r="Q977" s="294"/>
      <c r="R977" s="305"/>
      <c r="S977" s="304"/>
      <c r="T977" s="303">
        <f t="shared" si="1207"/>
        <v>55</v>
      </c>
      <c r="U977" s="303"/>
      <c r="V977" s="303">
        <v>55</v>
      </c>
      <c r="W977" s="303"/>
      <c r="X977" s="303"/>
      <c r="Y977" s="303"/>
      <c r="Z977" s="303"/>
      <c r="AA977" s="303"/>
      <c r="AB977" s="303"/>
      <c r="AC977" s="303"/>
      <c r="AD977" s="303"/>
      <c r="AE977" s="303"/>
      <c r="AF977" s="347" t="s">
        <v>2353</v>
      </c>
      <c r="AG977" s="314">
        <f t="shared" si="1136"/>
        <v>0</v>
      </c>
      <c r="AH977" s="696">
        <f t="shared" si="1137"/>
        <v>0</v>
      </c>
      <c r="AI977" s="314">
        <f t="shared" si="1138"/>
        <v>0</v>
      </c>
      <c r="AJ977" s="314">
        <f t="shared" si="1139"/>
        <v>0</v>
      </c>
      <c r="AK977" s="314">
        <f t="shared" si="1140"/>
        <v>0</v>
      </c>
      <c r="AL977" s="314">
        <f t="shared" si="1141"/>
        <v>0</v>
      </c>
      <c r="AM977" s="314">
        <f t="shared" si="1142"/>
        <v>0</v>
      </c>
      <c r="AN977" s="314">
        <f t="shared" si="1143"/>
        <v>0</v>
      </c>
      <c r="AO977" s="314">
        <f t="shared" si="1144"/>
        <v>0</v>
      </c>
      <c r="AP977" s="314">
        <f t="shared" si="1145"/>
        <v>0</v>
      </c>
    </row>
    <row r="978" spans="1:42" ht="96.6">
      <c r="A978" s="605" t="s">
        <v>732</v>
      </c>
      <c r="B978" s="346" t="s">
        <v>1188</v>
      </c>
      <c r="C978" s="1299" t="s">
        <v>724</v>
      </c>
      <c r="D978" s="304">
        <v>450</v>
      </c>
      <c r="E978" s="304">
        <f t="shared" si="1198"/>
        <v>595</v>
      </c>
      <c r="F978" s="304">
        <f t="shared" si="1199"/>
        <v>595</v>
      </c>
      <c r="G978" s="304">
        <f t="shared" si="1175"/>
        <v>145</v>
      </c>
      <c r="H978" s="303">
        <f t="shared" si="1200"/>
        <v>595</v>
      </c>
      <c r="I978" s="303">
        <f t="shared" si="1204"/>
        <v>0</v>
      </c>
      <c r="J978" s="294"/>
      <c r="K978" s="294"/>
      <c r="L978" s="294"/>
      <c r="M978" s="304">
        <f t="shared" si="1205"/>
        <v>0</v>
      </c>
      <c r="N978" s="294"/>
      <c r="O978" s="294"/>
      <c r="P978" s="303">
        <f t="shared" si="1206"/>
        <v>0</v>
      </c>
      <c r="Q978" s="294"/>
      <c r="R978" s="305"/>
      <c r="S978" s="304"/>
      <c r="T978" s="303">
        <f t="shared" si="1207"/>
        <v>0</v>
      </c>
      <c r="U978" s="303"/>
      <c r="V978" s="303"/>
      <c r="W978" s="303">
        <f>Z978+AA978</f>
        <v>595</v>
      </c>
      <c r="X978" s="303"/>
      <c r="Y978" s="303"/>
      <c r="Z978" s="303">
        <f>450+145</f>
        <v>595</v>
      </c>
      <c r="AA978" s="303"/>
      <c r="AB978" s="303"/>
      <c r="AC978" s="303"/>
      <c r="AD978" s="303">
        <v>49</v>
      </c>
      <c r="AE978" s="303">
        <f>E978-AD978</f>
        <v>546</v>
      </c>
      <c r="AF978" s="1263" t="s">
        <v>2245</v>
      </c>
      <c r="AG978" s="314">
        <f t="shared" si="1136"/>
        <v>0</v>
      </c>
      <c r="AH978" s="696">
        <f t="shared" si="1137"/>
        <v>0</v>
      </c>
      <c r="AI978" s="314">
        <f t="shared" si="1138"/>
        <v>0</v>
      </c>
      <c r="AJ978" s="314">
        <f t="shared" si="1139"/>
        <v>0</v>
      </c>
      <c r="AK978" s="314">
        <f t="shared" si="1140"/>
        <v>0</v>
      </c>
      <c r="AL978" s="314">
        <f t="shared" si="1141"/>
        <v>0</v>
      </c>
      <c r="AM978" s="314">
        <f t="shared" si="1142"/>
        <v>0</v>
      </c>
      <c r="AN978" s="314">
        <f t="shared" si="1143"/>
        <v>0</v>
      </c>
      <c r="AO978" s="314">
        <f t="shared" si="1144"/>
        <v>0</v>
      </c>
      <c r="AP978" s="314">
        <f t="shared" si="1145"/>
        <v>0</v>
      </c>
    </row>
    <row r="979" spans="1:42" s="314" customFormat="1">
      <c r="A979" s="592" t="s">
        <v>77</v>
      </c>
      <c r="B979" s="320" t="s">
        <v>1189</v>
      </c>
      <c r="C979" s="298" t="s">
        <v>756</v>
      </c>
      <c r="D979" s="297">
        <f t="shared" ref="D979" si="1208">D980+D981</f>
        <v>351</v>
      </c>
      <c r="E979" s="297">
        <f>E980+E981</f>
        <v>605</v>
      </c>
      <c r="F979" s="297">
        <f>F980+F981</f>
        <v>586</v>
      </c>
      <c r="G979" s="297">
        <f t="shared" si="1175"/>
        <v>235</v>
      </c>
      <c r="H979" s="297">
        <f>H980+H981</f>
        <v>586</v>
      </c>
      <c r="I979" s="297">
        <f t="shared" ref="I979:AE979" si="1209">I980+I981</f>
        <v>586</v>
      </c>
      <c r="J979" s="297">
        <f t="shared" si="1209"/>
        <v>0</v>
      </c>
      <c r="K979" s="297">
        <f t="shared" si="1209"/>
        <v>0</v>
      </c>
      <c r="L979" s="297">
        <f t="shared" si="1209"/>
        <v>0</v>
      </c>
      <c r="M979" s="297">
        <f t="shared" si="1209"/>
        <v>0</v>
      </c>
      <c r="N979" s="297">
        <f t="shared" si="1209"/>
        <v>0</v>
      </c>
      <c r="O979" s="297">
        <f t="shared" si="1209"/>
        <v>0</v>
      </c>
      <c r="P979" s="297">
        <f t="shared" si="1209"/>
        <v>586</v>
      </c>
      <c r="Q979" s="297">
        <f t="shared" si="1209"/>
        <v>0</v>
      </c>
      <c r="R979" s="297">
        <f t="shared" si="1209"/>
        <v>0</v>
      </c>
      <c r="S979" s="297">
        <f t="shared" si="1209"/>
        <v>0</v>
      </c>
      <c r="T979" s="297">
        <f t="shared" si="1209"/>
        <v>586</v>
      </c>
      <c r="U979" s="297">
        <f t="shared" si="1209"/>
        <v>341</v>
      </c>
      <c r="V979" s="297">
        <f t="shared" si="1209"/>
        <v>245</v>
      </c>
      <c r="W979" s="297">
        <f>W980+W981</f>
        <v>0</v>
      </c>
      <c r="X979" s="297"/>
      <c r="Y979" s="297"/>
      <c r="Z979" s="297">
        <f t="shared" si="1209"/>
        <v>0</v>
      </c>
      <c r="AA979" s="297">
        <f>AA980+AA981</f>
        <v>0</v>
      </c>
      <c r="AB979" s="297">
        <f>AB980+AB981</f>
        <v>0</v>
      </c>
      <c r="AC979" s="297">
        <f t="shared" ref="AC979" si="1210">AC980+AC981</f>
        <v>19</v>
      </c>
      <c r="AD979" s="297">
        <f t="shared" si="1209"/>
        <v>50</v>
      </c>
      <c r="AE979" s="297">
        <f t="shared" si="1209"/>
        <v>555</v>
      </c>
      <c r="AF979" s="321"/>
      <c r="AG979" s="314">
        <f t="shared" si="1136"/>
        <v>0</v>
      </c>
      <c r="AH979" s="696">
        <f t="shared" si="1137"/>
        <v>0</v>
      </c>
      <c r="AI979" s="314">
        <f t="shared" si="1138"/>
        <v>0</v>
      </c>
      <c r="AJ979" s="314">
        <f t="shared" si="1139"/>
        <v>0</v>
      </c>
      <c r="AK979" s="314">
        <f t="shared" si="1140"/>
        <v>0</v>
      </c>
      <c r="AL979" s="314">
        <f t="shared" si="1141"/>
        <v>0</v>
      </c>
      <c r="AM979" s="314">
        <f t="shared" si="1142"/>
        <v>0</v>
      </c>
      <c r="AN979" s="314">
        <f t="shared" si="1143"/>
        <v>0</v>
      </c>
      <c r="AO979" s="314">
        <f t="shared" si="1144"/>
        <v>0</v>
      </c>
      <c r="AP979" s="314">
        <f t="shared" si="1145"/>
        <v>0</v>
      </c>
    </row>
    <row r="980" spans="1:42" ht="41.4">
      <c r="A980" s="593" t="s">
        <v>45</v>
      </c>
      <c r="B980" s="316" t="s">
        <v>1156</v>
      </c>
      <c r="C980" s="304"/>
      <c r="D980" s="304">
        <v>90</v>
      </c>
      <c r="E980" s="304">
        <f t="shared" ref="E980:E986" si="1211">F980+AC980</f>
        <v>109</v>
      </c>
      <c r="F980" s="304">
        <f t="shared" ref="F980:F986" si="1212">H980-AB980</f>
        <v>90</v>
      </c>
      <c r="G980" s="304">
        <f t="shared" si="1175"/>
        <v>0</v>
      </c>
      <c r="H980" s="303">
        <f t="shared" ref="H980:H986" si="1213">I980+W980</f>
        <v>90</v>
      </c>
      <c r="I980" s="303">
        <f>M980+P980</f>
        <v>90</v>
      </c>
      <c r="J980" s="311"/>
      <c r="K980" s="311"/>
      <c r="L980" s="311"/>
      <c r="M980" s="303"/>
      <c r="N980" s="311"/>
      <c r="O980" s="311"/>
      <c r="P980" s="303">
        <f t="shared" ref="P980:P986" si="1214">S980+T980</f>
        <v>90</v>
      </c>
      <c r="Q980" s="311"/>
      <c r="R980" s="312"/>
      <c r="S980" s="303"/>
      <c r="T980" s="303">
        <f t="shared" ref="T980:T986" si="1215">U980+V980</f>
        <v>90</v>
      </c>
      <c r="U980" s="303">
        <v>90</v>
      </c>
      <c r="V980" s="303"/>
      <c r="W980" s="303">
        <f>Z980+AA980</f>
        <v>0</v>
      </c>
      <c r="X980" s="303"/>
      <c r="Y980" s="303"/>
      <c r="Z980" s="303"/>
      <c r="AA980" s="303"/>
      <c r="AB980" s="304"/>
      <c r="AC980" s="304">
        <v>19</v>
      </c>
      <c r="AD980" s="304">
        <v>0</v>
      </c>
      <c r="AE980" s="303">
        <f>E980-AD980</f>
        <v>109</v>
      </c>
      <c r="AF980" s="317"/>
      <c r="AG980" s="314">
        <f t="shared" si="1136"/>
        <v>0</v>
      </c>
      <c r="AH980" s="696">
        <f t="shared" si="1137"/>
        <v>0</v>
      </c>
      <c r="AI980" s="314">
        <f t="shared" si="1138"/>
        <v>0</v>
      </c>
      <c r="AJ980" s="314">
        <f t="shared" si="1139"/>
        <v>0</v>
      </c>
      <c r="AK980" s="314">
        <f t="shared" si="1140"/>
        <v>0</v>
      </c>
      <c r="AL980" s="314">
        <f t="shared" si="1141"/>
        <v>0</v>
      </c>
      <c r="AM980" s="314">
        <f t="shared" si="1142"/>
        <v>0</v>
      </c>
      <c r="AN980" s="314">
        <f t="shared" si="1143"/>
        <v>0</v>
      </c>
      <c r="AO980" s="314">
        <f t="shared" si="1144"/>
        <v>0</v>
      </c>
      <c r="AP980" s="314">
        <f t="shared" si="1145"/>
        <v>0</v>
      </c>
    </row>
    <row r="981" spans="1:42" ht="27.6">
      <c r="A981" s="593" t="s">
        <v>47</v>
      </c>
      <c r="B981" s="316" t="s">
        <v>1157</v>
      </c>
      <c r="C981" s="304"/>
      <c r="D981" s="304">
        <v>261</v>
      </c>
      <c r="E981" s="304">
        <f t="shared" si="1211"/>
        <v>496</v>
      </c>
      <c r="F981" s="304">
        <f t="shared" si="1212"/>
        <v>496</v>
      </c>
      <c r="G981" s="304">
        <f t="shared" si="1175"/>
        <v>235</v>
      </c>
      <c r="H981" s="303">
        <f t="shared" si="1213"/>
        <v>496</v>
      </c>
      <c r="I981" s="303">
        <f t="shared" ref="I981:I986" si="1216">M981+P981</f>
        <v>496</v>
      </c>
      <c r="J981" s="311"/>
      <c r="K981" s="311"/>
      <c r="L981" s="311"/>
      <c r="M981" s="303"/>
      <c r="N981" s="311"/>
      <c r="O981" s="311"/>
      <c r="P981" s="303">
        <f t="shared" si="1214"/>
        <v>496</v>
      </c>
      <c r="Q981" s="311"/>
      <c r="R981" s="312"/>
      <c r="S981" s="303"/>
      <c r="T981" s="303">
        <f t="shared" si="1215"/>
        <v>496</v>
      </c>
      <c r="U981" s="303">
        <f>U982+U983+U984</f>
        <v>251</v>
      </c>
      <c r="V981" s="303">
        <f>V985+V982</f>
        <v>245</v>
      </c>
      <c r="W981" s="303">
        <f>Z981+AA981</f>
        <v>0</v>
      </c>
      <c r="X981" s="303"/>
      <c r="Y981" s="303"/>
      <c r="Z981" s="303"/>
      <c r="AA981" s="303"/>
      <c r="AB981" s="304"/>
      <c r="AC981" s="304"/>
      <c r="AD981" s="304">
        <v>50</v>
      </c>
      <c r="AE981" s="303">
        <f>E981-AD981</f>
        <v>446</v>
      </c>
      <c r="AF981" s="317"/>
      <c r="AG981" s="314">
        <f t="shared" si="1136"/>
        <v>0</v>
      </c>
      <c r="AH981" s="696">
        <f t="shared" si="1137"/>
        <v>0</v>
      </c>
      <c r="AI981" s="314">
        <f t="shared" si="1138"/>
        <v>0</v>
      </c>
      <c r="AJ981" s="314">
        <f t="shared" si="1139"/>
        <v>0</v>
      </c>
      <c r="AK981" s="314">
        <f t="shared" si="1140"/>
        <v>0</v>
      </c>
      <c r="AL981" s="314">
        <f t="shared" si="1141"/>
        <v>0</v>
      </c>
      <c r="AM981" s="314">
        <f t="shared" si="1142"/>
        <v>0</v>
      </c>
      <c r="AN981" s="314">
        <f t="shared" si="1143"/>
        <v>0</v>
      </c>
      <c r="AO981" s="314">
        <f t="shared" si="1144"/>
        <v>0</v>
      </c>
      <c r="AP981" s="314">
        <f t="shared" si="1145"/>
        <v>0</v>
      </c>
    </row>
    <row r="982" spans="1:42" ht="55.2" outlineLevel="1">
      <c r="A982" s="593" t="s">
        <v>23</v>
      </c>
      <c r="B982" s="346" t="s">
        <v>1190</v>
      </c>
      <c r="C982" s="304"/>
      <c r="D982" s="304">
        <v>216</v>
      </c>
      <c r="E982" s="304">
        <f t="shared" si="1211"/>
        <v>236</v>
      </c>
      <c r="F982" s="304">
        <f t="shared" si="1212"/>
        <v>236</v>
      </c>
      <c r="G982" s="304">
        <f t="shared" si="1175"/>
        <v>20</v>
      </c>
      <c r="H982" s="303">
        <f t="shared" si="1213"/>
        <v>236</v>
      </c>
      <c r="I982" s="303">
        <f t="shared" si="1216"/>
        <v>236</v>
      </c>
      <c r="J982" s="311"/>
      <c r="K982" s="311"/>
      <c r="L982" s="311"/>
      <c r="M982" s="303"/>
      <c r="N982" s="311"/>
      <c r="O982" s="311"/>
      <c r="P982" s="303">
        <f t="shared" si="1214"/>
        <v>236</v>
      </c>
      <c r="Q982" s="311"/>
      <c r="R982" s="312"/>
      <c r="S982" s="303"/>
      <c r="T982" s="303">
        <f t="shared" si="1215"/>
        <v>236</v>
      </c>
      <c r="U982" s="303">
        <v>216</v>
      </c>
      <c r="V982" s="303">
        <v>20</v>
      </c>
      <c r="W982" s="303"/>
      <c r="X982" s="303"/>
      <c r="Y982" s="303"/>
      <c r="Z982" s="303"/>
      <c r="AA982" s="303"/>
      <c r="AB982" s="304"/>
      <c r="AC982" s="304"/>
      <c r="AD982" s="304"/>
      <c r="AE982" s="304"/>
      <c r="AF982" s="347" t="s">
        <v>2354</v>
      </c>
      <c r="AG982" s="314">
        <f t="shared" si="1136"/>
        <v>0</v>
      </c>
      <c r="AH982" s="696">
        <f t="shared" si="1137"/>
        <v>0</v>
      </c>
      <c r="AI982" s="314">
        <f t="shared" si="1138"/>
        <v>0</v>
      </c>
      <c r="AJ982" s="314">
        <f t="shared" si="1139"/>
        <v>0</v>
      </c>
      <c r="AK982" s="314">
        <f t="shared" si="1140"/>
        <v>0</v>
      </c>
      <c r="AL982" s="314">
        <f t="shared" si="1141"/>
        <v>0</v>
      </c>
      <c r="AM982" s="314">
        <f t="shared" si="1142"/>
        <v>0</v>
      </c>
      <c r="AN982" s="314">
        <f t="shared" si="1143"/>
        <v>0</v>
      </c>
      <c r="AO982" s="314">
        <f t="shared" si="1144"/>
        <v>0</v>
      </c>
      <c r="AP982" s="314">
        <f t="shared" si="1145"/>
        <v>0</v>
      </c>
    </row>
    <row r="983" spans="1:42" ht="27.6" outlineLevel="1">
      <c r="A983" s="593" t="s">
        <v>23</v>
      </c>
      <c r="B983" s="346" t="s">
        <v>1191</v>
      </c>
      <c r="C983" s="304"/>
      <c r="D983" s="304">
        <v>15</v>
      </c>
      <c r="E983" s="304">
        <f t="shared" si="1211"/>
        <v>15</v>
      </c>
      <c r="F983" s="304">
        <f t="shared" si="1212"/>
        <v>15</v>
      </c>
      <c r="G983" s="304">
        <f t="shared" si="1175"/>
        <v>0</v>
      </c>
      <c r="H983" s="303">
        <f t="shared" si="1213"/>
        <v>15</v>
      </c>
      <c r="I983" s="303">
        <f t="shared" si="1216"/>
        <v>15</v>
      </c>
      <c r="J983" s="311"/>
      <c r="K983" s="311"/>
      <c r="L983" s="311"/>
      <c r="M983" s="303"/>
      <c r="N983" s="311"/>
      <c r="O983" s="311"/>
      <c r="P983" s="303">
        <f t="shared" si="1214"/>
        <v>15</v>
      </c>
      <c r="Q983" s="311"/>
      <c r="R983" s="312"/>
      <c r="S983" s="303"/>
      <c r="T983" s="303">
        <f t="shared" si="1215"/>
        <v>15</v>
      </c>
      <c r="U983" s="303">
        <v>15</v>
      </c>
      <c r="V983" s="303"/>
      <c r="W983" s="303"/>
      <c r="X983" s="303"/>
      <c r="Y983" s="303"/>
      <c r="Z983" s="303"/>
      <c r="AA983" s="303"/>
      <c r="AB983" s="304"/>
      <c r="AC983" s="304"/>
      <c r="AD983" s="304"/>
      <c r="AE983" s="304"/>
      <c r="AF983" s="347"/>
      <c r="AG983" s="314">
        <f t="shared" ref="AG983:AG1046" si="1217">E983-F983-AC983</f>
        <v>0</v>
      </c>
      <c r="AH983" s="696">
        <f t="shared" ref="AH983:AH1046" si="1218">F983-H983+AB983</f>
        <v>0</v>
      </c>
      <c r="AI983" s="314">
        <f t="shared" ref="AI983:AI1046" si="1219">H983-I983-W983</f>
        <v>0</v>
      </c>
      <c r="AJ983" s="314">
        <f t="shared" ref="AJ983:AJ1046" si="1220">I983-M983-P983</f>
        <v>0</v>
      </c>
      <c r="AK983" s="314">
        <f t="shared" ref="AK983:AK1046" si="1221">J983-K983-L983</f>
        <v>0</v>
      </c>
      <c r="AL983" s="314">
        <f t="shared" ref="AL983:AL1046" si="1222">M983-N983-O983</f>
        <v>0</v>
      </c>
      <c r="AM983" s="314">
        <f t="shared" ref="AM983:AM1046" si="1223">P983-S983-T983</f>
        <v>0</v>
      </c>
      <c r="AN983" s="314">
        <f t="shared" ref="AN983:AN1046" si="1224">T983-U983-V983</f>
        <v>0</v>
      </c>
      <c r="AO983" s="314">
        <f t="shared" ref="AO983:AO1046" si="1225">W983-Z983-AA983</f>
        <v>0</v>
      </c>
      <c r="AP983" s="314">
        <f t="shared" ref="AP983:AP1046" si="1226">AC983+AA983+Z983+V983+U983+S983+O983+N983-AB983-E983</f>
        <v>0</v>
      </c>
    </row>
    <row r="984" spans="1:42" ht="27.6" outlineLevel="1">
      <c r="A984" s="593" t="s">
        <v>23</v>
      </c>
      <c r="B984" s="346" t="s">
        <v>1192</v>
      </c>
      <c r="C984" s="304"/>
      <c r="D984" s="304">
        <v>20</v>
      </c>
      <c r="E984" s="304">
        <f t="shared" si="1211"/>
        <v>20</v>
      </c>
      <c r="F984" s="304">
        <f t="shared" si="1212"/>
        <v>20</v>
      </c>
      <c r="G984" s="304">
        <f t="shared" si="1175"/>
        <v>0</v>
      </c>
      <c r="H984" s="303">
        <f t="shared" si="1213"/>
        <v>20</v>
      </c>
      <c r="I984" s="303">
        <f t="shared" si="1216"/>
        <v>20</v>
      </c>
      <c r="J984" s="311"/>
      <c r="K984" s="311"/>
      <c r="L984" s="311"/>
      <c r="M984" s="303"/>
      <c r="N984" s="311"/>
      <c r="O984" s="311"/>
      <c r="P984" s="303">
        <f t="shared" si="1214"/>
        <v>20</v>
      </c>
      <c r="Q984" s="311"/>
      <c r="R984" s="312"/>
      <c r="S984" s="303"/>
      <c r="T984" s="303">
        <f t="shared" si="1215"/>
        <v>20</v>
      </c>
      <c r="U984" s="303">
        <v>20</v>
      </c>
      <c r="V984" s="303"/>
      <c r="W984" s="303"/>
      <c r="X984" s="303"/>
      <c r="Y984" s="303"/>
      <c r="Z984" s="303"/>
      <c r="AA984" s="303"/>
      <c r="AB984" s="304"/>
      <c r="AC984" s="304"/>
      <c r="AD984" s="304"/>
      <c r="AE984" s="304"/>
      <c r="AF984" s="347"/>
      <c r="AG984" s="314">
        <f t="shared" si="1217"/>
        <v>0</v>
      </c>
      <c r="AH984" s="696">
        <f t="shared" si="1218"/>
        <v>0</v>
      </c>
      <c r="AI984" s="314">
        <f t="shared" si="1219"/>
        <v>0</v>
      </c>
      <c r="AJ984" s="314">
        <f t="shared" si="1220"/>
        <v>0</v>
      </c>
      <c r="AK984" s="314">
        <f t="shared" si="1221"/>
        <v>0</v>
      </c>
      <c r="AL984" s="314">
        <f t="shared" si="1222"/>
        <v>0</v>
      </c>
      <c r="AM984" s="314">
        <f t="shared" si="1223"/>
        <v>0</v>
      </c>
      <c r="AN984" s="314">
        <f t="shared" si="1224"/>
        <v>0</v>
      </c>
      <c r="AO984" s="314">
        <f t="shared" si="1225"/>
        <v>0</v>
      </c>
      <c r="AP984" s="314">
        <f t="shared" si="1226"/>
        <v>0</v>
      </c>
    </row>
    <row r="985" spans="1:42" ht="55.2" outlineLevel="1">
      <c r="A985" s="593" t="s">
        <v>23</v>
      </c>
      <c r="B985" s="346" t="s">
        <v>2246</v>
      </c>
      <c r="C985" s="304"/>
      <c r="D985" s="304"/>
      <c r="E985" s="304">
        <f t="shared" si="1211"/>
        <v>225</v>
      </c>
      <c r="F985" s="304">
        <f t="shared" si="1212"/>
        <v>225</v>
      </c>
      <c r="G985" s="304">
        <f t="shared" si="1175"/>
        <v>225</v>
      </c>
      <c r="H985" s="303">
        <f t="shared" si="1213"/>
        <v>225</v>
      </c>
      <c r="I985" s="303">
        <f t="shared" si="1216"/>
        <v>225</v>
      </c>
      <c r="J985" s="311"/>
      <c r="K985" s="311"/>
      <c r="L985" s="311"/>
      <c r="M985" s="303"/>
      <c r="N985" s="311"/>
      <c r="O985" s="311"/>
      <c r="P985" s="303">
        <f t="shared" si="1214"/>
        <v>225</v>
      </c>
      <c r="Q985" s="311"/>
      <c r="R985" s="312"/>
      <c r="S985" s="303"/>
      <c r="T985" s="303">
        <f t="shared" si="1215"/>
        <v>225</v>
      </c>
      <c r="U985" s="303"/>
      <c r="V985" s="303">
        <v>225</v>
      </c>
      <c r="W985" s="303"/>
      <c r="X985" s="303"/>
      <c r="Y985" s="303"/>
      <c r="Z985" s="303"/>
      <c r="AA985" s="303"/>
      <c r="AB985" s="304"/>
      <c r="AC985" s="304"/>
      <c r="AD985" s="304"/>
      <c r="AE985" s="304"/>
      <c r="AF985" s="347" t="s">
        <v>2355</v>
      </c>
      <c r="AG985" s="314">
        <f t="shared" si="1217"/>
        <v>0</v>
      </c>
      <c r="AH985" s="696">
        <f t="shared" si="1218"/>
        <v>0</v>
      </c>
      <c r="AI985" s="314">
        <f t="shared" si="1219"/>
        <v>0</v>
      </c>
      <c r="AJ985" s="314">
        <f t="shared" si="1220"/>
        <v>0</v>
      </c>
      <c r="AK985" s="314">
        <f t="shared" si="1221"/>
        <v>0</v>
      </c>
      <c r="AL985" s="314">
        <f t="shared" si="1222"/>
        <v>0</v>
      </c>
      <c r="AM985" s="314">
        <f t="shared" si="1223"/>
        <v>0</v>
      </c>
      <c r="AN985" s="314">
        <f t="shared" si="1224"/>
        <v>0</v>
      </c>
      <c r="AO985" s="314">
        <f t="shared" si="1225"/>
        <v>0</v>
      </c>
      <c r="AP985" s="314">
        <f t="shared" si="1226"/>
        <v>0</v>
      </c>
    </row>
    <row r="986" spans="1:42" ht="69" hidden="1" outlineLevel="3">
      <c r="A986" s="593" t="s">
        <v>23</v>
      </c>
      <c r="B986" s="346" t="s">
        <v>1777</v>
      </c>
      <c r="C986" s="304"/>
      <c r="D986" s="304">
        <v>10</v>
      </c>
      <c r="E986" s="304">
        <f t="shared" si="1211"/>
        <v>0</v>
      </c>
      <c r="F986" s="304">
        <f t="shared" si="1212"/>
        <v>0</v>
      </c>
      <c r="G986" s="304">
        <f t="shared" si="1175"/>
        <v>-10</v>
      </c>
      <c r="H986" s="303">
        <f t="shared" si="1213"/>
        <v>0</v>
      </c>
      <c r="I986" s="303">
        <f t="shared" si="1216"/>
        <v>0</v>
      </c>
      <c r="J986" s="311"/>
      <c r="K986" s="311"/>
      <c r="L986" s="311"/>
      <c r="M986" s="303"/>
      <c r="N986" s="311"/>
      <c r="O986" s="311"/>
      <c r="P986" s="303">
        <f t="shared" si="1214"/>
        <v>0</v>
      </c>
      <c r="Q986" s="311"/>
      <c r="R986" s="312"/>
      <c r="S986" s="303"/>
      <c r="T986" s="303">
        <f t="shared" si="1215"/>
        <v>0</v>
      </c>
      <c r="U986" s="303"/>
      <c r="V986" s="303"/>
      <c r="W986" s="303"/>
      <c r="X986" s="303"/>
      <c r="Y986" s="303"/>
      <c r="Z986" s="303"/>
      <c r="AA986" s="303"/>
      <c r="AB986" s="304"/>
      <c r="AC986" s="304"/>
      <c r="AD986" s="304"/>
      <c r="AE986" s="304"/>
      <c r="AF986" s="347"/>
      <c r="AG986" s="314">
        <f t="shared" si="1217"/>
        <v>0</v>
      </c>
      <c r="AH986" s="696">
        <f t="shared" si="1218"/>
        <v>0</v>
      </c>
      <c r="AI986" s="314">
        <f t="shared" si="1219"/>
        <v>0</v>
      </c>
      <c r="AJ986" s="314">
        <f t="shared" si="1220"/>
        <v>0</v>
      </c>
      <c r="AK986" s="314">
        <f t="shared" si="1221"/>
        <v>0</v>
      </c>
      <c r="AL986" s="314">
        <f t="shared" si="1222"/>
        <v>0</v>
      </c>
      <c r="AM986" s="314">
        <f t="shared" si="1223"/>
        <v>0</v>
      </c>
      <c r="AN986" s="314">
        <f t="shared" si="1224"/>
        <v>0</v>
      </c>
      <c r="AO986" s="314">
        <f t="shared" si="1225"/>
        <v>0</v>
      </c>
      <c r="AP986" s="314">
        <f t="shared" si="1226"/>
        <v>0</v>
      </c>
    </row>
    <row r="987" spans="1:42" s="314" customFormat="1">
      <c r="A987" s="592" t="s">
        <v>78</v>
      </c>
      <c r="B987" s="320" t="s">
        <v>1193</v>
      </c>
      <c r="C987" s="298" t="s">
        <v>756</v>
      </c>
      <c r="D987" s="297">
        <f t="shared" ref="D987" si="1227">D988+D989</f>
        <v>1094</v>
      </c>
      <c r="E987" s="297">
        <f>E988+E989</f>
        <v>1102</v>
      </c>
      <c r="F987" s="297">
        <f>F988+F989</f>
        <v>1036</v>
      </c>
      <c r="G987" s="297">
        <f t="shared" si="1175"/>
        <v>-58</v>
      </c>
      <c r="H987" s="297">
        <f>H988+H989</f>
        <v>1036</v>
      </c>
      <c r="I987" s="297">
        <f t="shared" ref="I987:O987" si="1228">I988+I989</f>
        <v>1036</v>
      </c>
      <c r="J987" s="300">
        <f t="shared" si="1228"/>
        <v>3</v>
      </c>
      <c r="K987" s="300">
        <f t="shared" si="1228"/>
        <v>2</v>
      </c>
      <c r="L987" s="300">
        <f t="shared" si="1228"/>
        <v>1</v>
      </c>
      <c r="M987" s="297">
        <f t="shared" si="1228"/>
        <v>317</v>
      </c>
      <c r="N987" s="300">
        <f t="shared" si="1228"/>
        <v>262</v>
      </c>
      <c r="O987" s="300">
        <f t="shared" si="1228"/>
        <v>55</v>
      </c>
      <c r="P987" s="297">
        <f>P988+P989</f>
        <v>719</v>
      </c>
      <c r="Q987" s="300"/>
      <c r="R987" s="301"/>
      <c r="S987" s="297">
        <f>S988+S989</f>
        <v>93</v>
      </c>
      <c r="T987" s="297">
        <f>T988+T989</f>
        <v>626</v>
      </c>
      <c r="U987" s="297">
        <f>U988+U989</f>
        <v>564</v>
      </c>
      <c r="V987" s="297">
        <f>V988+V989</f>
        <v>62</v>
      </c>
      <c r="W987" s="297">
        <f>W988+W989</f>
        <v>0</v>
      </c>
      <c r="X987" s="297"/>
      <c r="Y987" s="297"/>
      <c r="Z987" s="297"/>
      <c r="AA987" s="297">
        <f>AA988+AA989</f>
        <v>0</v>
      </c>
      <c r="AB987" s="297">
        <f>AB988+AB989</f>
        <v>0</v>
      </c>
      <c r="AC987" s="297">
        <f t="shared" ref="AC987:AE987" si="1229">AC988+AC989</f>
        <v>66</v>
      </c>
      <c r="AD987" s="297">
        <f t="shared" si="1229"/>
        <v>72</v>
      </c>
      <c r="AE987" s="297">
        <f t="shared" si="1229"/>
        <v>1030</v>
      </c>
      <c r="AF987" s="321"/>
      <c r="AG987" s="314">
        <f t="shared" si="1217"/>
        <v>0</v>
      </c>
      <c r="AH987" s="696">
        <f t="shared" si="1218"/>
        <v>0</v>
      </c>
      <c r="AI987" s="314">
        <f t="shared" si="1219"/>
        <v>0</v>
      </c>
      <c r="AJ987" s="314">
        <f t="shared" si="1220"/>
        <v>0</v>
      </c>
      <c r="AK987" s="314">
        <f t="shared" si="1221"/>
        <v>0</v>
      </c>
      <c r="AL987" s="314">
        <f t="shared" si="1222"/>
        <v>0</v>
      </c>
      <c r="AM987" s="314">
        <f t="shared" si="1223"/>
        <v>0</v>
      </c>
      <c r="AN987" s="314">
        <f t="shared" si="1224"/>
        <v>0</v>
      </c>
      <c r="AO987" s="314">
        <f t="shared" si="1225"/>
        <v>0</v>
      </c>
      <c r="AP987" s="314">
        <f t="shared" si="1226"/>
        <v>0</v>
      </c>
    </row>
    <row r="988" spans="1:42" ht="41.4">
      <c r="A988" s="583" t="s">
        <v>45</v>
      </c>
      <c r="B988" s="346" t="s">
        <v>1176</v>
      </c>
      <c r="C988" s="317"/>
      <c r="D988" s="304">
        <v>530</v>
      </c>
      <c r="E988" s="304">
        <f t="shared" ref="E988:E994" si="1230">F988+AC988</f>
        <v>476</v>
      </c>
      <c r="F988" s="304">
        <f t="shared" ref="F988:F994" si="1231">H988-AB988</f>
        <v>410</v>
      </c>
      <c r="G988" s="304">
        <f t="shared" si="1175"/>
        <v>-120</v>
      </c>
      <c r="H988" s="303">
        <f t="shared" ref="H988:H1013" si="1232">I988+W988</f>
        <v>410</v>
      </c>
      <c r="I988" s="303">
        <f>M988+P988</f>
        <v>410</v>
      </c>
      <c r="J988" s="294">
        <v>3</v>
      </c>
      <c r="K988" s="294">
        <v>2</v>
      </c>
      <c r="L988" s="294">
        <f>J988-K988</f>
        <v>1</v>
      </c>
      <c r="M988" s="304">
        <f>N988+O988</f>
        <v>317</v>
      </c>
      <c r="N988" s="294">
        <v>262</v>
      </c>
      <c r="O988" s="294">
        <v>55</v>
      </c>
      <c r="P988" s="303">
        <f>S988+T988</f>
        <v>93</v>
      </c>
      <c r="Q988" s="294">
        <v>31</v>
      </c>
      <c r="R988" s="305">
        <v>1</v>
      </c>
      <c r="S988" s="304">
        <f>ROUND(J988*Q988*R988,0)</f>
        <v>93</v>
      </c>
      <c r="T988" s="303">
        <f>U988+V988</f>
        <v>0</v>
      </c>
      <c r="U988" s="304"/>
      <c r="V988" s="304"/>
      <c r="W988" s="303">
        <f>Z988+AA988</f>
        <v>0</v>
      </c>
      <c r="X988" s="303"/>
      <c r="Y988" s="303"/>
      <c r="Z988" s="304"/>
      <c r="AA988" s="304"/>
      <c r="AB988" s="304"/>
      <c r="AC988" s="304">
        <v>66</v>
      </c>
      <c r="AD988" s="304">
        <v>9</v>
      </c>
      <c r="AE988" s="303">
        <f>E988-AD988</f>
        <v>467</v>
      </c>
      <c r="AF988" s="347"/>
      <c r="AG988" s="314">
        <f t="shared" si="1217"/>
        <v>0</v>
      </c>
      <c r="AH988" s="696">
        <f t="shared" si="1218"/>
        <v>0</v>
      </c>
      <c r="AI988" s="314">
        <f t="shared" si="1219"/>
        <v>0</v>
      </c>
      <c r="AJ988" s="314">
        <f t="shared" si="1220"/>
        <v>0</v>
      </c>
      <c r="AK988" s="314">
        <f t="shared" si="1221"/>
        <v>0</v>
      </c>
      <c r="AL988" s="314">
        <f t="shared" si="1222"/>
        <v>0</v>
      </c>
      <c r="AM988" s="314">
        <f t="shared" si="1223"/>
        <v>0</v>
      </c>
      <c r="AN988" s="314">
        <f t="shared" si="1224"/>
        <v>0</v>
      </c>
      <c r="AO988" s="314">
        <f t="shared" si="1225"/>
        <v>0</v>
      </c>
      <c r="AP988" s="314">
        <f t="shared" si="1226"/>
        <v>0</v>
      </c>
    </row>
    <row r="989" spans="1:42" ht="27.6">
      <c r="A989" s="593" t="s">
        <v>47</v>
      </c>
      <c r="B989" s="316" t="s">
        <v>1157</v>
      </c>
      <c r="C989" s="304"/>
      <c r="D989" s="304">
        <v>564</v>
      </c>
      <c r="E989" s="304">
        <f t="shared" si="1230"/>
        <v>626</v>
      </c>
      <c r="F989" s="304">
        <f t="shared" si="1231"/>
        <v>626</v>
      </c>
      <c r="G989" s="304">
        <f t="shared" si="1175"/>
        <v>62</v>
      </c>
      <c r="H989" s="303">
        <f t="shared" si="1232"/>
        <v>626</v>
      </c>
      <c r="I989" s="303">
        <f>M989+P989</f>
        <v>626</v>
      </c>
      <c r="J989" s="311"/>
      <c r="K989" s="311"/>
      <c r="L989" s="311"/>
      <c r="M989" s="303"/>
      <c r="N989" s="311"/>
      <c r="O989" s="311"/>
      <c r="P989" s="303">
        <f>S989+T989</f>
        <v>626</v>
      </c>
      <c r="Q989" s="311"/>
      <c r="R989" s="312"/>
      <c r="S989" s="303"/>
      <c r="T989" s="303">
        <f>U989+V989</f>
        <v>626</v>
      </c>
      <c r="U989" s="303">
        <f>SUM(U990:U993)</f>
        <v>564</v>
      </c>
      <c r="V989" s="303">
        <f>V994</f>
        <v>62</v>
      </c>
      <c r="W989" s="303">
        <f>Z989+AA989</f>
        <v>0</v>
      </c>
      <c r="X989" s="303"/>
      <c r="Y989" s="303"/>
      <c r="Z989" s="303"/>
      <c r="AA989" s="303"/>
      <c r="AB989" s="304"/>
      <c r="AC989" s="304"/>
      <c r="AD989" s="304">
        <v>63</v>
      </c>
      <c r="AE989" s="303">
        <f>E989-AD989</f>
        <v>563</v>
      </c>
      <c r="AF989" s="317"/>
      <c r="AG989" s="314">
        <f t="shared" si="1217"/>
        <v>0</v>
      </c>
      <c r="AH989" s="696">
        <f t="shared" si="1218"/>
        <v>0</v>
      </c>
      <c r="AI989" s="314">
        <f t="shared" si="1219"/>
        <v>0</v>
      </c>
      <c r="AJ989" s="314">
        <f t="shared" si="1220"/>
        <v>0</v>
      </c>
      <c r="AK989" s="314">
        <f t="shared" si="1221"/>
        <v>0</v>
      </c>
      <c r="AL989" s="314">
        <f t="shared" si="1222"/>
        <v>0</v>
      </c>
      <c r="AM989" s="314">
        <f t="shared" si="1223"/>
        <v>0</v>
      </c>
      <c r="AN989" s="314">
        <f t="shared" si="1224"/>
        <v>0</v>
      </c>
      <c r="AO989" s="314">
        <f t="shared" si="1225"/>
        <v>0</v>
      </c>
      <c r="AP989" s="314">
        <f t="shared" si="1226"/>
        <v>0</v>
      </c>
    </row>
    <row r="990" spans="1:42" outlineLevel="1">
      <c r="A990" s="605" t="s">
        <v>23</v>
      </c>
      <c r="B990" s="1300" t="s">
        <v>1194</v>
      </c>
      <c r="C990" s="304"/>
      <c r="D990" s="304">
        <v>374</v>
      </c>
      <c r="E990" s="304">
        <f t="shared" si="1230"/>
        <v>374</v>
      </c>
      <c r="F990" s="304">
        <f t="shared" si="1231"/>
        <v>374</v>
      </c>
      <c r="G990" s="304">
        <f t="shared" si="1175"/>
        <v>0</v>
      </c>
      <c r="H990" s="303">
        <f t="shared" si="1232"/>
        <v>374</v>
      </c>
      <c r="I990" s="303">
        <f t="shared" ref="I990:I1013" si="1233">M990+P990</f>
        <v>374</v>
      </c>
      <c r="J990" s="311"/>
      <c r="K990" s="311"/>
      <c r="L990" s="311"/>
      <c r="M990" s="303"/>
      <c r="N990" s="311"/>
      <c r="O990" s="311"/>
      <c r="P990" s="303">
        <f t="shared" ref="P990:P1013" si="1234">S990+T990</f>
        <v>374</v>
      </c>
      <c r="Q990" s="311"/>
      <c r="R990" s="312"/>
      <c r="S990" s="303"/>
      <c r="T990" s="303">
        <f t="shared" ref="T990:T1013" si="1235">U990+V990</f>
        <v>374</v>
      </c>
      <c r="U990" s="303">
        <v>374</v>
      </c>
      <c r="V990" s="303"/>
      <c r="W990" s="303"/>
      <c r="X990" s="303"/>
      <c r="Y990" s="303"/>
      <c r="Z990" s="303"/>
      <c r="AA990" s="303"/>
      <c r="AB990" s="304"/>
      <c r="AC990" s="304"/>
      <c r="AD990" s="304"/>
      <c r="AE990" s="304"/>
      <c r="AF990" s="1301"/>
      <c r="AG990" s="314">
        <f t="shared" si="1217"/>
        <v>0</v>
      </c>
      <c r="AH990" s="696">
        <f t="shared" si="1218"/>
        <v>0</v>
      </c>
      <c r="AI990" s="314">
        <f t="shared" si="1219"/>
        <v>0</v>
      </c>
      <c r="AJ990" s="314">
        <f t="shared" si="1220"/>
        <v>0</v>
      </c>
      <c r="AK990" s="314">
        <f t="shared" si="1221"/>
        <v>0</v>
      </c>
      <c r="AL990" s="314">
        <f t="shared" si="1222"/>
        <v>0</v>
      </c>
      <c r="AM990" s="314">
        <f t="shared" si="1223"/>
        <v>0</v>
      </c>
      <c r="AN990" s="314">
        <f t="shared" si="1224"/>
        <v>0</v>
      </c>
      <c r="AO990" s="314">
        <f t="shared" si="1225"/>
        <v>0</v>
      </c>
      <c r="AP990" s="314">
        <f t="shared" si="1226"/>
        <v>0</v>
      </c>
    </row>
    <row r="991" spans="1:42" outlineLevel="1">
      <c r="A991" s="605" t="s">
        <v>23</v>
      </c>
      <c r="B991" s="1300" t="s">
        <v>1195</v>
      </c>
      <c r="C991" s="304"/>
      <c r="D991" s="304">
        <v>50</v>
      </c>
      <c r="E991" s="304">
        <f t="shared" si="1230"/>
        <v>50</v>
      </c>
      <c r="F991" s="304">
        <f t="shared" si="1231"/>
        <v>50</v>
      </c>
      <c r="G991" s="304">
        <f t="shared" si="1175"/>
        <v>0</v>
      </c>
      <c r="H991" s="303">
        <f t="shared" si="1232"/>
        <v>50</v>
      </c>
      <c r="I991" s="303">
        <f t="shared" si="1233"/>
        <v>50</v>
      </c>
      <c r="J991" s="311"/>
      <c r="K991" s="311"/>
      <c r="L991" s="311"/>
      <c r="M991" s="303"/>
      <c r="N991" s="311"/>
      <c r="O991" s="311"/>
      <c r="P991" s="303">
        <f t="shared" si="1234"/>
        <v>50</v>
      </c>
      <c r="Q991" s="311"/>
      <c r="R991" s="312"/>
      <c r="S991" s="303"/>
      <c r="T991" s="303">
        <f t="shared" si="1235"/>
        <v>50</v>
      </c>
      <c r="U991" s="303">
        <v>50</v>
      </c>
      <c r="V991" s="303"/>
      <c r="W991" s="303"/>
      <c r="X991" s="303"/>
      <c r="Y991" s="303"/>
      <c r="Z991" s="303"/>
      <c r="AA991" s="303"/>
      <c r="AB991" s="304"/>
      <c r="AC991" s="304"/>
      <c r="AD991" s="304"/>
      <c r="AE991" s="304"/>
      <c r="AF991" s="1301"/>
      <c r="AG991" s="314">
        <f t="shared" si="1217"/>
        <v>0</v>
      </c>
      <c r="AH991" s="696">
        <f t="shared" si="1218"/>
        <v>0</v>
      </c>
      <c r="AI991" s="314">
        <f t="shared" si="1219"/>
        <v>0</v>
      </c>
      <c r="AJ991" s="314">
        <f t="shared" si="1220"/>
        <v>0</v>
      </c>
      <c r="AK991" s="314">
        <f t="shared" si="1221"/>
        <v>0</v>
      </c>
      <c r="AL991" s="314">
        <f t="shared" si="1222"/>
        <v>0</v>
      </c>
      <c r="AM991" s="314">
        <f t="shared" si="1223"/>
        <v>0</v>
      </c>
      <c r="AN991" s="314">
        <f t="shared" si="1224"/>
        <v>0</v>
      </c>
      <c r="AO991" s="314">
        <f t="shared" si="1225"/>
        <v>0</v>
      </c>
      <c r="AP991" s="314">
        <f t="shared" si="1226"/>
        <v>0</v>
      </c>
    </row>
    <row r="992" spans="1:42" ht="55.2" outlineLevel="1">
      <c r="A992" s="605" t="s">
        <v>23</v>
      </c>
      <c r="B992" s="1300" t="s">
        <v>1196</v>
      </c>
      <c r="C992" s="304"/>
      <c r="D992" s="304">
        <v>60</v>
      </c>
      <c r="E992" s="304">
        <f t="shared" si="1230"/>
        <v>60</v>
      </c>
      <c r="F992" s="304">
        <f t="shared" si="1231"/>
        <v>60</v>
      </c>
      <c r="G992" s="304">
        <f t="shared" si="1175"/>
        <v>0</v>
      </c>
      <c r="H992" s="303">
        <f t="shared" si="1232"/>
        <v>60</v>
      </c>
      <c r="I992" s="303">
        <f t="shared" si="1233"/>
        <v>60</v>
      </c>
      <c r="J992" s="311"/>
      <c r="K992" s="311"/>
      <c r="L992" s="311"/>
      <c r="M992" s="303"/>
      <c r="N992" s="311"/>
      <c r="O992" s="311"/>
      <c r="P992" s="303">
        <f t="shared" si="1234"/>
        <v>60</v>
      </c>
      <c r="Q992" s="311"/>
      <c r="R992" s="312"/>
      <c r="S992" s="303"/>
      <c r="T992" s="303">
        <f t="shared" si="1235"/>
        <v>60</v>
      </c>
      <c r="U992" s="303">
        <v>60</v>
      </c>
      <c r="V992" s="303"/>
      <c r="W992" s="303"/>
      <c r="X992" s="303"/>
      <c r="Y992" s="303"/>
      <c r="Z992" s="303"/>
      <c r="AA992" s="303"/>
      <c r="AB992" s="304"/>
      <c r="AC992" s="304"/>
      <c r="AD992" s="304"/>
      <c r="AE992" s="304"/>
      <c r="AF992" s="1301"/>
      <c r="AG992" s="314">
        <f t="shared" si="1217"/>
        <v>0</v>
      </c>
      <c r="AH992" s="696">
        <f t="shared" si="1218"/>
        <v>0</v>
      </c>
      <c r="AI992" s="314">
        <f t="shared" si="1219"/>
        <v>0</v>
      </c>
      <c r="AJ992" s="314">
        <f t="shared" si="1220"/>
        <v>0</v>
      </c>
      <c r="AK992" s="314">
        <f t="shared" si="1221"/>
        <v>0</v>
      </c>
      <c r="AL992" s="314">
        <f t="shared" si="1222"/>
        <v>0</v>
      </c>
      <c r="AM992" s="314">
        <f t="shared" si="1223"/>
        <v>0</v>
      </c>
      <c r="AN992" s="314">
        <f t="shared" si="1224"/>
        <v>0</v>
      </c>
      <c r="AO992" s="314">
        <f t="shared" si="1225"/>
        <v>0</v>
      </c>
      <c r="AP992" s="314">
        <f t="shared" si="1226"/>
        <v>0</v>
      </c>
    </row>
    <row r="993" spans="1:42" ht="41.4" outlineLevel="1">
      <c r="A993" s="593" t="s">
        <v>23</v>
      </c>
      <c r="B993" s="1300" t="s">
        <v>1197</v>
      </c>
      <c r="C993" s="304"/>
      <c r="D993" s="304">
        <v>80</v>
      </c>
      <c r="E993" s="304">
        <f t="shared" si="1230"/>
        <v>80</v>
      </c>
      <c r="F993" s="304">
        <f t="shared" si="1231"/>
        <v>80</v>
      </c>
      <c r="G993" s="304">
        <f t="shared" si="1175"/>
        <v>0</v>
      </c>
      <c r="H993" s="303">
        <f t="shared" si="1232"/>
        <v>80</v>
      </c>
      <c r="I993" s="303">
        <f t="shared" si="1233"/>
        <v>80</v>
      </c>
      <c r="J993" s="311"/>
      <c r="K993" s="311"/>
      <c r="L993" s="311"/>
      <c r="M993" s="303"/>
      <c r="N993" s="311"/>
      <c r="O993" s="311"/>
      <c r="P993" s="303">
        <f t="shared" si="1234"/>
        <v>80</v>
      </c>
      <c r="Q993" s="311"/>
      <c r="R993" s="312"/>
      <c r="S993" s="303"/>
      <c r="T993" s="303">
        <f t="shared" si="1235"/>
        <v>80</v>
      </c>
      <c r="U993" s="303">
        <v>80</v>
      </c>
      <c r="V993" s="303"/>
      <c r="W993" s="303"/>
      <c r="X993" s="303"/>
      <c r="Y993" s="303"/>
      <c r="Z993" s="303"/>
      <c r="AA993" s="303"/>
      <c r="AB993" s="304"/>
      <c r="AC993" s="304"/>
      <c r="AD993" s="304"/>
      <c r="AE993" s="304"/>
      <c r="AF993" s="1301"/>
      <c r="AG993" s="314">
        <f t="shared" si="1217"/>
        <v>0</v>
      </c>
      <c r="AH993" s="696">
        <f t="shared" si="1218"/>
        <v>0</v>
      </c>
      <c r="AI993" s="314">
        <f t="shared" si="1219"/>
        <v>0</v>
      </c>
      <c r="AJ993" s="314">
        <f t="shared" si="1220"/>
        <v>0</v>
      </c>
      <c r="AK993" s="314">
        <f t="shared" si="1221"/>
        <v>0</v>
      </c>
      <c r="AL993" s="314">
        <f t="shared" si="1222"/>
        <v>0</v>
      </c>
      <c r="AM993" s="314">
        <f t="shared" si="1223"/>
        <v>0</v>
      </c>
      <c r="AN993" s="314">
        <f t="shared" si="1224"/>
        <v>0</v>
      </c>
      <c r="AO993" s="314">
        <f t="shared" si="1225"/>
        <v>0</v>
      </c>
      <c r="AP993" s="314">
        <f t="shared" si="1226"/>
        <v>0</v>
      </c>
    </row>
    <row r="994" spans="1:42" ht="41.4" outlineLevel="1">
      <c r="A994" s="593" t="s">
        <v>23</v>
      </c>
      <c r="B994" s="1300" t="s">
        <v>2247</v>
      </c>
      <c r="C994" s="304"/>
      <c r="D994" s="304"/>
      <c r="E994" s="304">
        <f t="shared" si="1230"/>
        <v>62</v>
      </c>
      <c r="F994" s="304">
        <f t="shared" si="1231"/>
        <v>62</v>
      </c>
      <c r="G994" s="304">
        <f t="shared" si="1175"/>
        <v>62</v>
      </c>
      <c r="H994" s="303">
        <f t="shared" si="1232"/>
        <v>62</v>
      </c>
      <c r="I994" s="303">
        <f t="shared" si="1233"/>
        <v>62</v>
      </c>
      <c r="J994" s="311"/>
      <c r="K994" s="311"/>
      <c r="L994" s="311"/>
      <c r="M994" s="303"/>
      <c r="N994" s="311"/>
      <c r="O994" s="311"/>
      <c r="P994" s="303">
        <f t="shared" si="1234"/>
        <v>62</v>
      </c>
      <c r="Q994" s="311"/>
      <c r="R994" s="312"/>
      <c r="S994" s="303"/>
      <c r="T994" s="303">
        <f t="shared" si="1235"/>
        <v>62</v>
      </c>
      <c r="U994" s="303"/>
      <c r="V994" s="303">
        <v>62</v>
      </c>
      <c r="W994" s="303"/>
      <c r="X994" s="303"/>
      <c r="Y994" s="303"/>
      <c r="Z994" s="303"/>
      <c r="AA994" s="303"/>
      <c r="AB994" s="304"/>
      <c r="AC994" s="304"/>
      <c r="AD994" s="304"/>
      <c r="AE994" s="304"/>
      <c r="AF994" s="1301" t="s">
        <v>2356</v>
      </c>
      <c r="AG994" s="314">
        <f t="shared" si="1217"/>
        <v>0</v>
      </c>
      <c r="AH994" s="696">
        <f t="shared" si="1218"/>
        <v>0</v>
      </c>
      <c r="AI994" s="314">
        <f t="shared" si="1219"/>
        <v>0</v>
      </c>
      <c r="AJ994" s="314">
        <f t="shared" si="1220"/>
        <v>0</v>
      </c>
      <c r="AK994" s="314">
        <f t="shared" si="1221"/>
        <v>0</v>
      </c>
      <c r="AL994" s="314">
        <f t="shared" si="1222"/>
        <v>0</v>
      </c>
      <c r="AM994" s="314">
        <f t="shared" si="1223"/>
        <v>0</v>
      </c>
      <c r="AN994" s="314">
        <f t="shared" si="1224"/>
        <v>0</v>
      </c>
      <c r="AO994" s="314">
        <f t="shared" si="1225"/>
        <v>0</v>
      </c>
      <c r="AP994" s="314">
        <f t="shared" si="1226"/>
        <v>0</v>
      </c>
    </row>
    <row r="995" spans="1:42" s="314" customFormat="1">
      <c r="A995" s="592" t="s">
        <v>79</v>
      </c>
      <c r="B995" s="645" t="s">
        <v>1198</v>
      </c>
      <c r="C995" s="298" t="s">
        <v>756</v>
      </c>
      <c r="D995" s="297">
        <f t="shared" ref="D995" si="1236">D996+D1002</f>
        <v>296</v>
      </c>
      <c r="E995" s="297">
        <f>E996+E1002</f>
        <v>218</v>
      </c>
      <c r="F995" s="297">
        <f>F996+F1002</f>
        <v>218</v>
      </c>
      <c r="G995" s="297">
        <f t="shared" si="1175"/>
        <v>-78</v>
      </c>
      <c r="H995" s="297">
        <f>H996+H1002</f>
        <v>218</v>
      </c>
      <c r="I995" s="299">
        <f t="shared" si="1233"/>
        <v>218</v>
      </c>
      <c r="J995" s="318"/>
      <c r="K995" s="318"/>
      <c r="L995" s="318"/>
      <c r="M995" s="299"/>
      <c r="N995" s="318"/>
      <c r="O995" s="318"/>
      <c r="P995" s="299">
        <f t="shared" si="1234"/>
        <v>218</v>
      </c>
      <c r="Q995" s="318"/>
      <c r="R995" s="319"/>
      <c r="S995" s="299"/>
      <c r="T995" s="299">
        <f t="shared" si="1235"/>
        <v>218</v>
      </c>
      <c r="U995" s="299">
        <f>U996+U1002</f>
        <v>127</v>
      </c>
      <c r="V995" s="299">
        <f>V996+V1002</f>
        <v>91</v>
      </c>
      <c r="W995" s="299">
        <f>Z995+AA995</f>
        <v>0</v>
      </c>
      <c r="X995" s="299"/>
      <c r="Y995" s="299"/>
      <c r="Z995" s="299"/>
      <c r="AA995" s="299"/>
      <c r="AB995" s="297"/>
      <c r="AC995" s="299">
        <f>AC996+AC1002</f>
        <v>0</v>
      </c>
      <c r="AD995" s="299">
        <f>AD996+AD1002</f>
        <v>22</v>
      </c>
      <c r="AE995" s="299">
        <f>AE996+AE1002</f>
        <v>196</v>
      </c>
      <c r="AF995" s="1271"/>
      <c r="AG995" s="314">
        <f t="shared" si="1217"/>
        <v>0</v>
      </c>
      <c r="AH995" s="696">
        <f t="shared" si="1218"/>
        <v>0</v>
      </c>
      <c r="AI995" s="314">
        <f t="shared" si="1219"/>
        <v>0</v>
      </c>
      <c r="AJ995" s="314">
        <f t="shared" si="1220"/>
        <v>0</v>
      </c>
      <c r="AK995" s="314">
        <f t="shared" si="1221"/>
        <v>0</v>
      </c>
      <c r="AL995" s="314">
        <f t="shared" si="1222"/>
        <v>0</v>
      </c>
      <c r="AM995" s="314">
        <f t="shared" si="1223"/>
        <v>0</v>
      </c>
      <c r="AN995" s="314">
        <f t="shared" si="1224"/>
        <v>0</v>
      </c>
      <c r="AO995" s="314">
        <f t="shared" si="1225"/>
        <v>0</v>
      </c>
      <c r="AP995" s="314">
        <f t="shared" si="1226"/>
        <v>0</v>
      </c>
    </row>
    <row r="996" spans="1:42" s="314" customFormat="1">
      <c r="A996" s="592" t="s">
        <v>409</v>
      </c>
      <c r="B996" s="645" t="s">
        <v>1199</v>
      </c>
      <c r="C996" s="298"/>
      <c r="D996" s="297">
        <v>212</v>
      </c>
      <c r="E996" s="297">
        <f t="shared" ref="E996:E1013" si="1237">F996+AC996</f>
        <v>142</v>
      </c>
      <c r="F996" s="297">
        <f t="shared" ref="F996:F1013" si="1238">H996-AB996</f>
        <v>142</v>
      </c>
      <c r="G996" s="297">
        <f t="shared" si="1175"/>
        <v>-70</v>
      </c>
      <c r="H996" s="299">
        <f t="shared" si="1232"/>
        <v>142</v>
      </c>
      <c r="I996" s="299">
        <f t="shared" si="1233"/>
        <v>142</v>
      </c>
      <c r="J996" s="318"/>
      <c r="K996" s="318"/>
      <c r="L996" s="318"/>
      <c r="M996" s="299"/>
      <c r="N996" s="318"/>
      <c r="O996" s="318"/>
      <c r="P996" s="299">
        <f t="shared" si="1234"/>
        <v>142</v>
      </c>
      <c r="Q996" s="318"/>
      <c r="R996" s="319"/>
      <c r="S996" s="299"/>
      <c r="T996" s="299">
        <f t="shared" si="1235"/>
        <v>142</v>
      </c>
      <c r="U996" s="299">
        <f>U997+U998</f>
        <v>93</v>
      </c>
      <c r="V996" s="299">
        <f>V999</f>
        <v>49</v>
      </c>
      <c r="W996" s="299"/>
      <c r="X996" s="299"/>
      <c r="Y996" s="299"/>
      <c r="Z996" s="299"/>
      <c r="AA996" s="299"/>
      <c r="AB996" s="297"/>
      <c r="AC996" s="297"/>
      <c r="AD996" s="297">
        <v>14</v>
      </c>
      <c r="AE996" s="299">
        <f>E996-AD996</f>
        <v>128</v>
      </c>
      <c r="AF996" s="1271"/>
      <c r="AG996" s="314">
        <f t="shared" si="1217"/>
        <v>0</v>
      </c>
      <c r="AH996" s="696">
        <f t="shared" si="1218"/>
        <v>0</v>
      </c>
      <c r="AI996" s="314">
        <f t="shared" si="1219"/>
        <v>0</v>
      </c>
      <c r="AJ996" s="314">
        <f t="shared" si="1220"/>
        <v>0</v>
      </c>
      <c r="AK996" s="314">
        <f t="shared" si="1221"/>
        <v>0</v>
      </c>
      <c r="AL996" s="314">
        <f t="shared" si="1222"/>
        <v>0</v>
      </c>
      <c r="AM996" s="314">
        <f t="shared" si="1223"/>
        <v>0</v>
      </c>
      <c r="AN996" s="314">
        <f t="shared" si="1224"/>
        <v>0</v>
      </c>
      <c r="AO996" s="314">
        <f t="shared" si="1225"/>
        <v>0</v>
      </c>
      <c r="AP996" s="314">
        <f t="shared" si="1226"/>
        <v>0</v>
      </c>
    </row>
    <row r="997" spans="1:42" ht="27.6" outlineLevel="2">
      <c r="A997" s="593" t="s">
        <v>23</v>
      </c>
      <c r="B997" s="646" t="s">
        <v>1200</v>
      </c>
      <c r="C997" s="302"/>
      <c r="D997" s="304">
        <v>80</v>
      </c>
      <c r="E997" s="304">
        <f t="shared" si="1237"/>
        <v>68</v>
      </c>
      <c r="F997" s="304">
        <f t="shared" si="1238"/>
        <v>68</v>
      </c>
      <c r="G997" s="304">
        <f t="shared" si="1175"/>
        <v>-12</v>
      </c>
      <c r="H997" s="303">
        <f t="shared" si="1232"/>
        <v>68</v>
      </c>
      <c r="I997" s="303">
        <f t="shared" si="1233"/>
        <v>68</v>
      </c>
      <c r="J997" s="311"/>
      <c r="K997" s="311"/>
      <c r="L997" s="311"/>
      <c r="M997" s="303"/>
      <c r="N997" s="311"/>
      <c r="O997" s="311"/>
      <c r="P997" s="303">
        <f t="shared" si="1234"/>
        <v>68</v>
      </c>
      <c r="Q997" s="311"/>
      <c r="R997" s="312"/>
      <c r="S997" s="303"/>
      <c r="T997" s="303">
        <f t="shared" si="1235"/>
        <v>68</v>
      </c>
      <c r="U997" s="303">
        <v>68</v>
      </c>
      <c r="V997" s="303"/>
      <c r="W997" s="303"/>
      <c r="X997" s="303"/>
      <c r="Y997" s="303"/>
      <c r="Z997" s="303"/>
      <c r="AA997" s="303"/>
      <c r="AB997" s="304"/>
      <c r="AC997" s="304"/>
      <c r="AD997" s="304"/>
      <c r="AE997" s="304"/>
      <c r="AF997" s="1272"/>
      <c r="AG997" s="314">
        <f t="shared" si="1217"/>
        <v>0</v>
      </c>
      <c r="AH997" s="696">
        <f t="shared" si="1218"/>
        <v>0</v>
      </c>
      <c r="AI997" s="314">
        <f t="shared" si="1219"/>
        <v>0</v>
      </c>
      <c r="AJ997" s="314">
        <f t="shared" si="1220"/>
        <v>0</v>
      </c>
      <c r="AK997" s="314">
        <f t="shared" si="1221"/>
        <v>0</v>
      </c>
      <c r="AL997" s="314">
        <f t="shared" si="1222"/>
        <v>0</v>
      </c>
      <c r="AM997" s="314">
        <f t="shared" si="1223"/>
        <v>0</v>
      </c>
      <c r="AN997" s="314">
        <f t="shared" si="1224"/>
        <v>0</v>
      </c>
      <c r="AO997" s="314">
        <f t="shared" si="1225"/>
        <v>0</v>
      </c>
      <c r="AP997" s="314">
        <f t="shared" si="1226"/>
        <v>0</v>
      </c>
    </row>
    <row r="998" spans="1:42" ht="41.4" outlineLevel="2">
      <c r="A998" s="593" t="s">
        <v>23</v>
      </c>
      <c r="B998" s="646" t="s">
        <v>1201</v>
      </c>
      <c r="C998" s="302"/>
      <c r="D998" s="304">
        <v>26</v>
      </c>
      <c r="E998" s="304">
        <f t="shared" si="1237"/>
        <v>25</v>
      </c>
      <c r="F998" s="304">
        <f t="shared" si="1238"/>
        <v>25</v>
      </c>
      <c r="G998" s="304">
        <f t="shared" si="1175"/>
        <v>-1</v>
      </c>
      <c r="H998" s="303">
        <f t="shared" si="1232"/>
        <v>25</v>
      </c>
      <c r="I998" s="303">
        <f t="shared" si="1233"/>
        <v>25</v>
      </c>
      <c r="J998" s="311"/>
      <c r="K998" s="311"/>
      <c r="L998" s="311"/>
      <c r="M998" s="303"/>
      <c r="N998" s="311"/>
      <c r="O998" s="311"/>
      <c r="P998" s="303">
        <f t="shared" si="1234"/>
        <v>25</v>
      </c>
      <c r="Q998" s="311"/>
      <c r="R998" s="312"/>
      <c r="S998" s="303"/>
      <c r="T998" s="303">
        <f t="shared" si="1235"/>
        <v>25</v>
      </c>
      <c r="U998" s="303">
        <v>25</v>
      </c>
      <c r="V998" s="303"/>
      <c r="W998" s="303"/>
      <c r="X998" s="303"/>
      <c r="Y998" s="303"/>
      <c r="Z998" s="303"/>
      <c r="AA998" s="303"/>
      <c r="AB998" s="304"/>
      <c r="AC998" s="304"/>
      <c r="AD998" s="304"/>
      <c r="AE998" s="304"/>
      <c r="AF998" s="1272"/>
      <c r="AG998" s="314">
        <f t="shared" si="1217"/>
        <v>0</v>
      </c>
      <c r="AH998" s="696">
        <f t="shared" si="1218"/>
        <v>0</v>
      </c>
      <c r="AI998" s="314">
        <f t="shared" si="1219"/>
        <v>0</v>
      </c>
      <c r="AJ998" s="314">
        <f t="shared" si="1220"/>
        <v>0</v>
      </c>
      <c r="AK998" s="314">
        <f t="shared" si="1221"/>
        <v>0</v>
      </c>
      <c r="AL998" s="314">
        <f t="shared" si="1222"/>
        <v>0</v>
      </c>
      <c r="AM998" s="314">
        <f t="shared" si="1223"/>
        <v>0</v>
      </c>
      <c r="AN998" s="314">
        <f t="shared" si="1224"/>
        <v>0</v>
      </c>
      <c r="AO998" s="314">
        <f t="shared" si="1225"/>
        <v>0</v>
      </c>
      <c r="AP998" s="314">
        <f t="shared" si="1226"/>
        <v>0</v>
      </c>
    </row>
    <row r="999" spans="1:42" ht="69" outlineLevel="2">
      <c r="A999" s="593" t="s">
        <v>23</v>
      </c>
      <c r="B999" s="646" t="s">
        <v>2248</v>
      </c>
      <c r="C999" s="302"/>
      <c r="D999" s="304"/>
      <c r="E999" s="304">
        <f t="shared" si="1237"/>
        <v>49</v>
      </c>
      <c r="F999" s="304">
        <f t="shared" si="1238"/>
        <v>49</v>
      </c>
      <c r="G999" s="304">
        <f t="shared" si="1175"/>
        <v>49</v>
      </c>
      <c r="H999" s="303">
        <f t="shared" si="1232"/>
        <v>49</v>
      </c>
      <c r="I999" s="303">
        <f t="shared" si="1233"/>
        <v>49</v>
      </c>
      <c r="J999" s="311"/>
      <c r="K999" s="311"/>
      <c r="L999" s="311"/>
      <c r="M999" s="303"/>
      <c r="N999" s="311"/>
      <c r="O999" s="311"/>
      <c r="P999" s="303">
        <f t="shared" si="1234"/>
        <v>49</v>
      </c>
      <c r="Q999" s="311"/>
      <c r="R999" s="312"/>
      <c r="S999" s="303"/>
      <c r="T999" s="303">
        <f t="shared" si="1235"/>
        <v>49</v>
      </c>
      <c r="U999" s="303"/>
      <c r="V999" s="303">
        <v>49</v>
      </c>
      <c r="W999" s="303"/>
      <c r="X999" s="303"/>
      <c r="Y999" s="303"/>
      <c r="Z999" s="303"/>
      <c r="AA999" s="303"/>
      <c r="AB999" s="304"/>
      <c r="AC999" s="304"/>
      <c r="AD999" s="304"/>
      <c r="AE999" s="304"/>
      <c r="AF999" s="1272" t="s">
        <v>2357</v>
      </c>
      <c r="AG999" s="314">
        <f t="shared" si="1217"/>
        <v>0</v>
      </c>
      <c r="AH999" s="696">
        <f t="shared" si="1218"/>
        <v>0</v>
      </c>
      <c r="AI999" s="314">
        <f t="shared" si="1219"/>
        <v>0</v>
      </c>
      <c r="AJ999" s="314">
        <f t="shared" si="1220"/>
        <v>0</v>
      </c>
      <c r="AK999" s="314">
        <f t="shared" si="1221"/>
        <v>0</v>
      </c>
      <c r="AL999" s="314">
        <f t="shared" si="1222"/>
        <v>0</v>
      </c>
      <c r="AM999" s="314">
        <f t="shared" si="1223"/>
        <v>0</v>
      </c>
      <c r="AN999" s="314">
        <f t="shared" si="1224"/>
        <v>0</v>
      </c>
      <c r="AO999" s="314">
        <f t="shared" si="1225"/>
        <v>0</v>
      </c>
      <c r="AP999" s="314">
        <f t="shared" si="1226"/>
        <v>0</v>
      </c>
    </row>
    <row r="1000" spans="1:42" ht="27.6" hidden="1" outlineLevel="3">
      <c r="A1000" s="593" t="s">
        <v>23</v>
      </c>
      <c r="B1000" s="646" t="s">
        <v>1778</v>
      </c>
      <c r="C1000" s="302"/>
      <c r="D1000" s="304">
        <v>51</v>
      </c>
      <c r="E1000" s="304">
        <f t="shared" si="1237"/>
        <v>0</v>
      </c>
      <c r="F1000" s="304">
        <f t="shared" si="1238"/>
        <v>0</v>
      </c>
      <c r="G1000" s="304"/>
      <c r="H1000" s="303">
        <f t="shared" si="1232"/>
        <v>0</v>
      </c>
      <c r="I1000" s="303">
        <f t="shared" si="1233"/>
        <v>0</v>
      </c>
      <c r="J1000" s="311"/>
      <c r="K1000" s="311"/>
      <c r="L1000" s="311"/>
      <c r="M1000" s="303"/>
      <c r="N1000" s="311"/>
      <c r="O1000" s="311"/>
      <c r="P1000" s="303">
        <f t="shared" si="1234"/>
        <v>0</v>
      </c>
      <c r="Q1000" s="311"/>
      <c r="R1000" s="312"/>
      <c r="S1000" s="303"/>
      <c r="T1000" s="303">
        <f t="shared" si="1235"/>
        <v>0</v>
      </c>
      <c r="U1000" s="303"/>
      <c r="V1000" s="303"/>
      <c r="W1000" s="303"/>
      <c r="X1000" s="303"/>
      <c r="Y1000" s="303"/>
      <c r="Z1000" s="303"/>
      <c r="AA1000" s="303"/>
      <c r="AB1000" s="304"/>
      <c r="AC1000" s="304"/>
      <c r="AD1000" s="304"/>
      <c r="AE1000" s="304"/>
      <c r="AF1000" s="1272"/>
      <c r="AG1000" s="314">
        <f t="shared" si="1217"/>
        <v>0</v>
      </c>
      <c r="AH1000" s="696">
        <f t="shared" si="1218"/>
        <v>0</v>
      </c>
      <c r="AI1000" s="314">
        <f t="shared" si="1219"/>
        <v>0</v>
      </c>
      <c r="AJ1000" s="314">
        <f t="shared" si="1220"/>
        <v>0</v>
      </c>
      <c r="AK1000" s="314">
        <f t="shared" si="1221"/>
        <v>0</v>
      </c>
      <c r="AL1000" s="314">
        <f t="shared" si="1222"/>
        <v>0</v>
      </c>
      <c r="AM1000" s="314">
        <f t="shared" si="1223"/>
        <v>0</v>
      </c>
      <c r="AN1000" s="314">
        <f t="shared" si="1224"/>
        <v>0</v>
      </c>
      <c r="AO1000" s="314">
        <f t="shared" si="1225"/>
        <v>0</v>
      </c>
      <c r="AP1000" s="314">
        <f t="shared" si="1226"/>
        <v>0</v>
      </c>
    </row>
    <row r="1001" spans="1:42" ht="27.6" hidden="1" outlineLevel="3">
      <c r="A1001" s="593" t="s">
        <v>23</v>
      </c>
      <c r="B1001" s="646" t="s">
        <v>1779</v>
      </c>
      <c r="C1001" s="302"/>
      <c r="D1001" s="304">
        <v>55</v>
      </c>
      <c r="E1001" s="304">
        <f t="shared" si="1237"/>
        <v>0</v>
      </c>
      <c r="F1001" s="304">
        <f t="shared" si="1238"/>
        <v>0</v>
      </c>
      <c r="G1001" s="304"/>
      <c r="H1001" s="303">
        <f t="shared" si="1232"/>
        <v>0</v>
      </c>
      <c r="I1001" s="303">
        <f t="shared" si="1233"/>
        <v>0</v>
      </c>
      <c r="J1001" s="311"/>
      <c r="K1001" s="311"/>
      <c r="L1001" s="311"/>
      <c r="M1001" s="303"/>
      <c r="N1001" s="311"/>
      <c r="O1001" s="311"/>
      <c r="P1001" s="303">
        <f t="shared" si="1234"/>
        <v>0</v>
      </c>
      <c r="Q1001" s="311"/>
      <c r="R1001" s="312"/>
      <c r="S1001" s="303"/>
      <c r="T1001" s="303">
        <f t="shared" si="1235"/>
        <v>0</v>
      </c>
      <c r="U1001" s="303"/>
      <c r="V1001" s="303"/>
      <c r="W1001" s="303"/>
      <c r="X1001" s="303"/>
      <c r="Y1001" s="303"/>
      <c r="Z1001" s="303"/>
      <c r="AA1001" s="303"/>
      <c r="AB1001" s="304"/>
      <c r="AC1001" s="304"/>
      <c r="AD1001" s="304"/>
      <c r="AE1001" s="304"/>
      <c r="AF1001" s="1272"/>
      <c r="AG1001" s="314">
        <f t="shared" si="1217"/>
        <v>0</v>
      </c>
      <c r="AH1001" s="696">
        <f t="shared" si="1218"/>
        <v>0</v>
      </c>
      <c r="AI1001" s="314">
        <f t="shared" si="1219"/>
        <v>0</v>
      </c>
      <c r="AJ1001" s="314">
        <f t="shared" si="1220"/>
        <v>0</v>
      </c>
      <c r="AK1001" s="314">
        <f t="shared" si="1221"/>
        <v>0</v>
      </c>
      <c r="AL1001" s="314">
        <f t="shared" si="1222"/>
        <v>0</v>
      </c>
      <c r="AM1001" s="314">
        <f t="shared" si="1223"/>
        <v>0</v>
      </c>
      <c r="AN1001" s="314">
        <f t="shared" si="1224"/>
        <v>0</v>
      </c>
      <c r="AO1001" s="314">
        <f t="shared" si="1225"/>
        <v>0</v>
      </c>
      <c r="AP1001" s="314">
        <f t="shared" si="1226"/>
        <v>0</v>
      </c>
    </row>
    <row r="1002" spans="1:42" s="314" customFormat="1">
      <c r="A1002" s="592" t="s">
        <v>411</v>
      </c>
      <c r="B1002" s="645" t="s">
        <v>1202</v>
      </c>
      <c r="C1002" s="298"/>
      <c r="D1002" s="297">
        <v>84</v>
      </c>
      <c r="E1002" s="297">
        <f t="shared" si="1237"/>
        <v>76</v>
      </c>
      <c r="F1002" s="297">
        <f t="shared" si="1238"/>
        <v>76</v>
      </c>
      <c r="G1002" s="297">
        <f t="shared" ref="G1002:G1021" si="1239">F1002-D1002</f>
        <v>-8</v>
      </c>
      <c r="H1002" s="299">
        <f t="shared" si="1232"/>
        <v>76</v>
      </c>
      <c r="I1002" s="299">
        <f t="shared" si="1233"/>
        <v>76</v>
      </c>
      <c r="J1002" s="318"/>
      <c r="K1002" s="318"/>
      <c r="L1002" s="318"/>
      <c r="M1002" s="299"/>
      <c r="N1002" s="318"/>
      <c r="O1002" s="318"/>
      <c r="P1002" s="299">
        <f t="shared" si="1234"/>
        <v>76</v>
      </c>
      <c r="Q1002" s="318"/>
      <c r="R1002" s="319"/>
      <c r="S1002" s="299"/>
      <c r="T1002" s="299">
        <f t="shared" si="1235"/>
        <v>76</v>
      </c>
      <c r="U1002" s="299">
        <f>U1003+U1004</f>
        <v>34</v>
      </c>
      <c r="V1002" s="299">
        <f>V1005</f>
        <v>42</v>
      </c>
      <c r="W1002" s="299"/>
      <c r="X1002" s="299"/>
      <c r="Y1002" s="299"/>
      <c r="Z1002" s="299"/>
      <c r="AA1002" s="299"/>
      <c r="AB1002" s="297"/>
      <c r="AC1002" s="297"/>
      <c r="AD1002" s="297">
        <v>8</v>
      </c>
      <c r="AE1002" s="299">
        <f>E1002-AD1002</f>
        <v>68</v>
      </c>
      <c r="AF1002" s="1271"/>
      <c r="AG1002" s="314">
        <f t="shared" si="1217"/>
        <v>0</v>
      </c>
      <c r="AH1002" s="696">
        <f t="shared" si="1218"/>
        <v>0</v>
      </c>
      <c r="AI1002" s="314">
        <f t="shared" si="1219"/>
        <v>0</v>
      </c>
      <c r="AJ1002" s="314">
        <f t="shared" si="1220"/>
        <v>0</v>
      </c>
      <c r="AK1002" s="314">
        <f t="shared" si="1221"/>
        <v>0</v>
      </c>
      <c r="AL1002" s="314">
        <f t="shared" si="1222"/>
        <v>0</v>
      </c>
      <c r="AM1002" s="314">
        <f t="shared" si="1223"/>
        <v>0</v>
      </c>
      <c r="AN1002" s="314">
        <f t="shared" si="1224"/>
        <v>0</v>
      </c>
      <c r="AO1002" s="314">
        <f t="shared" si="1225"/>
        <v>0</v>
      </c>
      <c r="AP1002" s="314">
        <f t="shared" si="1226"/>
        <v>0</v>
      </c>
    </row>
    <row r="1003" spans="1:42" ht="27.6" outlineLevel="2">
      <c r="A1003" s="593" t="s">
        <v>23</v>
      </c>
      <c r="B1003" s="646" t="s">
        <v>1203</v>
      </c>
      <c r="C1003" s="302"/>
      <c r="D1003" s="304">
        <v>18</v>
      </c>
      <c r="E1003" s="304">
        <f t="shared" si="1237"/>
        <v>11</v>
      </c>
      <c r="F1003" s="304">
        <f t="shared" si="1238"/>
        <v>11</v>
      </c>
      <c r="G1003" s="304">
        <f t="shared" si="1239"/>
        <v>-7</v>
      </c>
      <c r="H1003" s="303">
        <f t="shared" si="1232"/>
        <v>11</v>
      </c>
      <c r="I1003" s="303">
        <f t="shared" si="1233"/>
        <v>11</v>
      </c>
      <c r="J1003" s="311"/>
      <c r="K1003" s="311"/>
      <c r="L1003" s="311"/>
      <c r="M1003" s="303"/>
      <c r="N1003" s="311"/>
      <c r="O1003" s="311"/>
      <c r="P1003" s="303">
        <f t="shared" si="1234"/>
        <v>11</v>
      </c>
      <c r="Q1003" s="311"/>
      <c r="R1003" s="312"/>
      <c r="S1003" s="303"/>
      <c r="T1003" s="303">
        <f t="shared" si="1235"/>
        <v>11</v>
      </c>
      <c r="U1003" s="303">
        <v>11</v>
      </c>
      <c r="V1003" s="303"/>
      <c r="W1003" s="303"/>
      <c r="X1003" s="303"/>
      <c r="Y1003" s="303"/>
      <c r="Z1003" s="303"/>
      <c r="AA1003" s="303"/>
      <c r="AB1003" s="304"/>
      <c r="AC1003" s="304"/>
      <c r="AD1003" s="304"/>
      <c r="AE1003" s="304"/>
      <c r="AF1003" s="1272"/>
      <c r="AG1003" s="314">
        <f t="shared" si="1217"/>
        <v>0</v>
      </c>
      <c r="AH1003" s="696">
        <f t="shared" si="1218"/>
        <v>0</v>
      </c>
      <c r="AI1003" s="314">
        <f t="shared" si="1219"/>
        <v>0</v>
      </c>
      <c r="AJ1003" s="314">
        <f t="shared" si="1220"/>
        <v>0</v>
      </c>
      <c r="AK1003" s="314">
        <f t="shared" si="1221"/>
        <v>0</v>
      </c>
      <c r="AL1003" s="314">
        <f t="shared" si="1222"/>
        <v>0</v>
      </c>
      <c r="AM1003" s="314">
        <f t="shared" si="1223"/>
        <v>0</v>
      </c>
      <c r="AN1003" s="314">
        <f t="shared" si="1224"/>
        <v>0</v>
      </c>
      <c r="AO1003" s="314">
        <f t="shared" si="1225"/>
        <v>0</v>
      </c>
      <c r="AP1003" s="314">
        <f t="shared" si="1226"/>
        <v>0</v>
      </c>
    </row>
    <row r="1004" spans="1:42" ht="41.4" outlineLevel="2">
      <c r="A1004" s="593" t="s">
        <v>23</v>
      </c>
      <c r="B1004" s="646" t="s">
        <v>1201</v>
      </c>
      <c r="C1004" s="302"/>
      <c r="D1004" s="304">
        <v>23</v>
      </c>
      <c r="E1004" s="304">
        <f t="shared" si="1237"/>
        <v>23</v>
      </c>
      <c r="F1004" s="304">
        <f t="shared" si="1238"/>
        <v>23</v>
      </c>
      <c r="G1004" s="304">
        <f t="shared" si="1239"/>
        <v>0</v>
      </c>
      <c r="H1004" s="303">
        <f t="shared" si="1232"/>
        <v>23</v>
      </c>
      <c r="I1004" s="303">
        <f t="shared" si="1233"/>
        <v>23</v>
      </c>
      <c r="J1004" s="311"/>
      <c r="K1004" s="311"/>
      <c r="L1004" s="311"/>
      <c r="M1004" s="303"/>
      <c r="N1004" s="311"/>
      <c r="O1004" s="311"/>
      <c r="P1004" s="303">
        <f t="shared" si="1234"/>
        <v>23</v>
      </c>
      <c r="Q1004" s="311"/>
      <c r="R1004" s="312"/>
      <c r="S1004" s="303"/>
      <c r="T1004" s="303">
        <f t="shared" si="1235"/>
        <v>23</v>
      </c>
      <c r="U1004" s="303">
        <v>23</v>
      </c>
      <c r="V1004" s="303"/>
      <c r="W1004" s="303"/>
      <c r="X1004" s="303"/>
      <c r="Y1004" s="303"/>
      <c r="Z1004" s="303"/>
      <c r="AA1004" s="303"/>
      <c r="AB1004" s="304"/>
      <c r="AC1004" s="304"/>
      <c r="AD1004" s="304"/>
      <c r="AE1004" s="304"/>
      <c r="AF1004" s="1272"/>
      <c r="AG1004" s="314">
        <f t="shared" si="1217"/>
        <v>0</v>
      </c>
      <c r="AH1004" s="696">
        <f t="shared" si="1218"/>
        <v>0</v>
      </c>
      <c r="AI1004" s="314">
        <f t="shared" si="1219"/>
        <v>0</v>
      </c>
      <c r="AJ1004" s="314">
        <f t="shared" si="1220"/>
        <v>0</v>
      </c>
      <c r="AK1004" s="314">
        <f t="shared" si="1221"/>
        <v>0</v>
      </c>
      <c r="AL1004" s="314">
        <f t="shared" si="1222"/>
        <v>0</v>
      </c>
      <c r="AM1004" s="314">
        <f t="shared" si="1223"/>
        <v>0</v>
      </c>
      <c r="AN1004" s="314">
        <f t="shared" si="1224"/>
        <v>0</v>
      </c>
      <c r="AO1004" s="314">
        <f t="shared" si="1225"/>
        <v>0</v>
      </c>
      <c r="AP1004" s="314">
        <f t="shared" si="1226"/>
        <v>0</v>
      </c>
    </row>
    <row r="1005" spans="1:42" ht="55.2" outlineLevel="2">
      <c r="A1005" s="593" t="s">
        <v>23</v>
      </c>
      <c r="B1005" s="646" t="s">
        <v>2249</v>
      </c>
      <c r="C1005" s="302"/>
      <c r="D1005" s="304"/>
      <c r="E1005" s="304">
        <f t="shared" si="1237"/>
        <v>42</v>
      </c>
      <c r="F1005" s="304">
        <f t="shared" si="1238"/>
        <v>42</v>
      </c>
      <c r="G1005" s="304">
        <f t="shared" si="1239"/>
        <v>42</v>
      </c>
      <c r="H1005" s="303">
        <f t="shared" si="1232"/>
        <v>42</v>
      </c>
      <c r="I1005" s="303">
        <f t="shared" si="1233"/>
        <v>42</v>
      </c>
      <c r="J1005" s="311"/>
      <c r="K1005" s="311"/>
      <c r="L1005" s="311"/>
      <c r="M1005" s="303"/>
      <c r="N1005" s="311"/>
      <c r="O1005" s="311"/>
      <c r="P1005" s="303">
        <f t="shared" si="1234"/>
        <v>42</v>
      </c>
      <c r="Q1005" s="311"/>
      <c r="R1005" s="312"/>
      <c r="S1005" s="303"/>
      <c r="T1005" s="303">
        <f t="shared" si="1235"/>
        <v>42</v>
      </c>
      <c r="U1005" s="303"/>
      <c r="V1005" s="303">
        <v>42</v>
      </c>
      <c r="W1005" s="303"/>
      <c r="X1005" s="303"/>
      <c r="Y1005" s="303"/>
      <c r="Z1005" s="303"/>
      <c r="AA1005" s="303"/>
      <c r="AB1005" s="304"/>
      <c r="AC1005" s="304"/>
      <c r="AD1005" s="304"/>
      <c r="AE1005" s="304"/>
      <c r="AF1005" s="1272" t="s">
        <v>2358</v>
      </c>
      <c r="AG1005" s="314">
        <f t="shared" si="1217"/>
        <v>0</v>
      </c>
      <c r="AH1005" s="696">
        <f t="shared" si="1218"/>
        <v>0</v>
      </c>
      <c r="AI1005" s="314">
        <f t="shared" si="1219"/>
        <v>0</v>
      </c>
      <c r="AJ1005" s="314">
        <f t="shared" si="1220"/>
        <v>0</v>
      </c>
      <c r="AK1005" s="314">
        <f t="shared" si="1221"/>
        <v>0</v>
      </c>
      <c r="AL1005" s="314">
        <f t="shared" si="1222"/>
        <v>0</v>
      </c>
      <c r="AM1005" s="314">
        <f t="shared" si="1223"/>
        <v>0</v>
      </c>
      <c r="AN1005" s="314">
        <f t="shared" si="1224"/>
        <v>0</v>
      </c>
      <c r="AO1005" s="314">
        <f t="shared" si="1225"/>
        <v>0</v>
      </c>
      <c r="AP1005" s="314">
        <f t="shared" si="1226"/>
        <v>0</v>
      </c>
    </row>
    <row r="1006" spans="1:42" ht="55.2" hidden="1" outlineLevel="3">
      <c r="A1006" s="593" t="s">
        <v>23</v>
      </c>
      <c r="B1006" s="646" t="s">
        <v>1780</v>
      </c>
      <c r="C1006" s="302"/>
      <c r="D1006" s="304">
        <v>43</v>
      </c>
      <c r="E1006" s="304">
        <f t="shared" si="1237"/>
        <v>0</v>
      </c>
      <c r="F1006" s="304">
        <f t="shared" si="1238"/>
        <v>0</v>
      </c>
      <c r="G1006" s="304">
        <f t="shared" si="1239"/>
        <v>-43</v>
      </c>
      <c r="H1006" s="303">
        <f t="shared" si="1232"/>
        <v>0</v>
      </c>
      <c r="I1006" s="303">
        <f t="shared" si="1233"/>
        <v>0</v>
      </c>
      <c r="J1006" s="311"/>
      <c r="K1006" s="311"/>
      <c r="L1006" s="311"/>
      <c r="M1006" s="303"/>
      <c r="N1006" s="311"/>
      <c r="O1006" s="311"/>
      <c r="P1006" s="303">
        <f t="shared" si="1234"/>
        <v>0</v>
      </c>
      <c r="Q1006" s="311"/>
      <c r="R1006" s="312"/>
      <c r="S1006" s="303"/>
      <c r="T1006" s="303">
        <f t="shared" si="1235"/>
        <v>0</v>
      </c>
      <c r="U1006" s="303"/>
      <c r="V1006" s="303"/>
      <c r="W1006" s="303"/>
      <c r="X1006" s="303"/>
      <c r="Y1006" s="303"/>
      <c r="Z1006" s="303"/>
      <c r="AA1006" s="303"/>
      <c r="AB1006" s="304"/>
      <c r="AC1006" s="304"/>
      <c r="AD1006" s="304"/>
      <c r="AE1006" s="304"/>
      <c r="AF1006" s="1272"/>
      <c r="AG1006" s="314">
        <f t="shared" si="1217"/>
        <v>0</v>
      </c>
      <c r="AH1006" s="696">
        <f t="shared" si="1218"/>
        <v>0</v>
      </c>
      <c r="AI1006" s="314">
        <f t="shared" si="1219"/>
        <v>0</v>
      </c>
      <c r="AJ1006" s="314">
        <f t="shared" si="1220"/>
        <v>0</v>
      </c>
      <c r="AK1006" s="314">
        <f t="shared" si="1221"/>
        <v>0</v>
      </c>
      <c r="AL1006" s="314">
        <f t="shared" si="1222"/>
        <v>0</v>
      </c>
      <c r="AM1006" s="314">
        <f t="shared" si="1223"/>
        <v>0</v>
      </c>
      <c r="AN1006" s="314">
        <f t="shared" si="1224"/>
        <v>0</v>
      </c>
      <c r="AO1006" s="314">
        <f t="shared" si="1225"/>
        <v>0</v>
      </c>
      <c r="AP1006" s="314">
        <f t="shared" si="1226"/>
        <v>0</v>
      </c>
    </row>
    <row r="1007" spans="1:42" s="314" customFormat="1" ht="27.6">
      <c r="A1007" s="592" t="s">
        <v>80</v>
      </c>
      <c r="B1007" s="645" t="s">
        <v>1204</v>
      </c>
      <c r="C1007" s="298" t="s">
        <v>756</v>
      </c>
      <c r="D1007" s="297">
        <v>96</v>
      </c>
      <c r="E1007" s="297">
        <f t="shared" si="1237"/>
        <v>153</v>
      </c>
      <c r="F1007" s="297">
        <f t="shared" si="1238"/>
        <v>153</v>
      </c>
      <c r="G1007" s="297">
        <f t="shared" si="1239"/>
        <v>57</v>
      </c>
      <c r="H1007" s="299">
        <f t="shared" si="1232"/>
        <v>153</v>
      </c>
      <c r="I1007" s="299">
        <f t="shared" si="1233"/>
        <v>153</v>
      </c>
      <c r="J1007" s="318"/>
      <c r="K1007" s="318"/>
      <c r="L1007" s="318"/>
      <c r="M1007" s="299"/>
      <c r="N1007" s="318"/>
      <c r="O1007" s="318"/>
      <c r="P1007" s="299">
        <f t="shared" si="1234"/>
        <v>153</v>
      </c>
      <c r="Q1007" s="318"/>
      <c r="R1007" s="319"/>
      <c r="S1007" s="299"/>
      <c r="T1007" s="299">
        <f t="shared" si="1235"/>
        <v>153</v>
      </c>
      <c r="U1007" s="299">
        <f>U1008+U1009+U1012</f>
        <v>36</v>
      </c>
      <c r="V1007" s="299">
        <f>V1009+V1010+V1011</f>
        <v>117</v>
      </c>
      <c r="W1007" s="299">
        <f>Z1007+AA1007</f>
        <v>0</v>
      </c>
      <c r="X1007" s="299"/>
      <c r="Y1007" s="299"/>
      <c r="Z1007" s="299"/>
      <c r="AA1007" s="299"/>
      <c r="AB1007" s="297"/>
      <c r="AC1007" s="297"/>
      <c r="AD1007" s="297">
        <v>15</v>
      </c>
      <c r="AE1007" s="299">
        <f>E1007-AD1007</f>
        <v>138</v>
      </c>
      <c r="AF1007" s="1271"/>
      <c r="AG1007" s="314">
        <f t="shared" si="1217"/>
        <v>0</v>
      </c>
      <c r="AH1007" s="696">
        <f t="shared" si="1218"/>
        <v>0</v>
      </c>
      <c r="AI1007" s="314">
        <f t="shared" si="1219"/>
        <v>0</v>
      </c>
      <c r="AJ1007" s="314">
        <f t="shared" si="1220"/>
        <v>0</v>
      </c>
      <c r="AK1007" s="314">
        <f t="shared" si="1221"/>
        <v>0</v>
      </c>
      <c r="AL1007" s="314">
        <f t="shared" si="1222"/>
        <v>0</v>
      </c>
      <c r="AM1007" s="314">
        <f t="shared" si="1223"/>
        <v>0</v>
      </c>
      <c r="AN1007" s="314">
        <f t="shared" si="1224"/>
        <v>0</v>
      </c>
      <c r="AO1007" s="314">
        <f t="shared" si="1225"/>
        <v>0</v>
      </c>
      <c r="AP1007" s="314">
        <f t="shared" si="1226"/>
        <v>0</v>
      </c>
    </row>
    <row r="1008" spans="1:42" s="314" customFormat="1" ht="27.6" outlineLevel="2">
      <c r="A1008" s="593" t="s">
        <v>23</v>
      </c>
      <c r="B1008" s="646" t="s">
        <v>1205</v>
      </c>
      <c r="C1008" s="298"/>
      <c r="D1008" s="304">
        <v>4</v>
      </c>
      <c r="E1008" s="304">
        <f t="shared" si="1237"/>
        <v>4</v>
      </c>
      <c r="F1008" s="304">
        <f t="shared" si="1238"/>
        <v>4</v>
      </c>
      <c r="G1008" s="304">
        <f t="shared" si="1239"/>
        <v>0</v>
      </c>
      <c r="H1008" s="303">
        <f t="shared" si="1232"/>
        <v>4</v>
      </c>
      <c r="I1008" s="303">
        <f t="shared" si="1233"/>
        <v>4</v>
      </c>
      <c r="J1008" s="311"/>
      <c r="K1008" s="311"/>
      <c r="L1008" s="311"/>
      <c r="M1008" s="303"/>
      <c r="N1008" s="311"/>
      <c r="O1008" s="311"/>
      <c r="P1008" s="303">
        <f t="shared" si="1234"/>
        <v>4</v>
      </c>
      <c r="Q1008" s="311"/>
      <c r="R1008" s="312"/>
      <c r="S1008" s="303"/>
      <c r="T1008" s="303">
        <f t="shared" si="1235"/>
        <v>4</v>
      </c>
      <c r="U1008" s="303">
        <v>4</v>
      </c>
      <c r="V1008" s="299"/>
      <c r="W1008" s="299"/>
      <c r="X1008" s="299"/>
      <c r="Y1008" s="299"/>
      <c r="Z1008" s="299"/>
      <c r="AA1008" s="299"/>
      <c r="AB1008" s="297"/>
      <c r="AC1008" s="297"/>
      <c r="AD1008" s="297"/>
      <c r="AE1008" s="297"/>
      <c r="AF1008" s="1272"/>
      <c r="AG1008" s="314">
        <f t="shared" si="1217"/>
        <v>0</v>
      </c>
      <c r="AH1008" s="696">
        <f t="shared" si="1218"/>
        <v>0</v>
      </c>
      <c r="AI1008" s="314">
        <f t="shared" si="1219"/>
        <v>0</v>
      </c>
      <c r="AJ1008" s="314">
        <f t="shared" si="1220"/>
        <v>0</v>
      </c>
      <c r="AK1008" s="314">
        <f t="shared" si="1221"/>
        <v>0</v>
      </c>
      <c r="AL1008" s="314">
        <f t="shared" si="1222"/>
        <v>0</v>
      </c>
      <c r="AM1008" s="314">
        <f t="shared" si="1223"/>
        <v>0</v>
      </c>
      <c r="AN1008" s="314">
        <f t="shared" si="1224"/>
        <v>0</v>
      </c>
      <c r="AO1008" s="314">
        <f t="shared" si="1225"/>
        <v>0</v>
      </c>
      <c r="AP1008" s="314">
        <f t="shared" si="1226"/>
        <v>0</v>
      </c>
    </row>
    <row r="1009" spans="1:42" s="314" customFormat="1" ht="41.4" outlineLevel="2">
      <c r="A1009" s="593" t="s">
        <v>23</v>
      </c>
      <c r="B1009" s="646" t="s">
        <v>1206</v>
      </c>
      <c r="C1009" s="298"/>
      <c r="D1009" s="304">
        <v>32</v>
      </c>
      <c r="E1009" s="304">
        <f t="shared" si="1237"/>
        <v>43</v>
      </c>
      <c r="F1009" s="304">
        <f t="shared" si="1238"/>
        <v>43</v>
      </c>
      <c r="G1009" s="304">
        <f t="shared" si="1239"/>
        <v>11</v>
      </c>
      <c r="H1009" s="303">
        <f t="shared" si="1232"/>
        <v>43</v>
      </c>
      <c r="I1009" s="303">
        <f t="shared" si="1233"/>
        <v>43</v>
      </c>
      <c r="J1009" s="311"/>
      <c r="K1009" s="311"/>
      <c r="L1009" s="311"/>
      <c r="M1009" s="303"/>
      <c r="N1009" s="311"/>
      <c r="O1009" s="311"/>
      <c r="P1009" s="303">
        <f t="shared" si="1234"/>
        <v>43</v>
      </c>
      <c r="Q1009" s="311"/>
      <c r="R1009" s="312"/>
      <c r="S1009" s="303"/>
      <c r="T1009" s="303">
        <f t="shared" si="1235"/>
        <v>43</v>
      </c>
      <c r="U1009" s="303">
        <v>32</v>
      </c>
      <c r="V1009" s="303">
        <v>11</v>
      </c>
      <c r="W1009" s="299"/>
      <c r="X1009" s="299"/>
      <c r="Y1009" s="299"/>
      <c r="Z1009" s="299"/>
      <c r="AA1009" s="299"/>
      <c r="AB1009" s="297"/>
      <c r="AC1009" s="297"/>
      <c r="AD1009" s="297"/>
      <c r="AE1009" s="297"/>
      <c r="AF1009" s="1272" t="s">
        <v>2359</v>
      </c>
      <c r="AG1009" s="314">
        <f t="shared" si="1217"/>
        <v>0</v>
      </c>
      <c r="AH1009" s="696">
        <f t="shared" si="1218"/>
        <v>0</v>
      </c>
      <c r="AI1009" s="314">
        <f t="shared" si="1219"/>
        <v>0</v>
      </c>
      <c r="AJ1009" s="314">
        <f t="shared" si="1220"/>
        <v>0</v>
      </c>
      <c r="AK1009" s="314">
        <f t="shared" si="1221"/>
        <v>0</v>
      </c>
      <c r="AL1009" s="314">
        <f t="shared" si="1222"/>
        <v>0</v>
      </c>
      <c r="AM1009" s="314">
        <f t="shared" si="1223"/>
        <v>0</v>
      </c>
      <c r="AN1009" s="314">
        <f t="shared" si="1224"/>
        <v>0</v>
      </c>
      <c r="AO1009" s="314">
        <f t="shared" si="1225"/>
        <v>0</v>
      </c>
      <c r="AP1009" s="314">
        <f t="shared" si="1226"/>
        <v>0</v>
      </c>
    </row>
    <row r="1010" spans="1:42" s="314" customFormat="1" ht="69" outlineLevel="2">
      <c r="A1010" s="593" t="s">
        <v>23</v>
      </c>
      <c r="B1010" s="646" t="s">
        <v>2250</v>
      </c>
      <c r="C1010" s="298"/>
      <c r="D1010" s="304"/>
      <c r="E1010" s="304">
        <f t="shared" si="1237"/>
        <v>61</v>
      </c>
      <c r="F1010" s="304">
        <f t="shared" si="1238"/>
        <v>61</v>
      </c>
      <c r="G1010" s="304">
        <f t="shared" si="1239"/>
        <v>61</v>
      </c>
      <c r="H1010" s="303">
        <f t="shared" si="1232"/>
        <v>61</v>
      </c>
      <c r="I1010" s="303">
        <f t="shared" si="1233"/>
        <v>61</v>
      </c>
      <c r="J1010" s="311"/>
      <c r="K1010" s="311"/>
      <c r="L1010" s="311"/>
      <c r="M1010" s="303"/>
      <c r="N1010" s="311"/>
      <c r="O1010" s="311"/>
      <c r="P1010" s="303">
        <f t="shared" si="1234"/>
        <v>61</v>
      </c>
      <c r="Q1010" s="311"/>
      <c r="R1010" s="312"/>
      <c r="S1010" s="303"/>
      <c r="T1010" s="303">
        <f t="shared" si="1235"/>
        <v>61</v>
      </c>
      <c r="U1010" s="303"/>
      <c r="V1010" s="303">
        <v>61</v>
      </c>
      <c r="W1010" s="299"/>
      <c r="X1010" s="299"/>
      <c r="Y1010" s="299"/>
      <c r="Z1010" s="299"/>
      <c r="AA1010" s="299"/>
      <c r="AB1010" s="297"/>
      <c r="AC1010" s="297"/>
      <c r="AD1010" s="297"/>
      <c r="AE1010" s="297"/>
      <c r="AF1010" s="1632" t="s">
        <v>2358</v>
      </c>
      <c r="AG1010" s="314">
        <f t="shared" si="1217"/>
        <v>0</v>
      </c>
      <c r="AH1010" s="696">
        <f t="shared" si="1218"/>
        <v>0</v>
      </c>
      <c r="AI1010" s="314">
        <f t="shared" si="1219"/>
        <v>0</v>
      </c>
      <c r="AJ1010" s="314">
        <f t="shared" si="1220"/>
        <v>0</v>
      </c>
      <c r="AK1010" s="314">
        <f t="shared" si="1221"/>
        <v>0</v>
      </c>
      <c r="AL1010" s="314">
        <f t="shared" si="1222"/>
        <v>0</v>
      </c>
      <c r="AM1010" s="314">
        <f t="shared" si="1223"/>
        <v>0</v>
      </c>
      <c r="AN1010" s="314">
        <f t="shared" si="1224"/>
        <v>0</v>
      </c>
      <c r="AO1010" s="314">
        <f t="shared" si="1225"/>
        <v>0</v>
      </c>
      <c r="AP1010" s="314">
        <f t="shared" si="1226"/>
        <v>0</v>
      </c>
    </row>
    <row r="1011" spans="1:42" s="314" customFormat="1" ht="55.2" outlineLevel="2">
      <c r="A1011" s="593" t="s">
        <v>23</v>
      </c>
      <c r="B1011" s="646" t="s">
        <v>2251</v>
      </c>
      <c r="C1011" s="298"/>
      <c r="D1011" s="304"/>
      <c r="E1011" s="304">
        <f t="shared" si="1237"/>
        <v>45</v>
      </c>
      <c r="F1011" s="304">
        <f t="shared" si="1238"/>
        <v>45</v>
      </c>
      <c r="G1011" s="304">
        <f t="shared" si="1239"/>
        <v>45</v>
      </c>
      <c r="H1011" s="303">
        <f t="shared" si="1232"/>
        <v>45</v>
      </c>
      <c r="I1011" s="303">
        <f t="shared" si="1233"/>
        <v>45</v>
      </c>
      <c r="J1011" s="311"/>
      <c r="K1011" s="311"/>
      <c r="L1011" s="311"/>
      <c r="M1011" s="303"/>
      <c r="N1011" s="311"/>
      <c r="O1011" s="311"/>
      <c r="P1011" s="303">
        <f t="shared" si="1234"/>
        <v>45</v>
      </c>
      <c r="Q1011" s="311"/>
      <c r="R1011" s="312"/>
      <c r="S1011" s="303"/>
      <c r="T1011" s="303">
        <f t="shared" si="1235"/>
        <v>45</v>
      </c>
      <c r="U1011" s="303"/>
      <c r="V1011" s="303">
        <v>45</v>
      </c>
      <c r="W1011" s="299"/>
      <c r="X1011" s="299"/>
      <c r="Y1011" s="299"/>
      <c r="Z1011" s="299"/>
      <c r="AA1011" s="299"/>
      <c r="AB1011" s="297"/>
      <c r="AC1011" s="297"/>
      <c r="AD1011" s="297"/>
      <c r="AE1011" s="297"/>
      <c r="AF1011" s="1633"/>
      <c r="AG1011" s="314">
        <f t="shared" si="1217"/>
        <v>0</v>
      </c>
      <c r="AH1011" s="696">
        <f t="shared" si="1218"/>
        <v>0</v>
      </c>
      <c r="AI1011" s="314">
        <f t="shared" si="1219"/>
        <v>0</v>
      </c>
      <c r="AJ1011" s="314">
        <f t="shared" si="1220"/>
        <v>0</v>
      </c>
      <c r="AK1011" s="314">
        <f t="shared" si="1221"/>
        <v>0</v>
      </c>
      <c r="AL1011" s="314">
        <f t="shared" si="1222"/>
        <v>0</v>
      </c>
      <c r="AM1011" s="314">
        <f t="shared" si="1223"/>
        <v>0</v>
      </c>
      <c r="AN1011" s="314">
        <f t="shared" si="1224"/>
        <v>0</v>
      </c>
      <c r="AO1011" s="314">
        <f t="shared" si="1225"/>
        <v>0</v>
      </c>
      <c r="AP1011" s="314">
        <f t="shared" si="1226"/>
        <v>0</v>
      </c>
    </row>
    <row r="1012" spans="1:42" s="314" customFormat="1" ht="41.4" hidden="1" outlineLevel="3">
      <c r="A1012" s="593" t="s">
        <v>23</v>
      </c>
      <c r="B1012" s="646" t="s">
        <v>1781</v>
      </c>
      <c r="C1012" s="298"/>
      <c r="D1012" s="304">
        <v>27</v>
      </c>
      <c r="E1012" s="304">
        <f t="shared" si="1237"/>
        <v>0</v>
      </c>
      <c r="F1012" s="304">
        <f t="shared" si="1238"/>
        <v>0</v>
      </c>
      <c r="G1012" s="304">
        <f t="shared" si="1239"/>
        <v>-27</v>
      </c>
      <c r="H1012" s="303">
        <f t="shared" si="1232"/>
        <v>0</v>
      </c>
      <c r="I1012" s="303">
        <f t="shared" si="1233"/>
        <v>0</v>
      </c>
      <c r="J1012" s="311"/>
      <c r="K1012" s="311"/>
      <c r="L1012" s="311"/>
      <c r="M1012" s="303"/>
      <c r="N1012" s="311"/>
      <c r="O1012" s="311"/>
      <c r="P1012" s="303">
        <f t="shared" si="1234"/>
        <v>0</v>
      </c>
      <c r="Q1012" s="311"/>
      <c r="R1012" s="312"/>
      <c r="S1012" s="303"/>
      <c r="T1012" s="303">
        <f t="shared" si="1235"/>
        <v>0</v>
      </c>
      <c r="U1012" s="303"/>
      <c r="V1012" s="303"/>
      <c r="W1012" s="299"/>
      <c r="X1012" s="299"/>
      <c r="Y1012" s="299"/>
      <c r="Z1012" s="299"/>
      <c r="AA1012" s="299"/>
      <c r="AB1012" s="297"/>
      <c r="AC1012" s="297"/>
      <c r="AD1012" s="297"/>
      <c r="AE1012" s="297"/>
      <c r="AF1012" s="1272"/>
      <c r="AG1012" s="314">
        <f t="shared" si="1217"/>
        <v>0</v>
      </c>
      <c r="AH1012" s="696">
        <f t="shared" si="1218"/>
        <v>0</v>
      </c>
      <c r="AI1012" s="314">
        <f t="shared" si="1219"/>
        <v>0</v>
      </c>
      <c r="AJ1012" s="314">
        <f t="shared" si="1220"/>
        <v>0</v>
      </c>
      <c r="AK1012" s="314">
        <f t="shared" si="1221"/>
        <v>0</v>
      </c>
      <c r="AL1012" s="314">
        <f t="shared" si="1222"/>
        <v>0</v>
      </c>
      <c r="AM1012" s="314">
        <f t="shared" si="1223"/>
        <v>0</v>
      </c>
      <c r="AN1012" s="314">
        <f t="shared" si="1224"/>
        <v>0</v>
      </c>
      <c r="AO1012" s="314">
        <f t="shared" si="1225"/>
        <v>0</v>
      </c>
      <c r="AP1012" s="314">
        <f t="shared" si="1226"/>
        <v>0</v>
      </c>
    </row>
    <row r="1013" spans="1:42" s="314" customFormat="1" ht="69" hidden="1" outlineLevel="3">
      <c r="A1013" s="593" t="s">
        <v>23</v>
      </c>
      <c r="B1013" s="646" t="s">
        <v>1782</v>
      </c>
      <c r="C1013" s="298"/>
      <c r="D1013" s="304">
        <v>33</v>
      </c>
      <c r="E1013" s="304">
        <f t="shared" si="1237"/>
        <v>0</v>
      </c>
      <c r="F1013" s="304">
        <f t="shared" si="1238"/>
        <v>0</v>
      </c>
      <c r="G1013" s="304">
        <f t="shared" si="1239"/>
        <v>-33</v>
      </c>
      <c r="H1013" s="303">
        <f t="shared" si="1232"/>
        <v>0</v>
      </c>
      <c r="I1013" s="303">
        <f t="shared" si="1233"/>
        <v>0</v>
      </c>
      <c r="J1013" s="311"/>
      <c r="K1013" s="311"/>
      <c r="L1013" s="311"/>
      <c r="M1013" s="303"/>
      <c r="N1013" s="311"/>
      <c r="O1013" s="311"/>
      <c r="P1013" s="303">
        <f t="shared" si="1234"/>
        <v>0</v>
      </c>
      <c r="Q1013" s="311"/>
      <c r="R1013" s="312"/>
      <c r="S1013" s="303"/>
      <c r="T1013" s="303">
        <f t="shared" si="1235"/>
        <v>0</v>
      </c>
      <c r="U1013" s="303"/>
      <c r="V1013" s="303"/>
      <c r="W1013" s="299"/>
      <c r="X1013" s="299"/>
      <c r="Y1013" s="299"/>
      <c r="Z1013" s="299"/>
      <c r="AA1013" s="299"/>
      <c r="AB1013" s="297"/>
      <c r="AC1013" s="297"/>
      <c r="AD1013" s="297"/>
      <c r="AE1013" s="297"/>
      <c r="AF1013" s="1272"/>
      <c r="AG1013" s="314">
        <f t="shared" si="1217"/>
        <v>0</v>
      </c>
      <c r="AH1013" s="696">
        <f t="shared" si="1218"/>
        <v>0</v>
      </c>
      <c r="AI1013" s="314">
        <f t="shared" si="1219"/>
        <v>0</v>
      </c>
      <c r="AJ1013" s="314">
        <f t="shared" si="1220"/>
        <v>0</v>
      </c>
      <c r="AK1013" s="314">
        <f t="shared" si="1221"/>
        <v>0</v>
      </c>
      <c r="AL1013" s="314">
        <f t="shared" si="1222"/>
        <v>0</v>
      </c>
      <c r="AM1013" s="314">
        <f t="shared" si="1223"/>
        <v>0</v>
      </c>
      <c r="AN1013" s="314">
        <f t="shared" si="1224"/>
        <v>0</v>
      </c>
      <c r="AO1013" s="314">
        <f t="shared" si="1225"/>
        <v>0</v>
      </c>
      <c r="AP1013" s="314">
        <f t="shared" si="1226"/>
        <v>0</v>
      </c>
    </row>
    <row r="1014" spans="1:42" s="314" customFormat="1">
      <c r="A1014" s="592" t="s">
        <v>81</v>
      </c>
      <c r="B1014" s="645" t="s">
        <v>1207</v>
      </c>
      <c r="C1014" s="298" t="s">
        <v>756</v>
      </c>
      <c r="D1014" s="297">
        <f t="shared" ref="D1014" si="1240">D1015+D1016</f>
        <v>210</v>
      </c>
      <c r="E1014" s="297">
        <f>E1015+E1016</f>
        <v>322</v>
      </c>
      <c r="F1014" s="297">
        <f>F1015+F1016</f>
        <v>303</v>
      </c>
      <c r="G1014" s="297">
        <f t="shared" si="1239"/>
        <v>93</v>
      </c>
      <c r="H1014" s="297">
        <f>H1015+H1016</f>
        <v>303</v>
      </c>
      <c r="I1014" s="297">
        <f t="shared" ref="I1014:AE1014" si="1241">I1015+I1016</f>
        <v>303</v>
      </c>
      <c r="J1014" s="297">
        <f t="shared" si="1241"/>
        <v>0</v>
      </c>
      <c r="K1014" s="297">
        <f t="shared" si="1241"/>
        <v>0</v>
      </c>
      <c r="L1014" s="297">
        <f t="shared" si="1241"/>
        <v>0</v>
      </c>
      <c r="M1014" s="297">
        <f t="shared" si="1241"/>
        <v>0</v>
      </c>
      <c r="N1014" s="297">
        <f t="shared" si="1241"/>
        <v>0</v>
      </c>
      <c r="O1014" s="297">
        <f t="shared" si="1241"/>
        <v>0</v>
      </c>
      <c r="P1014" s="297">
        <f t="shared" si="1241"/>
        <v>303</v>
      </c>
      <c r="Q1014" s="297">
        <f t="shared" si="1241"/>
        <v>0</v>
      </c>
      <c r="R1014" s="297">
        <f t="shared" si="1241"/>
        <v>0</v>
      </c>
      <c r="S1014" s="297">
        <f t="shared" si="1241"/>
        <v>0</v>
      </c>
      <c r="T1014" s="297">
        <f t="shared" si="1241"/>
        <v>303</v>
      </c>
      <c r="U1014" s="297">
        <f t="shared" si="1241"/>
        <v>210</v>
      </c>
      <c r="V1014" s="297">
        <f>V1015+V1016</f>
        <v>93</v>
      </c>
      <c r="W1014" s="297">
        <f>W1015+W1016</f>
        <v>0</v>
      </c>
      <c r="X1014" s="297"/>
      <c r="Y1014" s="297"/>
      <c r="Z1014" s="297">
        <f t="shared" si="1241"/>
        <v>0</v>
      </c>
      <c r="AA1014" s="297">
        <f>AA1015+AA1016</f>
        <v>0</v>
      </c>
      <c r="AB1014" s="297">
        <f>AB1015+AB1016</f>
        <v>0</v>
      </c>
      <c r="AC1014" s="297">
        <f t="shared" ref="AC1014" si="1242">AC1015+AC1016</f>
        <v>19</v>
      </c>
      <c r="AD1014" s="297">
        <f t="shared" si="1241"/>
        <v>21</v>
      </c>
      <c r="AE1014" s="297">
        <f t="shared" si="1241"/>
        <v>301</v>
      </c>
      <c r="AF1014" s="1271"/>
      <c r="AG1014" s="314">
        <f t="shared" si="1217"/>
        <v>0</v>
      </c>
      <c r="AH1014" s="696">
        <f t="shared" si="1218"/>
        <v>0</v>
      </c>
      <c r="AI1014" s="314">
        <f t="shared" si="1219"/>
        <v>0</v>
      </c>
      <c r="AJ1014" s="314">
        <f t="shared" si="1220"/>
        <v>0</v>
      </c>
      <c r="AK1014" s="314">
        <f t="shared" si="1221"/>
        <v>0</v>
      </c>
      <c r="AL1014" s="314">
        <f t="shared" si="1222"/>
        <v>0</v>
      </c>
      <c r="AM1014" s="314">
        <f t="shared" si="1223"/>
        <v>0</v>
      </c>
      <c r="AN1014" s="314">
        <f t="shared" si="1224"/>
        <v>0</v>
      </c>
      <c r="AO1014" s="314">
        <f t="shared" si="1225"/>
        <v>0</v>
      </c>
      <c r="AP1014" s="314">
        <f t="shared" si="1226"/>
        <v>0</v>
      </c>
    </row>
    <row r="1015" spans="1:42" ht="41.4">
      <c r="A1015" s="593" t="s">
        <v>45</v>
      </c>
      <c r="B1015" s="346" t="s">
        <v>1669</v>
      </c>
      <c r="C1015" s="304"/>
      <c r="D1015" s="304">
        <v>90</v>
      </c>
      <c r="E1015" s="304">
        <f>F1015+AC1015</f>
        <v>109</v>
      </c>
      <c r="F1015" s="304">
        <f>H1015-AB1015</f>
        <v>90</v>
      </c>
      <c r="G1015" s="304">
        <f t="shared" si="1239"/>
        <v>0</v>
      </c>
      <c r="H1015" s="303">
        <f t="shared" ref="H1015:H1019" si="1243">I1015+W1015</f>
        <v>90</v>
      </c>
      <c r="I1015" s="303">
        <f>M1015+P1015</f>
        <v>90</v>
      </c>
      <c r="J1015" s="311"/>
      <c r="K1015" s="311"/>
      <c r="L1015" s="311"/>
      <c r="M1015" s="303"/>
      <c r="N1015" s="311"/>
      <c r="O1015" s="311"/>
      <c r="P1015" s="303">
        <f t="shared" ref="P1015:P1019" si="1244">S1015+T1015</f>
        <v>90</v>
      </c>
      <c r="Q1015" s="311"/>
      <c r="R1015" s="312"/>
      <c r="S1015" s="303"/>
      <c r="T1015" s="303">
        <f t="shared" ref="T1015:T1019" si="1245">U1015+V1015</f>
        <v>90</v>
      </c>
      <c r="U1015" s="303">
        <v>90</v>
      </c>
      <c r="V1015" s="303"/>
      <c r="W1015" s="303">
        <f>Z1015+AA1015</f>
        <v>0</v>
      </c>
      <c r="X1015" s="303"/>
      <c r="Y1015" s="303"/>
      <c r="Z1015" s="303"/>
      <c r="AA1015" s="303"/>
      <c r="AB1015" s="304"/>
      <c r="AC1015" s="304">
        <v>19</v>
      </c>
      <c r="AD1015" s="304">
        <v>0</v>
      </c>
      <c r="AE1015" s="303">
        <f>E1015-AD1015</f>
        <v>109</v>
      </c>
      <c r="AF1015" s="347" t="s">
        <v>1670</v>
      </c>
      <c r="AG1015" s="314">
        <f t="shared" si="1217"/>
        <v>0</v>
      </c>
      <c r="AH1015" s="696">
        <f t="shared" si="1218"/>
        <v>0</v>
      </c>
      <c r="AI1015" s="314">
        <f t="shared" si="1219"/>
        <v>0</v>
      </c>
      <c r="AJ1015" s="314">
        <f t="shared" si="1220"/>
        <v>0</v>
      </c>
      <c r="AK1015" s="314">
        <f t="shared" si="1221"/>
        <v>0</v>
      </c>
      <c r="AL1015" s="314">
        <f t="shared" si="1222"/>
        <v>0</v>
      </c>
      <c r="AM1015" s="314">
        <f t="shared" si="1223"/>
        <v>0</v>
      </c>
      <c r="AN1015" s="314">
        <f t="shared" si="1224"/>
        <v>0</v>
      </c>
      <c r="AO1015" s="314">
        <f t="shared" si="1225"/>
        <v>0</v>
      </c>
      <c r="AP1015" s="314">
        <f t="shared" si="1226"/>
        <v>0</v>
      </c>
    </row>
    <row r="1016" spans="1:42" ht="27.6">
      <c r="A1016" s="593" t="s">
        <v>47</v>
      </c>
      <c r="B1016" s="316" t="s">
        <v>1157</v>
      </c>
      <c r="C1016" s="304"/>
      <c r="D1016" s="304">
        <v>120</v>
      </c>
      <c r="E1016" s="304">
        <f>F1016+AC1016</f>
        <v>213</v>
      </c>
      <c r="F1016" s="304">
        <f>H1016-AB1016</f>
        <v>213</v>
      </c>
      <c r="G1016" s="304">
        <f t="shared" si="1239"/>
        <v>93</v>
      </c>
      <c r="H1016" s="303">
        <f t="shared" si="1243"/>
        <v>213</v>
      </c>
      <c r="I1016" s="303">
        <f t="shared" ref="I1016:I1019" si="1246">M1016+P1016</f>
        <v>213</v>
      </c>
      <c r="J1016" s="311"/>
      <c r="K1016" s="311"/>
      <c r="L1016" s="311"/>
      <c r="M1016" s="303"/>
      <c r="N1016" s="311"/>
      <c r="O1016" s="311"/>
      <c r="P1016" s="303">
        <f t="shared" si="1244"/>
        <v>213</v>
      </c>
      <c r="Q1016" s="311"/>
      <c r="R1016" s="312"/>
      <c r="S1016" s="303"/>
      <c r="T1016" s="303">
        <f t="shared" si="1245"/>
        <v>213</v>
      </c>
      <c r="U1016" s="303">
        <f>U1017+U1018</f>
        <v>120</v>
      </c>
      <c r="V1016" s="303">
        <f>V1019</f>
        <v>93</v>
      </c>
      <c r="W1016" s="303">
        <f>Z1016+AA1016</f>
        <v>0</v>
      </c>
      <c r="X1016" s="303"/>
      <c r="Y1016" s="303"/>
      <c r="Z1016" s="303"/>
      <c r="AA1016" s="303"/>
      <c r="AB1016" s="304"/>
      <c r="AC1016" s="304"/>
      <c r="AD1016" s="304">
        <v>21</v>
      </c>
      <c r="AE1016" s="303">
        <f>E1016-AD1016</f>
        <v>192</v>
      </c>
      <c r="AF1016" s="317"/>
      <c r="AG1016" s="314">
        <f t="shared" si="1217"/>
        <v>0</v>
      </c>
      <c r="AH1016" s="696">
        <f t="shared" si="1218"/>
        <v>0</v>
      </c>
      <c r="AI1016" s="314">
        <f t="shared" si="1219"/>
        <v>0</v>
      </c>
      <c r="AJ1016" s="314">
        <f t="shared" si="1220"/>
        <v>0</v>
      </c>
      <c r="AK1016" s="314">
        <f t="shared" si="1221"/>
        <v>0</v>
      </c>
      <c r="AL1016" s="314">
        <f t="shared" si="1222"/>
        <v>0</v>
      </c>
      <c r="AM1016" s="314">
        <f t="shared" si="1223"/>
        <v>0</v>
      </c>
      <c r="AN1016" s="314">
        <f t="shared" si="1224"/>
        <v>0</v>
      </c>
      <c r="AO1016" s="314">
        <f t="shared" si="1225"/>
        <v>0</v>
      </c>
      <c r="AP1016" s="314">
        <f t="shared" si="1226"/>
        <v>0</v>
      </c>
    </row>
    <row r="1017" spans="1:42" ht="27.6" outlineLevel="1">
      <c r="A1017" s="593" t="s">
        <v>23</v>
      </c>
      <c r="B1017" s="346" t="s">
        <v>1208</v>
      </c>
      <c r="C1017" s="304"/>
      <c r="D1017" s="304">
        <v>90</v>
      </c>
      <c r="E1017" s="304">
        <f>F1017+AC1017</f>
        <v>90</v>
      </c>
      <c r="F1017" s="304">
        <f>H1017-AB1017</f>
        <v>90</v>
      </c>
      <c r="G1017" s="304">
        <f t="shared" si="1239"/>
        <v>0</v>
      </c>
      <c r="H1017" s="303">
        <f t="shared" si="1243"/>
        <v>90</v>
      </c>
      <c r="I1017" s="303">
        <f t="shared" si="1246"/>
        <v>90</v>
      </c>
      <c r="J1017" s="311"/>
      <c r="K1017" s="311"/>
      <c r="L1017" s="311"/>
      <c r="M1017" s="303"/>
      <c r="N1017" s="311"/>
      <c r="O1017" s="311"/>
      <c r="P1017" s="303">
        <f t="shared" si="1244"/>
        <v>90</v>
      </c>
      <c r="Q1017" s="311"/>
      <c r="R1017" s="312"/>
      <c r="S1017" s="303"/>
      <c r="T1017" s="303">
        <f t="shared" si="1245"/>
        <v>90</v>
      </c>
      <c r="U1017" s="303">
        <v>90</v>
      </c>
      <c r="V1017" s="303"/>
      <c r="W1017" s="303"/>
      <c r="X1017" s="303"/>
      <c r="Y1017" s="303"/>
      <c r="Z1017" s="303"/>
      <c r="AA1017" s="303"/>
      <c r="AB1017" s="304"/>
      <c r="AC1017" s="304"/>
      <c r="AD1017" s="304"/>
      <c r="AE1017" s="304"/>
      <c r="AF1017" s="347"/>
      <c r="AG1017" s="314">
        <f t="shared" si="1217"/>
        <v>0</v>
      </c>
      <c r="AH1017" s="696">
        <f t="shared" si="1218"/>
        <v>0</v>
      </c>
      <c r="AI1017" s="314">
        <f t="shared" si="1219"/>
        <v>0</v>
      </c>
      <c r="AJ1017" s="314">
        <f t="shared" si="1220"/>
        <v>0</v>
      </c>
      <c r="AK1017" s="314">
        <f t="shared" si="1221"/>
        <v>0</v>
      </c>
      <c r="AL1017" s="314">
        <f t="shared" si="1222"/>
        <v>0</v>
      </c>
      <c r="AM1017" s="314">
        <f t="shared" si="1223"/>
        <v>0</v>
      </c>
      <c r="AN1017" s="314">
        <f t="shared" si="1224"/>
        <v>0</v>
      </c>
      <c r="AO1017" s="314">
        <f t="shared" si="1225"/>
        <v>0</v>
      </c>
      <c r="AP1017" s="314">
        <f t="shared" si="1226"/>
        <v>0</v>
      </c>
    </row>
    <row r="1018" spans="1:42" ht="69" outlineLevel="1">
      <c r="A1018" s="593" t="s">
        <v>23</v>
      </c>
      <c r="B1018" s="346" t="s">
        <v>1209</v>
      </c>
      <c r="C1018" s="304"/>
      <c r="D1018" s="304">
        <v>30</v>
      </c>
      <c r="E1018" s="304">
        <f>F1018+AC1018</f>
        <v>30</v>
      </c>
      <c r="F1018" s="304">
        <f>H1018-AB1018</f>
        <v>30</v>
      </c>
      <c r="G1018" s="304">
        <f t="shared" si="1239"/>
        <v>0</v>
      </c>
      <c r="H1018" s="303">
        <f t="shared" si="1243"/>
        <v>30</v>
      </c>
      <c r="I1018" s="303">
        <f t="shared" si="1246"/>
        <v>30</v>
      </c>
      <c r="J1018" s="311"/>
      <c r="K1018" s="311"/>
      <c r="L1018" s="311"/>
      <c r="M1018" s="303"/>
      <c r="N1018" s="311"/>
      <c r="O1018" s="311"/>
      <c r="P1018" s="303">
        <f t="shared" si="1244"/>
        <v>30</v>
      </c>
      <c r="Q1018" s="311"/>
      <c r="R1018" s="312"/>
      <c r="S1018" s="303"/>
      <c r="T1018" s="303">
        <f t="shared" si="1245"/>
        <v>30</v>
      </c>
      <c r="U1018" s="303">
        <v>30</v>
      </c>
      <c r="V1018" s="303"/>
      <c r="W1018" s="303"/>
      <c r="X1018" s="303"/>
      <c r="Y1018" s="303"/>
      <c r="Z1018" s="303"/>
      <c r="AA1018" s="303"/>
      <c r="AB1018" s="304"/>
      <c r="AC1018" s="304"/>
      <c r="AD1018" s="304"/>
      <c r="AE1018" s="304"/>
      <c r="AF1018" s="347"/>
      <c r="AG1018" s="314">
        <f t="shared" si="1217"/>
        <v>0</v>
      </c>
      <c r="AH1018" s="696">
        <f t="shared" si="1218"/>
        <v>0</v>
      </c>
      <c r="AI1018" s="314">
        <f t="shared" si="1219"/>
        <v>0</v>
      </c>
      <c r="AJ1018" s="314">
        <f t="shared" si="1220"/>
        <v>0</v>
      </c>
      <c r="AK1018" s="314">
        <f t="shared" si="1221"/>
        <v>0</v>
      </c>
      <c r="AL1018" s="314">
        <f t="shared" si="1222"/>
        <v>0</v>
      </c>
      <c r="AM1018" s="314">
        <f t="shared" si="1223"/>
        <v>0</v>
      </c>
      <c r="AN1018" s="314">
        <f t="shared" si="1224"/>
        <v>0</v>
      </c>
      <c r="AO1018" s="314">
        <f t="shared" si="1225"/>
        <v>0</v>
      </c>
      <c r="AP1018" s="314">
        <f t="shared" si="1226"/>
        <v>0</v>
      </c>
    </row>
    <row r="1019" spans="1:42" ht="41.4" outlineLevel="1">
      <c r="A1019" s="593" t="s">
        <v>23</v>
      </c>
      <c r="B1019" s="346" t="s">
        <v>2252</v>
      </c>
      <c r="C1019" s="304"/>
      <c r="D1019" s="304"/>
      <c r="E1019" s="304">
        <f>F1019+AC1019</f>
        <v>93</v>
      </c>
      <c r="F1019" s="304">
        <f>H1019-AB1019</f>
        <v>93</v>
      </c>
      <c r="G1019" s="304">
        <f t="shared" si="1239"/>
        <v>93</v>
      </c>
      <c r="H1019" s="303">
        <f t="shared" si="1243"/>
        <v>93</v>
      </c>
      <c r="I1019" s="303">
        <f t="shared" si="1246"/>
        <v>93</v>
      </c>
      <c r="J1019" s="311"/>
      <c r="K1019" s="311"/>
      <c r="L1019" s="311"/>
      <c r="M1019" s="303"/>
      <c r="N1019" s="311"/>
      <c r="O1019" s="311"/>
      <c r="P1019" s="303">
        <f t="shared" si="1244"/>
        <v>93</v>
      </c>
      <c r="Q1019" s="311"/>
      <c r="R1019" s="312"/>
      <c r="S1019" s="303"/>
      <c r="T1019" s="303">
        <f t="shared" si="1245"/>
        <v>93</v>
      </c>
      <c r="U1019" s="303"/>
      <c r="V1019" s="303">
        <v>93</v>
      </c>
      <c r="W1019" s="303"/>
      <c r="X1019" s="303"/>
      <c r="Y1019" s="303"/>
      <c r="Z1019" s="303"/>
      <c r="AA1019" s="303"/>
      <c r="AB1019" s="304"/>
      <c r="AC1019" s="304"/>
      <c r="AD1019" s="304"/>
      <c r="AE1019" s="304"/>
      <c r="AF1019" s="347" t="s">
        <v>2360</v>
      </c>
      <c r="AG1019" s="314">
        <f t="shared" si="1217"/>
        <v>0</v>
      </c>
      <c r="AH1019" s="696">
        <f t="shared" si="1218"/>
        <v>0</v>
      </c>
      <c r="AI1019" s="314">
        <f t="shared" si="1219"/>
        <v>0</v>
      </c>
      <c r="AJ1019" s="314">
        <f t="shared" si="1220"/>
        <v>0</v>
      </c>
      <c r="AK1019" s="314">
        <f t="shared" si="1221"/>
        <v>0</v>
      </c>
      <c r="AL1019" s="314">
        <f t="shared" si="1222"/>
        <v>0</v>
      </c>
      <c r="AM1019" s="314">
        <f t="shared" si="1223"/>
        <v>0</v>
      </c>
      <c r="AN1019" s="314">
        <f t="shared" si="1224"/>
        <v>0</v>
      </c>
      <c r="AO1019" s="314">
        <f t="shared" si="1225"/>
        <v>0</v>
      </c>
      <c r="AP1019" s="314">
        <f t="shared" si="1226"/>
        <v>0</v>
      </c>
    </row>
    <row r="1020" spans="1:42" s="314" customFormat="1">
      <c r="A1020" s="592" t="s">
        <v>82</v>
      </c>
      <c r="B1020" s="357" t="s">
        <v>1210</v>
      </c>
      <c r="C1020" s="298" t="s">
        <v>756</v>
      </c>
      <c r="D1020" s="299">
        <f t="shared" ref="D1020" si="1247">D1021+D1022</f>
        <v>2378</v>
      </c>
      <c r="E1020" s="299">
        <f>E1021+E1022</f>
        <v>2828</v>
      </c>
      <c r="F1020" s="299">
        <f>F1021+F1022</f>
        <v>2626</v>
      </c>
      <c r="G1020" s="299">
        <f t="shared" si="1239"/>
        <v>248</v>
      </c>
      <c r="H1020" s="299">
        <f>H1021+H1022</f>
        <v>2626</v>
      </c>
      <c r="I1020" s="299">
        <f t="shared" ref="I1020:AE1020" si="1248">I1021+I1022</f>
        <v>2626</v>
      </c>
      <c r="J1020" s="299">
        <f t="shared" si="1248"/>
        <v>8</v>
      </c>
      <c r="K1020" s="299">
        <f t="shared" si="1248"/>
        <v>7</v>
      </c>
      <c r="L1020" s="299">
        <f t="shared" si="1248"/>
        <v>1</v>
      </c>
      <c r="M1020" s="299">
        <f t="shared" si="1248"/>
        <v>970</v>
      </c>
      <c r="N1020" s="299">
        <f t="shared" si="1248"/>
        <v>915</v>
      </c>
      <c r="O1020" s="299">
        <f t="shared" si="1248"/>
        <v>55</v>
      </c>
      <c r="P1020" s="299">
        <f t="shared" si="1248"/>
        <v>1656</v>
      </c>
      <c r="Q1020" s="299"/>
      <c r="R1020" s="299"/>
      <c r="S1020" s="299">
        <f t="shared" si="1248"/>
        <v>248</v>
      </c>
      <c r="T1020" s="299">
        <f t="shared" si="1248"/>
        <v>1408</v>
      </c>
      <c r="U1020" s="299">
        <f t="shared" si="1248"/>
        <v>912</v>
      </c>
      <c r="V1020" s="299">
        <f t="shared" si="1248"/>
        <v>496</v>
      </c>
      <c r="W1020" s="299">
        <f>W1021+W1022</f>
        <v>0</v>
      </c>
      <c r="X1020" s="299"/>
      <c r="Y1020" s="299"/>
      <c r="Z1020" s="299">
        <f t="shared" si="1248"/>
        <v>0</v>
      </c>
      <c r="AA1020" s="299">
        <f>AA1021+AA1022</f>
        <v>0</v>
      </c>
      <c r="AB1020" s="299">
        <f>AB1021+AB1022</f>
        <v>0</v>
      </c>
      <c r="AC1020" s="299">
        <f t="shared" ref="AC1020" si="1249">AC1021+AC1022</f>
        <v>202</v>
      </c>
      <c r="AD1020" s="299">
        <f t="shared" si="1248"/>
        <v>166</v>
      </c>
      <c r="AE1020" s="299">
        <f t="shared" si="1248"/>
        <v>2662</v>
      </c>
      <c r="AF1020" s="321"/>
      <c r="AG1020" s="314">
        <f t="shared" si="1217"/>
        <v>0</v>
      </c>
      <c r="AH1020" s="696">
        <f t="shared" si="1218"/>
        <v>0</v>
      </c>
      <c r="AI1020" s="314">
        <f t="shared" si="1219"/>
        <v>0</v>
      </c>
      <c r="AJ1020" s="314">
        <f t="shared" si="1220"/>
        <v>0</v>
      </c>
      <c r="AK1020" s="314">
        <f t="shared" si="1221"/>
        <v>0</v>
      </c>
      <c r="AL1020" s="314">
        <f t="shared" si="1222"/>
        <v>0</v>
      </c>
      <c r="AM1020" s="314">
        <f t="shared" si="1223"/>
        <v>0</v>
      </c>
      <c r="AN1020" s="314">
        <f t="shared" si="1224"/>
        <v>0</v>
      </c>
      <c r="AO1020" s="314">
        <f t="shared" si="1225"/>
        <v>0</v>
      </c>
      <c r="AP1020" s="314">
        <f t="shared" si="1226"/>
        <v>0</v>
      </c>
    </row>
    <row r="1021" spans="1:42" ht="41.4">
      <c r="A1021" s="583" t="s">
        <v>45</v>
      </c>
      <c r="B1021" s="346" t="s">
        <v>1176</v>
      </c>
      <c r="C1021" s="317"/>
      <c r="D1021" s="304">
        <v>1203</v>
      </c>
      <c r="E1021" s="304">
        <f t="shared" ref="E1021:E1038" si="1250">F1021+AC1021</f>
        <v>1420</v>
      </c>
      <c r="F1021" s="304">
        <f>H1021-AB1021</f>
        <v>1218</v>
      </c>
      <c r="G1021" s="304">
        <f t="shared" si="1239"/>
        <v>15</v>
      </c>
      <c r="H1021" s="303">
        <f t="shared" ref="H1021:H1028" si="1251">I1021+W1021</f>
        <v>1218</v>
      </c>
      <c r="I1021" s="303">
        <f>M1021+P1021</f>
        <v>1218</v>
      </c>
      <c r="J1021" s="294">
        <v>8</v>
      </c>
      <c r="K1021" s="294">
        <v>7</v>
      </c>
      <c r="L1021" s="294">
        <f>J1021-K1021</f>
        <v>1</v>
      </c>
      <c r="M1021" s="304">
        <f>N1021+O1021</f>
        <v>970</v>
      </c>
      <c r="N1021" s="294">
        <v>915</v>
      </c>
      <c r="O1021" s="294">
        <v>55</v>
      </c>
      <c r="P1021" s="303">
        <f>S1021+T1021</f>
        <v>248</v>
      </c>
      <c r="Q1021" s="294">
        <v>31</v>
      </c>
      <c r="R1021" s="305">
        <v>1</v>
      </c>
      <c r="S1021" s="304">
        <f>ROUND(J1021*Q1021*R1021,0)</f>
        <v>248</v>
      </c>
      <c r="T1021" s="303">
        <f>U1021+V1021</f>
        <v>0</v>
      </c>
      <c r="U1021" s="304"/>
      <c r="V1021" s="304"/>
      <c r="W1021" s="303">
        <f>Z1021+AA1021</f>
        <v>0</v>
      </c>
      <c r="X1021" s="303"/>
      <c r="Y1021" s="303"/>
      <c r="Z1021" s="304"/>
      <c r="AA1021" s="304"/>
      <c r="AB1021" s="303"/>
      <c r="AC1021" s="303">
        <v>202</v>
      </c>
      <c r="AD1021" s="303">
        <v>25</v>
      </c>
      <c r="AE1021" s="303">
        <f>E1021-AD1021</f>
        <v>1395</v>
      </c>
      <c r="AF1021" s="347"/>
      <c r="AG1021" s="314">
        <f t="shared" si="1217"/>
        <v>0</v>
      </c>
      <c r="AH1021" s="696">
        <f t="shared" si="1218"/>
        <v>0</v>
      </c>
      <c r="AI1021" s="314">
        <f t="shared" si="1219"/>
        <v>0</v>
      </c>
      <c r="AJ1021" s="314">
        <f t="shared" si="1220"/>
        <v>0</v>
      </c>
      <c r="AK1021" s="314">
        <f t="shared" si="1221"/>
        <v>0</v>
      </c>
      <c r="AL1021" s="314">
        <f t="shared" si="1222"/>
        <v>0</v>
      </c>
      <c r="AM1021" s="314">
        <f t="shared" si="1223"/>
        <v>0</v>
      </c>
      <c r="AN1021" s="314">
        <f t="shared" si="1224"/>
        <v>0</v>
      </c>
      <c r="AO1021" s="314">
        <f t="shared" si="1225"/>
        <v>0</v>
      </c>
      <c r="AP1021" s="314">
        <f t="shared" si="1226"/>
        <v>0</v>
      </c>
    </row>
    <row r="1022" spans="1:42" ht="27.6">
      <c r="A1022" s="1298" t="s">
        <v>47</v>
      </c>
      <c r="B1022" s="346" t="s">
        <v>1157</v>
      </c>
      <c r="C1022" s="317"/>
      <c r="D1022" s="304">
        <v>1175</v>
      </c>
      <c r="E1022" s="304">
        <f>E1023+E1024+E1025+E1026+E1027+E1028+E1029+E1030+E1031+E1035</f>
        <v>1408</v>
      </c>
      <c r="F1022" s="304">
        <f t="shared" ref="F1022:AC1022" si="1252">F1023+F1024+F1025+F1026+F1027+F1028+F1029+F1030+F1031+F1035</f>
        <v>1408</v>
      </c>
      <c r="G1022" s="304">
        <f t="shared" si="1252"/>
        <v>453</v>
      </c>
      <c r="H1022" s="304">
        <f t="shared" si="1252"/>
        <v>1408</v>
      </c>
      <c r="I1022" s="304">
        <f t="shared" si="1252"/>
        <v>1408</v>
      </c>
      <c r="J1022" s="304">
        <f t="shared" si="1252"/>
        <v>0</v>
      </c>
      <c r="K1022" s="304">
        <f t="shared" si="1252"/>
        <v>0</v>
      </c>
      <c r="L1022" s="304">
        <f t="shared" si="1252"/>
        <v>0</v>
      </c>
      <c r="M1022" s="304">
        <f t="shared" si="1252"/>
        <v>0</v>
      </c>
      <c r="N1022" s="304">
        <f t="shared" si="1252"/>
        <v>0</v>
      </c>
      <c r="O1022" s="304">
        <f t="shared" si="1252"/>
        <v>0</v>
      </c>
      <c r="P1022" s="304">
        <f t="shared" si="1252"/>
        <v>1408</v>
      </c>
      <c r="Q1022" s="304">
        <f t="shared" si="1252"/>
        <v>0</v>
      </c>
      <c r="R1022" s="304">
        <f t="shared" si="1252"/>
        <v>0</v>
      </c>
      <c r="S1022" s="304">
        <f t="shared" si="1252"/>
        <v>0</v>
      </c>
      <c r="T1022" s="304">
        <f t="shared" si="1252"/>
        <v>1408</v>
      </c>
      <c r="U1022" s="304">
        <f t="shared" si="1252"/>
        <v>912</v>
      </c>
      <c r="V1022" s="304">
        <f t="shared" si="1252"/>
        <v>496</v>
      </c>
      <c r="W1022" s="304">
        <f t="shared" si="1252"/>
        <v>0</v>
      </c>
      <c r="X1022" s="304">
        <f t="shared" si="1252"/>
        <v>0</v>
      </c>
      <c r="Y1022" s="304">
        <f t="shared" si="1252"/>
        <v>0</v>
      </c>
      <c r="Z1022" s="304">
        <f t="shared" si="1252"/>
        <v>0</v>
      </c>
      <c r="AA1022" s="304">
        <f t="shared" si="1252"/>
        <v>0</v>
      </c>
      <c r="AB1022" s="304">
        <f t="shared" si="1252"/>
        <v>0</v>
      </c>
      <c r="AC1022" s="304">
        <f t="shared" si="1252"/>
        <v>0</v>
      </c>
      <c r="AD1022" s="303">
        <v>141</v>
      </c>
      <c r="AE1022" s="303">
        <f>E1022-AD1022</f>
        <v>1267</v>
      </c>
      <c r="AF1022" s="347"/>
      <c r="AG1022" s="314">
        <f t="shared" si="1217"/>
        <v>0</v>
      </c>
      <c r="AH1022" s="696">
        <f t="shared" si="1218"/>
        <v>0</v>
      </c>
      <c r="AI1022" s="314">
        <f t="shared" si="1219"/>
        <v>0</v>
      </c>
      <c r="AJ1022" s="314">
        <f t="shared" si="1220"/>
        <v>0</v>
      </c>
      <c r="AK1022" s="314">
        <f t="shared" si="1221"/>
        <v>0</v>
      </c>
      <c r="AL1022" s="314">
        <f t="shared" si="1222"/>
        <v>0</v>
      </c>
      <c r="AM1022" s="314">
        <f t="shared" si="1223"/>
        <v>0</v>
      </c>
      <c r="AN1022" s="314">
        <f t="shared" si="1224"/>
        <v>0</v>
      </c>
      <c r="AO1022" s="314">
        <f t="shared" si="1225"/>
        <v>0</v>
      </c>
      <c r="AP1022" s="314">
        <f t="shared" si="1226"/>
        <v>0</v>
      </c>
    </row>
    <row r="1023" spans="1:42" ht="27.6" outlineLevel="1">
      <c r="A1023" s="1298" t="s">
        <v>23</v>
      </c>
      <c r="B1023" s="1302" t="s">
        <v>1211</v>
      </c>
      <c r="C1023" s="317"/>
      <c r="D1023" s="304">
        <v>140</v>
      </c>
      <c r="E1023" s="304">
        <f t="shared" si="1250"/>
        <v>156</v>
      </c>
      <c r="F1023" s="304">
        <f t="shared" ref="F1023:F1038" si="1253">H1023-AB1023</f>
        <v>156</v>
      </c>
      <c r="G1023" s="304">
        <f t="shared" ref="G1023:G1041" si="1254">F1023-D1023</f>
        <v>16</v>
      </c>
      <c r="H1023" s="303">
        <f t="shared" si="1251"/>
        <v>156</v>
      </c>
      <c r="I1023" s="303">
        <f t="shared" ref="I1023:I1028" si="1255">M1023+P1023</f>
        <v>156</v>
      </c>
      <c r="J1023" s="294"/>
      <c r="K1023" s="294"/>
      <c r="L1023" s="294"/>
      <c r="M1023" s="304"/>
      <c r="N1023" s="294"/>
      <c r="O1023" s="294"/>
      <c r="P1023" s="303">
        <f t="shared" ref="P1023:P1028" si="1256">S1023+T1023</f>
        <v>156</v>
      </c>
      <c r="Q1023" s="303"/>
      <c r="R1023" s="305"/>
      <c r="S1023" s="304"/>
      <c r="T1023" s="303">
        <f t="shared" ref="T1023:T1028" si="1257">U1023+V1023</f>
        <v>156</v>
      </c>
      <c r="U1023" s="1303">
        <v>140</v>
      </c>
      <c r="V1023" s="304">
        <v>16</v>
      </c>
      <c r="W1023" s="303"/>
      <c r="X1023" s="303"/>
      <c r="Y1023" s="303"/>
      <c r="Z1023" s="304"/>
      <c r="AA1023" s="304"/>
      <c r="AB1023" s="303"/>
      <c r="AC1023" s="303"/>
      <c r="AD1023" s="303"/>
      <c r="AE1023" s="304"/>
      <c r="AF1023" s="1634" t="s">
        <v>2361</v>
      </c>
      <c r="AG1023" s="314">
        <f t="shared" si="1217"/>
        <v>0</v>
      </c>
      <c r="AH1023" s="696">
        <f t="shared" si="1218"/>
        <v>0</v>
      </c>
      <c r="AI1023" s="314">
        <f t="shared" si="1219"/>
        <v>0</v>
      </c>
      <c r="AJ1023" s="314">
        <f t="shared" si="1220"/>
        <v>0</v>
      </c>
      <c r="AK1023" s="314">
        <f t="shared" si="1221"/>
        <v>0</v>
      </c>
      <c r="AL1023" s="314">
        <f t="shared" si="1222"/>
        <v>0</v>
      </c>
      <c r="AM1023" s="314">
        <f t="shared" si="1223"/>
        <v>0</v>
      </c>
      <c r="AN1023" s="314">
        <f t="shared" si="1224"/>
        <v>0</v>
      </c>
      <c r="AO1023" s="314">
        <f t="shared" si="1225"/>
        <v>0</v>
      </c>
      <c r="AP1023" s="314">
        <f t="shared" si="1226"/>
        <v>0</v>
      </c>
    </row>
    <row r="1024" spans="1:42" ht="41.4" outlineLevel="1">
      <c r="A1024" s="1298" t="s">
        <v>23</v>
      </c>
      <c r="B1024" s="1302" t="s">
        <v>1212</v>
      </c>
      <c r="C1024" s="317"/>
      <c r="D1024" s="304">
        <v>50</v>
      </c>
      <c r="E1024" s="304">
        <f t="shared" si="1250"/>
        <v>144</v>
      </c>
      <c r="F1024" s="304">
        <f t="shared" si="1253"/>
        <v>144</v>
      </c>
      <c r="G1024" s="304">
        <f t="shared" si="1254"/>
        <v>94</v>
      </c>
      <c r="H1024" s="303">
        <f t="shared" si="1251"/>
        <v>144</v>
      </c>
      <c r="I1024" s="303">
        <f t="shared" si="1255"/>
        <v>144</v>
      </c>
      <c r="J1024" s="294"/>
      <c r="K1024" s="294"/>
      <c r="L1024" s="294"/>
      <c r="M1024" s="304"/>
      <c r="N1024" s="294"/>
      <c r="O1024" s="294"/>
      <c r="P1024" s="303">
        <f t="shared" si="1256"/>
        <v>144</v>
      </c>
      <c r="Q1024" s="303"/>
      <c r="R1024" s="305"/>
      <c r="S1024" s="304"/>
      <c r="T1024" s="303">
        <f t="shared" si="1257"/>
        <v>144</v>
      </c>
      <c r="U1024" s="1303">
        <v>50</v>
      </c>
      <c r="V1024" s="304">
        <v>94</v>
      </c>
      <c r="W1024" s="303"/>
      <c r="X1024" s="303"/>
      <c r="Y1024" s="303"/>
      <c r="Z1024" s="304"/>
      <c r="AA1024" s="304"/>
      <c r="AB1024" s="303"/>
      <c r="AC1024" s="303"/>
      <c r="AD1024" s="303"/>
      <c r="AE1024" s="304"/>
      <c r="AF1024" s="1635"/>
      <c r="AG1024" s="314">
        <f t="shared" si="1217"/>
        <v>0</v>
      </c>
      <c r="AH1024" s="696">
        <f t="shared" si="1218"/>
        <v>0</v>
      </c>
      <c r="AI1024" s="314">
        <f t="shared" si="1219"/>
        <v>0</v>
      </c>
      <c r="AJ1024" s="314">
        <f t="shared" si="1220"/>
        <v>0</v>
      </c>
      <c r="AK1024" s="314">
        <f t="shared" si="1221"/>
        <v>0</v>
      </c>
      <c r="AL1024" s="314">
        <f t="shared" si="1222"/>
        <v>0</v>
      </c>
      <c r="AM1024" s="314">
        <f t="shared" si="1223"/>
        <v>0</v>
      </c>
      <c r="AN1024" s="314">
        <f t="shared" si="1224"/>
        <v>0</v>
      </c>
      <c r="AO1024" s="314">
        <f t="shared" si="1225"/>
        <v>0</v>
      </c>
      <c r="AP1024" s="314">
        <f t="shared" si="1226"/>
        <v>0</v>
      </c>
    </row>
    <row r="1025" spans="1:42" ht="27.6" outlineLevel="1">
      <c r="A1025" s="1298" t="s">
        <v>23</v>
      </c>
      <c r="B1025" s="1302" t="s">
        <v>1213</v>
      </c>
      <c r="C1025" s="317"/>
      <c r="D1025" s="304">
        <v>60</v>
      </c>
      <c r="E1025" s="304">
        <f t="shared" si="1250"/>
        <v>185</v>
      </c>
      <c r="F1025" s="304">
        <f t="shared" si="1253"/>
        <v>185</v>
      </c>
      <c r="G1025" s="304">
        <f t="shared" si="1254"/>
        <v>125</v>
      </c>
      <c r="H1025" s="303">
        <f t="shared" si="1251"/>
        <v>185</v>
      </c>
      <c r="I1025" s="303">
        <f t="shared" si="1255"/>
        <v>185</v>
      </c>
      <c r="J1025" s="294"/>
      <c r="K1025" s="294"/>
      <c r="L1025" s="294"/>
      <c r="M1025" s="304"/>
      <c r="N1025" s="294"/>
      <c r="O1025" s="294"/>
      <c r="P1025" s="303">
        <f t="shared" si="1256"/>
        <v>185</v>
      </c>
      <c r="Q1025" s="303"/>
      <c r="R1025" s="305"/>
      <c r="S1025" s="304"/>
      <c r="T1025" s="303">
        <f t="shared" si="1257"/>
        <v>185</v>
      </c>
      <c r="U1025" s="1303">
        <v>60</v>
      </c>
      <c r="V1025" s="304">
        <v>125</v>
      </c>
      <c r="W1025" s="303"/>
      <c r="X1025" s="303"/>
      <c r="Y1025" s="303"/>
      <c r="Z1025" s="304"/>
      <c r="AA1025" s="304"/>
      <c r="AB1025" s="303"/>
      <c r="AC1025" s="303"/>
      <c r="AD1025" s="303"/>
      <c r="AE1025" s="304"/>
      <c r="AF1025" s="1635"/>
      <c r="AG1025" s="314">
        <f t="shared" si="1217"/>
        <v>0</v>
      </c>
      <c r="AH1025" s="696">
        <f t="shared" si="1218"/>
        <v>0</v>
      </c>
      <c r="AI1025" s="314">
        <f t="shared" si="1219"/>
        <v>0</v>
      </c>
      <c r="AJ1025" s="314">
        <f t="shared" si="1220"/>
        <v>0</v>
      </c>
      <c r="AK1025" s="314">
        <f t="shared" si="1221"/>
        <v>0</v>
      </c>
      <c r="AL1025" s="314">
        <f t="shared" si="1222"/>
        <v>0</v>
      </c>
      <c r="AM1025" s="314">
        <f t="shared" si="1223"/>
        <v>0</v>
      </c>
      <c r="AN1025" s="314">
        <f t="shared" si="1224"/>
        <v>0</v>
      </c>
      <c r="AO1025" s="314">
        <f t="shared" si="1225"/>
        <v>0</v>
      </c>
      <c r="AP1025" s="314">
        <f t="shared" si="1226"/>
        <v>0</v>
      </c>
    </row>
    <row r="1026" spans="1:42" ht="27.6" outlineLevel="1">
      <c r="A1026" s="1298" t="s">
        <v>23</v>
      </c>
      <c r="B1026" s="1302" t="s">
        <v>1214</v>
      </c>
      <c r="C1026" s="317"/>
      <c r="D1026" s="304">
        <v>120</v>
      </c>
      <c r="E1026" s="304">
        <f t="shared" si="1250"/>
        <v>256</v>
      </c>
      <c r="F1026" s="304">
        <f t="shared" si="1253"/>
        <v>256</v>
      </c>
      <c r="G1026" s="304">
        <f t="shared" si="1254"/>
        <v>136</v>
      </c>
      <c r="H1026" s="303">
        <f t="shared" si="1251"/>
        <v>256</v>
      </c>
      <c r="I1026" s="303">
        <f t="shared" si="1255"/>
        <v>256</v>
      </c>
      <c r="J1026" s="294"/>
      <c r="K1026" s="294"/>
      <c r="L1026" s="294"/>
      <c r="M1026" s="304"/>
      <c r="N1026" s="294"/>
      <c r="O1026" s="294"/>
      <c r="P1026" s="303">
        <f t="shared" si="1256"/>
        <v>256</v>
      </c>
      <c r="Q1026" s="303"/>
      <c r="R1026" s="305"/>
      <c r="S1026" s="304"/>
      <c r="T1026" s="303">
        <f t="shared" si="1257"/>
        <v>256</v>
      </c>
      <c r="U1026" s="1303">
        <v>120</v>
      </c>
      <c r="V1026" s="304">
        <v>136</v>
      </c>
      <c r="W1026" s="303"/>
      <c r="X1026" s="303"/>
      <c r="Y1026" s="303"/>
      <c r="Z1026" s="304"/>
      <c r="AA1026" s="304"/>
      <c r="AB1026" s="303"/>
      <c r="AC1026" s="303"/>
      <c r="AD1026" s="303"/>
      <c r="AE1026" s="304"/>
      <c r="AF1026" s="1635"/>
      <c r="AG1026" s="314">
        <f t="shared" si="1217"/>
        <v>0</v>
      </c>
      <c r="AH1026" s="696">
        <f t="shared" si="1218"/>
        <v>0</v>
      </c>
      <c r="AI1026" s="314">
        <f t="shared" si="1219"/>
        <v>0</v>
      </c>
      <c r="AJ1026" s="314">
        <f t="shared" si="1220"/>
        <v>0</v>
      </c>
      <c r="AK1026" s="314">
        <f t="shared" si="1221"/>
        <v>0</v>
      </c>
      <c r="AL1026" s="314">
        <f t="shared" si="1222"/>
        <v>0</v>
      </c>
      <c r="AM1026" s="314">
        <f t="shared" si="1223"/>
        <v>0</v>
      </c>
      <c r="AN1026" s="314">
        <f t="shared" si="1224"/>
        <v>0</v>
      </c>
      <c r="AO1026" s="314">
        <f t="shared" si="1225"/>
        <v>0</v>
      </c>
      <c r="AP1026" s="314">
        <f t="shared" si="1226"/>
        <v>0</v>
      </c>
    </row>
    <row r="1027" spans="1:42" ht="27.6" outlineLevel="1">
      <c r="A1027" s="1298" t="s">
        <v>23</v>
      </c>
      <c r="B1027" s="1302" t="s">
        <v>1215</v>
      </c>
      <c r="C1027" s="317"/>
      <c r="D1027" s="304">
        <v>276</v>
      </c>
      <c r="E1027" s="304">
        <f t="shared" si="1250"/>
        <v>276</v>
      </c>
      <c r="F1027" s="304">
        <f t="shared" si="1253"/>
        <v>276</v>
      </c>
      <c r="G1027" s="304">
        <f t="shared" si="1254"/>
        <v>0</v>
      </c>
      <c r="H1027" s="303">
        <f t="shared" si="1251"/>
        <v>276</v>
      </c>
      <c r="I1027" s="303">
        <f t="shared" si="1255"/>
        <v>276</v>
      </c>
      <c r="J1027" s="294"/>
      <c r="K1027" s="294"/>
      <c r="L1027" s="294"/>
      <c r="M1027" s="304"/>
      <c r="N1027" s="294"/>
      <c r="O1027" s="294"/>
      <c r="P1027" s="303">
        <f t="shared" si="1256"/>
        <v>276</v>
      </c>
      <c r="Q1027" s="303"/>
      <c r="R1027" s="305"/>
      <c r="S1027" s="304"/>
      <c r="T1027" s="303">
        <f t="shared" si="1257"/>
        <v>276</v>
      </c>
      <c r="U1027" s="1303">
        <v>276</v>
      </c>
      <c r="V1027" s="304"/>
      <c r="W1027" s="303"/>
      <c r="X1027" s="303"/>
      <c r="Y1027" s="303"/>
      <c r="Z1027" s="304"/>
      <c r="AA1027" s="304"/>
      <c r="AB1027" s="303"/>
      <c r="AC1027" s="303"/>
      <c r="AD1027" s="303"/>
      <c r="AE1027" s="304"/>
      <c r="AF1027" s="1635"/>
      <c r="AG1027" s="314">
        <f t="shared" si="1217"/>
        <v>0</v>
      </c>
      <c r="AH1027" s="696">
        <f t="shared" si="1218"/>
        <v>0</v>
      </c>
      <c r="AI1027" s="314">
        <f t="shared" si="1219"/>
        <v>0</v>
      </c>
      <c r="AJ1027" s="314">
        <f t="shared" si="1220"/>
        <v>0</v>
      </c>
      <c r="AK1027" s="314">
        <f t="shared" si="1221"/>
        <v>0</v>
      </c>
      <c r="AL1027" s="314">
        <f t="shared" si="1222"/>
        <v>0</v>
      </c>
      <c r="AM1027" s="314">
        <f t="shared" si="1223"/>
        <v>0</v>
      </c>
      <c r="AN1027" s="314">
        <f t="shared" si="1224"/>
        <v>0</v>
      </c>
      <c r="AO1027" s="314">
        <f t="shared" si="1225"/>
        <v>0</v>
      </c>
      <c r="AP1027" s="314">
        <f t="shared" si="1226"/>
        <v>0</v>
      </c>
    </row>
    <row r="1028" spans="1:42" ht="27.6" outlineLevel="1">
      <c r="A1028" s="1298" t="s">
        <v>23</v>
      </c>
      <c r="B1028" s="1302" t="s">
        <v>1216</v>
      </c>
      <c r="C1028" s="317"/>
      <c r="D1028" s="304">
        <v>91</v>
      </c>
      <c r="E1028" s="304">
        <f t="shared" si="1250"/>
        <v>118</v>
      </c>
      <c r="F1028" s="304">
        <f t="shared" si="1253"/>
        <v>118</v>
      </c>
      <c r="G1028" s="304">
        <f t="shared" si="1254"/>
        <v>27</v>
      </c>
      <c r="H1028" s="303">
        <f t="shared" si="1251"/>
        <v>118</v>
      </c>
      <c r="I1028" s="303">
        <f t="shared" si="1255"/>
        <v>118</v>
      </c>
      <c r="J1028" s="294"/>
      <c r="K1028" s="294"/>
      <c r="L1028" s="294"/>
      <c r="M1028" s="304"/>
      <c r="N1028" s="294"/>
      <c r="O1028" s="294"/>
      <c r="P1028" s="303">
        <f t="shared" si="1256"/>
        <v>118</v>
      </c>
      <c r="Q1028" s="303"/>
      <c r="R1028" s="305"/>
      <c r="S1028" s="304"/>
      <c r="T1028" s="303">
        <f t="shared" si="1257"/>
        <v>118</v>
      </c>
      <c r="U1028" s="1303">
        <v>91</v>
      </c>
      <c r="V1028" s="304">
        <v>27</v>
      </c>
      <c r="W1028" s="303"/>
      <c r="X1028" s="303"/>
      <c r="Y1028" s="303"/>
      <c r="Z1028" s="304"/>
      <c r="AA1028" s="304"/>
      <c r="AB1028" s="303"/>
      <c r="AC1028" s="303"/>
      <c r="AD1028" s="303"/>
      <c r="AE1028" s="304"/>
      <c r="AF1028" s="1635"/>
      <c r="AG1028" s="314">
        <f t="shared" si="1217"/>
        <v>0</v>
      </c>
      <c r="AH1028" s="696">
        <f t="shared" si="1218"/>
        <v>0</v>
      </c>
      <c r="AI1028" s="314">
        <f t="shared" si="1219"/>
        <v>0</v>
      </c>
      <c r="AJ1028" s="314">
        <f t="shared" si="1220"/>
        <v>0</v>
      </c>
      <c r="AK1028" s="314">
        <f t="shared" si="1221"/>
        <v>0</v>
      </c>
      <c r="AL1028" s="314">
        <f t="shared" si="1222"/>
        <v>0</v>
      </c>
      <c r="AM1028" s="314">
        <f t="shared" si="1223"/>
        <v>0</v>
      </c>
      <c r="AN1028" s="314">
        <f t="shared" si="1224"/>
        <v>0</v>
      </c>
      <c r="AO1028" s="314">
        <f t="shared" si="1225"/>
        <v>0</v>
      </c>
      <c r="AP1028" s="314">
        <f t="shared" si="1226"/>
        <v>0</v>
      </c>
    </row>
    <row r="1029" spans="1:42" ht="27.6" outlineLevel="1">
      <c r="A1029" s="1298" t="s">
        <v>23</v>
      </c>
      <c r="B1029" s="1302" t="s">
        <v>1671</v>
      </c>
      <c r="C1029" s="317"/>
      <c r="D1029" s="304">
        <v>59</v>
      </c>
      <c r="E1029" s="304">
        <f t="shared" si="1250"/>
        <v>78</v>
      </c>
      <c r="F1029" s="304">
        <f t="shared" si="1253"/>
        <v>78</v>
      </c>
      <c r="G1029" s="304">
        <f t="shared" si="1254"/>
        <v>19</v>
      </c>
      <c r="H1029" s="303">
        <f>I1029+W1029</f>
        <v>78</v>
      </c>
      <c r="I1029" s="303">
        <f>M1029+P1029</f>
        <v>78</v>
      </c>
      <c r="J1029" s="294"/>
      <c r="K1029" s="294"/>
      <c r="L1029" s="294"/>
      <c r="M1029" s="304"/>
      <c r="N1029" s="294"/>
      <c r="O1029" s="294"/>
      <c r="P1029" s="303">
        <f>S1029+T1029</f>
        <v>78</v>
      </c>
      <c r="Q1029" s="303"/>
      <c r="R1029" s="305"/>
      <c r="S1029" s="304"/>
      <c r="T1029" s="303">
        <f>U1029+V1029</f>
        <v>78</v>
      </c>
      <c r="U1029" s="1303">
        <v>59</v>
      </c>
      <c r="V1029" s="304">
        <v>19</v>
      </c>
      <c r="W1029" s="303"/>
      <c r="X1029" s="303"/>
      <c r="Y1029" s="303"/>
      <c r="Z1029" s="304"/>
      <c r="AA1029" s="304"/>
      <c r="AB1029" s="303"/>
      <c r="AC1029" s="303"/>
      <c r="AD1029" s="303"/>
      <c r="AE1029" s="304"/>
      <c r="AF1029" s="1635"/>
      <c r="AG1029" s="314">
        <f t="shared" si="1217"/>
        <v>0</v>
      </c>
      <c r="AH1029" s="696">
        <f t="shared" si="1218"/>
        <v>0</v>
      </c>
      <c r="AI1029" s="314">
        <f t="shared" si="1219"/>
        <v>0</v>
      </c>
      <c r="AJ1029" s="314">
        <f t="shared" si="1220"/>
        <v>0</v>
      </c>
      <c r="AK1029" s="314">
        <f t="shared" si="1221"/>
        <v>0</v>
      </c>
      <c r="AL1029" s="314">
        <f t="shared" si="1222"/>
        <v>0</v>
      </c>
      <c r="AM1029" s="314">
        <f t="shared" si="1223"/>
        <v>0</v>
      </c>
      <c r="AN1029" s="314">
        <f t="shared" si="1224"/>
        <v>0</v>
      </c>
      <c r="AO1029" s="314">
        <f t="shared" si="1225"/>
        <v>0</v>
      </c>
      <c r="AP1029" s="314">
        <f t="shared" si="1226"/>
        <v>0</v>
      </c>
    </row>
    <row r="1030" spans="1:42" ht="41.4" outlineLevel="1">
      <c r="A1030" s="1298" t="s">
        <v>23</v>
      </c>
      <c r="B1030" s="1302" t="s">
        <v>1672</v>
      </c>
      <c r="C1030" s="317"/>
      <c r="D1030" s="304">
        <v>32</v>
      </c>
      <c r="E1030" s="304">
        <f t="shared" si="1250"/>
        <v>42</v>
      </c>
      <c r="F1030" s="304">
        <f t="shared" si="1253"/>
        <v>42</v>
      </c>
      <c r="G1030" s="304">
        <f t="shared" si="1254"/>
        <v>10</v>
      </c>
      <c r="H1030" s="303">
        <f>I1030+W1030</f>
        <v>42</v>
      </c>
      <c r="I1030" s="303">
        <f>M1030+P1030</f>
        <v>42</v>
      </c>
      <c r="J1030" s="294"/>
      <c r="K1030" s="294"/>
      <c r="L1030" s="294"/>
      <c r="M1030" s="304"/>
      <c r="N1030" s="294"/>
      <c r="O1030" s="294"/>
      <c r="P1030" s="303">
        <f>S1030+T1030</f>
        <v>42</v>
      </c>
      <c r="Q1030" s="303"/>
      <c r="R1030" s="305"/>
      <c r="S1030" s="304"/>
      <c r="T1030" s="303">
        <f>U1030+V1030</f>
        <v>42</v>
      </c>
      <c r="U1030" s="1303">
        <v>32</v>
      </c>
      <c r="V1030" s="304">
        <v>10</v>
      </c>
      <c r="W1030" s="303"/>
      <c r="X1030" s="303"/>
      <c r="Y1030" s="303"/>
      <c r="Z1030" s="304"/>
      <c r="AA1030" s="304"/>
      <c r="AB1030" s="303"/>
      <c r="AC1030" s="303"/>
      <c r="AD1030" s="303"/>
      <c r="AE1030" s="304"/>
      <c r="AF1030" s="1636"/>
      <c r="AG1030" s="314">
        <f t="shared" si="1217"/>
        <v>0</v>
      </c>
      <c r="AH1030" s="696">
        <f t="shared" si="1218"/>
        <v>0</v>
      </c>
      <c r="AI1030" s="314">
        <f t="shared" si="1219"/>
        <v>0</v>
      </c>
      <c r="AJ1030" s="314">
        <f t="shared" si="1220"/>
        <v>0</v>
      </c>
      <c r="AK1030" s="314">
        <f t="shared" si="1221"/>
        <v>0</v>
      </c>
      <c r="AL1030" s="314">
        <f t="shared" si="1222"/>
        <v>0</v>
      </c>
      <c r="AM1030" s="314">
        <f t="shared" si="1223"/>
        <v>0</v>
      </c>
      <c r="AN1030" s="314">
        <f t="shared" si="1224"/>
        <v>0</v>
      </c>
      <c r="AO1030" s="314">
        <f t="shared" si="1225"/>
        <v>0</v>
      </c>
      <c r="AP1030" s="314">
        <f t="shared" si="1226"/>
        <v>0</v>
      </c>
    </row>
    <row r="1031" spans="1:42" ht="138" outlineLevel="1">
      <c r="A1031" s="1298" t="s">
        <v>23</v>
      </c>
      <c r="B1031" s="1302" t="s">
        <v>2253</v>
      </c>
      <c r="C1031" s="317"/>
      <c r="D1031" s="304">
        <v>127</v>
      </c>
      <c r="E1031" s="304">
        <f t="shared" si="1250"/>
        <v>122</v>
      </c>
      <c r="F1031" s="304">
        <f t="shared" si="1253"/>
        <v>122</v>
      </c>
      <c r="G1031" s="304">
        <f t="shared" si="1254"/>
        <v>-5</v>
      </c>
      <c r="H1031" s="303">
        <f>I1031+W1031</f>
        <v>122</v>
      </c>
      <c r="I1031" s="303">
        <f>M1031+P1031</f>
        <v>122</v>
      </c>
      <c r="J1031" s="294"/>
      <c r="K1031" s="294"/>
      <c r="L1031" s="294"/>
      <c r="M1031" s="304"/>
      <c r="N1031" s="294"/>
      <c r="O1031" s="294"/>
      <c r="P1031" s="303">
        <f>S1031+T1031</f>
        <v>122</v>
      </c>
      <c r="Q1031" s="303"/>
      <c r="R1031" s="305"/>
      <c r="S1031" s="304"/>
      <c r="T1031" s="303">
        <f>U1031+V1031</f>
        <v>122</v>
      </c>
      <c r="U1031" s="1303">
        <f>U1032+U1033+U1034</f>
        <v>84</v>
      </c>
      <c r="V1031" s="304">
        <v>38</v>
      </c>
      <c r="W1031" s="303"/>
      <c r="X1031" s="303"/>
      <c r="Y1031" s="303"/>
      <c r="Z1031" s="304"/>
      <c r="AA1031" s="304"/>
      <c r="AB1031" s="303"/>
      <c r="AC1031" s="303"/>
      <c r="AD1031" s="303"/>
      <c r="AE1031" s="304"/>
      <c r="AF1031" s="1304" t="s">
        <v>2362</v>
      </c>
      <c r="AG1031" s="314">
        <f t="shared" si="1217"/>
        <v>0</v>
      </c>
      <c r="AH1031" s="696">
        <f t="shared" si="1218"/>
        <v>0</v>
      </c>
      <c r="AI1031" s="314">
        <f t="shared" si="1219"/>
        <v>0</v>
      </c>
      <c r="AJ1031" s="314">
        <f t="shared" si="1220"/>
        <v>0</v>
      </c>
      <c r="AK1031" s="314">
        <f t="shared" si="1221"/>
        <v>0</v>
      </c>
      <c r="AL1031" s="314">
        <f t="shared" si="1222"/>
        <v>0</v>
      </c>
      <c r="AM1031" s="314">
        <f t="shared" si="1223"/>
        <v>0</v>
      </c>
      <c r="AN1031" s="314">
        <f t="shared" si="1224"/>
        <v>0</v>
      </c>
      <c r="AO1031" s="314">
        <f t="shared" si="1225"/>
        <v>0</v>
      </c>
      <c r="AP1031" s="314">
        <f t="shared" si="1226"/>
        <v>0</v>
      </c>
    </row>
    <row r="1032" spans="1:42" ht="41.4" hidden="1" outlineLevel="3">
      <c r="A1032" s="1298" t="s">
        <v>281</v>
      </c>
      <c r="B1032" s="1302" t="s">
        <v>1673</v>
      </c>
      <c r="C1032" s="317"/>
      <c r="D1032" s="304">
        <v>67</v>
      </c>
      <c r="E1032" s="304">
        <f t="shared" si="1250"/>
        <v>67</v>
      </c>
      <c r="F1032" s="304">
        <f t="shared" si="1253"/>
        <v>67</v>
      </c>
      <c r="G1032" s="304">
        <f t="shared" si="1254"/>
        <v>0</v>
      </c>
      <c r="H1032" s="303">
        <f t="shared" ref="H1032:H1034" si="1258">I1032+W1032</f>
        <v>67</v>
      </c>
      <c r="I1032" s="303">
        <f t="shared" ref="I1032:I1034" si="1259">M1032+P1032</f>
        <v>67</v>
      </c>
      <c r="J1032" s="294"/>
      <c r="K1032" s="294"/>
      <c r="L1032" s="294"/>
      <c r="M1032" s="304"/>
      <c r="N1032" s="294"/>
      <c r="O1032" s="294"/>
      <c r="P1032" s="303">
        <f t="shared" ref="P1032:P1034" si="1260">S1032+T1032</f>
        <v>67</v>
      </c>
      <c r="Q1032" s="303"/>
      <c r="R1032" s="305"/>
      <c r="S1032" s="304"/>
      <c r="T1032" s="303">
        <f t="shared" ref="T1032:T1034" si="1261">U1032+V1032</f>
        <v>67</v>
      </c>
      <c r="U1032" s="1303">
        <v>67</v>
      </c>
      <c r="V1032" s="304"/>
      <c r="W1032" s="303"/>
      <c r="X1032" s="303"/>
      <c r="Y1032" s="303"/>
      <c r="Z1032" s="304"/>
      <c r="AA1032" s="304"/>
      <c r="AB1032" s="303"/>
      <c r="AC1032" s="303"/>
      <c r="AD1032" s="303"/>
      <c r="AE1032" s="304"/>
      <c r="AF1032" s="1634" t="s">
        <v>2254</v>
      </c>
      <c r="AG1032" s="314">
        <f t="shared" si="1217"/>
        <v>0</v>
      </c>
      <c r="AH1032" s="696">
        <f t="shared" si="1218"/>
        <v>0</v>
      </c>
      <c r="AI1032" s="314">
        <f t="shared" si="1219"/>
        <v>0</v>
      </c>
      <c r="AJ1032" s="314">
        <f t="shared" si="1220"/>
        <v>0</v>
      </c>
      <c r="AK1032" s="314">
        <f t="shared" si="1221"/>
        <v>0</v>
      </c>
      <c r="AL1032" s="314">
        <f t="shared" si="1222"/>
        <v>0</v>
      </c>
      <c r="AM1032" s="314">
        <f t="shared" si="1223"/>
        <v>0</v>
      </c>
      <c r="AN1032" s="314">
        <f t="shared" si="1224"/>
        <v>0</v>
      </c>
      <c r="AO1032" s="314">
        <f t="shared" si="1225"/>
        <v>0</v>
      </c>
      <c r="AP1032" s="314">
        <f t="shared" si="1226"/>
        <v>0</v>
      </c>
    </row>
    <row r="1033" spans="1:42" ht="27.6" hidden="1" outlineLevel="3">
      <c r="A1033" s="1298" t="s">
        <v>281</v>
      </c>
      <c r="B1033" s="1302" t="s">
        <v>2255</v>
      </c>
      <c r="C1033" s="317"/>
      <c r="D1033" s="304">
        <v>9</v>
      </c>
      <c r="E1033" s="304">
        <f t="shared" si="1250"/>
        <v>9</v>
      </c>
      <c r="F1033" s="304">
        <f t="shared" si="1253"/>
        <v>9</v>
      </c>
      <c r="G1033" s="304">
        <f t="shared" si="1254"/>
        <v>0</v>
      </c>
      <c r="H1033" s="303">
        <f t="shared" si="1258"/>
        <v>9</v>
      </c>
      <c r="I1033" s="303">
        <f t="shared" si="1259"/>
        <v>9</v>
      </c>
      <c r="J1033" s="294"/>
      <c r="K1033" s="294"/>
      <c r="L1033" s="294"/>
      <c r="M1033" s="304"/>
      <c r="N1033" s="294"/>
      <c r="O1033" s="294"/>
      <c r="P1033" s="303">
        <f t="shared" si="1260"/>
        <v>9</v>
      </c>
      <c r="Q1033" s="303"/>
      <c r="R1033" s="305"/>
      <c r="S1033" s="304"/>
      <c r="T1033" s="303">
        <f t="shared" si="1261"/>
        <v>9</v>
      </c>
      <c r="U1033" s="1303">
        <v>9</v>
      </c>
      <c r="V1033" s="304"/>
      <c r="W1033" s="303"/>
      <c r="X1033" s="303"/>
      <c r="Y1033" s="303"/>
      <c r="Z1033" s="304"/>
      <c r="AA1033" s="304"/>
      <c r="AB1033" s="303"/>
      <c r="AC1033" s="303"/>
      <c r="AD1033" s="303"/>
      <c r="AE1033" s="304"/>
      <c r="AF1033" s="1635"/>
      <c r="AG1033" s="314">
        <f t="shared" si="1217"/>
        <v>0</v>
      </c>
      <c r="AH1033" s="696">
        <f t="shared" si="1218"/>
        <v>0</v>
      </c>
      <c r="AI1033" s="314">
        <f t="shared" si="1219"/>
        <v>0</v>
      </c>
      <c r="AJ1033" s="314">
        <f t="shared" si="1220"/>
        <v>0</v>
      </c>
      <c r="AK1033" s="314">
        <f t="shared" si="1221"/>
        <v>0</v>
      </c>
      <c r="AL1033" s="314">
        <f t="shared" si="1222"/>
        <v>0</v>
      </c>
      <c r="AM1033" s="314">
        <f t="shared" si="1223"/>
        <v>0</v>
      </c>
      <c r="AN1033" s="314">
        <f t="shared" si="1224"/>
        <v>0</v>
      </c>
      <c r="AO1033" s="314">
        <f t="shared" si="1225"/>
        <v>0</v>
      </c>
      <c r="AP1033" s="314">
        <f t="shared" si="1226"/>
        <v>0</v>
      </c>
    </row>
    <row r="1034" spans="1:42" ht="27.6" hidden="1" outlineLevel="3">
      <c r="A1034" s="1298" t="s">
        <v>281</v>
      </c>
      <c r="B1034" s="1302" t="s">
        <v>1676</v>
      </c>
      <c r="C1034" s="317"/>
      <c r="D1034" s="304">
        <v>8</v>
      </c>
      <c r="E1034" s="304">
        <f t="shared" si="1250"/>
        <v>8</v>
      </c>
      <c r="F1034" s="304">
        <f t="shared" si="1253"/>
        <v>8</v>
      </c>
      <c r="G1034" s="304">
        <f t="shared" si="1254"/>
        <v>0</v>
      </c>
      <c r="H1034" s="303">
        <f t="shared" si="1258"/>
        <v>8</v>
      </c>
      <c r="I1034" s="303">
        <f t="shared" si="1259"/>
        <v>8</v>
      </c>
      <c r="J1034" s="294"/>
      <c r="K1034" s="294"/>
      <c r="L1034" s="294"/>
      <c r="M1034" s="304"/>
      <c r="N1034" s="294"/>
      <c r="O1034" s="294"/>
      <c r="P1034" s="303">
        <f t="shared" si="1260"/>
        <v>8</v>
      </c>
      <c r="Q1034" s="303"/>
      <c r="R1034" s="305"/>
      <c r="S1034" s="304"/>
      <c r="T1034" s="303">
        <f t="shared" si="1261"/>
        <v>8</v>
      </c>
      <c r="U1034" s="1303">
        <v>8</v>
      </c>
      <c r="V1034" s="304"/>
      <c r="W1034" s="303"/>
      <c r="X1034" s="303"/>
      <c r="Y1034" s="303"/>
      <c r="Z1034" s="304"/>
      <c r="AA1034" s="304"/>
      <c r="AB1034" s="303"/>
      <c r="AC1034" s="303"/>
      <c r="AD1034" s="303"/>
      <c r="AE1034" s="304"/>
      <c r="AF1034" s="1636"/>
      <c r="AG1034" s="314">
        <f t="shared" si="1217"/>
        <v>0</v>
      </c>
      <c r="AH1034" s="696">
        <f t="shared" si="1218"/>
        <v>0</v>
      </c>
      <c r="AI1034" s="314">
        <f t="shared" si="1219"/>
        <v>0</v>
      </c>
      <c r="AJ1034" s="314">
        <f t="shared" si="1220"/>
        <v>0</v>
      </c>
      <c r="AK1034" s="314">
        <f t="shared" si="1221"/>
        <v>0</v>
      </c>
      <c r="AL1034" s="314">
        <f t="shared" si="1222"/>
        <v>0</v>
      </c>
      <c r="AM1034" s="314">
        <f t="shared" si="1223"/>
        <v>0</v>
      </c>
      <c r="AN1034" s="314">
        <f t="shared" si="1224"/>
        <v>0</v>
      </c>
      <c r="AO1034" s="314">
        <f t="shared" si="1225"/>
        <v>0</v>
      </c>
      <c r="AP1034" s="314">
        <f t="shared" si="1226"/>
        <v>0</v>
      </c>
    </row>
    <row r="1035" spans="1:42" ht="69" outlineLevel="1" collapsed="1">
      <c r="A1035" s="1298" t="s">
        <v>23</v>
      </c>
      <c r="B1035" s="1302" t="s">
        <v>2281</v>
      </c>
      <c r="C1035" s="317"/>
      <c r="D1035" s="304"/>
      <c r="E1035" s="304">
        <f t="shared" si="1250"/>
        <v>31</v>
      </c>
      <c r="F1035" s="304">
        <f t="shared" si="1253"/>
        <v>31</v>
      </c>
      <c r="G1035" s="304">
        <f t="shared" si="1254"/>
        <v>31</v>
      </c>
      <c r="H1035" s="303">
        <f>I1035+W1035</f>
        <v>31</v>
      </c>
      <c r="I1035" s="303">
        <f>M1035+P1035</f>
        <v>31</v>
      </c>
      <c r="J1035" s="294"/>
      <c r="K1035" s="294"/>
      <c r="L1035" s="294"/>
      <c r="M1035" s="304"/>
      <c r="N1035" s="294"/>
      <c r="O1035" s="294"/>
      <c r="P1035" s="303">
        <f>S1035+T1035</f>
        <v>31</v>
      </c>
      <c r="Q1035" s="303"/>
      <c r="R1035" s="305"/>
      <c r="S1035" s="304"/>
      <c r="T1035" s="303">
        <f>U1035+V1035</f>
        <v>31</v>
      </c>
      <c r="U1035" s="1303"/>
      <c r="V1035" s="304">
        <v>31</v>
      </c>
      <c r="W1035" s="303"/>
      <c r="X1035" s="303"/>
      <c r="Y1035" s="303"/>
      <c r="Z1035" s="304"/>
      <c r="AA1035" s="304"/>
      <c r="AB1035" s="303"/>
      <c r="AC1035" s="303"/>
      <c r="AD1035" s="303"/>
      <c r="AE1035" s="304"/>
      <c r="AF1035" s="1314" t="s">
        <v>2363</v>
      </c>
      <c r="AG1035" s="314">
        <f t="shared" si="1217"/>
        <v>0</v>
      </c>
      <c r="AH1035" s="696">
        <f t="shared" si="1218"/>
        <v>0</v>
      </c>
      <c r="AI1035" s="314">
        <f t="shared" si="1219"/>
        <v>0</v>
      </c>
      <c r="AJ1035" s="314">
        <f t="shared" si="1220"/>
        <v>0</v>
      </c>
      <c r="AK1035" s="314">
        <f t="shared" si="1221"/>
        <v>0</v>
      </c>
      <c r="AL1035" s="314">
        <f t="shared" si="1222"/>
        <v>0</v>
      </c>
      <c r="AM1035" s="314">
        <f t="shared" si="1223"/>
        <v>0</v>
      </c>
      <c r="AN1035" s="314">
        <f t="shared" si="1224"/>
        <v>0</v>
      </c>
      <c r="AO1035" s="314">
        <f t="shared" si="1225"/>
        <v>0</v>
      </c>
      <c r="AP1035" s="314">
        <f t="shared" si="1226"/>
        <v>0</v>
      </c>
    </row>
    <row r="1036" spans="1:42" ht="41.4" hidden="1" outlineLevel="3">
      <c r="A1036" s="1298" t="s">
        <v>281</v>
      </c>
      <c r="B1036" s="1302" t="s">
        <v>1674</v>
      </c>
      <c r="C1036" s="317"/>
      <c r="D1036" s="304">
        <v>27</v>
      </c>
      <c r="E1036" s="304">
        <f>F1036+AC1036</f>
        <v>0</v>
      </c>
      <c r="F1036" s="304">
        <f>H1036-AB1036</f>
        <v>0</v>
      </c>
      <c r="G1036" s="304">
        <f>F1036-D1036</f>
        <v>-27</v>
      </c>
      <c r="H1036" s="303">
        <f>I1036+W1036</f>
        <v>0</v>
      </c>
      <c r="I1036" s="303">
        <f>M1036+P1036</f>
        <v>0</v>
      </c>
      <c r="J1036" s="294"/>
      <c r="K1036" s="294"/>
      <c r="L1036" s="294"/>
      <c r="M1036" s="304"/>
      <c r="N1036" s="294"/>
      <c r="O1036" s="294"/>
      <c r="P1036" s="303">
        <f>S1036+T1036</f>
        <v>0</v>
      </c>
      <c r="Q1036" s="303"/>
      <c r="R1036" s="305"/>
      <c r="S1036" s="304"/>
      <c r="T1036" s="303">
        <f>U1036+V1036</f>
        <v>0</v>
      </c>
      <c r="U1036" s="1303"/>
      <c r="V1036" s="304"/>
      <c r="W1036" s="303"/>
      <c r="X1036" s="303"/>
      <c r="Y1036" s="303"/>
      <c r="Z1036" s="304"/>
      <c r="AA1036" s="304"/>
      <c r="AB1036" s="303"/>
      <c r="AC1036" s="303"/>
      <c r="AD1036" s="303"/>
      <c r="AE1036" s="304"/>
      <c r="AF1036" s="1304"/>
      <c r="AG1036" s="314">
        <f t="shared" si="1217"/>
        <v>0</v>
      </c>
      <c r="AH1036" s="696">
        <f t="shared" si="1218"/>
        <v>0</v>
      </c>
      <c r="AI1036" s="314">
        <f t="shared" si="1219"/>
        <v>0</v>
      </c>
      <c r="AJ1036" s="314">
        <f t="shared" si="1220"/>
        <v>0</v>
      </c>
      <c r="AK1036" s="314">
        <f t="shared" si="1221"/>
        <v>0</v>
      </c>
      <c r="AL1036" s="314">
        <f t="shared" si="1222"/>
        <v>0</v>
      </c>
      <c r="AM1036" s="314">
        <f t="shared" si="1223"/>
        <v>0</v>
      </c>
      <c r="AN1036" s="314">
        <f t="shared" si="1224"/>
        <v>0</v>
      </c>
      <c r="AO1036" s="314">
        <f t="shared" si="1225"/>
        <v>0</v>
      </c>
      <c r="AP1036" s="314">
        <f t="shared" si="1226"/>
        <v>0</v>
      </c>
    </row>
    <row r="1037" spans="1:42" ht="41.4" hidden="1" outlineLevel="3">
      <c r="A1037" s="1298" t="s">
        <v>281</v>
      </c>
      <c r="B1037" s="1302" t="s">
        <v>1675</v>
      </c>
      <c r="C1037" s="317"/>
      <c r="D1037" s="304">
        <v>16</v>
      </c>
      <c r="E1037" s="304">
        <f>F1037+AC1037</f>
        <v>0</v>
      </c>
      <c r="F1037" s="304">
        <f>H1037-AB1037</f>
        <v>0</v>
      </c>
      <c r="G1037" s="304">
        <f>F1037-D1037</f>
        <v>-16</v>
      </c>
      <c r="H1037" s="303">
        <f>I1037+W1037</f>
        <v>0</v>
      </c>
      <c r="I1037" s="303">
        <f>M1037+P1037</f>
        <v>0</v>
      </c>
      <c r="J1037" s="294"/>
      <c r="K1037" s="294"/>
      <c r="L1037" s="294"/>
      <c r="M1037" s="304"/>
      <c r="N1037" s="294"/>
      <c r="O1037" s="294"/>
      <c r="P1037" s="303">
        <f>S1037+T1037</f>
        <v>0</v>
      </c>
      <c r="Q1037" s="303"/>
      <c r="R1037" s="305"/>
      <c r="S1037" s="304"/>
      <c r="T1037" s="303">
        <f>U1037+V1037</f>
        <v>0</v>
      </c>
      <c r="U1037" s="1303"/>
      <c r="V1037" s="304"/>
      <c r="W1037" s="303"/>
      <c r="X1037" s="303"/>
      <c r="Y1037" s="303"/>
      <c r="Z1037" s="304"/>
      <c r="AA1037" s="304"/>
      <c r="AB1037" s="303"/>
      <c r="AC1037" s="303"/>
      <c r="AD1037" s="303"/>
      <c r="AE1037" s="304"/>
      <c r="AF1037" s="1304"/>
      <c r="AG1037" s="314">
        <f t="shared" si="1217"/>
        <v>0</v>
      </c>
      <c r="AH1037" s="696">
        <f t="shared" si="1218"/>
        <v>0</v>
      </c>
      <c r="AI1037" s="314">
        <f t="shared" si="1219"/>
        <v>0</v>
      </c>
      <c r="AJ1037" s="314">
        <f t="shared" si="1220"/>
        <v>0</v>
      </c>
      <c r="AK1037" s="314">
        <f t="shared" si="1221"/>
        <v>0</v>
      </c>
      <c r="AL1037" s="314">
        <f t="shared" si="1222"/>
        <v>0</v>
      </c>
      <c r="AM1037" s="314">
        <f t="shared" si="1223"/>
        <v>0</v>
      </c>
      <c r="AN1037" s="314">
        <f t="shared" si="1224"/>
        <v>0</v>
      </c>
      <c r="AO1037" s="314">
        <f t="shared" si="1225"/>
        <v>0</v>
      </c>
      <c r="AP1037" s="314">
        <f t="shared" si="1226"/>
        <v>0</v>
      </c>
    </row>
    <row r="1038" spans="1:42" hidden="1" outlineLevel="3" collapsed="1">
      <c r="A1038" s="1298" t="s">
        <v>23</v>
      </c>
      <c r="B1038" s="1302" t="s">
        <v>1783</v>
      </c>
      <c r="C1038" s="317"/>
      <c r="D1038" s="304">
        <v>220</v>
      </c>
      <c r="E1038" s="304">
        <f t="shared" si="1250"/>
        <v>0</v>
      </c>
      <c r="F1038" s="304">
        <f t="shared" si="1253"/>
        <v>0</v>
      </c>
      <c r="G1038" s="304">
        <f t="shared" si="1254"/>
        <v>-220</v>
      </c>
      <c r="H1038" s="303">
        <f t="shared" ref="H1038" si="1262">I1038+W1038</f>
        <v>0</v>
      </c>
      <c r="I1038" s="303">
        <f t="shared" ref="I1038" si="1263">M1038+P1038</f>
        <v>0</v>
      </c>
      <c r="J1038" s="294"/>
      <c r="K1038" s="294"/>
      <c r="L1038" s="294"/>
      <c r="M1038" s="304"/>
      <c r="N1038" s="294"/>
      <c r="O1038" s="294"/>
      <c r="P1038" s="303">
        <f t="shared" ref="P1038" si="1264">S1038+T1038</f>
        <v>0</v>
      </c>
      <c r="Q1038" s="303"/>
      <c r="R1038" s="305"/>
      <c r="S1038" s="304"/>
      <c r="T1038" s="303">
        <f t="shared" ref="T1038" si="1265">U1038+V1038</f>
        <v>0</v>
      </c>
      <c r="U1038" s="1303"/>
      <c r="V1038" s="304"/>
      <c r="W1038" s="303"/>
      <c r="X1038" s="303"/>
      <c r="Y1038" s="303"/>
      <c r="Z1038" s="304"/>
      <c r="AA1038" s="304"/>
      <c r="AB1038" s="303"/>
      <c r="AC1038" s="303"/>
      <c r="AD1038" s="303"/>
      <c r="AE1038" s="304"/>
      <c r="AF1038" s="1304"/>
      <c r="AG1038" s="314">
        <f t="shared" si="1217"/>
        <v>0</v>
      </c>
      <c r="AH1038" s="696">
        <f t="shared" si="1218"/>
        <v>0</v>
      </c>
      <c r="AI1038" s="314">
        <f t="shared" si="1219"/>
        <v>0</v>
      </c>
      <c r="AJ1038" s="314">
        <f t="shared" si="1220"/>
        <v>0</v>
      </c>
      <c r="AK1038" s="314">
        <f t="shared" si="1221"/>
        <v>0</v>
      </c>
      <c r="AL1038" s="314">
        <f t="shared" si="1222"/>
        <v>0</v>
      </c>
      <c r="AM1038" s="314">
        <f t="shared" si="1223"/>
        <v>0</v>
      </c>
      <c r="AN1038" s="314">
        <f t="shared" si="1224"/>
        <v>0</v>
      </c>
      <c r="AO1038" s="314">
        <f t="shared" si="1225"/>
        <v>0</v>
      </c>
      <c r="AP1038" s="314">
        <f t="shared" si="1226"/>
        <v>0</v>
      </c>
    </row>
    <row r="1039" spans="1:42" s="314" customFormat="1">
      <c r="A1039" s="592" t="s">
        <v>421</v>
      </c>
      <c r="B1039" s="357" t="s">
        <v>1217</v>
      </c>
      <c r="C1039" s="302" t="s">
        <v>756</v>
      </c>
      <c r="D1039" s="297">
        <f>D1040+D1050</f>
        <v>1869</v>
      </c>
      <c r="E1039" s="297">
        <f>E1040+E1050</f>
        <v>2162</v>
      </c>
      <c r="F1039" s="297">
        <f>F1040+F1050</f>
        <v>1982</v>
      </c>
      <c r="G1039" s="297">
        <f t="shared" si="1254"/>
        <v>113</v>
      </c>
      <c r="H1039" s="297">
        <f t="shared" ref="H1039:P1039" si="1266">H1040+H1050</f>
        <v>1982</v>
      </c>
      <c r="I1039" s="297">
        <f t="shared" si="1266"/>
        <v>1982</v>
      </c>
      <c r="J1039" s="300">
        <f t="shared" si="1266"/>
        <v>8</v>
      </c>
      <c r="K1039" s="300">
        <f t="shared" si="1266"/>
        <v>8</v>
      </c>
      <c r="L1039" s="300">
        <f t="shared" si="1266"/>
        <v>0</v>
      </c>
      <c r="M1039" s="297">
        <f t="shared" si="1266"/>
        <v>867</v>
      </c>
      <c r="N1039" s="300">
        <f t="shared" si="1266"/>
        <v>867</v>
      </c>
      <c r="O1039" s="300">
        <f t="shared" si="1266"/>
        <v>0</v>
      </c>
      <c r="P1039" s="297">
        <f t="shared" si="1266"/>
        <v>1115</v>
      </c>
      <c r="Q1039" s="300"/>
      <c r="R1039" s="300"/>
      <c r="S1039" s="297">
        <f>S1040+S1050</f>
        <v>248</v>
      </c>
      <c r="T1039" s="297">
        <f>T1040+T1050</f>
        <v>867</v>
      </c>
      <c r="U1039" s="297">
        <f>U1040+U1050</f>
        <v>664</v>
      </c>
      <c r="V1039" s="297">
        <f>V1040+V1050</f>
        <v>203</v>
      </c>
      <c r="W1039" s="297">
        <f>W1040+W1050</f>
        <v>0</v>
      </c>
      <c r="X1039" s="297"/>
      <c r="Y1039" s="297"/>
      <c r="Z1039" s="297">
        <f t="shared" ref="Z1039:AE1039" si="1267">Z1040+Z1050</f>
        <v>0</v>
      </c>
      <c r="AA1039" s="297">
        <f t="shared" si="1267"/>
        <v>0</v>
      </c>
      <c r="AB1039" s="297">
        <f t="shared" si="1267"/>
        <v>0</v>
      </c>
      <c r="AC1039" s="297">
        <f t="shared" si="1267"/>
        <v>180</v>
      </c>
      <c r="AD1039" s="297">
        <f t="shared" si="1267"/>
        <v>112</v>
      </c>
      <c r="AE1039" s="297">
        <f t="shared" si="1267"/>
        <v>2050</v>
      </c>
      <c r="AF1039" s="321"/>
      <c r="AG1039" s="314">
        <f t="shared" si="1217"/>
        <v>0</v>
      </c>
      <c r="AH1039" s="696">
        <f t="shared" si="1218"/>
        <v>0</v>
      </c>
      <c r="AI1039" s="314">
        <f t="shared" si="1219"/>
        <v>0</v>
      </c>
      <c r="AJ1039" s="314">
        <f t="shared" si="1220"/>
        <v>0</v>
      </c>
      <c r="AK1039" s="314">
        <f t="shared" si="1221"/>
        <v>0</v>
      </c>
      <c r="AL1039" s="314">
        <f t="shared" si="1222"/>
        <v>0</v>
      </c>
      <c r="AM1039" s="314">
        <f t="shared" si="1223"/>
        <v>0</v>
      </c>
      <c r="AN1039" s="314">
        <f t="shared" si="1224"/>
        <v>0</v>
      </c>
      <c r="AO1039" s="314">
        <f t="shared" si="1225"/>
        <v>0</v>
      </c>
      <c r="AP1039" s="314">
        <f t="shared" si="1226"/>
        <v>0</v>
      </c>
    </row>
    <row r="1040" spans="1:42" hidden="1" outlineLevel="3">
      <c r="A1040" s="593" t="s">
        <v>424</v>
      </c>
      <c r="B1040" s="324" t="s">
        <v>1109</v>
      </c>
      <c r="C1040" s="302"/>
      <c r="D1040" s="303">
        <f t="shared" ref="D1040" si="1268">D1041+D1042</f>
        <v>1769</v>
      </c>
      <c r="E1040" s="303">
        <f>E1041+E1042</f>
        <v>2162</v>
      </c>
      <c r="F1040" s="303">
        <f>F1041+F1042</f>
        <v>1982</v>
      </c>
      <c r="G1040" s="303">
        <f t="shared" si="1254"/>
        <v>213</v>
      </c>
      <c r="H1040" s="303">
        <f>H1041+H1042</f>
        <v>1982</v>
      </c>
      <c r="I1040" s="303">
        <f t="shared" ref="I1040:Z1040" si="1269">I1041+I1042</f>
        <v>1982</v>
      </c>
      <c r="J1040" s="311">
        <f t="shared" si="1269"/>
        <v>8</v>
      </c>
      <c r="K1040" s="311">
        <f t="shared" si="1269"/>
        <v>8</v>
      </c>
      <c r="L1040" s="311">
        <f t="shared" si="1269"/>
        <v>0</v>
      </c>
      <c r="M1040" s="303">
        <f t="shared" si="1269"/>
        <v>867</v>
      </c>
      <c r="N1040" s="311">
        <f t="shared" si="1269"/>
        <v>867</v>
      </c>
      <c r="O1040" s="311">
        <f t="shared" si="1269"/>
        <v>0</v>
      </c>
      <c r="P1040" s="303">
        <f t="shared" si="1269"/>
        <v>1115</v>
      </c>
      <c r="Q1040" s="311"/>
      <c r="R1040" s="311"/>
      <c r="S1040" s="303">
        <f t="shared" si="1269"/>
        <v>248</v>
      </c>
      <c r="T1040" s="303">
        <f t="shared" si="1269"/>
        <v>867</v>
      </c>
      <c r="U1040" s="303">
        <f t="shared" si="1269"/>
        <v>664</v>
      </c>
      <c r="V1040" s="303">
        <f t="shared" si="1269"/>
        <v>203</v>
      </c>
      <c r="W1040" s="303">
        <f>W1041+W1042</f>
        <v>0</v>
      </c>
      <c r="X1040" s="303"/>
      <c r="Y1040" s="303"/>
      <c r="Z1040" s="303">
        <f t="shared" si="1269"/>
        <v>0</v>
      </c>
      <c r="AA1040" s="303">
        <f>AA1041+AA1042</f>
        <v>0</v>
      </c>
      <c r="AB1040" s="303">
        <f>AB1041+AB1042</f>
        <v>0</v>
      </c>
      <c r="AC1040" s="303">
        <f t="shared" ref="AC1040:AE1040" si="1270">AC1041+AC1042</f>
        <v>180</v>
      </c>
      <c r="AD1040" s="303">
        <f t="shared" si="1270"/>
        <v>112</v>
      </c>
      <c r="AE1040" s="303">
        <f t="shared" si="1270"/>
        <v>2050</v>
      </c>
      <c r="AF1040" s="317"/>
      <c r="AG1040" s="314">
        <f t="shared" si="1217"/>
        <v>0</v>
      </c>
      <c r="AH1040" s="696">
        <f t="shared" si="1218"/>
        <v>0</v>
      </c>
      <c r="AI1040" s="314">
        <f t="shared" si="1219"/>
        <v>0</v>
      </c>
      <c r="AJ1040" s="314">
        <f t="shared" si="1220"/>
        <v>0</v>
      </c>
      <c r="AK1040" s="314">
        <f t="shared" si="1221"/>
        <v>0</v>
      </c>
      <c r="AL1040" s="314">
        <f t="shared" si="1222"/>
        <v>0</v>
      </c>
      <c r="AM1040" s="314">
        <f t="shared" si="1223"/>
        <v>0</v>
      </c>
      <c r="AN1040" s="314">
        <f t="shared" si="1224"/>
        <v>0</v>
      </c>
      <c r="AO1040" s="314">
        <f t="shared" si="1225"/>
        <v>0</v>
      </c>
      <c r="AP1040" s="314">
        <f t="shared" si="1226"/>
        <v>0</v>
      </c>
    </row>
    <row r="1041" spans="1:42" ht="41.4" collapsed="1">
      <c r="A1041" s="583" t="s">
        <v>45</v>
      </c>
      <c r="B1041" s="346" t="s">
        <v>1176</v>
      </c>
      <c r="C1041" s="304"/>
      <c r="D1041" s="304">
        <v>1099</v>
      </c>
      <c r="E1041" s="304">
        <f t="shared" ref="E1041:E1051" si="1271">F1041+AC1041</f>
        <v>1295</v>
      </c>
      <c r="F1041" s="304">
        <f>H1041-AB1041</f>
        <v>1115</v>
      </c>
      <c r="G1041" s="304">
        <f t="shared" si="1254"/>
        <v>16</v>
      </c>
      <c r="H1041" s="303">
        <f t="shared" ref="H1041:H1049" si="1272">I1041+W1041</f>
        <v>1115</v>
      </c>
      <c r="I1041" s="303">
        <f>M1041+P1041</f>
        <v>1115</v>
      </c>
      <c r="J1041" s="311">
        <v>8</v>
      </c>
      <c r="K1041" s="311">
        <v>8</v>
      </c>
      <c r="L1041" s="294">
        <f>J1041-K1041</f>
        <v>0</v>
      </c>
      <c r="M1041" s="304">
        <f>N1041+O1041</f>
        <v>867</v>
      </c>
      <c r="N1041" s="294">
        <v>867</v>
      </c>
      <c r="O1041" s="294">
        <v>0</v>
      </c>
      <c r="P1041" s="303">
        <f>S1041+T1041</f>
        <v>248</v>
      </c>
      <c r="Q1041" s="294">
        <v>31</v>
      </c>
      <c r="R1041" s="312">
        <v>1</v>
      </c>
      <c r="S1041" s="304">
        <f>ROUND(J1041*Q1041*R1041,0)</f>
        <v>248</v>
      </c>
      <c r="T1041" s="303">
        <f>U1041+V1041</f>
        <v>0</v>
      </c>
      <c r="U1041" s="304"/>
      <c r="V1041" s="304"/>
      <c r="W1041" s="303">
        <f>Z1041+AA1041</f>
        <v>0</v>
      </c>
      <c r="X1041" s="303"/>
      <c r="Y1041" s="303"/>
      <c r="Z1041" s="304"/>
      <c r="AA1041" s="304"/>
      <c r="AB1041" s="304"/>
      <c r="AC1041" s="304">
        <v>180</v>
      </c>
      <c r="AD1041" s="304">
        <v>25</v>
      </c>
      <c r="AE1041" s="303">
        <f>E1041-AD1041</f>
        <v>1270</v>
      </c>
      <c r="AF1041" s="347"/>
      <c r="AG1041" s="314">
        <f t="shared" si="1217"/>
        <v>0</v>
      </c>
      <c r="AH1041" s="696">
        <f t="shared" si="1218"/>
        <v>0</v>
      </c>
      <c r="AI1041" s="314">
        <f t="shared" si="1219"/>
        <v>0</v>
      </c>
      <c r="AJ1041" s="314">
        <f t="shared" si="1220"/>
        <v>0</v>
      </c>
      <c r="AK1041" s="314">
        <f t="shared" si="1221"/>
        <v>0</v>
      </c>
      <c r="AL1041" s="314">
        <f t="shared" si="1222"/>
        <v>0</v>
      </c>
      <c r="AM1041" s="314">
        <f t="shared" si="1223"/>
        <v>0</v>
      </c>
      <c r="AN1041" s="314">
        <f t="shared" si="1224"/>
        <v>0</v>
      </c>
      <c r="AO1041" s="314">
        <f t="shared" si="1225"/>
        <v>0</v>
      </c>
      <c r="AP1041" s="314">
        <f t="shared" si="1226"/>
        <v>0</v>
      </c>
    </row>
    <row r="1042" spans="1:42" ht="27.6">
      <c r="A1042" s="583" t="s">
        <v>47</v>
      </c>
      <c r="B1042" s="346" t="s">
        <v>1157</v>
      </c>
      <c r="C1042" s="304"/>
      <c r="D1042" s="304">
        <v>670</v>
      </c>
      <c r="E1042" s="303">
        <f>E1043+E1044+E1045+E1046+E1047+E1048</f>
        <v>867</v>
      </c>
      <c r="F1042" s="303">
        <f t="shared" ref="F1042:AC1042" si="1273">F1043+F1044+F1045+F1046+F1047+F1048</f>
        <v>867</v>
      </c>
      <c r="G1042" s="303">
        <f t="shared" si="1273"/>
        <v>203</v>
      </c>
      <c r="H1042" s="303">
        <f t="shared" si="1273"/>
        <v>867</v>
      </c>
      <c r="I1042" s="303">
        <f t="shared" si="1273"/>
        <v>867</v>
      </c>
      <c r="J1042" s="303">
        <f t="shared" si="1273"/>
        <v>0</v>
      </c>
      <c r="K1042" s="303">
        <f t="shared" si="1273"/>
        <v>0</v>
      </c>
      <c r="L1042" s="303">
        <f t="shared" si="1273"/>
        <v>0</v>
      </c>
      <c r="M1042" s="303">
        <f t="shared" si="1273"/>
        <v>0</v>
      </c>
      <c r="N1042" s="303">
        <f t="shared" si="1273"/>
        <v>0</v>
      </c>
      <c r="O1042" s="303">
        <f t="shared" si="1273"/>
        <v>0</v>
      </c>
      <c r="P1042" s="303">
        <f t="shared" si="1273"/>
        <v>867</v>
      </c>
      <c r="Q1042" s="303">
        <f t="shared" si="1273"/>
        <v>0</v>
      </c>
      <c r="R1042" s="303">
        <f t="shared" si="1273"/>
        <v>0</v>
      </c>
      <c r="S1042" s="303">
        <f t="shared" si="1273"/>
        <v>0</v>
      </c>
      <c r="T1042" s="303">
        <f t="shared" si="1273"/>
        <v>867</v>
      </c>
      <c r="U1042" s="303">
        <f t="shared" si="1273"/>
        <v>664</v>
      </c>
      <c r="V1042" s="303">
        <f t="shared" si="1273"/>
        <v>203</v>
      </c>
      <c r="W1042" s="303">
        <f t="shared" si="1273"/>
        <v>0</v>
      </c>
      <c r="X1042" s="303">
        <f t="shared" si="1273"/>
        <v>0</v>
      </c>
      <c r="Y1042" s="303">
        <f t="shared" si="1273"/>
        <v>0</v>
      </c>
      <c r="Z1042" s="303">
        <f t="shared" si="1273"/>
        <v>0</v>
      </c>
      <c r="AA1042" s="303">
        <f t="shared" si="1273"/>
        <v>0</v>
      </c>
      <c r="AB1042" s="303">
        <f t="shared" si="1273"/>
        <v>0</v>
      </c>
      <c r="AC1042" s="303">
        <f t="shared" si="1273"/>
        <v>0</v>
      </c>
      <c r="AD1042" s="303">
        <v>87</v>
      </c>
      <c r="AE1042" s="303">
        <f>E1042-AD1042</f>
        <v>780</v>
      </c>
      <c r="AF1042" s="347"/>
      <c r="AG1042" s="314">
        <f t="shared" si="1217"/>
        <v>0</v>
      </c>
      <c r="AH1042" s="696">
        <f t="shared" si="1218"/>
        <v>0</v>
      </c>
      <c r="AI1042" s="314">
        <f t="shared" si="1219"/>
        <v>0</v>
      </c>
      <c r="AJ1042" s="314">
        <f t="shared" si="1220"/>
        <v>0</v>
      </c>
      <c r="AK1042" s="314">
        <f t="shared" si="1221"/>
        <v>0</v>
      </c>
      <c r="AL1042" s="314">
        <f t="shared" si="1222"/>
        <v>0</v>
      </c>
      <c r="AM1042" s="314">
        <f t="shared" si="1223"/>
        <v>0</v>
      </c>
      <c r="AN1042" s="314">
        <f t="shared" si="1224"/>
        <v>0</v>
      </c>
      <c r="AO1042" s="314">
        <f t="shared" si="1225"/>
        <v>0</v>
      </c>
      <c r="AP1042" s="314">
        <f t="shared" si="1226"/>
        <v>0</v>
      </c>
    </row>
    <row r="1043" spans="1:42" ht="41.4" outlineLevel="1">
      <c r="A1043" s="593" t="s">
        <v>23</v>
      </c>
      <c r="B1043" s="346" t="s">
        <v>1218</v>
      </c>
      <c r="C1043" s="304"/>
      <c r="D1043" s="304">
        <v>50</v>
      </c>
      <c r="E1043" s="304">
        <f t="shared" si="1271"/>
        <v>50</v>
      </c>
      <c r="F1043" s="304">
        <f t="shared" ref="F1043:F1049" si="1274">H1043-AB1043</f>
        <v>50</v>
      </c>
      <c r="G1043" s="304">
        <f t="shared" ref="G1043:G1049" si="1275">F1043-D1043</f>
        <v>0</v>
      </c>
      <c r="H1043" s="303">
        <f t="shared" si="1272"/>
        <v>50</v>
      </c>
      <c r="I1043" s="303">
        <f t="shared" ref="I1043:I1049" si="1276">M1043+P1043</f>
        <v>50</v>
      </c>
      <c r="J1043" s="311"/>
      <c r="K1043" s="311"/>
      <c r="L1043" s="311"/>
      <c r="M1043" s="303"/>
      <c r="N1043" s="311"/>
      <c r="O1043" s="311"/>
      <c r="P1043" s="303">
        <f t="shared" ref="P1043:P1051" si="1277">S1043+T1043</f>
        <v>50</v>
      </c>
      <c r="Q1043" s="311"/>
      <c r="R1043" s="312"/>
      <c r="S1043" s="303"/>
      <c r="T1043" s="303">
        <f>U1043+V1043</f>
        <v>50</v>
      </c>
      <c r="U1043" s="303">
        <v>50</v>
      </c>
      <c r="V1043" s="303"/>
      <c r="W1043" s="303"/>
      <c r="X1043" s="303"/>
      <c r="Y1043" s="303"/>
      <c r="Z1043" s="303"/>
      <c r="AA1043" s="303"/>
      <c r="AB1043" s="304"/>
      <c r="AC1043" s="304"/>
      <c r="AD1043" s="304"/>
      <c r="AE1043" s="304"/>
      <c r="AF1043" s="347"/>
      <c r="AG1043" s="314">
        <f t="shared" si="1217"/>
        <v>0</v>
      </c>
      <c r="AH1043" s="696">
        <f t="shared" si="1218"/>
        <v>0</v>
      </c>
      <c r="AI1043" s="314">
        <f t="shared" si="1219"/>
        <v>0</v>
      </c>
      <c r="AJ1043" s="314">
        <f t="shared" si="1220"/>
        <v>0</v>
      </c>
      <c r="AK1043" s="314">
        <f t="shared" si="1221"/>
        <v>0</v>
      </c>
      <c r="AL1043" s="314">
        <f t="shared" si="1222"/>
        <v>0</v>
      </c>
      <c r="AM1043" s="314">
        <f t="shared" si="1223"/>
        <v>0</v>
      </c>
      <c r="AN1043" s="314">
        <f t="shared" si="1224"/>
        <v>0</v>
      </c>
      <c r="AO1043" s="314">
        <f t="shared" si="1225"/>
        <v>0</v>
      </c>
      <c r="AP1043" s="314">
        <f t="shared" si="1226"/>
        <v>0</v>
      </c>
    </row>
    <row r="1044" spans="1:42" ht="41.4" outlineLevel="1">
      <c r="A1044" s="593" t="s">
        <v>23</v>
      </c>
      <c r="B1044" s="346" t="s">
        <v>1219</v>
      </c>
      <c r="C1044" s="304"/>
      <c r="D1044" s="304">
        <v>245</v>
      </c>
      <c r="E1044" s="304">
        <f t="shared" si="1271"/>
        <v>245</v>
      </c>
      <c r="F1044" s="304">
        <f t="shared" si="1274"/>
        <v>245</v>
      </c>
      <c r="G1044" s="304">
        <f t="shared" si="1275"/>
        <v>0</v>
      </c>
      <c r="H1044" s="303">
        <f t="shared" si="1272"/>
        <v>245</v>
      </c>
      <c r="I1044" s="303">
        <f t="shared" si="1276"/>
        <v>245</v>
      </c>
      <c r="J1044" s="311"/>
      <c r="K1044" s="311"/>
      <c r="L1044" s="311"/>
      <c r="M1044" s="303"/>
      <c r="N1044" s="311"/>
      <c r="O1044" s="311"/>
      <c r="P1044" s="303">
        <f t="shared" si="1277"/>
        <v>245</v>
      </c>
      <c r="Q1044" s="311"/>
      <c r="R1044" s="312"/>
      <c r="S1044" s="303"/>
      <c r="T1044" s="303">
        <f t="shared" ref="T1044:T1051" si="1278">U1044+V1044</f>
        <v>245</v>
      </c>
      <c r="U1044" s="303">
        <v>245</v>
      </c>
      <c r="V1044" s="303"/>
      <c r="W1044" s="303">
        <f>Z1044+AA1044</f>
        <v>0</v>
      </c>
      <c r="X1044" s="303"/>
      <c r="Y1044" s="303"/>
      <c r="Z1044" s="303"/>
      <c r="AA1044" s="303"/>
      <c r="AB1044" s="304"/>
      <c r="AC1044" s="304"/>
      <c r="AD1044" s="304"/>
      <c r="AE1044" s="304"/>
      <c r="AF1044" s="347"/>
      <c r="AG1044" s="314">
        <f t="shared" si="1217"/>
        <v>0</v>
      </c>
      <c r="AH1044" s="696">
        <f t="shared" si="1218"/>
        <v>0</v>
      </c>
      <c r="AI1044" s="314">
        <f t="shared" si="1219"/>
        <v>0</v>
      </c>
      <c r="AJ1044" s="314">
        <f t="shared" si="1220"/>
        <v>0</v>
      </c>
      <c r="AK1044" s="314">
        <f t="shared" si="1221"/>
        <v>0</v>
      </c>
      <c r="AL1044" s="314">
        <f t="shared" si="1222"/>
        <v>0</v>
      </c>
      <c r="AM1044" s="314">
        <f t="shared" si="1223"/>
        <v>0</v>
      </c>
      <c r="AN1044" s="314">
        <f t="shared" si="1224"/>
        <v>0</v>
      </c>
      <c r="AO1044" s="314">
        <f t="shared" si="1225"/>
        <v>0</v>
      </c>
      <c r="AP1044" s="314">
        <f t="shared" si="1226"/>
        <v>0</v>
      </c>
    </row>
    <row r="1045" spans="1:42" ht="27.6" outlineLevel="1">
      <c r="A1045" s="593" t="s">
        <v>23</v>
      </c>
      <c r="B1045" s="346" t="s">
        <v>1220</v>
      </c>
      <c r="C1045" s="304"/>
      <c r="D1045" s="304">
        <v>130</v>
      </c>
      <c r="E1045" s="304">
        <f t="shared" si="1271"/>
        <v>130</v>
      </c>
      <c r="F1045" s="304">
        <f t="shared" si="1274"/>
        <v>130</v>
      </c>
      <c r="G1045" s="304">
        <f t="shared" si="1275"/>
        <v>0</v>
      </c>
      <c r="H1045" s="303">
        <f t="shared" si="1272"/>
        <v>130</v>
      </c>
      <c r="I1045" s="303">
        <f t="shared" si="1276"/>
        <v>130</v>
      </c>
      <c r="J1045" s="311"/>
      <c r="K1045" s="311"/>
      <c r="L1045" s="311"/>
      <c r="M1045" s="303"/>
      <c r="N1045" s="311"/>
      <c r="O1045" s="311"/>
      <c r="P1045" s="303">
        <f t="shared" si="1277"/>
        <v>130</v>
      </c>
      <c r="Q1045" s="311"/>
      <c r="R1045" s="312"/>
      <c r="S1045" s="303"/>
      <c r="T1045" s="303">
        <f t="shared" si="1278"/>
        <v>130</v>
      </c>
      <c r="U1045" s="303">
        <v>130</v>
      </c>
      <c r="V1045" s="303"/>
      <c r="W1045" s="303">
        <f>Z1045+AA1045</f>
        <v>0</v>
      </c>
      <c r="X1045" s="303"/>
      <c r="Y1045" s="303"/>
      <c r="Z1045" s="303"/>
      <c r="AA1045" s="303"/>
      <c r="AB1045" s="304"/>
      <c r="AC1045" s="304"/>
      <c r="AD1045" s="304"/>
      <c r="AE1045" s="304"/>
      <c r="AF1045" s="347"/>
      <c r="AG1045" s="314">
        <f t="shared" si="1217"/>
        <v>0</v>
      </c>
      <c r="AH1045" s="696">
        <f t="shared" si="1218"/>
        <v>0</v>
      </c>
      <c r="AI1045" s="314">
        <f t="shared" si="1219"/>
        <v>0</v>
      </c>
      <c r="AJ1045" s="314">
        <f t="shared" si="1220"/>
        <v>0</v>
      </c>
      <c r="AK1045" s="314">
        <f t="shared" si="1221"/>
        <v>0</v>
      </c>
      <c r="AL1045" s="314">
        <f t="shared" si="1222"/>
        <v>0</v>
      </c>
      <c r="AM1045" s="314">
        <f t="shared" si="1223"/>
        <v>0</v>
      </c>
      <c r="AN1045" s="314">
        <f t="shared" si="1224"/>
        <v>0</v>
      </c>
      <c r="AO1045" s="314">
        <f t="shared" si="1225"/>
        <v>0</v>
      </c>
      <c r="AP1045" s="314">
        <f t="shared" si="1226"/>
        <v>0</v>
      </c>
    </row>
    <row r="1046" spans="1:42" ht="55.2" outlineLevel="1">
      <c r="A1046" s="593" t="s">
        <v>23</v>
      </c>
      <c r="B1046" s="346" t="s">
        <v>1784</v>
      </c>
      <c r="C1046" s="304"/>
      <c r="D1046" s="304">
        <v>34</v>
      </c>
      <c r="E1046" s="304">
        <f t="shared" si="1271"/>
        <v>143</v>
      </c>
      <c r="F1046" s="304">
        <f t="shared" si="1274"/>
        <v>143</v>
      </c>
      <c r="G1046" s="304">
        <f t="shared" si="1275"/>
        <v>109</v>
      </c>
      <c r="H1046" s="303">
        <f t="shared" si="1272"/>
        <v>143</v>
      </c>
      <c r="I1046" s="303">
        <f t="shared" si="1276"/>
        <v>143</v>
      </c>
      <c r="J1046" s="311"/>
      <c r="K1046" s="311"/>
      <c r="L1046" s="311"/>
      <c r="M1046" s="303"/>
      <c r="N1046" s="311"/>
      <c r="O1046" s="311"/>
      <c r="P1046" s="303">
        <f t="shared" si="1277"/>
        <v>143</v>
      </c>
      <c r="Q1046" s="311"/>
      <c r="R1046" s="312"/>
      <c r="S1046" s="303"/>
      <c r="T1046" s="303">
        <f t="shared" si="1278"/>
        <v>143</v>
      </c>
      <c r="U1046" s="303">
        <v>34</v>
      </c>
      <c r="V1046" s="303">
        <v>109</v>
      </c>
      <c r="W1046" s="303"/>
      <c r="X1046" s="303"/>
      <c r="Y1046" s="303"/>
      <c r="Z1046" s="303"/>
      <c r="AA1046" s="303"/>
      <c r="AB1046" s="304"/>
      <c r="AC1046" s="304"/>
      <c r="AD1046" s="304"/>
      <c r="AE1046" s="304"/>
      <c r="AF1046" s="347" t="s">
        <v>2364</v>
      </c>
      <c r="AG1046" s="314">
        <f t="shared" si="1217"/>
        <v>0</v>
      </c>
      <c r="AH1046" s="696">
        <f t="shared" si="1218"/>
        <v>0</v>
      </c>
      <c r="AI1046" s="314">
        <f t="shared" si="1219"/>
        <v>0</v>
      </c>
      <c r="AJ1046" s="314">
        <f t="shared" si="1220"/>
        <v>0</v>
      </c>
      <c r="AK1046" s="314">
        <f t="shared" si="1221"/>
        <v>0</v>
      </c>
      <c r="AL1046" s="314">
        <f t="shared" si="1222"/>
        <v>0</v>
      </c>
      <c r="AM1046" s="314">
        <f t="shared" si="1223"/>
        <v>0</v>
      </c>
      <c r="AN1046" s="314">
        <f t="shared" si="1224"/>
        <v>0</v>
      </c>
      <c r="AO1046" s="314">
        <f t="shared" si="1225"/>
        <v>0</v>
      </c>
      <c r="AP1046" s="314">
        <f t="shared" si="1226"/>
        <v>0</v>
      </c>
    </row>
    <row r="1047" spans="1:42" ht="41.4" outlineLevel="1">
      <c r="A1047" s="593" t="s">
        <v>23</v>
      </c>
      <c r="B1047" s="346" t="s">
        <v>1785</v>
      </c>
      <c r="C1047" s="304"/>
      <c r="D1047" s="304">
        <v>205</v>
      </c>
      <c r="E1047" s="304">
        <f t="shared" si="1271"/>
        <v>256</v>
      </c>
      <c r="F1047" s="304">
        <f t="shared" si="1274"/>
        <v>256</v>
      </c>
      <c r="G1047" s="304">
        <f t="shared" si="1275"/>
        <v>51</v>
      </c>
      <c r="H1047" s="303">
        <f t="shared" si="1272"/>
        <v>256</v>
      </c>
      <c r="I1047" s="303">
        <f t="shared" si="1276"/>
        <v>256</v>
      </c>
      <c r="J1047" s="311"/>
      <c r="K1047" s="311"/>
      <c r="L1047" s="311"/>
      <c r="M1047" s="303"/>
      <c r="N1047" s="311"/>
      <c r="O1047" s="311"/>
      <c r="P1047" s="303">
        <f t="shared" si="1277"/>
        <v>256</v>
      </c>
      <c r="Q1047" s="311"/>
      <c r="R1047" s="312"/>
      <c r="S1047" s="303"/>
      <c r="T1047" s="303">
        <f t="shared" si="1278"/>
        <v>256</v>
      </c>
      <c r="U1047" s="303">
        <v>205</v>
      </c>
      <c r="V1047" s="303">
        <v>51</v>
      </c>
      <c r="W1047" s="303"/>
      <c r="X1047" s="303"/>
      <c r="Y1047" s="303"/>
      <c r="Z1047" s="303"/>
      <c r="AA1047" s="303"/>
      <c r="AB1047" s="304"/>
      <c r="AC1047" s="304"/>
      <c r="AD1047" s="304"/>
      <c r="AE1047" s="304"/>
      <c r="AF1047" s="347"/>
      <c r="AG1047" s="314">
        <f t="shared" ref="AG1047:AG1110" si="1279">E1047-F1047-AC1047</f>
        <v>0</v>
      </c>
      <c r="AH1047" s="696">
        <f t="shared" ref="AH1047:AH1110" si="1280">F1047-H1047+AB1047</f>
        <v>0</v>
      </c>
      <c r="AI1047" s="314">
        <f t="shared" ref="AI1047:AI1110" si="1281">H1047-I1047-W1047</f>
        <v>0</v>
      </c>
      <c r="AJ1047" s="314">
        <f t="shared" ref="AJ1047:AJ1110" si="1282">I1047-M1047-P1047</f>
        <v>0</v>
      </c>
      <c r="AK1047" s="314">
        <f t="shared" ref="AK1047:AK1110" si="1283">J1047-K1047-L1047</f>
        <v>0</v>
      </c>
      <c r="AL1047" s="314">
        <f t="shared" ref="AL1047:AL1110" si="1284">M1047-N1047-O1047</f>
        <v>0</v>
      </c>
      <c r="AM1047" s="314">
        <f t="shared" ref="AM1047:AM1110" si="1285">P1047-S1047-T1047</f>
        <v>0</v>
      </c>
      <c r="AN1047" s="314">
        <f t="shared" ref="AN1047:AN1110" si="1286">T1047-U1047-V1047</f>
        <v>0</v>
      </c>
      <c r="AO1047" s="314">
        <f t="shared" ref="AO1047:AO1110" si="1287">W1047-Z1047-AA1047</f>
        <v>0</v>
      </c>
      <c r="AP1047" s="314">
        <f t="shared" ref="AP1047:AP1110" si="1288">AC1047+AA1047+Z1047+V1047+U1047+S1047+O1047+N1047-AB1047-E1047</f>
        <v>0</v>
      </c>
    </row>
    <row r="1048" spans="1:42" ht="41.4" outlineLevel="1">
      <c r="A1048" s="593" t="s">
        <v>23</v>
      </c>
      <c r="B1048" s="346" t="s">
        <v>2256</v>
      </c>
      <c r="C1048" s="304"/>
      <c r="D1048" s="304"/>
      <c r="E1048" s="304">
        <f t="shared" si="1271"/>
        <v>43</v>
      </c>
      <c r="F1048" s="304">
        <f t="shared" si="1274"/>
        <v>43</v>
      </c>
      <c r="G1048" s="304">
        <f t="shared" si="1275"/>
        <v>43</v>
      </c>
      <c r="H1048" s="303">
        <f t="shared" si="1272"/>
        <v>43</v>
      </c>
      <c r="I1048" s="303">
        <f t="shared" si="1276"/>
        <v>43</v>
      </c>
      <c r="J1048" s="311"/>
      <c r="K1048" s="311"/>
      <c r="L1048" s="311"/>
      <c r="M1048" s="303"/>
      <c r="N1048" s="311"/>
      <c r="O1048" s="311"/>
      <c r="P1048" s="303">
        <f t="shared" si="1277"/>
        <v>43</v>
      </c>
      <c r="Q1048" s="311"/>
      <c r="R1048" s="312"/>
      <c r="S1048" s="303"/>
      <c r="T1048" s="303">
        <f t="shared" si="1278"/>
        <v>43</v>
      </c>
      <c r="U1048" s="303"/>
      <c r="V1048" s="303">
        <v>43</v>
      </c>
      <c r="W1048" s="303"/>
      <c r="X1048" s="303"/>
      <c r="Y1048" s="303"/>
      <c r="Z1048" s="303"/>
      <c r="AA1048" s="303"/>
      <c r="AB1048" s="304"/>
      <c r="AC1048" s="304"/>
      <c r="AD1048" s="304"/>
      <c r="AE1048" s="304"/>
      <c r="AF1048" s="347" t="s">
        <v>2364</v>
      </c>
      <c r="AG1048" s="314">
        <f t="shared" si="1279"/>
        <v>0</v>
      </c>
      <c r="AH1048" s="696">
        <f t="shared" si="1280"/>
        <v>0</v>
      </c>
      <c r="AI1048" s="314">
        <f t="shared" si="1281"/>
        <v>0</v>
      </c>
      <c r="AJ1048" s="314">
        <f t="shared" si="1282"/>
        <v>0</v>
      </c>
      <c r="AK1048" s="314">
        <f t="shared" si="1283"/>
        <v>0</v>
      </c>
      <c r="AL1048" s="314">
        <f t="shared" si="1284"/>
        <v>0</v>
      </c>
      <c r="AM1048" s="314">
        <f t="shared" si="1285"/>
        <v>0</v>
      </c>
      <c r="AN1048" s="314">
        <f t="shared" si="1286"/>
        <v>0</v>
      </c>
      <c r="AO1048" s="314">
        <f t="shared" si="1287"/>
        <v>0</v>
      </c>
      <c r="AP1048" s="314">
        <f t="shared" si="1288"/>
        <v>0</v>
      </c>
    </row>
    <row r="1049" spans="1:42" ht="41.4" hidden="1" outlineLevel="3">
      <c r="A1049" s="593" t="s">
        <v>23</v>
      </c>
      <c r="B1049" s="346" t="s">
        <v>1820</v>
      </c>
      <c r="C1049" s="304"/>
      <c r="D1049" s="304">
        <v>6</v>
      </c>
      <c r="E1049" s="304">
        <f t="shared" si="1271"/>
        <v>0</v>
      </c>
      <c r="F1049" s="304">
        <f t="shared" si="1274"/>
        <v>0</v>
      </c>
      <c r="G1049" s="304">
        <f t="shared" si="1275"/>
        <v>-6</v>
      </c>
      <c r="H1049" s="303">
        <f t="shared" si="1272"/>
        <v>0</v>
      </c>
      <c r="I1049" s="303">
        <f t="shared" si="1276"/>
        <v>0</v>
      </c>
      <c r="J1049" s="311"/>
      <c r="K1049" s="311"/>
      <c r="L1049" s="311"/>
      <c r="M1049" s="303"/>
      <c r="N1049" s="311"/>
      <c r="O1049" s="311"/>
      <c r="P1049" s="303">
        <f t="shared" si="1277"/>
        <v>0</v>
      </c>
      <c r="Q1049" s="311"/>
      <c r="R1049" s="312"/>
      <c r="S1049" s="303"/>
      <c r="T1049" s="303">
        <f t="shared" si="1278"/>
        <v>0</v>
      </c>
      <c r="U1049" s="303"/>
      <c r="V1049" s="303"/>
      <c r="W1049" s="303"/>
      <c r="X1049" s="303"/>
      <c r="Y1049" s="303"/>
      <c r="Z1049" s="303"/>
      <c r="AA1049" s="303"/>
      <c r="AB1049" s="304"/>
      <c r="AC1049" s="304"/>
      <c r="AD1049" s="304"/>
      <c r="AE1049" s="304"/>
      <c r="AF1049" s="347"/>
      <c r="AG1049" s="314">
        <f t="shared" si="1279"/>
        <v>0</v>
      </c>
      <c r="AH1049" s="696">
        <f t="shared" si="1280"/>
        <v>0</v>
      </c>
      <c r="AI1049" s="314">
        <f t="shared" si="1281"/>
        <v>0</v>
      </c>
      <c r="AJ1049" s="314">
        <f t="shared" si="1282"/>
        <v>0</v>
      </c>
      <c r="AK1049" s="314">
        <f t="shared" si="1283"/>
        <v>0</v>
      </c>
      <c r="AL1049" s="314">
        <f t="shared" si="1284"/>
        <v>0</v>
      </c>
      <c r="AM1049" s="314">
        <f t="shared" si="1285"/>
        <v>0</v>
      </c>
      <c r="AN1049" s="314">
        <f t="shared" si="1286"/>
        <v>0</v>
      </c>
      <c r="AO1049" s="314">
        <f t="shared" si="1287"/>
        <v>0</v>
      </c>
      <c r="AP1049" s="314">
        <f t="shared" si="1288"/>
        <v>0</v>
      </c>
    </row>
    <row r="1050" spans="1:42" hidden="1" outlineLevel="3" collapsed="1">
      <c r="A1050" s="583" t="s">
        <v>430</v>
      </c>
      <c r="B1050" s="316" t="s">
        <v>1021</v>
      </c>
      <c r="C1050" s="302" t="s">
        <v>728</v>
      </c>
      <c r="D1050" s="304">
        <v>100</v>
      </c>
      <c r="E1050" s="304">
        <f t="shared" si="1271"/>
        <v>0</v>
      </c>
      <c r="F1050" s="304">
        <f>F1051</f>
        <v>0</v>
      </c>
      <c r="G1050" s="304">
        <f>G1051</f>
        <v>-100</v>
      </c>
      <c r="H1050" s="304">
        <f t="shared" ref="H1050:AB1050" si="1289">H1051</f>
        <v>0</v>
      </c>
      <c r="I1050" s="304">
        <f t="shared" si="1289"/>
        <v>0</v>
      </c>
      <c r="J1050" s="304">
        <f t="shared" si="1289"/>
        <v>0</v>
      </c>
      <c r="K1050" s="304">
        <f t="shared" si="1289"/>
        <v>0</v>
      </c>
      <c r="L1050" s="304">
        <f t="shared" si="1289"/>
        <v>0</v>
      </c>
      <c r="M1050" s="304">
        <f t="shared" si="1289"/>
        <v>0</v>
      </c>
      <c r="N1050" s="304">
        <f t="shared" si="1289"/>
        <v>0</v>
      </c>
      <c r="O1050" s="304">
        <f t="shared" si="1289"/>
        <v>0</v>
      </c>
      <c r="P1050" s="304">
        <f t="shared" si="1289"/>
        <v>0</v>
      </c>
      <c r="Q1050" s="304">
        <f t="shared" si="1289"/>
        <v>0</v>
      </c>
      <c r="R1050" s="304">
        <f t="shared" si="1289"/>
        <v>0</v>
      </c>
      <c r="S1050" s="304">
        <f t="shared" si="1289"/>
        <v>0</v>
      </c>
      <c r="T1050" s="304">
        <f t="shared" si="1289"/>
        <v>0</v>
      </c>
      <c r="U1050" s="304">
        <f t="shared" si="1289"/>
        <v>0</v>
      </c>
      <c r="V1050" s="304">
        <f t="shared" si="1289"/>
        <v>0</v>
      </c>
      <c r="W1050" s="304">
        <f t="shared" si="1289"/>
        <v>0</v>
      </c>
      <c r="X1050" s="304">
        <f t="shared" si="1289"/>
        <v>0</v>
      </c>
      <c r="Y1050" s="304">
        <f t="shared" si="1289"/>
        <v>0</v>
      </c>
      <c r="Z1050" s="304">
        <f t="shared" si="1289"/>
        <v>0</v>
      </c>
      <c r="AA1050" s="304">
        <f t="shared" si="1289"/>
        <v>0</v>
      </c>
      <c r="AB1050" s="304">
        <f t="shared" si="1289"/>
        <v>0</v>
      </c>
      <c r="AC1050" s="304"/>
      <c r="AD1050" s="304">
        <v>0</v>
      </c>
      <c r="AE1050" s="303">
        <f>E1050-AD1050</f>
        <v>0</v>
      </c>
      <c r="AF1050" s="317"/>
      <c r="AG1050" s="314">
        <f t="shared" si="1279"/>
        <v>0</v>
      </c>
      <c r="AH1050" s="696">
        <f t="shared" si="1280"/>
        <v>0</v>
      </c>
      <c r="AI1050" s="314">
        <f t="shared" si="1281"/>
        <v>0</v>
      </c>
      <c r="AJ1050" s="314">
        <f t="shared" si="1282"/>
        <v>0</v>
      </c>
      <c r="AK1050" s="314">
        <f t="shared" si="1283"/>
        <v>0</v>
      </c>
      <c r="AL1050" s="314">
        <f t="shared" si="1284"/>
        <v>0</v>
      </c>
      <c r="AM1050" s="314">
        <f t="shared" si="1285"/>
        <v>0</v>
      </c>
      <c r="AN1050" s="314">
        <f t="shared" si="1286"/>
        <v>0</v>
      </c>
      <c r="AO1050" s="314">
        <f t="shared" si="1287"/>
        <v>0</v>
      </c>
      <c r="AP1050" s="314">
        <f t="shared" si="1288"/>
        <v>0</v>
      </c>
    </row>
    <row r="1051" spans="1:42" hidden="1" outlineLevel="3">
      <c r="A1051" s="593" t="s">
        <v>23</v>
      </c>
      <c r="B1051" s="316" t="s">
        <v>1221</v>
      </c>
      <c r="C1051" s="304"/>
      <c r="D1051" s="304">
        <v>100</v>
      </c>
      <c r="E1051" s="304">
        <f t="shared" si="1271"/>
        <v>0</v>
      </c>
      <c r="F1051" s="304">
        <f>H1051-AB1051</f>
        <v>0</v>
      </c>
      <c r="G1051" s="304">
        <f t="shared" ref="G1051:G1078" si="1290">F1051-D1051</f>
        <v>-100</v>
      </c>
      <c r="H1051" s="303">
        <f t="shared" ref="H1051" si="1291">I1051+W1051</f>
        <v>0</v>
      </c>
      <c r="I1051" s="303">
        <f>M1051+P1051</f>
        <v>0</v>
      </c>
      <c r="J1051" s="311"/>
      <c r="K1051" s="311"/>
      <c r="L1051" s="311"/>
      <c r="M1051" s="303"/>
      <c r="N1051" s="311"/>
      <c r="O1051" s="311"/>
      <c r="P1051" s="303">
        <f t="shared" si="1277"/>
        <v>0</v>
      </c>
      <c r="Q1051" s="311"/>
      <c r="R1051" s="312"/>
      <c r="S1051" s="303"/>
      <c r="T1051" s="303">
        <f t="shared" si="1278"/>
        <v>0</v>
      </c>
      <c r="U1051" s="303"/>
      <c r="V1051" s="303"/>
      <c r="W1051" s="303">
        <f>Z1051+AA1051</f>
        <v>0</v>
      </c>
      <c r="X1051" s="303"/>
      <c r="Y1051" s="303"/>
      <c r="Z1051" s="303"/>
      <c r="AA1051" s="303"/>
      <c r="AB1051" s="304"/>
      <c r="AC1051" s="304"/>
      <c r="AD1051" s="304"/>
      <c r="AE1051" s="304"/>
      <c r="AF1051" s="317"/>
      <c r="AG1051" s="314">
        <f t="shared" si="1279"/>
        <v>0</v>
      </c>
      <c r="AH1051" s="696">
        <f t="shared" si="1280"/>
        <v>0</v>
      </c>
      <c r="AI1051" s="314">
        <f t="shared" si="1281"/>
        <v>0</v>
      </c>
      <c r="AJ1051" s="314">
        <f t="shared" si="1282"/>
        <v>0</v>
      </c>
      <c r="AK1051" s="314">
        <f t="shared" si="1283"/>
        <v>0</v>
      </c>
      <c r="AL1051" s="314">
        <f t="shared" si="1284"/>
        <v>0</v>
      </c>
      <c r="AM1051" s="314">
        <f t="shared" si="1285"/>
        <v>0</v>
      </c>
      <c r="AN1051" s="314">
        <f t="shared" si="1286"/>
        <v>0</v>
      </c>
      <c r="AO1051" s="314">
        <f t="shared" si="1287"/>
        <v>0</v>
      </c>
      <c r="AP1051" s="314">
        <f t="shared" si="1288"/>
        <v>0</v>
      </c>
    </row>
    <row r="1052" spans="1:42" s="314" customFormat="1">
      <c r="A1052" s="592" t="s">
        <v>786</v>
      </c>
      <c r="B1052" s="320" t="s">
        <v>1222</v>
      </c>
      <c r="C1052" s="321"/>
      <c r="D1052" s="297">
        <f>D1053+D1060+D1057</f>
        <v>99</v>
      </c>
      <c r="E1052" s="297">
        <f>E1053+E1060+E1057</f>
        <v>118</v>
      </c>
      <c r="F1052" s="297">
        <f>F1053+F1060+F1057</f>
        <v>118</v>
      </c>
      <c r="G1052" s="297">
        <f t="shared" si="1290"/>
        <v>19</v>
      </c>
      <c r="H1052" s="297">
        <f t="shared" ref="H1052:W1052" si="1292">H1053+H1060+H1057</f>
        <v>118</v>
      </c>
      <c r="I1052" s="297">
        <f t="shared" si="1292"/>
        <v>118</v>
      </c>
      <c r="J1052" s="297">
        <f t="shared" si="1292"/>
        <v>0</v>
      </c>
      <c r="K1052" s="297">
        <f t="shared" si="1292"/>
        <v>0</v>
      </c>
      <c r="L1052" s="297">
        <f t="shared" si="1292"/>
        <v>0</v>
      </c>
      <c r="M1052" s="297">
        <f t="shared" si="1292"/>
        <v>0</v>
      </c>
      <c r="N1052" s="297">
        <f t="shared" si="1292"/>
        <v>0</v>
      </c>
      <c r="O1052" s="297">
        <f t="shared" si="1292"/>
        <v>0</v>
      </c>
      <c r="P1052" s="297">
        <f t="shared" si="1292"/>
        <v>118</v>
      </c>
      <c r="Q1052" s="297">
        <f t="shared" si="1292"/>
        <v>0</v>
      </c>
      <c r="R1052" s="297">
        <f t="shared" si="1292"/>
        <v>0</v>
      </c>
      <c r="S1052" s="297">
        <f t="shared" si="1292"/>
        <v>0</v>
      </c>
      <c r="T1052" s="297">
        <f t="shared" si="1292"/>
        <v>118</v>
      </c>
      <c r="U1052" s="297">
        <f t="shared" si="1292"/>
        <v>99</v>
      </c>
      <c r="V1052" s="297">
        <f t="shared" si="1292"/>
        <v>19</v>
      </c>
      <c r="W1052" s="297">
        <f t="shared" si="1292"/>
        <v>0</v>
      </c>
      <c r="X1052" s="297"/>
      <c r="Y1052" s="297"/>
      <c r="Z1052" s="297">
        <f t="shared" ref="Z1052:AE1052" si="1293">Z1053+Z1060+Z1057</f>
        <v>0</v>
      </c>
      <c r="AA1052" s="297">
        <f t="shared" si="1293"/>
        <v>0</v>
      </c>
      <c r="AB1052" s="297">
        <f t="shared" si="1293"/>
        <v>0</v>
      </c>
      <c r="AC1052" s="297">
        <f t="shared" si="1293"/>
        <v>0</v>
      </c>
      <c r="AD1052" s="297">
        <f t="shared" si="1293"/>
        <v>11</v>
      </c>
      <c r="AE1052" s="297">
        <f t="shared" si="1293"/>
        <v>107</v>
      </c>
      <c r="AF1052" s="321"/>
      <c r="AG1052" s="314">
        <f t="shared" si="1279"/>
        <v>0</v>
      </c>
      <c r="AH1052" s="696">
        <f t="shared" si="1280"/>
        <v>0</v>
      </c>
      <c r="AI1052" s="314">
        <f t="shared" si="1281"/>
        <v>0</v>
      </c>
      <c r="AJ1052" s="314">
        <f t="shared" si="1282"/>
        <v>0</v>
      </c>
      <c r="AK1052" s="314">
        <f t="shared" si="1283"/>
        <v>0</v>
      </c>
      <c r="AL1052" s="314">
        <f t="shared" si="1284"/>
        <v>0</v>
      </c>
      <c r="AM1052" s="314">
        <f t="shared" si="1285"/>
        <v>0</v>
      </c>
      <c r="AN1052" s="314">
        <f t="shared" si="1286"/>
        <v>0</v>
      </c>
      <c r="AO1052" s="314">
        <f t="shared" si="1287"/>
        <v>0</v>
      </c>
      <c r="AP1052" s="314">
        <f t="shared" si="1288"/>
        <v>0</v>
      </c>
    </row>
    <row r="1053" spans="1:42">
      <c r="A1053" s="583" t="s">
        <v>45</v>
      </c>
      <c r="B1053" s="316" t="s">
        <v>1223</v>
      </c>
      <c r="C1053" s="302" t="s">
        <v>756</v>
      </c>
      <c r="D1053" s="304">
        <v>65</v>
      </c>
      <c r="E1053" s="304">
        <f>E1054+E1055+E1056</f>
        <v>84</v>
      </c>
      <c r="F1053" s="304">
        <f t="shared" ref="F1053:AC1053" si="1294">F1054+F1055+F1056</f>
        <v>84</v>
      </c>
      <c r="G1053" s="304">
        <f t="shared" si="1294"/>
        <v>19</v>
      </c>
      <c r="H1053" s="304">
        <f t="shared" si="1294"/>
        <v>84</v>
      </c>
      <c r="I1053" s="304">
        <f t="shared" si="1294"/>
        <v>84</v>
      </c>
      <c r="J1053" s="304">
        <f t="shared" si="1294"/>
        <v>0</v>
      </c>
      <c r="K1053" s="304">
        <f t="shared" si="1294"/>
        <v>0</v>
      </c>
      <c r="L1053" s="304">
        <f t="shared" si="1294"/>
        <v>0</v>
      </c>
      <c r="M1053" s="304">
        <f t="shared" si="1294"/>
        <v>0</v>
      </c>
      <c r="N1053" s="304">
        <f t="shared" si="1294"/>
        <v>0</v>
      </c>
      <c r="O1053" s="304">
        <f t="shared" si="1294"/>
        <v>0</v>
      </c>
      <c r="P1053" s="304">
        <f t="shared" si="1294"/>
        <v>84</v>
      </c>
      <c r="Q1053" s="304">
        <f t="shared" si="1294"/>
        <v>0</v>
      </c>
      <c r="R1053" s="304">
        <f t="shared" si="1294"/>
        <v>0</v>
      </c>
      <c r="S1053" s="304">
        <f t="shared" si="1294"/>
        <v>0</v>
      </c>
      <c r="T1053" s="304">
        <f t="shared" si="1294"/>
        <v>84</v>
      </c>
      <c r="U1053" s="304">
        <f t="shared" si="1294"/>
        <v>65</v>
      </c>
      <c r="V1053" s="304">
        <f t="shared" si="1294"/>
        <v>19</v>
      </c>
      <c r="W1053" s="304">
        <f t="shared" si="1294"/>
        <v>0</v>
      </c>
      <c r="X1053" s="304">
        <f t="shared" si="1294"/>
        <v>0</v>
      </c>
      <c r="Y1053" s="304">
        <f t="shared" si="1294"/>
        <v>0</v>
      </c>
      <c r="Z1053" s="304">
        <f t="shared" si="1294"/>
        <v>0</v>
      </c>
      <c r="AA1053" s="304">
        <f t="shared" si="1294"/>
        <v>0</v>
      </c>
      <c r="AB1053" s="304">
        <f t="shared" si="1294"/>
        <v>0</v>
      </c>
      <c r="AC1053" s="304">
        <f t="shared" si="1294"/>
        <v>0</v>
      </c>
      <c r="AD1053" s="304">
        <v>8</v>
      </c>
      <c r="AE1053" s="303">
        <f>E1053-AD1053</f>
        <v>76</v>
      </c>
      <c r="AF1053" s="317"/>
      <c r="AG1053" s="314">
        <f t="shared" si="1279"/>
        <v>0</v>
      </c>
      <c r="AH1053" s="696">
        <f t="shared" si="1280"/>
        <v>0</v>
      </c>
      <c r="AI1053" s="314">
        <f t="shared" si="1281"/>
        <v>0</v>
      </c>
      <c r="AJ1053" s="314">
        <f t="shared" si="1282"/>
        <v>0</v>
      </c>
      <c r="AK1053" s="314">
        <f t="shared" si="1283"/>
        <v>0</v>
      </c>
      <c r="AL1053" s="314">
        <f t="shared" si="1284"/>
        <v>0</v>
      </c>
      <c r="AM1053" s="314">
        <f t="shared" si="1285"/>
        <v>0</v>
      </c>
      <c r="AN1053" s="314">
        <f t="shared" si="1286"/>
        <v>0</v>
      </c>
      <c r="AO1053" s="314">
        <f t="shared" si="1287"/>
        <v>0</v>
      </c>
      <c r="AP1053" s="314">
        <f t="shared" si="1288"/>
        <v>0</v>
      </c>
    </row>
    <row r="1054" spans="1:42" outlineLevel="2">
      <c r="A1054" s="583" t="s">
        <v>23</v>
      </c>
      <c r="B1054" s="316" t="s">
        <v>1224</v>
      </c>
      <c r="C1054" s="302"/>
      <c r="D1054" s="304">
        <v>36</v>
      </c>
      <c r="E1054" s="304">
        <f t="shared" ref="E1054:E1078" si="1295">F1054+AC1054</f>
        <v>36</v>
      </c>
      <c r="F1054" s="304">
        <f>H1054-AB1054</f>
        <v>36</v>
      </c>
      <c r="G1054" s="304">
        <f t="shared" si="1290"/>
        <v>0</v>
      </c>
      <c r="H1054" s="303">
        <f t="shared" ref="H1054:H1056" si="1296">I1054+W1054</f>
        <v>36</v>
      </c>
      <c r="I1054" s="303">
        <f t="shared" ref="I1054:I1056" si="1297">M1054+P1054</f>
        <v>36</v>
      </c>
      <c r="J1054" s="311"/>
      <c r="K1054" s="311"/>
      <c r="L1054" s="311"/>
      <c r="M1054" s="303"/>
      <c r="N1054" s="311"/>
      <c r="O1054" s="311"/>
      <c r="P1054" s="303">
        <f t="shared" ref="P1054:P1056" si="1298">S1054+T1054</f>
        <v>36</v>
      </c>
      <c r="Q1054" s="311"/>
      <c r="R1054" s="312"/>
      <c r="S1054" s="303"/>
      <c r="T1054" s="303">
        <f t="shared" ref="T1054:T1056" si="1299">U1054+V1054</f>
        <v>36</v>
      </c>
      <c r="U1054" s="303">
        <v>36</v>
      </c>
      <c r="V1054" s="303"/>
      <c r="W1054" s="303"/>
      <c r="X1054" s="303"/>
      <c r="Y1054" s="303"/>
      <c r="Z1054" s="303"/>
      <c r="AA1054" s="303"/>
      <c r="AB1054" s="304"/>
      <c r="AC1054" s="304"/>
      <c r="AD1054" s="304"/>
      <c r="AE1054" s="304"/>
      <c r="AF1054" s="317"/>
      <c r="AG1054" s="314">
        <f t="shared" si="1279"/>
        <v>0</v>
      </c>
      <c r="AH1054" s="696">
        <f t="shared" si="1280"/>
        <v>0</v>
      </c>
      <c r="AI1054" s="314">
        <f t="shared" si="1281"/>
        <v>0</v>
      </c>
      <c r="AJ1054" s="314">
        <f t="shared" si="1282"/>
        <v>0</v>
      </c>
      <c r="AK1054" s="314">
        <f t="shared" si="1283"/>
        <v>0</v>
      </c>
      <c r="AL1054" s="314">
        <f t="shared" si="1284"/>
        <v>0</v>
      </c>
      <c r="AM1054" s="314">
        <f t="shared" si="1285"/>
        <v>0</v>
      </c>
      <c r="AN1054" s="314">
        <f t="shared" si="1286"/>
        <v>0</v>
      </c>
      <c r="AO1054" s="314">
        <f t="shared" si="1287"/>
        <v>0</v>
      </c>
      <c r="AP1054" s="314">
        <f t="shared" si="1288"/>
        <v>0</v>
      </c>
    </row>
    <row r="1055" spans="1:42" outlineLevel="2">
      <c r="A1055" s="583" t="s">
        <v>23</v>
      </c>
      <c r="B1055" s="316" t="s">
        <v>1225</v>
      </c>
      <c r="C1055" s="302"/>
      <c r="D1055" s="304">
        <v>29</v>
      </c>
      <c r="E1055" s="304">
        <f t="shared" si="1295"/>
        <v>29</v>
      </c>
      <c r="F1055" s="304">
        <f>H1055-AB1055</f>
        <v>29</v>
      </c>
      <c r="G1055" s="304">
        <f t="shared" si="1290"/>
        <v>0</v>
      </c>
      <c r="H1055" s="303">
        <f t="shared" si="1296"/>
        <v>29</v>
      </c>
      <c r="I1055" s="303">
        <f t="shared" si="1297"/>
        <v>29</v>
      </c>
      <c r="J1055" s="311"/>
      <c r="K1055" s="311"/>
      <c r="L1055" s="311"/>
      <c r="M1055" s="303"/>
      <c r="N1055" s="311"/>
      <c r="O1055" s="311"/>
      <c r="P1055" s="303">
        <f t="shared" si="1298"/>
        <v>29</v>
      </c>
      <c r="Q1055" s="311"/>
      <c r="R1055" s="312"/>
      <c r="S1055" s="303"/>
      <c r="T1055" s="303">
        <f t="shared" si="1299"/>
        <v>29</v>
      </c>
      <c r="U1055" s="303">
        <v>29</v>
      </c>
      <c r="V1055" s="303"/>
      <c r="W1055" s="303"/>
      <c r="X1055" s="303"/>
      <c r="Y1055" s="303"/>
      <c r="Z1055" s="303"/>
      <c r="AA1055" s="303"/>
      <c r="AB1055" s="304"/>
      <c r="AC1055" s="304"/>
      <c r="AD1055" s="304"/>
      <c r="AE1055" s="304"/>
      <c r="AF1055" s="317"/>
      <c r="AG1055" s="314">
        <f t="shared" si="1279"/>
        <v>0</v>
      </c>
      <c r="AH1055" s="696">
        <f t="shared" si="1280"/>
        <v>0</v>
      </c>
      <c r="AI1055" s="314">
        <f t="shared" si="1281"/>
        <v>0</v>
      </c>
      <c r="AJ1055" s="314">
        <f t="shared" si="1282"/>
        <v>0</v>
      </c>
      <c r="AK1055" s="314">
        <f t="shared" si="1283"/>
        <v>0</v>
      </c>
      <c r="AL1055" s="314">
        <f t="shared" si="1284"/>
        <v>0</v>
      </c>
      <c r="AM1055" s="314">
        <f t="shared" si="1285"/>
        <v>0</v>
      </c>
      <c r="AN1055" s="314">
        <f t="shared" si="1286"/>
        <v>0</v>
      </c>
      <c r="AO1055" s="314">
        <f t="shared" si="1287"/>
        <v>0</v>
      </c>
      <c r="AP1055" s="314">
        <f t="shared" si="1288"/>
        <v>0</v>
      </c>
    </row>
    <row r="1056" spans="1:42" ht="41.4" outlineLevel="1">
      <c r="A1056" s="593" t="s">
        <v>23</v>
      </c>
      <c r="B1056" s="346" t="s">
        <v>2257</v>
      </c>
      <c r="C1056" s="304"/>
      <c r="D1056" s="304"/>
      <c r="E1056" s="304">
        <f t="shared" si="1295"/>
        <v>19</v>
      </c>
      <c r="F1056" s="304">
        <f>H1056-AB1056</f>
        <v>19</v>
      </c>
      <c r="G1056" s="304">
        <f t="shared" si="1290"/>
        <v>19</v>
      </c>
      <c r="H1056" s="303">
        <f t="shared" si="1296"/>
        <v>19</v>
      </c>
      <c r="I1056" s="303">
        <f t="shared" si="1297"/>
        <v>19</v>
      </c>
      <c r="J1056" s="311"/>
      <c r="K1056" s="311"/>
      <c r="L1056" s="311"/>
      <c r="M1056" s="303"/>
      <c r="N1056" s="311"/>
      <c r="O1056" s="311"/>
      <c r="P1056" s="303">
        <f t="shared" si="1298"/>
        <v>19</v>
      </c>
      <c r="Q1056" s="311"/>
      <c r="R1056" s="312"/>
      <c r="S1056" s="303"/>
      <c r="T1056" s="303">
        <f t="shared" si="1299"/>
        <v>19</v>
      </c>
      <c r="U1056" s="303"/>
      <c r="V1056" s="303">
        <v>19</v>
      </c>
      <c r="W1056" s="303"/>
      <c r="X1056" s="303"/>
      <c r="Y1056" s="303"/>
      <c r="Z1056" s="303"/>
      <c r="AA1056" s="303"/>
      <c r="AB1056" s="304"/>
      <c r="AC1056" s="304"/>
      <c r="AD1056" s="304"/>
      <c r="AE1056" s="304"/>
      <c r="AF1056" s="347" t="s">
        <v>2365</v>
      </c>
      <c r="AG1056" s="314">
        <f t="shared" si="1279"/>
        <v>0</v>
      </c>
      <c r="AH1056" s="696">
        <f t="shared" si="1280"/>
        <v>0</v>
      </c>
      <c r="AI1056" s="314">
        <f t="shared" si="1281"/>
        <v>0</v>
      </c>
      <c r="AJ1056" s="314">
        <f t="shared" si="1282"/>
        <v>0</v>
      </c>
      <c r="AK1056" s="314">
        <f t="shared" si="1283"/>
        <v>0</v>
      </c>
      <c r="AL1056" s="314">
        <f t="shared" si="1284"/>
        <v>0</v>
      </c>
      <c r="AM1056" s="314">
        <f t="shared" si="1285"/>
        <v>0</v>
      </c>
      <c r="AN1056" s="314">
        <f t="shared" si="1286"/>
        <v>0</v>
      </c>
      <c r="AO1056" s="314">
        <f t="shared" si="1287"/>
        <v>0</v>
      </c>
      <c r="AP1056" s="314">
        <f t="shared" si="1288"/>
        <v>0</v>
      </c>
    </row>
    <row r="1057" spans="1:42">
      <c r="A1057" s="583" t="s">
        <v>47</v>
      </c>
      <c r="B1057" s="316" t="s">
        <v>1226</v>
      </c>
      <c r="C1057" s="302" t="s">
        <v>756</v>
      </c>
      <c r="D1057" s="303">
        <v>34</v>
      </c>
      <c r="E1057" s="303">
        <f t="shared" si="1295"/>
        <v>34</v>
      </c>
      <c r="F1057" s="303">
        <f t="shared" ref="F1057" si="1300">F1058+F1059</f>
        <v>34</v>
      </c>
      <c r="G1057" s="303">
        <f t="shared" si="1290"/>
        <v>0</v>
      </c>
      <c r="H1057" s="303">
        <f>H1058+H1059</f>
        <v>34</v>
      </c>
      <c r="I1057" s="303">
        <f t="shared" ref="I1057:Z1057" si="1301">I1058+I1059</f>
        <v>34</v>
      </c>
      <c r="J1057" s="303">
        <f t="shared" si="1301"/>
        <v>0</v>
      </c>
      <c r="K1057" s="303">
        <f t="shared" si="1301"/>
        <v>0</v>
      </c>
      <c r="L1057" s="303">
        <f t="shared" si="1301"/>
        <v>0</v>
      </c>
      <c r="M1057" s="303">
        <f t="shared" si="1301"/>
        <v>0</v>
      </c>
      <c r="N1057" s="303">
        <f t="shared" si="1301"/>
        <v>0</v>
      </c>
      <c r="O1057" s="303">
        <f t="shared" si="1301"/>
        <v>0</v>
      </c>
      <c r="P1057" s="303">
        <f t="shared" si="1301"/>
        <v>34</v>
      </c>
      <c r="Q1057" s="303">
        <f t="shared" si="1301"/>
        <v>0</v>
      </c>
      <c r="R1057" s="303">
        <f t="shared" si="1301"/>
        <v>0</v>
      </c>
      <c r="S1057" s="303">
        <f t="shared" si="1301"/>
        <v>0</v>
      </c>
      <c r="T1057" s="303">
        <f t="shared" si="1301"/>
        <v>34</v>
      </c>
      <c r="U1057" s="303">
        <f t="shared" si="1301"/>
        <v>34</v>
      </c>
      <c r="V1057" s="303">
        <f t="shared" si="1301"/>
        <v>0</v>
      </c>
      <c r="W1057" s="303">
        <f>W1058+W1059</f>
        <v>0</v>
      </c>
      <c r="X1057" s="303"/>
      <c r="Y1057" s="303"/>
      <c r="Z1057" s="303">
        <f t="shared" si="1301"/>
        <v>0</v>
      </c>
      <c r="AA1057" s="303">
        <f>AA1058+AA1059</f>
        <v>0</v>
      </c>
      <c r="AB1057" s="303"/>
      <c r="AC1057" s="303"/>
      <c r="AD1057" s="303">
        <v>3</v>
      </c>
      <c r="AE1057" s="303">
        <f>E1057-AD1057</f>
        <v>31</v>
      </c>
      <c r="AF1057" s="317"/>
      <c r="AG1057" s="314">
        <f t="shared" si="1279"/>
        <v>0</v>
      </c>
      <c r="AH1057" s="696">
        <f t="shared" si="1280"/>
        <v>0</v>
      </c>
      <c r="AI1057" s="314">
        <f t="shared" si="1281"/>
        <v>0</v>
      </c>
      <c r="AJ1057" s="314">
        <f t="shared" si="1282"/>
        <v>0</v>
      </c>
      <c r="AK1057" s="314">
        <f t="shared" si="1283"/>
        <v>0</v>
      </c>
      <c r="AL1057" s="314">
        <f t="shared" si="1284"/>
        <v>0</v>
      </c>
      <c r="AM1057" s="314">
        <f t="shared" si="1285"/>
        <v>0</v>
      </c>
      <c r="AN1057" s="314">
        <f t="shared" si="1286"/>
        <v>0</v>
      </c>
      <c r="AO1057" s="314">
        <f t="shared" si="1287"/>
        <v>0</v>
      </c>
      <c r="AP1057" s="314">
        <f t="shared" si="1288"/>
        <v>0</v>
      </c>
    </row>
    <row r="1058" spans="1:42" ht="27.6" outlineLevel="2">
      <c r="A1058" s="583" t="s">
        <v>23</v>
      </c>
      <c r="B1058" s="316" t="s">
        <v>1227</v>
      </c>
      <c r="C1058" s="302"/>
      <c r="D1058" s="304">
        <v>30.4</v>
      </c>
      <c r="E1058" s="304">
        <f t="shared" si="1295"/>
        <v>30.4</v>
      </c>
      <c r="F1058" s="304">
        <f t="shared" ref="F1058:F1078" si="1302">H1058-AB1058</f>
        <v>30.4</v>
      </c>
      <c r="G1058" s="304">
        <f t="shared" si="1290"/>
        <v>0</v>
      </c>
      <c r="H1058" s="303">
        <f t="shared" ref="H1058:H1059" si="1303">I1058+W1058</f>
        <v>30.4</v>
      </c>
      <c r="I1058" s="303">
        <f t="shared" ref="I1058:I1059" si="1304">M1058+P1058</f>
        <v>30.4</v>
      </c>
      <c r="J1058" s="311"/>
      <c r="K1058" s="311"/>
      <c r="L1058" s="311"/>
      <c r="M1058" s="303"/>
      <c r="N1058" s="311"/>
      <c r="O1058" s="311"/>
      <c r="P1058" s="303">
        <f t="shared" ref="P1058:P1059" si="1305">S1058+T1058</f>
        <v>30.4</v>
      </c>
      <c r="Q1058" s="311"/>
      <c r="R1058" s="312"/>
      <c r="S1058" s="303"/>
      <c r="T1058" s="303">
        <f t="shared" ref="T1058:T1059" si="1306">U1058+V1058</f>
        <v>30.4</v>
      </c>
      <c r="U1058" s="303">
        <v>30.4</v>
      </c>
      <c r="V1058" s="303"/>
      <c r="W1058" s="303"/>
      <c r="X1058" s="303"/>
      <c r="Y1058" s="303"/>
      <c r="Z1058" s="303"/>
      <c r="AA1058" s="303"/>
      <c r="AB1058" s="304"/>
      <c r="AC1058" s="304"/>
      <c r="AD1058" s="304"/>
      <c r="AE1058" s="304"/>
      <c r="AF1058" s="317"/>
      <c r="AG1058" s="314">
        <f t="shared" si="1279"/>
        <v>0</v>
      </c>
      <c r="AH1058" s="696">
        <f t="shared" si="1280"/>
        <v>0</v>
      </c>
      <c r="AI1058" s="314">
        <f t="shared" si="1281"/>
        <v>0</v>
      </c>
      <c r="AJ1058" s="314">
        <f t="shared" si="1282"/>
        <v>0</v>
      </c>
      <c r="AK1058" s="314">
        <f t="shared" si="1283"/>
        <v>0</v>
      </c>
      <c r="AL1058" s="314">
        <f t="shared" si="1284"/>
        <v>0</v>
      </c>
      <c r="AM1058" s="314">
        <f t="shared" si="1285"/>
        <v>0</v>
      </c>
      <c r="AN1058" s="314">
        <f t="shared" si="1286"/>
        <v>0</v>
      </c>
      <c r="AO1058" s="314">
        <f t="shared" si="1287"/>
        <v>0</v>
      </c>
      <c r="AP1058" s="314">
        <f t="shared" si="1288"/>
        <v>0</v>
      </c>
    </row>
    <row r="1059" spans="1:42" ht="41.4" outlineLevel="2">
      <c r="A1059" s="583" t="s">
        <v>23</v>
      </c>
      <c r="B1059" s="316" t="s">
        <v>1228</v>
      </c>
      <c r="C1059" s="302"/>
      <c r="D1059" s="304">
        <v>3.6</v>
      </c>
      <c r="E1059" s="304">
        <f t="shared" si="1295"/>
        <v>3.6</v>
      </c>
      <c r="F1059" s="304">
        <f t="shared" si="1302"/>
        <v>3.6</v>
      </c>
      <c r="G1059" s="304">
        <f t="shared" si="1290"/>
        <v>0</v>
      </c>
      <c r="H1059" s="303">
        <f t="shared" si="1303"/>
        <v>3.6</v>
      </c>
      <c r="I1059" s="303">
        <f t="shared" si="1304"/>
        <v>3.6</v>
      </c>
      <c r="J1059" s="311"/>
      <c r="K1059" s="311"/>
      <c r="L1059" s="311"/>
      <c r="M1059" s="303"/>
      <c r="N1059" s="311"/>
      <c r="O1059" s="311"/>
      <c r="P1059" s="303">
        <f t="shared" si="1305"/>
        <v>3.6</v>
      </c>
      <c r="Q1059" s="311"/>
      <c r="R1059" s="312"/>
      <c r="S1059" s="303"/>
      <c r="T1059" s="303">
        <f t="shared" si="1306"/>
        <v>3.6</v>
      </c>
      <c r="U1059" s="303">
        <v>3.6</v>
      </c>
      <c r="V1059" s="303"/>
      <c r="W1059" s="303"/>
      <c r="X1059" s="303"/>
      <c r="Y1059" s="303"/>
      <c r="Z1059" s="303"/>
      <c r="AA1059" s="303"/>
      <c r="AB1059" s="304"/>
      <c r="AC1059" s="304"/>
      <c r="AD1059" s="304"/>
      <c r="AE1059" s="304"/>
      <c r="AF1059" s="317"/>
      <c r="AG1059" s="314">
        <f t="shared" si="1279"/>
        <v>0</v>
      </c>
      <c r="AH1059" s="696">
        <f t="shared" si="1280"/>
        <v>0</v>
      </c>
      <c r="AI1059" s="314">
        <f t="shared" si="1281"/>
        <v>0</v>
      </c>
      <c r="AJ1059" s="314">
        <f t="shared" si="1282"/>
        <v>0</v>
      </c>
      <c r="AK1059" s="314">
        <f t="shared" si="1283"/>
        <v>0</v>
      </c>
      <c r="AL1059" s="314">
        <f t="shared" si="1284"/>
        <v>0</v>
      </c>
      <c r="AM1059" s="314">
        <f t="shared" si="1285"/>
        <v>0</v>
      </c>
      <c r="AN1059" s="314">
        <f t="shared" si="1286"/>
        <v>0</v>
      </c>
      <c r="AO1059" s="314">
        <f t="shared" si="1287"/>
        <v>0</v>
      </c>
      <c r="AP1059" s="314">
        <f t="shared" si="1288"/>
        <v>0</v>
      </c>
    </row>
    <row r="1060" spans="1:42" ht="27.6" hidden="1" outlineLevel="3">
      <c r="A1060" s="583" t="s">
        <v>49</v>
      </c>
      <c r="B1060" s="316" t="s">
        <v>1677</v>
      </c>
      <c r="C1060" s="302" t="s">
        <v>756</v>
      </c>
      <c r="D1060" s="304">
        <v>0</v>
      </c>
      <c r="E1060" s="304">
        <f t="shared" si="1295"/>
        <v>0</v>
      </c>
      <c r="F1060" s="304">
        <f t="shared" si="1302"/>
        <v>0</v>
      </c>
      <c r="G1060" s="304">
        <f t="shared" si="1290"/>
        <v>0</v>
      </c>
      <c r="H1060" s="303">
        <f>I1060+W1060</f>
        <v>0</v>
      </c>
      <c r="I1060" s="303">
        <f>M1060+P1060</f>
        <v>0</v>
      </c>
      <c r="J1060" s="311"/>
      <c r="K1060" s="311"/>
      <c r="L1060" s="311"/>
      <c r="M1060" s="303"/>
      <c r="N1060" s="311"/>
      <c r="O1060" s="311"/>
      <c r="P1060" s="303">
        <f>S1060+T1060</f>
        <v>0</v>
      </c>
      <c r="Q1060" s="311"/>
      <c r="R1060" s="312"/>
      <c r="S1060" s="303"/>
      <c r="T1060" s="303">
        <f>U1060+V1060</f>
        <v>0</v>
      </c>
      <c r="U1060" s="303"/>
      <c r="V1060" s="303"/>
      <c r="W1060" s="303"/>
      <c r="X1060" s="303"/>
      <c r="Y1060" s="303"/>
      <c r="Z1060" s="303"/>
      <c r="AA1060" s="303"/>
      <c r="AB1060" s="304"/>
      <c r="AC1060" s="304"/>
      <c r="AD1060" s="304"/>
      <c r="AE1060" s="303"/>
      <c r="AF1060" s="317" t="s">
        <v>2258</v>
      </c>
      <c r="AG1060" s="314">
        <f t="shared" si="1279"/>
        <v>0</v>
      </c>
      <c r="AH1060" s="696">
        <f t="shared" si="1280"/>
        <v>0</v>
      </c>
      <c r="AI1060" s="314">
        <f t="shared" si="1281"/>
        <v>0</v>
      </c>
      <c r="AJ1060" s="314">
        <f t="shared" si="1282"/>
        <v>0</v>
      </c>
      <c r="AK1060" s="314">
        <f t="shared" si="1283"/>
        <v>0</v>
      </c>
      <c r="AL1060" s="314">
        <f t="shared" si="1284"/>
        <v>0</v>
      </c>
      <c r="AM1060" s="314">
        <f t="shared" si="1285"/>
        <v>0</v>
      </c>
      <c r="AN1060" s="314">
        <f t="shared" si="1286"/>
        <v>0</v>
      </c>
      <c r="AO1060" s="314">
        <f t="shared" si="1287"/>
        <v>0</v>
      </c>
      <c r="AP1060" s="314">
        <f t="shared" si="1288"/>
        <v>0</v>
      </c>
    </row>
    <row r="1061" spans="1:42" s="314" customFormat="1" ht="96.6">
      <c r="A1061" s="595" t="s">
        <v>787</v>
      </c>
      <c r="B1061" s="1305" t="s">
        <v>2401</v>
      </c>
      <c r="C1061" s="315" t="s">
        <v>767</v>
      </c>
      <c r="D1061" s="297">
        <v>200</v>
      </c>
      <c r="E1061" s="297">
        <f t="shared" si="1295"/>
        <v>150</v>
      </c>
      <c r="F1061" s="297">
        <f t="shared" si="1302"/>
        <v>150</v>
      </c>
      <c r="G1061" s="297">
        <f t="shared" si="1290"/>
        <v>-50</v>
      </c>
      <c r="H1061" s="299">
        <f t="shared" ref="H1061:H1109" si="1307">I1061+W1061</f>
        <v>150</v>
      </c>
      <c r="I1061" s="299">
        <f t="shared" ref="I1061:I1077" si="1308">M1061+P1061</f>
        <v>150</v>
      </c>
      <c r="J1061" s="318"/>
      <c r="K1061" s="318"/>
      <c r="L1061" s="318"/>
      <c r="M1061" s="299"/>
      <c r="N1061" s="318"/>
      <c r="O1061" s="318"/>
      <c r="P1061" s="299">
        <f t="shared" ref="P1061:P1077" si="1309">S1061+T1061</f>
        <v>150</v>
      </c>
      <c r="Q1061" s="318"/>
      <c r="R1061" s="319"/>
      <c r="S1061" s="299"/>
      <c r="T1061" s="299">
        <f>U1061+V1061</f>
        <v>150</v>
      </c>
      <c r="U1061" s="299"/>
      <c r="V1061" s="299">
        <v>150</v>
      </c>
      <c r="W1061" s="299">
        <f t="shared" ref="W1061:W1077" si="1310">Z1061+AA1061</f>
        <v>0</v>
      </c>
      <c r="X1061" s="299"/>
      <c r="Y1061" s="299"/>
      <c r="Z1061" s="299"/>
      <c r="AA1061" s="299"/>
      <c r="AB1061" s="297"/>
      <c r="AC1061" s="297"/>
      <c r="AD1061" s="297">
        <v>15</v>
      </c>
      <c r="AE1061" s="299">
        <f>E1061-AD1061</f>
        <v>135</v>
      </c>
      <c r="AF1061" s="1637" t="s">
        <v>2366</v>
      </c>
      <c r="AG1061" s="314">
        <f t="shared" si="1279"/>
        <v>0</v>
      </c>
      <c r="AH1061" s="696">
        <f t="shared" si="1280"/>
        <v>0</v>
      </c>
      <c r="AI1061" s="314">
        <f t="shared" si="1281"/>
        <v>0</v>
      </c>
      <c r="AJ1061" s="314">
        <f t="shared" si="1282"/>
        <v>0</v>
      </c>
      <c r="AK1061" s="314">
        <f t="shared" si="1283"/>
        <v>0</v>
      </c>
      <c r="AL1061" s="314">
        <f t="shared" si="1284"/>
        <v>0</v>
      </c>
      <c r="AM1061" s="314">
        <f t="shared" si="1285"/>
        <v>0</v>
      </c>
      <c r="AN1061" s="314">
        <f t="shared" si="1286"/>
        <v>0</v>
      </c>
      <c r="AO1061" s="314">
        <f t="shared" si="1287"/>
        <v>0</v>
      </c>
      <c r="AP1061" s="314">
        <f t="shared" si="1288"/>
        <v>0</v>
      </c>
    </row>
    <row r="1062" spans="1:42" s="314" customFormat="1" ht="69">
      <c r="A1062" s="595" t="s">
        <v>437</v>
      </c>
      <c r="B1062" s="320" t="s">
        <v>2259</v>
      </c>
      <c r="C1062" s="315" t="s">
        <v>767</v>
      </c>
      <c r="D1062" s="297">
        <v>450</v>
      </c>
      <c r="E1062" s="297">
        <f t="shared" si="1295"/>
        <v>200</v>
      </c>
      <c r="F1062" s="297">
        <f t="shared" si="1302"/>
        <v>200</v>
      </c>
      <c r="G1062" s="297">
        <f t="shared" si="1290"/>
        <v>-250</v>
      </c>
      <c r="H1062" s="299">
        <f t="shared" si="1307"/>
        <v>200</v>
      </c>
      <c r="I1062" s="299">
        <f t="shared" si="1308"/>
        <v>200</v>
      </c>
      <c r="J1062" s="318"/>
      <c r="K1062" s="318"/>
      <c r="L1062" s="318"/>
      <c r="M1062" s="299"/>
      <c r="N1062" s="318"/>
      <c r="O1062" s="318"/>
      <c r="P1062" s="299">
        <f t="shared" si="1309"/>
        <v>200</v>
      </c>
      <c r="Q1062" s="318"/>
      <c r="R1062" s="319"/>
      <c r="S1062" s="299"/>
      <c r="T1062" s="299">
        <f>U1062+V1062</f>
        <v>200</v>
      </c>
      <c r="U1062" s="299"/>
      <c r="V1062" s="299">
        <v>200</v>
      </c>
      <c r="W1062" s="299">
        <f t="shared" si="1310"/>
        <v>0</v>
      </c>
      <c r="X1062" s="299"/>
      <c r="Y1062" s="299"/>
      <c r="Z1062" s="299"/>
      <c r="AA1062" s="299"/>
      <c r="AB1062" s="297"/>
      <c r="AC1062" s="297"/>
      <c r="AD1062" s="297">
        <v>20</v>
      </c>
      <c r="AE1062" s="299">
        <f>E1062-AD1062</f>
        <v>180</v>
      </c>
      <c r="AF1062" s="1638"/>
      <c r="AG1062" s="314">
        <f t="shared" si="1279"/>
        <v>0</v>
      </c>
      <c r="AH1062" s="696">
        <f t="shared" si="1280"/>
        <v>0</v>
      </c>
      <c r="AI1062" s="314">
        <f t="shared" si="1281"/>
        <v>0</v>
      </c>
      <c r="AJ1062" s="314">
        <f t="shared" si="1282"/>
        <v>0</v>
      </c>
      <c r="AK1062" s="314">
        <f t="shared" si="1283"/>
        <v>0</v>
      </c>
      <c r="AL1062" s="314">
        <f t="shared" si="1284"/>
        <v>0</v>
      </c>
      <c r="AM1062" s="314">
        <f t="shared" si="1285"/>
        <v>0</v>
      </c>
      <c r="AN1062" s="314">
        <f t="shared" si="1286"/>
        <v>0</v>
      </c>
      <c r="AO1062" s="314">
        <f t="shared" si="1287"/>
        <v>0</v>
      </c>
      <c r="AP1062" s="314">
        <f t="shared" si="1288"/>
        <v>0</v>
      </c>
    </row>
    <row r="1063" spans="1:42" s="314" customFormat="1" ht="41.4">
      <c r="A1063" s="592" t="s">
        <v>438</v>
      </c>
      <c r="B1063" s="751" t="s">
        <v>1678</v>
      </c>
      <c r="C1063" s="315" t="s">
        <v>752</v>
      </c>
      <c r="D1063" s="297">
        <v>22043</v>
      </c>
      <c r="E1063" s="297">
        <f t="shared" si="1295"/>
        <v>22324</v>
      </c>
      <c r="F1063" s="297">
        <f t="shared" si="1302"/>
        <v>22324</v>
      </c>
      <c r="G1063" s="299">
        <f t="shared" si="1290"/>
        <v>281</v>
      </c>
      <c r="H1063" s="299">
        <f t="shared" si="1307"/>
        <v>22324</v>
      </c>
      <c r="I1063" s="299">
        <f t="shared" ref="I1063:AD1063" si="1311">SUM(I1064:I1075)</f>
        <v>0</v>
      </c>
      <c r="J1063" s="299">
        <f t="shared" si="1311"/>
        <v>0</v>
      </c>
      <c r="K1063" s="299">
        <f t="shared" si="1311"/>
        <v>0</v>
      </c>
      <c r="L1063" s="299">
        <f t="shared" si="1311"/>
        <v>0</v>
      </c>
      <c r="M1063" s="299">
        <f t="shared" si="1311"/>
        <v>0</v>
      </c>
      <c r="N1063" s="299">
        <f t="shared" si="1311"/>
        <v>0</v>
      </c>
      <c r="O1063" s="299">
        <f t="shared" si="1311"/>
        <v>0</v>
      </c>
      <c r="P1063" s="299">
        <f t="shared" si="1311"/>
        <v>0</v>
      </c>
      <c r="Q1063" s="299">
        <f t="shared" si="1311"/>
        <v>0</v>
      </c>
      <c r="R1063" s="299">
        <f t="shared" si="1311"/>
        <v>0</v>
      </c>
      <c r="S1063" s="299">
        <f t="shared" si="1311"/>
        <v>0</v>
      </c>
      <c r="T1063" s="299">
        <f t="shared" si="1311"/>
        <v>0</v>
      </c>
      <c r="U1063" s="299">
        <f t="shared" si="1311"/>
        <v>0</v>
      </c>
      <c r="V1063" s="299">
        <f t="shared" si="1311"/>
        <v>0</v>
      </c>
      <c r="W1063" s="299">
        <f t="shared" si="1310"/>
        <v>22324</v>
      </c>
      <c r="X1063" s="299">
        <f>SUM(X1064:X1075)</f>
        <v>0</v>
      </c>
      <c r="Y1063" s="299">
        <f>SUM(Y1064:Y1075)</f>
        <v>0</v>
      </c>
      <c r="Z1063" s="299">
        <f>SUM(Z1064:Z1076)</f>
        <v>22324</v>
      </c>
      <c r="AA1063" s="299">
        <f>SUM(AA1064:AA1075)</f>
        <v>0</v>
      </c>
      <c r="AB1063" s="299">
        <f>SUM(AB1064:AB1075)</f>
        <v>0</v>
      </c>
      <c r="AC1063" s="299">
        <f t="shared" ref="AC1063" si="1312">SUM(AC1064:AC1075)</f>
        <v>0</v>
      </c>
      <c r="AD1063" s="299">
        <f t="shared" si="1311"/>
        <v>0</v>
      </c>
      <c r="AE1063" s="299">
        <f>ROUND(SUM(AE1064:AE1076),0)</f>
        <v>22324</v>
      </c>
      <c r="AF1063" s="599" t="s">
        <v>2564</v>
      </c>
      <c r="AG1063" s="314">
        <v>23000</v>
      </c>
      <c r="AH1063" s="696">
        <f t="shared" si="1280"/>
        <v>0</v>
      </c>
      <c r="AI1063" s="314">
        <f t="shared" si="1281"/>
        <v>0</v>
      </c>
      <c r="AJ1063" s="314">
        <f t="shared" si="1282"/>
        <v>0</v>
      </c>
      <c r="AK1063" s="314">
        <f t="shared" si="1283"/>
        <v>0</v>
      </c>
      <c r="AL1063" s="314">
        <f t="shared" si="1284"/>
        <v>0</v>
      </c>
      <c r="AM1063" s="314">
        <f t="shared" si="1285"/>
        <v>0</v>
      </c>
      <c r="AN1063" s="314">
        <f t="shared" si="1286"/>
        <v>0</v>
      </c>
      <c r="AO1063" s="314">
        <f t="shared" si="1287"/>
        <v>0</v>
      </c>
      <c r="AP1063" s="314">
        <f t="shared" si="1288"/>
        <v>0</v>
      </c>
    </row>
    <row r="1064" spans="1:42" s="314" customFormat="1">
      <c r="A1064" s="593" t="s">
        <v>23</v>
      </c>
      <c r="B1064" s="335" t="s">
        <v>1229</v>
      </c>
      <c r="C1064" s="334"/>
      <c r="D1064" s="304">
        <v>309</v>
      </c>
      <c r="E1064" s="304">
        <f t="shared" si="1295"/>
        <v>186</v>
      </c>
      <c r="F1064" s="304">
        <f t="shared" si="1302"/>
        <v>186</v>
      </c>
      <c r="G1064" s="304">
        <f t="shared" si="1290"/>
        <v>-123</v>
      </c>
      <c r="H1064" s="303">
        <f t="shared" si="1307"/>
        <v>186</v>
      </c>
      <c r="I1064" s="303">
        <f t="shared" ref="I1064:I1076" si="1313">M1064+P1064</f>
        <v>0</v>
      </c>
      <c r="J1064" s="311"/>
      <c r="K1064" s="311"/>
      <c r="L1064" s="311"/>
      <c r="M1064" s="303"/>
      <c r="N1064" s="311"/>
      <c r="O1064" s="311"/>
      <c r="P1064" s="303">
        <f t="shared" ref="P1064:P1076" si="1314">S1064+T1064</f>
        <v>0</v>
      </c>
      <c r="Q1064" s="311"/>
      <c r="R1064" s="312"/>
      <c r="S1064" s="303"/>
      <c r="T1064" s="303">
        <f t="shared" ref="T1064:T1076" si="1315">U1064+V1064</f>
        <v>0</v>
      </c>
      <c r="U1064" s="303"/>
      <c r="V1064" s="303"/>
      <c r="W1064" s="303">
        <f t="shared" si="1310"/>
        <v>186</v>
      </c>
      <c r="X1064" s="303"/>
      <c r="Y1064" s="303"/>
      <c r="Z1064" s="303">
        <v>186</v>
      </c>
      <c r="AA1064" s="303"/>
      <c r="AB1064" s="304"/>
      <c r="AC1064" s="304"/>
      <c r="AD1064" s="304">
        <v>0</v>
      </c>
      <c r="AE1064" s="304">
        <f t="shared" ref="AE1064:AE1078" si="1316">E1064-AD1064</f>
        <v>186</v>
      </c>
      <c r="AF1064" s="599"/>
      <c r="AG1064" s="314">
        <f t="shared" si="1279"/>
        <v>0</v>
      </c>
      <c r="AH1064" s="696">
        <f t="shared" si="1280"/>
        <v>0</v>
      </c>
      <c r="AI1064" s="314">
        <f t="shared" si="1281"/>
        <v>0</v>
      </c>
      <c r="AJ1064" s="314">
        <f t="shared" si="1282"/>
        <v>0</v>
      </c>
      <c r="AK1064" s="314">
        <f t="shared" si="1283"/>
        <v>0</v>
      </c>
      <c r="AL1064" s="314">
        <f t="shared" si="1284"/>
        <v>0</v>
      </c>
      <c r="AM1064" s="314">
        <f t="shared" si="1285"/>
        <v>0</v>
      </c>
      <c r="AN1064" s="314">
        <f t="shared" si="1286"/>
        <v>0</v>
      </c>
      <c r="AO1064" s="314">
        <f t="shared" si="1287"/>
        <v>0</v>
      </c>
      <c r="AP1064" s="314">
        <f t="shared" si="1288"/>
        <v>0</v>
      </c>
    </row>
    <row r="1065" spans="1:42" s="314" customFormat="1">
      <c r="A1065" s="593" t="s">
        <v>23</v>
      </c>
      <c r="B1065" s="335" t="s">
        <v>1230</v>
      </c>
      <c r="C1065" s="334"/>
      <c r="D1065" s="304">
        <v>118</v>
      </c>
      <c r="E1065" s="304">
        <f t="shared" si="1295"/>
        <v>196</v>
      </c>
      <c r="F1065" s="304">
        <f t="shared" si="1302"/>
        <v>196</v>
      </c>
      <c r="G1065" s="304">
        <f t="shared" si="1290"/>
        <v>78</v>
      </c>
      <c r="H1065" s="303">
        <f t="shared" si="1307"/>
        <v>196</v>
      </c>
      <c r="I1065" s="303">
        <f t="shared" si="1313"/>
        <v>0</v>
      </c>
      <c r="J1065" s="311"/>
      <c r="K1065" s="311"/>
      <c r="L1065" s="311"/>
      <c r="M1065" s="303"/>
      <c r="N1065" s="311"/>
      <c r="O1065" s="311"/>
      <c r="P1065" s="303">
        <f t="shared" si="1314"/>
        <v>0</v>
      </c>
      <c r="Q1065" s="311"/>
      <c r="R1065" s="312"/>
      <c r="S1065" s="303"/>
      <c r="T1065" s="303">
        <f t="shared" si="1315"/>
        <v>0</v>
      </c>
      <c r="U1065" s="303"/>
      <c r="V1065" s="303"/>
      <c r="W1065" s="303">
        <f t="shared" si="1310"/>
        <v>196</v>
      </c>
      <c r="X1065" s="303"/>
      <c r="Y1065" s="303"/>
      <c r="Z1065" s="303">
        <v>196</v>
      </c>
      <c r="AA1065" s="303"/>
      <c r="AB1065" s="304"/>
      <c r="AC1065" s="304"/>
      <c r="AD1065" s="304">
        <v>0</v>
      </c>
      <c r="AE1065" s="304">
        <f t="shared" si="1316"/>
        <v>196</v>
      </c>
      <c r="AF1065" s="599"/>
      <c r="AG1065" s="314">
        <f t="shared" si="1279"/>
        <v>0</v>
      </c>
      <c r="AH1065" s="696">
        <f t="shared" si="1280"/>
        <v>0</v>
      </c>
      <c r="AI1065" s="314">
        <f t="shared" si="1281"/>
        <v>0</v>
      </c>
      <c r="AJ1065" s="314">
        <f t="shared" si="1282"/>
        <v>0</v>
      </c>
      <c r="AK1065" s="314">
        <f t="shared" si="1283"/>
        <v>0</v>
      </c>
      <c r="AL1065" s="314">
        <f t="shared" si="1284"/>
        <v>0</v>
      </c>
      <c r="AM1065" s="314">
        <f t="shared" si="1285"/>
        <v>0</v>
      </c>
      <c r="AN1065" s="314">
        <f t="shared" si="1286"/>
        <v>0</v>
      </c>
      <c r="AO1065" s="314">
        <f t="shared" si="1287"/>
        <v>0</v>
      </c>
      <c r="AP1065" s="314">
        <f t="shared" si="1288"/>
        <v>0</v>
      </c>
    </row>
    <row r="1066" spans="1:42" s="314" customFormat="1">
      <c r="A1066" s="593" t="s">
        <v>23</v>
      </c>
      <c r="B1066" s="335" t="s">
        <v>1231</v>
      </c>
      <c r="C1066" s="334"/>
      <c r="D1066" s="304">
        <v>178</v>
      </c>
      <c r="E1066" s="304">
        <f t="shared" si="1295"/>
        <v>230</v>
      </c>
      <c r="F1066" s="304">
        <f t="shared" si="1302"/>
        <v>230</v>
      </c>
      <c r="G1066" s="304">
        <f t="shared" si="1290"/>
        <v>52</v>
      </c>
      <c r="H1066" s="303">
        <f t="shared" si="1307"/>
        <v>230</v>
      </c>
      <c r="I1066" s="303">
        <f t="shared" si="1313"/>
        <v>0</v>
      </c>
      <c r="J1066" s="311"/>
      <c r="K1066" s="311"/>
      <c r="L1066" s="311"/>
      <c r="M1066" s="303"/>
      <c r="N1066" s="311"/>
      <c r="O1066" s="311"/>
      <c r="P1066" s="303">
        <f t="shared" si="1314"/>
        <v>0</v>
      </c>
      <c r="Q1066" s="311"/>
      <c r="R1066" s="312"/>
      <c r="S1066" s="303"/>
      <c r="T1066" s="303">
        <f t="shared" si="1315"/>
        <v>0</v>
      </c>
      <c r="U1066" s="303"/>
      <c r="V1066" s="303"/>
      <c r="W1066" s="303">
        <f t="shared" si="1310"/>
        <v>230</v>
      </c>
      <c r="X1066" s="303"/>
      <c r="Y1066" s="303"/>
      <c r="Z1066" s="303">
        <v>230</v>
      </c>
      <c r="AA1066" s="303"/>
      <c r="AB1066" s="304"/>
      <c r="AC1066" s="304"/>
      <c r="AD1066" s="304">
        <v>0</v>
      </c>
      <c r="AE1066" s="304">
        <f t="shared" si="1316"/>
        <v>230</v>
      </c>
      <c r="AF1066" s="599"/>
      <c r="AG1066" s="314">
        <f t="shared" si="1279"/>
        <v>0</v>
      </c>
      <c r="AH1066" s="696">
        <f t="shared" si="1280"/>
        <v>0</v>
      </c>
      <c r="AI1066" s="314">
        <f t="shared" si="1281"/>
        <v>0</v>
      </c>
      <c r="AJ1066" s="314">
        <f t="shared" si="1282"/>
        <v>0</v>
      </c>
      <c r="AK1066" s="314">
        <f t="shared" si="1283"/>
        <v>0</v>
      </c>
      <c r="AL1066" s="314">
        <f t="shared" si="1284"/>
        <v>0</v>
      </c>
      <c r="AM1066" s="314">
        <f t="shared" si="1285"/>
        <v>0</v>
      </c>
      <c r="AN1066" s="314">
        <f t="shared" si="1286"/>
        <v>0</v>
      </c>
      <c r="AO1066" s="314">
        <f t="shared" si="1287"/>
        <v>0</v>
      </c>
      <c r="AP1066" s="314">
        <f t="shared" si="1288"/>
        <v>0</v>
      </c>
    </row>
    <row r="1067" spans="1:42" s="314" customFormat="1">
      <c r="A1067" s="593" t="s">
        <v>23</v>
      </c>
      <c r="B1067" s="335" t="s">
        <v>1232</v>
      </c>
      <c r="C1067" s="334"/>
      <c r="D1067" s="304">
        <v>109</v>
      </c>
      <c r="E1067" s="304">
        <f t="shared" si="1295"/>
        <v>140</v>
      </c>
      <c r="F1067" s="304">
        <f t="shared" si="1302"/>
        <v>140</v>
      </c>
      <c r="G1067" s="304">
        <f t="shared" si="1290"/>
        <v>31</v>
      </c>
      <c r="H1067" s="303">
        <f t="shared" si="1307"/>
        <v>140</v>
      </c>
      <c r="I1067" s="303">
        <f t="shared" si="1313"/>
        <v>0</v>
      </c>
      <c r="J1067" s="311"/>
      <c r="K1067" s="311"/>
      <c r="L1067" s="311"/>
      <c r="M1067" s="303"/>
      <c r="N1067" s="311"/>
      <c r="O1067" s="311"/>
      <c r="P1067" s="303">
        <f t="shared" si="1314"/>
        <v>0</v>
      </c>
      <c r="Q1067" s="311"/>
      <c r="R1067" s="312"/>
      <c r="S1067" s="303"/>
      <c r="T1067" s="303">
        <f t="shared" si="1315"/>
        <v>0</v>
      </c>
      <c r="U1067" s="303"/>
      <c r="V1067" s="303"/>
      <c r="W1067" s="303">
        <f t="shared" si="1310"/>
        <v>140</v>
      </c>
      <c r="X1067" s="303"/>
      <c r="Y1067" s="303"/>
      <c r="Z1067" s="303">
        <v>140</v>
      </c>
      <c r="AA1067" s="303"/>
      <c r="AB1067" s="304"/>
      <c r="AC1067" s="304"/>
      <c r="AD1067" s="304">
        <v>0</v>
      </c>
      <c r="AE1067" s="304">
        <f t="shared" si="1316"/>
        <v>140</v>
      </c>
      <c r="AF1067" s="599"/>
      <c r="AG1067" s="314">
        <f t="shared" si="1279"/>
        <v>0</v>
      </c>
      <c r="AH1067" s="696">
        <f t="shared" si="1280"/>
        <v>0</v>
      </c>
      <c r="AI1067" s="314">
        <f t="shared" si="1281"/>
        <v>0</v>
      </c>
      <c r="AJ1067" s="314">
        <f t="shared" si="1282"/>
        <v>0</v>
      </c>
      <c r="AK1067" s="314">
        <f t="shared" si="1283"/>
        <v>0</v>
      </c>
      <c r="AL1067" s="314">
        <f t="shared" si="1284"/>
        <v>0</v>
      </c>
      <c r="AM1067" s="314">
        <f t="shared" si="1285"/>
        <v>0</v>
      </c>
      <c r="AN1067" s="314">
        <f t="shared" si="1286"/>
        <v>0</v>
      </c>
      <c r="AO1067" s="314">
        <f t="shared" si="1287"/>
        <v>0</v>
      </c>
      <c r="AP1067" s="314">
        <f t="shared" si="1288"/>
        <v>0</v>
      </c>
    </row>
    <row r="1068" spans="1:42" s="314" customFormat="1">
      <c r="A1068" s="593" t="s">
        <v>23</v>
      </c>
      <c r="B1068" s="335" t="s">
        <v>1233</v>
      </c>
      <c r="C1068" s="334"/>
      <c r="D1068" s="304">
        <v>144</v>
      </c>
      <c r="E1068" s="304">
        <f t="shared" si="1295"/>
        <v>105</v>
      </c>
      <c r="F1068" s="304">
        <f t="shared" si="1302"/>
        <v>105</v>
      </c>
      <c r="G1068" s="304">
        <f t="shared" si="1290"/>
        <v>-39</v>
      </c>
      <c r="H1068" s="303">
        <f t="shared" si="1307"/>
        <v>105</v>
      </c>
      <c r="I1068" s="303">
        <f t="shared" si="1313"/>
        <v>0</v>
      </c>
      <c r="J1068" s="311"/>
      <c r="K1068" s="311"/>
      <c r="L1068" s="311"/>
      <c r="M1068" s="303"/>
      <c r="N1068" s="311"/>
      <c r="O1068" s="311"/>
      <c r="P1068" s="303">
        <f t="shared" si="1314"/>
        <v>0</v>
      </c>
      <c r="Q1068" s="311"/>
      <c r="R1068" s="312"/>
      <c r="S1068" s="303"/>
      <c r="T1068" s="303">
        <f t="shared" si="1315"/>
        <v>0</v>
      </c>
      <c r="U1068" s="303"/>
      <c r="V1068" s="303"/>
      <c r="W1068" s="303">
        <f t="shared" si="1310"/>
        <v>105</v>
      </c>
      <c r="X1068" s="303"/>
      <c r="Y1068" s="303"/>
      <c r="Z1068" s="303">
        <v>105</v>
      </c>
      <c r="AA1068" s="303"/>
      <c r="AB1068" s="304"/>
      <c r="AC1068" s="304"/>
      <c r="AD1068" s="304">
        <v>0</v>
      </c>
      <c r="AE1068" s="304">
        <f t="shared" si="1316"/>
        <v>105</v>
      </c>
      <c r="AF1068" s="599"/>
      <c r="AG1068" s="314">
        <f t="shared" si="1279"/>
        <v>0</v>
      </c>
      <c r="AH1068" s="696">
        <f t="shared" si="1280"/>
        <v>0</v>
      </c>
      <c r="AI1068" s="314">
        <f t="shared" si="1281"/>
        <v>0</v>
      </c>
      <c r="AJ1068" s="314">
        <f t="shared" si="1282"/>
        <v>0</v>
      </c>
      <c r="AK1068" s="314">
        <f t="shared" si="1283"/>
        <v>0</v>
      </c>
      <c r="AL1068" s="314">
        <f t="shared" si="1284"/>
        <v>0</v>
      </c>
      <c r="AM1068" s="314">
        <f t="shared" si="1285"/>
        <v>0</v>
      </c>
      <c r="AN1068" s="314">
        <f t="shared" si="1286"/>
        <v>0</v>
      </c>
      <c r="AO1068" s="314">
        <f t="shared" si="1287"/>
        <v>0</v>
      </c>
      <c r="AP1068" s="314">
        <f t="shared" si="1288"/>
        <v>0</v>
      </c>
    </row>
    <row r="1069" spans="1:42" s="314" customFormat="1" ht="27.6">
      <c r="A1069" s="593" t="s">
        <v>23</v>
      </c>
      <c r="B1069" s="335" t="s">
        <v>1234</v>
      </c>
      <c r="C1069" s="334"/>
      <c r="D1069" s="304">
        <v>811</v>
      </c>
      <c r="E1069" s="304">
        <f t="shared" si="1295"/>
        <v>1181</v>
      </c>
      <c r="F1069" s="304">
        <f t="shared" si="1302"/>
        <v>1181</v>
      </c>
      <c r="G1069" s="304">
        <f t="shared" si="1290"/>
        <v>370</v>
      </c>
      <c r="H1069" s="303">
        <f t="shared" si="1307"/>
        <v>1181</v>
      </c>
      <c r="I1069" s="303">
        <f t="shared" si="1313"/>
        <v>0</v>
      </c>
      <c r="J1069" s="311"/>
      <c r="K1069" s="311"/>
      <c r="L1069" s="311"/>
      <c r="M1069" s="303"/>
      <c r="N1069" s="311"/>
      <c r="O1069" s="311"/>
      <c r="P1069" s="303">
        <f t="shared" si="1314"/>
        <v>0</v>
      </c>
      <c r="Q1069" s="311"/>
      <c r="R1069" s="312"/>
      <c r="S1069" s="303"/>
      <c r="T1069" s="303">
        <f t="shared" si="1315"/>
        <v>0</v>
      </c>
      <c r="U1069" s="303"/>
      <c r="V1069" s="303"/>
      <c r="W1069" s="303">
        <f t="shared" si="1310"/>
        <v>1181</v>
      </c>
      <c r="X1069" s="303"/>
      <c r="Y1069" s="303"/>
      <c r="Z1069" s="303">
        <v>1181</v>
      </c>
      <c r="AA1069" s="303"/>
      <c r="AB1069" s="304"/>
      <c r="AC1069" s="304"/>
      <c r="AD1069" s="304">
        <v>0</v>
      </c>
      <c r="AE1069" s="304">
        <f t="shared" si="1316"/>
        <v>1181</v>
      </c>
      <c r="AF1069" s="599"/>
      <c r="AG1069" s="314">
        <f t="shared" si="1279"/>
        <v>0</v>
      </c>
      <c r="AH1069" s="696">
        <f t="shared" si="1280"/>
        <v>0</v>
      </c>
      <c r="AI1069" s="314">
        <f t="shared" si="1281"/>
        <v>0</v>
      </c>
      <c r="AJ1069" s="314">
        <f t="shared" si="1282"/>
        <v>0</v>
      </c>
      <c r="AK1069" s="314">
        <f t="shared" si="1283"/>
        <v>0</v>
      </c>
      <c r="AL1069" s="314">
        <f t="shared" si="1284"/>
        <v>0</v>
      </c>
      <c r="AM1069" s="314">
        <f t="shared" si="1285"/>
        <v>0</v>
      </c>
      <c r="AN1069" s="314">
        <f t="shared" si="1286"/>
        <v>0</v>
      </c>
      <c r="AO1069" s="314">
        <f t="shared" si="1287"/>
        <v>0</v>
      </c>
      <c r="AP1069" s="314">
        <f t="shared" si="1288"/>
        <v>0</v>
      </c>
    </row>
    <row r="1070" spans="1:42" s="314" customFormat="1">
      <c r="A1070" s="593" t="s">
        <v>23</v>
      </c>
      <c r="B1070" s="335" t="s">
        <v>1235</v>
      </c>
      <c r="C1070" s="334"/>
      <c r="D1070" s="304">
        <v>214</v>
      </c>
      <c r="E1070" s="304">
        <f t="shared" si="1295"/>
        <v>309</v>
      </c>
      <c r="F1070" s="304">
        <f t="shared" si="1302"/>
        <v>309</v>
      </c>
      <c r="G1070" s="304">
        <f t="shared" si="1290"/>
        <v>95</v>
      </c>
      <c r="H1070" s="303">
        <f t="shared" si="1307"/>
        <v>309</v>
      </c>
      <c r="I1070" s="303">
        <f t="shared" si="1313"/>
        <v>0</v>
      </c>
      <c r="J1070" s="311"/>
      <c r="K1070" s="311"/>
      <c r="L1070" s="311"/>
      <c r="M1070" s="303"/>
      <c r="N1070" s="311"/>
      <c r="O1070" s="311"/>
      <c r="P1070" s="303">
        <f t="shared" si="1314"/>
        <v>0</v>
      </c>
      <c r="Q1070" s="311"/>
      <c r="R1070" s="312"/>
      <c r="S1070" s="303"/>
      <c r="T1070" s="303">
        <f t="shared" si="1315"/>
        <v>0</v>
      </c>
      <c r="U1070" s="303"/>
      <c r="V1070" s="303"/>
      <c r="W1070" s="303">
        <f t="shared" si="1310"/>
        <v>309</v>
      </c>
      <c r="X1070" s="303"/>
      <c r="Y1070" s="303"/>
      <c r="Z1070" s="303">
        <v>309</v>
      </c>
      <c r="AA1070" s="303"/>
      <c r="AB1070" s="304"/>
      <c r="AC1070" s="304"/>
      <c r="AD1070" s="304">
        <v>0</v>
      </c>
      <c r="AE1070" s="304">
        <f t="shared" si="1316"/>
        <v>309</v>
      </c>
      <c r="AF1070" s="599"/>
      <c r="AG1070" s="314">
        <f t="shared" si="1279"/>
        <v>0</v>
      </c>
      <c r="AH1070" s="696">
        <f t="shared" si="1280"/>
        <v>0</v>
      </c>
      <c r="AI1070" s="314">
        <f t="shared" si="1281"/>
        <v>0</v>
      </c>
      <c r="AJ1070" s="314">
        <f t="shared" si="1282"/>
        <v>0</v>
      </c>
      <c r="AK1070" s="314">
        <f t="shared" si="1283"/>
        <v>0</v>
      </c>
      <c r="AL1070" s="314">
        <f t="shared" si="1284"/>
        <v>0</v>
      </c>
      <c r="AM1070" s="314">
        <f t="shared" si="1285"/>
        <v>0</v>
      </c>
      <c r="AN1070" s="314">
        <f t="shared" si="1286"/>
        <v>0</v>
      </c>
      <c r="AO1070" s="314">
        <f t="shared" si="1287"/>
        <v>0</v>
      </c>
      <c r="AP1070" s="314">
        <f t="shared" si="1288"/>
        <v>0</v>
      </c>
    </row>
    <row r="1071" spans="1:42" s="314" customFormat="1">
      <c r="A1071" s="593" t="s">
        <v>23</v>
      </c>
      <c r="B1071" s="335" t="s">
        <v>1236</v>
      </c>
      <c r="C1071" s="334"/>
      <c r="D1071" s="304">
        <v>592</v>
      </c>
      <c r="E1071" s="304">
        <f t="shared" si="1295"/>
        <v>922</v>
      </c>
      <c r="F1071" s="304">
        <f t="shared" si="1302"/>
        <v>922</v>
      </c>
      <c r="G1071" s="304">
        <f t="shared" si="1290"/>
        <v>330</v>
      </c>
      <c r="H1071" s="303">
        <f t="shared" si="1307"/>
        <v>922</v>
      </c>
      <c r="I1071" s="303">
        <f t="shared" si="1313"/>
        <v>0</v>
      </c>
      <c r="J1071" s="311"/>
      <c r="K1071" s="311"/>
      <c r="L1071" s="311"/>
      <c r="M1071" s="303"/>
      <c r="N1071" s="311"/>
      <c r="O1071" s="311"/>
      <c r="P1071" s="303">
        <f t="shared" si="1314"/>
        <v>0</v>
      </c>
      <c r="Q1071" s="311"/>
      <c r="R1071" s="312"/>
      <c r="S1071" s="303"/>
      <c r="T1071" s="303">
        <f t="shared" si="1315"/>
        <v>0</v>
      </c>
      <c r="U1071" s="303"/>
      <c r="V1071" s="303"/>
      <c r="W1071" s="303">
        <f t="shared" si="1310"/>
        <v>922</v>
      </c>
      <c r="X1071" s="303"/>
      <c r="Y1071" s="303"/>
      <c r="Z1071" s="303">
        <v>922</v>
      </c>
      <c r="AA1071" s="303"/>
      <c r="AB1071" s="304"/>
      <c r="AC1071" s="304"/>
      <c r="AD1071" s="304">
        <v>0</v>
      </c>
      <c r="AE1071" s="304">
        <f t="shared" si="1316"/>
        <v>922</v>
      </c>
      <c r="AF1071" s="599"/>
      <c r="AG1071" s="314">
        <f t="shared" si="1279"/>
        <v>0</v>
      </c>
      <c r="AH1071" s="696">
        <f t="shared" si="1280"/>
        <v>0</v>
      </c>
      <c r="AI1071" s="314">
        <f t="shared" si="1281"/>
        <v>0</v>
      </c>
      <c r="AJ1071" s="314">
        <f t="shared" si="1282"/>
        <v>0</v>
      </c>
      <c r="AK1071" s="314">
        <f t="shared" si="1283"/>
        <v>0</v>
      </c>
      <c r="AL1071" s="314">
        <f t="shared" si="1284"/>
        <v>0</v>
      </c>
      <c r="AM1071" s="314">
        <f t="shared" si="1285"/>
        <v>0</v>
      </c>
      <c r="AN1071" s="314">
        <f t="shared" si="1286"/>
        <v>0</v>
      </c>
      <c r="AO1071" s="314">
        <f t="shared" si="1287"/>
        <v>0</v>
      </c>
      <c r="AP1071" s="314">
        <f t="shared" si="1288"/>
        <v>0</v>
      </c>
    </row>
    <row r="1072" spans="1:42" s="314" customFormat="1">
      <c r="A1072" s="593" t="s">
        <v>23</v>
      </c>
      <c r="B1072" s="335" t="s">
        <v>1237</v>
      </c>
      <c r="C1072" s="334"/>
      <c r="D1072" s="304">
        <v>2476</v>
      </c>
      <c r="E1072" s="304">
        <f t="shared" si="1295"/>
        <v>2728</v>
      </c>
      <c r="F1072" s="304">
        <f t="shared" si="1302"/>
        <v>2728</v>
      </c>
      <c r="G1072" s="304">
        <f t="shared" si="1290"/>
        <v>252</v>
      </c>
      <c r="H1072" s="303">
        <f t="shared" si="1307"/>
        <v>2728</v>
      </c>
      <c r="I1072" s="303">
        <f t="shared" si="1313"/>
        <v>0</v>
      </c>
      <c r="J1072" s="311"/>
      <c r="K1072" s="311"/>
      <c r="L1072" s="311"/>
      <c r="M1072" s="303"/>
      <c r="N1072" s="311"/>
      <c r="O1072" s="311"/>
      <c r="P1072" s="303">
        <f t="shared" si="1314"/>
        <v>0</v>
      </c>
      <c r="Q1072" s="311"/>
      <c r="R1072" s="312"/>
      <c r="S1072" s="303"/>
      <c r="T1072" s="303">
        <f t="shared" si="1315"/>
        <v>0</v>
      </c>
      <c r="U1072" s="303"/>
      <c r="V1072" s="303"/>
      <c r="W1072" s="303">
        <f t="shared" si="1310"/>
        <v>2728</v>
      </c>
      <c r="X1072" s="303"/>
      <c r="Y1072" s="303"/>
      <c r="Z1072" s="303">
        <v>2728</v>
      </c>
      <c r="AA1072" s="303"/>
      <c r="AB1072" s="304"/>
      <c r="AC1072" s="304"/>
      <c r="AD1072" s="304">
        <v>0</v>
      </c>
      <c r="AE1072" s="304">
        <f t="shared" si="1316"/>
        <v>2728</v>
      </c>
      <c r="AF1072" s="599"/>
      <c r="AG1072" s="314">
        <f t="shared" si="1279"/>
        <v>0</v>
      </c>
      <c r="AH1072" s="696">
        <f t="shared" si="1280"/>
        <v>0</v>
      </c>
      <c r="AI1072" s="314">
        <f t="shared" si="1281"/>
        <v>0</v>
      </c>
      <c r="AJ1072" s="314">
        <f t="shared" si="1282"/>
        <v>0</v>
      </c>
      <c r="AK1072" s="314">
        <f t="shared" si="1283"/>
        <v>0</v>
      </c>
      <c r="AL1072" s="314">
        <f t="shared" si="1284"/>
        <v>0</v>
      </c>
      <c r="AM1072" s="314">
        <f t="shared" si="1285"/>
        <v>0</v>
      </c>
      <c r="AN1072" s="314">
        <f t="shared" si="1286"/>
        <v>0</v>
      </c>
      <c r="AO1072" s="314">
        <f t="shared" si="1287"/>
        <v>0</v>
      </c>
      <c r="AP1072" s="314">
        <f t="shared" si="1288"/>
        <v>0</v>
      </c>
    </row>
    <row r="1073" spans="1:42" s="314" customFormat="1">
      <c r="A1073" s="593" t="s">
        <v>23</v>
      </c>
      <c r="B1073" s="335" t="s">
        <v>1238</v>
      </c>
      <c r="C1073" s="334"/>
      <c r="D1073" s="304">
        <v>4909</v>
      </c>
      <c r="E1073" s="304">
        <f t="shared" si="1295"/>
        <v>4541</v>
      </c>
      <c r="F1073" s="304">
        <f t="shared" si="1302"/>
        <v>4541</v>
      </c>
      <c r="G1073" s="304">
        <f t="shared" si="1290"/>
        <v>-368</v>
      </c>
      <c r="H1073" s="303">
        <f t="shared" si="1307"/>
        <v>4541</v>
      </c>
      <c r="I1073" s="303">
        <f t="shared" si="1313"/>
        <v>0</v>
      </c>
      <c r="J1073" s="311"/>
      <c r="K1073" s="311"/>
      <c r="L1073" s="311"/>
      <c r="M1073" s="303"/>
      <c r="N1073" s="311"/>
      <c r="O1073" s="311"/>
      <c r="P1073" s="303">
        <f t="shared" si="1314"/>
        <v>0</v>
      </c>
      <c r="Q1073" s="311"/>
      <c r="R1073" s="312"/>
      <c r="S1073" s="303"/>
      <c r="T1073" s="303">
        <f t="shared" si="1315"/>
        <v>0</v>
      </c>
      <c r="U1073" s="303"/>
      <c r="V1073" s="303"/>
      <c r="W1073" s="303">
        <f t="shared" si="1310"/>
        <v>4541</v>
      </c>
      <c r="X1073" s="303"/>
      <c r="Y1073" s="303"/>
      <c r="Z1073" s="303">
        <f>4691-150</f>
        <v>4541</v>
      </c>
      <c r="AA1073" s="303"/>
      <c r="AB1073" s="304"/>
      <c r="AC1073" s="304"/>
      <c r="AD1073" s="304">
        <v>0</v>
      </c>
      <c r="AE1073" s="304">
        <f t="shared" si="1316"/>
        <v>4541</v>
      </c>
      <c r="AF1073" s="599"/>
      <c r="AG1073" s="314">
        <f t="shared" si="1279"/>
        <v>0</v>
      </c>
      <c r="AH1073" s="696">
        <f t="shared" si="1280"/>
        <v>0</v>
      </c>
      <c r="AI1073" s="314">
        <f t="shared" si="1281"/>
        <v>0</v>
      </c>
      <c r="AJ1073" s="314">
        <f t="shared" si="1282"/>
        <v>0</v>
      </c>
      <c r="AK1073" s="314">
        <f t="shared" si="1283"/>
        <v>0</v>
      </c>
      <c r="AL1073" s="314">
        <f t="shared" si="1284"/>
        <v>0</v>
      </c>
      <c r="AM1073" s="314">
        <f t="shared" si="1285"/>
        <v>0</v>
      </c>
      <c r="AN1073" s="314">
        <f t="shared" si="1286"/>
        <v>0</v>
      </c>
      <c r="AO1073" s="314">
        <f t="shared" si="1287"/>
        <v>0</v>
      </c>
      <c r="AP1073" s="314">
        <f t="shared" si="1288"/>
        <v>0</v>
      </c>
    </row>
    <row r="1074" spans="1:42" s="314" customFormat="1">
      <c r="A1074" s="593" t="s">
        <v>23</v>
      </c>
      <c r="B1074" s="335" t="s">
        <v>1239</v>
      </c>
      <c r="C1074" s="334"/>
      <c r="D1074" s="304">
        <v>7278</v>
      </c>
      <c r="E1074" s="304">
        <f t="shared" si="1295"/>
        <v>6826</v>
      </c>
      <c r="F1074" s="304">
        <f t="shared" si="1302"/>
        <v>6826</v>
      </c>
      <c r="G1074" s="304">
        <f t="shared" si="1290"/>
        <v>-452</v>
      </c>
      <c r="H1074" s="303">
        <f t="shared" si="1307"/>
        <v>6826</v>
      </c>
      <c r="I1074" s="303">
        <f t="shared" si="1313"/>
        <v>0</v>
      </c>
      <c r="J1074" s="311"/>
      <c r="K1074" s="311"/>
      <c r="L1074" s="311"/>
      <c r="M1074" s="303"/>
      <c r="N1074" s="311"/>
      <c r="O1074" s="311"/>
      <c r="P1074" s="303">
        <f t="shared" si="1314"/>
        <v>0</v>
      </c>
      <c r="Q1074" s="311"/>
      <c r="R1074" s="312"/>
      <c r="S1074" s="303"/>
      <c r="T1074" s="303">
        <f t="shared" si="1315"/>
        <v>0</v>
      </c>
      <c r="U1074" s="303"/>
      <c r="V1074" s="303"/>
      <c r="W1074" s="303">
        <f t="shared" si="1310"/>
        <v>6826</v>
      </c>
      <c r="X1074" s="303"/>
      <c r="Y1074" s="303"/>
      <c r="Z1074" s="303">
        <f>7202-376</f>
        <v>6826</v>
      </c>
      <c r="AA1074" s="303"/>
      <c r="AB1074" s="304"/>
      <c r="AC1074" s="304"/>
      <c r="AD1074" s="304">
        <v>0</v>
      </c>
      <c r="AE1074" s="304">
        <f t="shared" si="1316"/>
        <v>6826</v>
      </c>
      <c r="AF1074" s="599"/>
      <c r="AG1074" s="314">
        <f t="shared" si="1279"/>
        <v>0</v>
      </c>
      <c r="AH1074" s="696">
        <f t="shared" si="1280"/>
        <v>0</v>
      </c>
      <c r="AI1074" s="314">
        <f t="shared" si="1281"/>
        <v>0</v>
      </c>
      <c r="AJ1074" s="314">
        <f t="shared" si="1282"/>
        <v>0</v>
      </c>
      <c r="AK1074" s="314">
        <f t="shared" si="1283"/>
        <v>0</v>
      </c>
      <c r="AL1074" s="314">
        <f t="shared" si="1284"/>
        <v>0</v>
      </c>
      <c r="AM1074" s="314">
        <f t="shared" si="1285"/>
        <v>0</v>
      </c>
      <c r="AN1074" s="314">
        <f t="shared" si="1286"/>
        <v>0</v>
      </c>
      <c r="AO1074" s="314">
        <f t="shared" si="1287"/>
        <v>0</v>
      </c>
      <c r="AP1074" s="314">
        <f t="shared" si="1288"/>
        <v>0</v>
      </c>
    </row>
    <row r="1075" spans="1:42" s="314" customFormat="1">
      <c r="A1075" s="593" t="s">
        <v>23</v>
      </c>
      <c r="B1075" s="335" t="s">
        <v>1240</v>
      </c>
      <c r="C1075" s="334"/>
      <c r="D1075" s="304">
        <v>4128</v>
      </c>
      <c r="E1075" s="304">
        <f t="shared" si="1295"/>
        <v>4181</v>
      </c>
      <c r="F1075" s="304">
        <f t="shared" si="1302"/>
        <v>4181</v>
      </c>
      <c r="G1075" s="304">
        <f t="shared" si="1290"/>
        <v>53</v>
      </c>
      <c r="H1075" s="303">
        <f t="shared" si="1307"/>
        <v>4181</v>
      </c>
      <c r="I1075" s="303">
        <f t="shared" si="1313"/>
        <v>0</v>
      </c>
      <c r="J1075" s="311"/>
      <c r="K1075" s="311"/>
      <c r="L1075" s="311"/>
      <c r="M1075" s="303"/>
      <c r="N1075" s="311"/>
      <c r="O1075" s="311"/>
      <c r="P1075" s="303">
        <f t="shared" si="1314"/>
        <v>0</v>
      </c>
      <c r="Q1075" s="311"/>
      <c r="R1075" s="312"/>
      <c r="S1075" s="303"/>
      <c r="T1075" s="303">
        <f t="shared" si="1315"/>
        <v>0</v>
      </c>
      <c r="U1075" s="303"/>
      <c r="V1075" s="303"/>
      <c r="W1075" s="303">
        <f t="shared" si="1310"/>
        <v>4181</v>
      </c>
      <c r="X1075" s="303"/>
      <c r="Y1075" s="303"/>
      <c r="Z1075" s="303">
        <f>4331-150</f>
        <v>4181</v>
      </c>
      <c r="AA1075" s="303"/>
      <c r="AB1075" s="304"/>
      <c r="AC1075" s="304"/>
      <c r="AD1075" s="304">
        <v>0</v>
      </c>
      <c r="AE1075" s="304">
        <f t="shared" si="1316"/>
        <v>4181</v>
      </c>
      <c r="AF1075" s="599"/>
      <c r="AG1075" s="314">
        <f t="shared" si="1279"/>
        <v>0</v>
      </c>
      <c r="AH1075" s="696">
        <f t="shared" si="1280"/>
        <v>0</v>
      </c>
      <c r="AI1075" s="314">
        <f t="shared" si="1281"/>
        <v>0</v>
      </c>
      <c r="AJ1075" s="314">
        <f t="shared" si="1282"/>
        <v>0</v>
      </c>
      <c r="AK1075" s="314">
        <f t="shared" si="1283"/>
        <v>0</v>
      </c>
      <c r="AL1075" s="314">
        <f t="shared" si="1284"/>
        <v>0</v>
      </c>
      <c r="AM1075" s="314">
        <f t="shared" si="1285"/>
        <v>0</v>
      </c>
      <c r="AN1075" s="314">
        <f t="shared" si="1286"/>
        <v>0</v>
      </c>
      <c r="AO1075" s="314">
        <f t="shared" si="1287"/>
        <v>0</v>
      </c>
      <c r="AP1075" s="314">
        <f t="shared" si="1288"/>
        <v>0</v>
      </c>
    </row>
    <row r="1076" spans="1:42" s="314" customFormat="1">
      <c r="A1076" s="593" t="s">
        <v>23</v>
      </c>
      <c r="B1076" s="335" t="s">
        <v>1821</v>
      </c>
      <c r="C1076" s="334"/>
      <c r="D1076" s="304">
        <v>777</v>
      </c>
      <c r="E1076" s="304">
        <f t="shared" si="1295"/>
        <v>779</v>
      </c>
      <c r="F1076" s="304">
        <f t="shared" si="1302"/>
        <v>779</v>
      </c>
      <c r="G1076" s="304">
        <f t="shared" si="1290"/>
        <v>2</v>
      </c>
      <c r="H1076" s="303">
        <f t="shared" si="1307"/>
        <v>779</v>
      </c>
      <c r="I1076" s="303">
        <f t="shared" si="1313"/>
        <v>0</v>
      </c>
      <c r="J1076" s="311"/>
      <c r="K1076" s="311"/>
      <c r="L1076" s="311"/>
      <c r="M1076" s="303"/>
      <c r="N1076" s="311"/>
      <c r="O1076" s="311"/>
      <c r="P1076" s="303">
        <f t="shared" si="1314"/>
        <v>0</v>
      </c>
      <c r="Q1076" s="311"/>
      <c r="R1076" s="312"/>
      <c r="S1076" s="303"/>
      <c r="T1076" s="303">
        <f t="shared" si="1315"/>
        <v>0</v>
      </c>
      <c r="U1076" s="303"/>
      <c r="V1076" s="303"/>
      <c r="W1076" s="303">
        <f t="shared" si="1310"/>
        <v>779</v>
      </c>
      <c r="X1076" s="303"/>
      <c r="Y1076" s="303"/>
      <c r="Z1076" s="303">
        <v>779</v>
      </c>
      <c r="AA1076" s="303"/>
      <c r="AB1076" s="304"/>
      <c r="AC1076" s="304"/>
      <c r="AD1076" s="304">
        <v>0</v>
      </c>
      <c r="AE1076" s="304">
        <f t="shared" si="1316"/>
        <v>779</v>
      </c>
      <c r="AF1076" s="599"/>
      <c r="AG1076" s="314">
        <f t="shared" si="1279"/>
        <v>0</v>
      </c>
      <c r="AH1076" s="696">
        <f t="shared" si="1280"/>
        <v>0</v>
      </c>
      <c r="AI1076" s="314">
        <f t="shared" si="1281"/>
        <v>0</v>
      </c>
      <c r="AJ1076" s="314">
        <f t="shared" si="1282"/>
        <v>0</v>
      </c>
      <c r="AK1076" s="314">
        <f t="shared" si="1283"/>
        <v>0</v>
      </c>
      <c r="AL1076" s="314">
        <f t="shared" si="1284"/>
        <v>0</v>
      </c>
      <c r="AM1076" s="314">
        <f t="shared" si="1285"/>
        <v>0</v>
      </c>
      <c r="AN1076" s="314">
        <f t="shared" si="1286"/>
        <v>0</v>
      </c>
      <c r="AO1076" s="314">
        <f t="shared" si="1287"/>
        <v>0</v>
      </c>
      <c r="AP1076" s="314">
        <f t="shared" si="1288"/>
        <v>0</v>
      </c>
    </row>
    <row r="1077" spans="1:42" s="314" customFormat="1" ht="41.4">
      <c r="A1077" s="591" t="s">
        <v>93</v>
      </c>
      <c r="B1077" s="320" t="s">
        <v>2260</v>
      </c>
      <c r="C1077" s="298" t="s">
        <v>756</v>
      </c>
      <c r="D1077" s="297">
        <v>8000</v>
      </c>
      <c r="E1077" s="297">
        <f t="shared" si="1295"/>
        <v>8000</v>
      </c>
      <c r="F1077" s="297">
        <f t="shared" si="1302"/>
        <v>8000</v>
      </c>
      <c r="G1077" s="297">
        <f t="shared" si="1290"/>
        <v>0</v>
      </c>
      <c r="H1077" s="299">
        <f t="shared" si="1307"/>
        <v>8000</v>
      </c>
      <c r="I1077" s="299">
        <f t="shared" si="1308"/>
        <v>8000</v>
      </c>
      <c r="J1077" s="318"/>
      <c r="K1077" s="318"/>
      <c r="L1077" s="318"/>
      <c r="M1077" s="299"/>
      <c r="N1077" s="318"/>
      <c r="O1077" s="318"/>
      <c r="P1077" s="299">
        <f t="shared" si="1309"/>
        <v>8000</v>
      </c>
      <c r="Q1077" s="318"/>
      <c r="R1077" s="319"/>
      <c r="S1077" s="299"/>
      <c r="T1077" s="299">
        <f>U1077+V1077</f>
        <v>8000</v>
      </c>
      <c r="U1077" s="299">
        <v>8000</v>
      </c>
      <c r="V1077" s="299"/>
      <c r="W1077" s="299">
        <f t="shared" si="1310"/>
        <v>0</v>
      </c>
      <c r="X1077" s="299"/>
      <c r="Y1077" s="299"/>
      <c r="Z1077" s="299"/>
      <c r="AA1077" s="299"/>
      <c r="AB1077" s="297"/>
      <c r="AC1077" s="297"/>
      <c r="AD1077" s="297">
        <v>800</v>
      </c>
      <c r="AE1077" s="299">
        <f t="shared" si="1316"/>
        <v>7200</v>
      </c>
      <c r="AF1077" s="321"/>
      <c r="AG1077" s="314">
        <f t="shared" si="1279"/>
        <v>0</v>
      </c>
      <c r="AH1077" s="696">
        <f t="shared" si="1280"/>
        <v>0</v>
      </c>
      <c r="AI1077" s="314">
        <f t="shared" si="1281"/>
        <v>0</v>
      </c>
      <c r="AJ1077" s="314">
        <f t="shared" si="1282"/>
        <v>0</v>
      </c>
      <c r="AK1077" s="314">
        <f t="shared" si="1283"/>
        <v>0</v>
      </c>
      <c r="AL1077" s="314">
        <f t="shared" si="1284"/>
        <v>0</v>
      </c>
      <c r="AM1077" s="314">
        <f t="shared" si="1285"/>
        <v>0</v>
      </c>
      <c r="AN1077" s="314">
        <f t="shared" si="1286"/>
        <v>0</v>
      </c>
      <c r="AO1077" s="314">
        <f t="shared" si="1287"/>
        <v>0</v>
      </c>
      <c r="AP1077" s="314">
        <f t="shared" si="1288"/>
        <v>0</v>
      </c>
    </row>
    <row r="1078" spans="1:42" s="314" customFormat="1" ht="66.75" customHeight="1">
      <c r="A1078" s="592" t="s">
        <v>101</v>
      </c>
      <c r="B1078" s="327" t="s">
        <v>1241</v>
      </c>
      <c r="C1078" s="298" t="s">
        <v>752</v>
      </c>
      <c r="D1078" s="297">
        <v>7000</v>
      </c>
      <c r="E1078" s="297">
        <f t="shared" si="1295"/>
        <v>7000</v>
      </c>
      <c r="F1078" s="297">
        <f t="shared" si="1302"/>
        <v>7000</v>
      </c>
      <c r="G1078" s="297">
        <f t="shared" si="1290"/>
        <v>0</v>
      </c>
      <c r="H1078" s="299">
        <f t="shared" si="1307"/>
        <v>7000</v>
      </c>
      <c r="I1078" s="299">
        <f>M1078+P1078</f>
        <v>0</v>
      </c>
      <c r="J1078" s="299"/>
      <c r="K1078" s="318"/>
      <c r="L1078" s="299"/>
      <c r="M1078" s="299"/>
      <c r="N1078" s="318"/>
      <c r="O1078" s="318"/>
      <c r="P1078" s="299">
        <f>S1078+T1078</f>
        <v>0</v>
      </c>
      <c r="Q1078" s="318"/>
      <c r="R1078" s="319"/>
      <c r="S1078" s="299"/>
      <c r="T1078" s="299">
        <f>U1078+V1078</f>
        <v>0</v>
      </c>
      <c r="U1078" s="299"/>
      <c r="V1078" s="299"/>
      <c r="W1078" s="299">
        <f>Z1078+AA1078</f>
        <v>7000</v>
      </c>
      <c r="X1078" s="299"/>
      <c r="Y1078" s="299"/>
      <c r="Z1078" s="299">
        <f>5000+1000+1000</f>
        <v>7000</v>
      </c>
      <c r="AA1078" s="299"/>
      <c r="AB1078" s="297"/>
      <c r="AC1078" s="297"/>
      <c r="AD1078" s="297">
        <v>0</v>
      </c>
      <c r="AE1078" s="299">
        <f t="shared" si="1316"/>
        <v>7000</v>
      </c>
      <c r="AF1078" s="876" t="s">
        <v>2261</v>
      </c>
      <c r="AG1078" s="314">
        <f t="shared" si="1279"/>
        <v>0</v>
      </c>
      <c r="AH1078" s="696">
        <f t="shared" si="1280"/>
        <v>0</v>
      </c>
      <c r="AI1078" s="314">
        <f t="shared" si="1281"/>
        <v>0</v>
      </c>
      <c r="AJ1078" s="314">
        <f t="shared" si="1282"/>
        <v>0</v>
      </c>
      <c r="AK1078" s="314">
        <f t="shared" si="1283"/>
        <v>0</v>
      </c>
      <c r="AL1078" s="314">
        <f t="shared" si="1284"/>
        <v>0</v>
      </c>
      <c r="AM1078" s="314">
        <f t="shared" si="1285"/>
        <v>0</v>
      </c>
      <c r="AN1078" s="314">
        <f t="shared" si="1286"/>
        <v>0</v>
      </c>
      <c r="AO1078" s="314">
        <f t="shared" si="1287"/>
        <v>0</v>
      </c>
      <c r="AP1078" s="314">
        <f t="shared" si="1288"/>
        <v>0</v>
      </c>
    </row>
    <row r="1079" spans="1:42" s="314" customFormat="1">
      <c r="A1079" s="591" t="s">
        <v>112</v>
      </c>
      <c r="B1079" s="320" t="s">
        <v>1871</v>
      </c>
      <c r="C1079" s="298"/>
      <c r="D1079" s="297">
        <f t="shared" ref="D1079:AE1079" si="1317">D1080+D1081+D1084+D1085</f>
        <v>50250.86</v>
      </c>
      <c r="E1079" s="297">
        <f>E1080+E1081+E1084+E1085</f>
        <v>40526</v>
      </c>
      <c r="F1079" s="297">
        <f>F1080+F1081+F1084+F1085</f>
        <v>40526</v>
      </c>
      <c r="G1079" s="297">
        <f>G1080+G1081+G1084+G1085</f>
        <v>-4452.8600000000006</v>
      </c>
      <c r="H1079" s="297">
        <f t="shared" si="1317"/>
        <v>35987</v>
      </c>
      <c r="I1079" s="297">
        <f t="shared" si="1317"/>
        <v>0</v>
      </c>
      <c r="J1079" s="297">
        <f t="shared" si="1317"/>
        <v>0</v>
      </c>
      <c r="K1079" s="297">
        <f t="shared" si="1317"/>
        <v>0</v>
      </c>
      <c r="L1079" s="297">
        <f t="shared" si="1317"/>
        <v>0</v>
      </c>
      <c r="M1079" s="297">
        <f t="shared" si="1317"/>
        <v>0</v>
      </c>
      <c r="N1079" s="297">
        <f t="shared" si="1317"/>
        <v>0</v>
      </c>
      <c r="O1079" s="297">
        <f t="shared" si="1317"/>
        <v>0</v>
      </c>
      <c r="P1079" s="297">
        <f t="shared" si="1317"/>
        <v>0</v>
      </c>
      <c r="Q1079" s="297">
        <f t="shared" si="1317"/>
        <v>0</v>
      </c>
      <c r="R1079" s="297">
        <f t="shared" si="1317"/>
        <v>0</v>
      </c>
      <c r="S1079" s="297">
        <f t="shared" si="1317"/>
        <v>0</v>
      </c>
      <c r="T1079" s="297">
        <f t="shared" si="1317"/>
        <v>0</v>
      </c>
      <c r="U1079" s="297">
        <f t="shared" si="1317"/>
        <v>0</v>
      </c>
      <c r="V1079" s="297">
        <f t="shared" si="1317"/>
        <v>0</v>
      </c>
      <c r="W1079" s="297">
        <f t="shared" si="1317"/>
        <v>35987</v>
      </c>
      <c r="X1079" s="297">
        <f t="shared" si="1317"/>
        <v>0</v>
      </c>
      <c r="Y1079" s="297">
        <f t="shared" si="1317"/>
        <v>0</v>
      </c>
      <c r="Z1079" s="297">
        <f t="shared" si="1317"/>
        <v>35987</v>
      </c>
      <c r="AA1079" s="297">
        <f t="shared" si="1317"/>
        <v>0</v>
      </c>
      <c r="AB1079" s="297">
        <f t="shared" si="1317"/>
        <v>-4539</v>
      </c>
      <c r="AC1079" s="297">
        <f t="shared" si="1317"/>
        <v>0</v>
      </c>
      <c r="AD1079" s="297">
        <f t="shared" si="1317"/>
        <v>-456</v>
      </c>
      <c r="AE1079" s="297">
        <f t="shared" si="1317"/>
        <v>40982</v>
      </c>
      <c r="AF1079" s="321"/>
      <c r="AG1079" s="314">
        <f t="shared" si="1279"/>
        <v>0</v>
      </c>
      <c r="AH1079" s="696">
        <f t="shared" si="1280"/>
        <v>0</v>
      </c>
      <c r="AI1079" s="314">
        <f t="shared" si="1281"/>
        <v>0</v>
      </c>
      <c r="AJ1079" s="314">
        <f t="shared" si="1282"/>
        <v>0</v>
      </c>
      <c r="AK1079" s="314">
        <f t="shared" si="1283"/>
        <v>0</v>
      </c>
      <c r="AL1079" s="314">
        <f t="shared" si="1284"/>
        <v>0</v>
      </c>
      <c r="AM1079" s="314">
        <f t="shared" si="1285"/>
        <v>0</v>
      </c>
      <c r="AN1079" s="314">
        <f t="shared" si="1286"/>
        <v>0</v>
      </c>
      <c r="AO1079" s="314">
        <f t="shared" si="1287"/>
        <v>0</v>
      </c>
      <c r="AP1079" s="314">
        <f t="shared" si="1288"/>
        <v>0</v>
      </c>
    </row>
    <row r="1080" spans="1:42">
      <c r="A1080" s="593" t="s">
        <v>18</v>
      </c>
      <c r="B1080" s="316" t="s">
        <v>1242</v>
      </c>
      <c r="C1080" s="334" t="s">
        <v>767</v>
      </c>
      <c r="D1080" s="304">
        <v>2000</v>
      </c>
      <c r="E1080" s="304">
        <f>F1080+AC1080</f>
        <v>3000</v>
      </c>
      <c r="F1080" s="304">
        <f>H1080-AB1080</f>
        <v>3000</v>
      </c>
      <c r="G1080" s="304">
        <f>F1080-D1080</f>
        <v>1000</v>
      </c>
      <c r="H1080" s="303">
        <f t="shared" si="1307"/>
        <v>3000</v>
      </c>
      <c r="I1080" s="303">
        <f t="shared" ref="I1080:I1084" si="1318">M1080+P1080</f>
        <v>0</v>
      </c>
      <c r="J1080" s="311"/>
      <c r="K1080" s="311"/>
      <c r="L1080" s="311"/>
      <c r="M1080" s="303"/>
      <c r="N1080" s="311"/>
      <c r="O1080" s="311"/>
      <c r="P1080" s="303">
        <f>S1080+T1080</f>
        <v>0</v>
      </c>
      <c r="Q1080" s="311"/>
      <c r="R1080" s="312"/>
      <c r="S1080" s="303"/>
      <c r="T1080" s="303">
        <f>U1080+V1080</f>
        <v>0</v>
      </c>
      <c r="U1080" s="303"/>
      <c r="V1080" s="303"/>
      <c r="W1080" s="303">
        <f>Z1080+AA1080</f>
        <v>3000</v>
      </c>
      <c r="X1080" s="303"/>
      <c r="Y1080" s="303"/>
      <c r="Z1080" s="303">
        <f>3000</f>
        <v>3000</v>
      </c>
      <c r="AA1080" s="303"/>
      <c r="AB1080" s="304"/>
      <c r="AC1080" s="304"/>
      <c r="AD1080" s="304">
        <v>300</v>
      </c>
      <c r="AE1080" s="303">
        <f>E1080-AD1080</f>
        <v>2700</v>
      </c>
      <c r="AF1080" s="317"/>
      <c r="AG1080" s="314">
        <f t="shared" si="1279"/>
        <v>0</v>
      </c>
      <c r="AH1080" s="696">
        <f t="shared" si="1280"/>
        <v>0</v>
      </c>
      <c r="AI1080" s="314">
        <f t="shared" si="1281"/>
        <v>0</v>
      </c>
      <c r="AJ1080" s="314">
        <f t="shared" si="1282"/>
        <v>0</v>
      </c>
      <c r="AK1080" s="314">
        <f t="shared" si="1283"/>
        <v>0</v>
      </c>
      <c r="AL1080" s="314">
        <f t="shared" si="1284"/>
        <v>0</v>
      </c>
      <c r="AM1080" s="314">
        <f t="shared" si="1285"/>
        <v>0</v>
      </c>
      <c r="AN1080" s="314">
        <f t="shared" si="1286"/>
        <v>0</v>
      </c>
      <c r="AO1080" s="314">
        <f t="shared" si="1287"/>
        <v>0</v>
      </c>
      <c r="AP1080" s="314">
        <f t="shared" si="1288"/>
        <v>0</v>
      </c>
    </row>
    <row r="1081" spans="1:42" ht="27.6">
      <c r="A1081" s="593" t="s">
        <v>26</v>
      </c>
      <c r="B1081" s="316" t="s">
        <v>769</v>
      </c>
      <c r="C1081" s="302" t="s">
        <v>756</v>
      </c>
      <c r="D1081" s="304">
        <v>3246</v>
      </c>
      <c r="E1081" s="304">
        <f>F1081+AC1081</f>
        <v>3557</v>
      </c>
      <c r="F1081" s="304">
        <f>H1081-AB1081</f>
        <v>3557</v>
      </c>
      <c r="G1081" s="304">
        <f>F1081-D1081</f>
        <v>311</v>
      </c>
      <c r="H1081" s="303">
        <f t="shared" si="1307"/>
        <v>3557</v>
      </c>
      <c r="I1081" s="303">
        <f t="shared" ref="I1081:Z1081" si="1319">I1082+I1083</f>
        <v>0</v>
      </c>
      <c r="J1081" s="303">
        <f t="shared" si="1319"/>
        <v>0</v>
      </c>
      <c r="K1081" s="303">
        <f t="shared" si="1319"/>
        <v>0</v>
      </c>
      <c r="L1081" s="303">
        <f t="shared" si="1319"/>
        <v>0</v>
      </c>
      <c r="M1081" s="303">
        <f t="shared" si="1319"/>
        <v>0</v>
      </c>
      <c r="N1081" s="303">
        <f t="shared" si="1319"/>
        <v>0</v>
      </c>
      <c r="O1081" s="303">
        <f t="shared" si="1319"/>
        <v>0</v>
      </c>
      <c r="P1081" s="303">
        <f t="shared" si="1319"/>
        <v>0</v>
      </c>
      <c r="Q1081" s="303">
        <f t="shared" si="1319"/>
        <v>0</v>
      </c>
      <c r="R1081" s="303">
        <f t="shared" si="1319"/>
        <v>0</v>
      </c>
      <c r="S1081" s="303">
        <f t="shared" si="1319"/>
        <v>0</v>
      </c>
      <c r="T1081" s="303">
        <f t="shared" si="1319"/>
        <v>0</v>
      </c>
      <c r="U1081" s="303">
        <f t="shared" si="1319"/>
        <v>0</v>
      </c>
      <c r="V1081" s="303">
        <f t="shared" si="1319"/>
        <v>0</v>
      </c>
      <c r="W1081" s="303">
        <f>W1082+W1083</f>
        <v>3557</v>
      </c>
      <c r="X1081" s="303"/>
      <c r="Y1081" s="303"/>
      <c r="Z1081" s="303">
        <f t="shared" si="1319"/>
        <v>3557</v>
      </c>
      <c r="AA1081" s="303">
        <f>AA1082+AA1083</f>
        <v>0</v>
      </c>
      <c r="AB1081" s="303"/>
      <c r="AC1081" s="303"/>
      <c r="AD1081" s="303">
        <v>0</v>
      </c>
      <c r="AE1081" s="303">
        <f>E1081-AD1081</f>
        <v>3557</v>
      </c>
      <c r="AF1081" s="317"/>
      <c r="AG1081" s="314">
        <f t="shared" si="1279"/>
        <v>0</v>
      </c>
      <c r="AH1081" s="696">
        <f t="shared" si="1280"/>
        <v>0</v>
      </c>
      <c r="AI1081" s="314">
        <f t="shared" si="1281"/>
        <v>0</v>
      </c>
      <c r="AJ1081" s="314">
        <f t="shared" si="1282"/>
        <v>0</v>
      </c>
      <c r="AK1081" s="314">
        <f t="shared" si="1283"/>
        <v>0</v>
      </c>
      <c r="AL1081" s="314">
        <f t="shared" si="1284"/>
        <v>0</v>
      </c>
      <c r="AM1081" s="314">
        <f t="shared" si="1285"/>
        <v>0</v>
      </c>
      <c r="AN1081" s="314">
        <f t="shared" si="1286"/>
        <v>0</v>
      </c>
      <c r="AO1081" s="314">
        <f t="shared" si="1287"/>
        <v>0</v>
      </c>
      <c r="AP1081" s="314">
        <f t="shared" si="1288"/>
        <v>0</v>
      </c>
    </row>
    <row r="1082" spans="1:42">
      <c r="A1082" s="593" t="s">
        <v>23</v>
      </c>
      <c r="B1082" s="316" t="s">
        <v>1243</v>
      </c>
      <c r="C1082" s="317"/>
      <c r="D1082" s="304">
        <v>883</v>
      </c>
      <c r="E1082" s="304">
        <f>F1082+AC1082</f>
        <v>883</v>
      </c>
      <c r="F1082" s="304">
        <f>H1082-AB1082</f>
        <v>883</v>
      </c>
      <c r="G1082" s="304">
        <f>F1082-D1082</f>
        <v>0</v>
      </c>
      <c r="H1082" s="303">
        <f t="shared" si="1307"/>
        <v>883</v>
      </c>
      <c r="I1082" s="303">
        <f t="shared" si="1318"/>
        <v>0</v>
      </c>
      <c r="J1082" s="311"/>
      <c r="K1082" s="311"/>
      <c r="L1082" s="311"/>
      <c r="M1082" s="303"/>
      <c r="N1082" s="311"/>
      <c r="O1082" s="311"/>
      <c r="P1082" s="303">
        <f t="shared" ref="P1082:P1084" si="1320">S1082+T1082</f>
        <v>0</v>
      </c>
      <c r="Q1082" s="311"/>
      <c r="R1082" s="312"/>
      <c r="S1082" s="303"/>
      <c r="T1082" s="303">
        <f t="shared" ref="T1082:T1084" si="1321">U1082+V1082</f>
        <v>0</v>
      </c>
      <c r="U1082" s="303"/>
      <c r="V1082" s="303"/>
      <c r="W1082" s="303">
        <f t="shared" ref="W1082:W1083" si="1322">Z1082+AA1082</f>
        <v>883</v>
      </c>
      <c r="X1082" s="303"/>
      <c r="Y1082" s="303"/>
      <c r="Z1082" s="303">
        <v>883</v>
      </c>
      <c r="AA1082" s="303"/>
      <c r="AB1082" s="304"/>
      <c r="AC1082" s="303"/>
      <c r="AD1082" s="303">
        <v>0</v>
      </c>
      <c r="AE1082" s="303">
        <f>E1082-AD1082</f>
        <v>883</v>
      </c>
      <c r="AF1082" s="317"/>
      <c r="AG1082" s="314">
        <f t="shared" si="1279"/>
        <v>0</v>
      </c>
      <c r="AH1082" s="696">
        <f t="shared" si="1280"/>
        <v>0</v>
      </c>
      <c r="AI1082" s="314">
        <f t="shared" si="1281"/>
        <v>0</v>
      </c>
      <c r="AJ1082" s="314">
        <f t="shared" si="1282"/>
        <v>0</v>
      </c>
      <c r="AK1082" s="314">
        <f t="shared" si="1283"/>
        <v>0</v>
      </c>
      <c r="AL1082" s="314">
        <f t="shared" si="1284"/>
        <v>0</v>
      </c>
      <c r="AM1082" s="314">
        <f t="shared" si="1285"/>
        <v>0</v>
      </c>
      <c r="AN1082" s="314">
        <f t="shared" si="1286"/>
        <v>0</v>
      </c>
      <c r="AO1082" s="314">
        <f t="shared" si="1287"/>
        <v>0</v>
      </c>
      <c r="AP1082" s="314">
        <f t="shared" si="1288"/>
        <v>0</v>
      </c>
    </row>
    <row r="1083" spans="1:42" ht="27.6">
      <c r="A1083" s="593" t="s">
        <v>23</v>
      </c>
      <c r="B1083" s="316" t="s">
        <v>1244</v>
      </c>
      <c r="C1083" s="317"/>
      <c r="D1083" s="304">
        <v>2363</v>
      </c>
      <c r="E1083" s="304">
        <f>F1083+AC1083</f>
        <v>2674</v>
      </c>
      <c r="F1083" s="304">
        <f>H1083-AB1083</f>
        <v>2674</v>
      </c>
      <c r="G1083" s="304">
        <f>F1083-D1083</f>
        <v>311</v>
      </c>
      <c r="H1083" s="303">
        <f t="shared" si="1307"/>
        <v>2674</v>
      </c>
      <c r="I1083" s="303">
        <f t="shared" si="1318"/>
        <v>0</v>
      </c>
      <c r="J1083" s="311"/>
      <c r="K1083" s="311"/>
      <c r="L1083" s="311"/>
      <c r="M1083" s="303"/>
      <c r="N1083" s="311"/>
      <c r="O1083" s="311"/>
      <c r="P1083" s="303">
        <f t="shared" si="1320"/>
        <v>0</v>
      </c>
      <c r="Q1083" s="311"/>
      <c r="R1083" s="312"/>
      <c r="S1083" s="303"/>
      <c r="T1083" s="303">
        <f t="shared" si="1321"/>
        <v>0</v>
      </c>
      <c r="U1083" s="303"/>
      <c r="V1083" s="303"/>
      <c r="W1083" s="303">
        <f t="shared" si="1322"/>
        <v>2674</v>
      </c>
      <c r="X1083" s="303"/>
      <c r="Y1083" s="303"/>
      <c r="Z1083" s="303">
        <v>2674</v>
      </c>
      <c r="AA1083" s="303"/>
      <c r="AB1083" s="304"/>
      <c r="AC1083" s="303"/>
      <c r="AD1083" s="303">
        <v>0</v>
      </c>
      <c r="AE1083" s="303">
        <f>E1083-AD1083</f>
        <v>2674</v>
      </c>
      <c r="AF1083" s="317"/>
      <c r="AG1083" s="314">
        <f t="shared" si="1279"/>
        <v>0</v>
      </c>
      <c r="AH1083" s="696">
        <f t="shared" si="1280"/>
        <v>0</v>
      </c>
      <c r="AI1083" s="314">
        <f t="shared" si="1281"/>
        <v>0</v>
      </c>
      <c r="AJ1083" s="314">
        <f t="shared" si="1282"/>
        <v>0</v>
      </c>
      <c r="AK1083" s="314">
        <f t="shared" si="1283"/>
        <v>0</v>
      </c>
      <c r="AL1083" s="314">
        <f t="shared" si="1284"/>
        <v>0</v>
      </c>
      <c r="AM1083" s="314">
        <f t="shared" si="1285"/>
        <v>0</v>
      </c>
      <c r="AN1083" s="314">
        <f t="shared" si="1286"/>
        <v>0</v>
      </c>
      <c r="AO1083" s="314">
        <f t="shared" si="1287"/>
        <v>0</v>
      </c>
      <c r="AP1083" s="314">
        <f t="shared" si="1288"/>
        <v>0</v>
      </c>
    </row>
    <row r="1084" spans="1:42">
      <c r="A1084" s="593" t="s">
        <v>59</v>
      </c>
      <c r="B1084" s="316" t="s">
        <v>770</v>
      </c>
      <c r="C1084" s="302" t="s">
        <v>756</v>
      </c>
      <c r="D1084" s="304">
        <v>1482</v>
      </c>
      <c r="E1084" s="304">
        <f>F1084+AC1084</f>
        <v>1846</v>
      </c>
      <c r="F1084" s="304">
        <f>H1084-AB1084</f>
        <v>1846</v>
      </c>
      <c r="G1084" s="304">
        <f>F1084-D1084</f>
        <v>364</v>
      </c>
      <c r="H1084" s="303">
        <f t="shared" si="1307"/>
        <v>1846</v>
      </c>
      <c r="I1084" s="303">
        <f t="shared" si="1318"/>
        <v>0</v>
      </c>
      <c r="J1084" s="311"/>
      <c r="K1084" s="311"/>
      <c r="L1084" s="311"/>
      <c r="M1084" s="303"/>
      <c r="N1084" s="311"/>
      <c r="O1084" s="311"/>
      <c r="P1084" s="303">
        <f t="shared" si="1320"/>
        <v>0</v>
      </c>
      <c r="Q1084" s="311"/>
      <c r="R1084" s="312"/>
      <c r="S1084" s="303"/>
      <c r="T1084" s="303">
        <f t="shared" si="1321"/>
        <v>0</v>
      </c>
      <c r="U1084" s="303"/>
      <c r="V1084" s="303"/>
      <c r="W1084" s="303">
        <f>Z1084+AA1084</f>
        <v>1846</v>
      </c>
      <c r="X1084" s="303"/>
      <c r="Y1084" s="303"/>
      <c r="Z1084" s="303">
        <v>1846</v>
      </c>
      <c r="AA1084" s="303"/>
      <c r="AB1084" s="304"/>
      <c r="AC1084" s="304"/>
      <c r="AD1084" s="304">
        <v>0</v>
      </c>
      <c r="AE1084" s="303">
        <f>E1084-AD1084</f>
        <v>1846</v>
      </c>
      <c r="AF1084" s="317"/>
      <c r="AG1084" s="314">
        <f t="shared" si="1279"/>
        <v>0</v>
      </c>
      <c r="AH1084" s="696">
        <f t="shared" si="1280"/>
        <v>0</v>
      </c>
      <c r="AI1084" s="314">
        <f t="shared" si="1281"/>
        <v>0</v>
      </c>
      <c r="AJ1084" s="314">
        <f t="shared" si="1282"/>
        <v>0</v>
      </c>
      <c r="AK1084" s="314">
        <f t="shared" si="1283"/>
        <v>0</v>
      </c>
      <c r="AL1084" s="314">
        <f t="shared" si="1284"/>
        <v>0</v>
      </c>
      <c r="AM1084" s="314">
        <f t="shared" si="1285"/>
        <v>0</v>
      </c>
      <c r="AN1084" s="314">
        <f t="shared" si="1286"/>
        <v>0</v>
      </c>
      <c r="AO1084" s="314">
        <f t="shared" si="1287"/>
        <v>0</v>
      </c>
      <c r="AP1084" s="314">
        <f t="shared" si="1288"/>
        <v>0</v>
      </c>
    </row>
    <row r="1085" spans="1:42" ht="41.4">
      <c r="A1085" s="593" t="s">
        <v>73</v>
      </c>
      <c r="B1085" s="316" t="s">
        <v>1246</v>
      </c>
      <c r="C1085" s="317"/>
      <c r="D1085" s="303">
        <v>43522.86</v>
      </c>
      <c r="E1085" s="303">
        <f>SUM(E1086:E1089)</f>
        <v>32123</v>
      </c>
      <c r="F1085" s="303">
        <f t="shared" ref="F1085:AE1085" si="1323">SUM(F1086:F1089)</f>
        <v>32123</v>
      </c>
      <c r="G1085" s="303">
        <f t="shared" si="1323"/>
        <v>-6127.8600000000006</v>
      </c>
      <c r="H1085" s="303">
        <f t="shared" si="1323"/>
        <v>27584</v>
      </c>
      <c r="I1085" s="303">
        <f t="shared" si="1323"/>
        <v>0</v>
      </c>
      <c r="J1085" s="303">
        <f t="shared" si="1323"/>
        <v>0</v>
      </c>
      <c r="K1085" s="303">
        <f t="shared" si="1323"/>
        <v>0</v>
      </c>
      <c r="L1085" s="303">
        <f t="shared" si="1323"/>
        <v>0</v>
      </c>
      <c r="M1085" s="303">
        <f t="shared" si="1323"/>
        <v>0</v>
      </c>
      <c r="N1085" s="303">
        <f t="shared" si="1323"/>
        <v>0</v>
      </c>
      <c r="O1085" s="303">
        <f t="shared" si="1323"/>
        <v>0</v>
      </c>
      <c r="P1085" s="303">
        <f t="shared" si="1323"/>
        <v>0</v>
      </c>
      <c r="Q1085" s="303">
        <f t="shared" si="1323"/>
        <v>0</v>
      </c>
      <c r="R1085" s="303">
        <f t="shared" si="1323"/>
        <v>0</v>
      </c>
      <c r="S1085" s="303">
        <f t="shared" si="1323"/>
        <v>0</v>
      </c>
      <c r="T1085" s="303">
        <f t="shared" si="1323"/>
        <v>0</v>
      </c>
      <c r="U1085" s="303">
        <f t="shared" si="1323"/>
        <v>0</v>
      </c>
      <c r="V1085" s="303">
        <f t="shared" si="1323"/>
        <v>0</v>
      </c>
      <c r="W1085" s="303">
        <f t="shared" si="1323"/>
        <v>27584</v>
      </c>
      <c r="X1085" s="303">
        <f t="shared" si="1323"/>
        <v>0</v>
      </c>
      <c r="Y1085" s="303">
        <f t="shared" si="1323"/>
        <v>0</v>
      </c>
      <c r="Z1085" s="303">
        <f t="shared" si="1323"/>
        <v>27584</v>
      </c>
      <c r="AA1085" s="303">
        <f t="shared" si="1323"/>
        <v>0</v>
      </c>
      <c r="AB1085" s="303">
        <f t="shared" si="1323"/>
        <v>-4539</v>
      </c>
      <c r="AC1085" s="303">
        <f t="shared" si="1323"/>
        <v>0</v>
      </c>
      <c r="AD1085" s="303">
        <f t="shared" si="1323"/>
        <v>-756</v>
      </c>
      <c r="AE1085" s="303">
        <f t="shared" si="1323"/>
        <v>32879</v>
      </c>
      <c r="AF1085" s="317"/>
      <c r="AG1085" s="314">
        <f t="shared" si="1279"/>
        <v>0</v>
      </c>
      <c r="AH1085" s="696">
        <f t="shared" si="1280"/>
        <v>0</v>
      </c>
      <c r="AI1085" s="314">
        <f t="shared" si="1281"/>
        <v>0</v>
      </c>
      <c r="AJ1085" s="314">
        <f t="shared" si="1282"/>
        <v>0</v>
      </c>
      <c r="AK1085" s="314">
        <f t="shared" si="1283"/>
        <v>0</v>
      </c>
      <c r="AL1085" s="314">
        <f t="shared" si="1284"/>
        <v>0</v>
      </c>
      <c r="AM1085" s="314">
        <f t="shared" si="1285"/>
        <v>0</v>
      </c>
      <c r="AN1085" s="314">
        <f t="shared" si="1286"/>
        <v>0</v>
      </c>
      <c r="AO1085" s="314">
        <f t="shared" si="1287"/>
        <v>0</v>
      </c>
      <c r="AP1085" s="314">
        <f t="shared" si="1288"/>
        <v>0</v>
      </c>
    </row>
    <row r="1086" spans="1:42" ht="82.8">
      <c r="A1086" s="593" t="s">
        <v>23</v>
      </c>
      <c r="B1086" s="316" t="s">
        <v>2565</v>
      </c>
      <c r="C1086" s="334" t="s">
        <v>767</v>
      </c>
      <c r="D1086" s="303"/>
      <c r="E1086" s="304">
        <f t="shared" ref="E1086:E1088" si="1324">F1086+AC1086</f>
        <v>13000</v>
      </c>
      <c r="F1086" s="304">
        <f t="shared" ref="F1086:F1088" si="1325">H1086-AB1086</f>
        <v>13000</v>
      </c>
      <c r="G1086" s="304">
        <f t="shared" ref="G1086:G1088" si="1326">F1086-D1086</f>
        <v>13000</v>
      </c>
      <c r="H1086" s="303">
        <f t="shared" ref="H1086:H1088" si="1327">I1086+W1086</f>
        <v>13000</v>
      </c>
      <c r="I1086" s="303"/>
      <c r="J1086" s="303"/>
      <c r="K1086" s="303"/>
      <c r="L1086" s="303"/>
      <c r="M1086" s="303"/>
      <c r="N1086" s="303"/>
      <c r="O1086" s="303"/>
      <c r="P1086" s="303"/>
      <c r="Q1086" s="303"/>
      <c r="R1086" s="303"/>
      <c r="S1086" s="303"/>
      <c r="T1086" s="303"/>
      <c r="U1086" s="303"/>
      <c r="V1086" s="303"/>
      <c r="W1086" s="303">
        <f t="shared" ref="W1086:W1091" si="1328">Z1086+AA1086</f>
        <v>13000</v>
      </c>
      <c r="X1086" s="303"/>
      <c r="Y1086" s="303"/>
      <c r="Z1086" s="303">
        <f>15000-2000</f>
        <v>13000</v>
      </c>
      <c r="AA1086" s="303"/>
      <c r="AB1086" s="303"/>
      <c r="AC1086" s="303"/>
      <c r="AD1086" s="303"/>
      <c r="AE1086" s="303">
        <f>E1086-AD1086</f>
        <v>13000</v>
      </c>
      <c r="AF1086" s="317" t="s">
        <v>2282</v>
      </c>
      <c r="AG1086" s="314">
        <f t="shared" si="1279"/>
        <v>0</v>
      </c>
      <c r="AH1086" s="696">
        <f t="shared" si="1280"/>
        <v>0</v>
      </c>
      <c r="AI1086" s="314">
        <f t="shared" si="1281"/>
        <v>0</v>
      </c>
      <c r="AJ1086" s="314">
        <f t="shared" si="1282"/>
        <v>0</v>
      </c>
      <c r="AK1086" s="314">
        <f t="shared" si="1283"/>
        <v>0</v>
      </c>
      <c r="AL1086" s="314">
        <f t="shared" si="1284"/>
        <v>0</v>
      </c>
      <c r="AM1086" s="314">
        <f t="shared" si="1285"/>
        <v>0</v>
      </c>
      <c r="AN1086" s="314">
        <f t="shared" si="1286"/>
        <v>0</v>
      </c>
      <c r="AO1086" s="314">
        <f t="shared" si="1287"/>
        <v>0</v>
      </c>
      <c r="AP1086" s="314">
        <f t="shared" si="1288"/>
        <v>0</v>
      </c>
    </row>
    <row r="1087" spans="1:42" ht="41.4">
      <c r="A1087" s="593" t="s">
        <v>23</v>
      </c>
      <c r="B1087" s="316" t="s">
        <v>2283</v>
      </c>
      <c r="C1087" s="334" t="s">
        <v>767</v>
      </c>
      <c r="D1087" s="303"/>
      <c r="E1087" s="304">
        <f t="shared" si="1324"/>
        <v>10000</v>
      </c>
      <c r="F1087" s="304">
        <f t="shared" si="1325"/>
        <v>10000</v>
      </c>
      <c r="G1087" s="304">
        <f t="shared" si="1326"/>
        <v>10000</v>
      </c>
      <c r="H1087" s="303">
        <f t="shared" si="1327"/>
        <v>10000</v>
      </c>
      <c r="I1087" s="303"/>
      <c r="J1087" s="303"/>
      <c r="K1087" s="303"/>
      <c r="L1087" s="303"/>
      <c r="M1087" s="303"/>
      <c r="N1087" s="303"/>
      <c r="O1087" s="303"/>
      <c r="P1087" s="303"/>
      <c r="Q1087" s="303"/>
      <c r="R1087" s="303"/>
      <c r="S1087" s="303"/>
      <c r="T1087" s="303"/>
      <c r="U1087" s="303"/>
      <c r="V1087" s="303"/>
      <c r="W1087" s="303">
        <f t="shared" si="1328"/>
        <v>10000</v>
      </c>
      <c r="X1087" s="303"/>
      <c r="Y1087" s="303"/>
      <c r="Z1087" s="303">
        <v>10000</v>
      </c>
      <c r="AA1087" s="303"/>
      <c r="AB1087" s="303"/>
      <c r="AC1087" s="303"/>
      <c r="AD1087" s="303"/>
      <c r="AE1087" s="303">
        <f>E1087-AD1087</f>
        <v>10000</v>
      </c>
      <c r="AF1087" s="317"/>
      <c r="AG1087" s="314">
        <f t="shared" si="1279"/>
        <v>0</v>
      </c>
      <c r="AH1087" s="696">
        <f t="shared" si="1280"/>
        <v>0</v>
      </c>
      <c r="AI1087" s="314">
        <f t="shared" si="1281"/>
        <v>0</v>
      </c>
      <c r="AJ1087" s="314">
        <f t="shared" si="1282"/>
        <v>0</v>
      </c>
      <c r="AK1087" s="314">
        <f t="shared" si="1283"/>
        <v>0</v>
      </c>
      <c r="AL1087" s="314">
        <f t="shared" si="1284"/>
        <v>0</v>
      </c>
      <c r="AM1087" s="314">
        <f t="shared" si="1285"/>
        <v>0</v>
      </c>
      <c r="AN1087" s="314">
        <f t="shared" si="1286"/>
        <v>0</v>
      </c>
      <c r="AO1087" s="314">
        <f t="shared" si="1287"/>
        <v>0</v>
      </c>
      <c r="AP1087" s="314">
        <f t="shared" si="1288"/>
        <v>0</v>
      </c>
    </row>
    <row r="1088" spans="1:42" ht="27.6" hidden="1" outlineLevel="3">
      <c r="A1088" s="593" t="s">
        <v>23</v>
      </c>
      <c r="B1088" s="316" t="s">
        <v>2284</v>
      </c>
      <c r="C1088" s="334" t="s">
        <v>767</v>
      </c>
      <c r="D1088" s="303"/>
      <c r="E1088" s="304">
        <f t="shared" si="1324"/>
        <v>0</v>
      </c>
      <c r="F1088" s="304">
        <f t="shared" si="1325"/>
        <v>0</v>
      </c>
      <c r="G1088" s="304">
        <f t="shared" si="1326"/>
        <v>0</v>
      </c>
      <c r="H1088" s="303">
        <f t="shared" si="1327"/>
        <v>0</v>
      </c>
      <c r="I1088" s="303"/>
      <c r="J1088" s="303"/>
      <c r="K1088" s="303"/>
      <c r="L1088" s="303"/>
      <c r="M1088" s="303"/>
      <c r="N1088" s="303"/>
      <c r="O1088" s="303"/>
      <c r="P1088" s="303"/>
      <c r="Q1088" s="303"/>
      <c r="R1088" s="303"/>
      <c r="S1088" s="303"/>
      <c r="T1088" s="303"/>
      <c r="U1088" s="303"/>
      <c r="V1088" s="303"/>
      <c r="W1088" s="303">
        <f t="shared" si="1328"/>
        <v>0</v>
      </c>
      <c r="X1088" s="303"/>
      <c r="Y1088" s="303"/>
      <c r="Z1088" s="303"/>
      <c r="AA1088" s="303"/>
      <c r="AB1088" s="303"/>
      <c r="AC1088" s="303"/>
      <c r="AD1088" s="303"/>
      <c r="AE1088" s="303"/>
      <c r="AF1088" s="317"/>
      <c r="AG1088" s="314">
        <f t="shared" si="1279"/>
        <v>0</v>
      </c>
      <c r="AH1088" s="696">
        <f t="shared" si="1280"/>
        <v>0</v>
      </c>
      <c r="AI1088" s="314">
        <f t="shared" si="1281"/>
        <v>0</v>
      </c>
      <c r="AJ1088" s="314">
        <f t="shared" si="1282"/>
        <v>0</v>
      </c>
      <c r="AK1088" s="314">
        <f t="shared" si="1283"/>
        <v>0</v>
      </c>
      <c r="AL1088" s="314">
        <f t="shared" si="1284"/>
        <v>0</v>
      </c>
      <c r="AM1088" s="314">
        <f t="shared" si="1285"/>
        <v>0</v>
      </c>
      <c r="AN1088" s="314">
        <f t="shared" si="1286"/>
        <v>0</v>
      </c>
      <c r="AO1088" s="314">
        <f t="shared" si="1287"/>
        <v>0</v>
      </c>
      <c r="AP1088" s="314">
        <f t="shared" si="1288"/>
        <v>0</v>
      </c>
    </row>
    <row r="1089" spans="1:42" ht="69" collapsed="1">
      <c r="A1089" s="593" t="s">
        <v>23</v>
      </c>
      <c r="B1089" s="877" t="s">
        <v>2310</v>
      </c>
      <c r="C1089" s="334" t="s">
        <v>767</v>
      </c>
      <c r="D1089" s="304">
        <v>38250.86</v>
      </c>
      <c r="E1089" s="304">
        <f>F1089+AC1089</f>
        <v>9123</v>
      </c>
      <c r="F1089" s="304">
        <f>H1089-AB1089</f>
        <v>9123</v>
      </c>
      <c r="G1089" s="304">
        <f>F1089-D1089</f>
        <v>-29127.86</v>
      </c>
      <c r="H1089" s="303">
        <f>I1089+W1089</f>
        <v>4584</v>
      </c>
      <c r="I1089" s="303"/>
      <c r="J1089" s="303"/>
      <c r="K1089" s="303"/>
      <c r="L1089" s="303"/>
      <c r="M1089" s="303"/>
      <c r="N1089" s="303"/>
      <c r="O1089" s="303"/>
      <c r="P1089" s="303"/>
      <c r="Q1089" s="303"/>
      <c r="R1089" s="303"/>
      <c r="S1089" s="303"/>
      <c r="T1089" s="303"/>
      <c r="U1089" s="303"/>
      <c r="V1089" s="303"/>
      <c r="W1089" s="303">
        <f t="shared" si="1328"/>
        <v>4584</v>
      </c>
      <c r="X1089" s="303"/>
      <c r="Y1089" s="303"/>
      <c r="Z1089" s="303">
        <f>9847+588+735+1372+110-1000-495-458-100-1000-90-298-9-377-181-2163+17+598-430-500-17+200-1139-533+4+450-247-300</f>
        <v>4584</v>
      </c>
      <c r="AA1089" s="303"/>
      <c r="AB1089" s="304">
        <f>-(AB27+AB86+AB101+AB118+AB152+AB281+AB352+AB416+AB441+AB499+AB510+AB539+AB576+AB592+AB624+AB665+AB491+AB680+AB692+AB705+AB717+AB726+AB756+AB763+AB792+AB800+AB821+AB840+AB857+AB867+AB896+AB920+AB929+AB940+AB949+AB956+AB958+AB968+AB979+AB987+AB995+AB1007+AB1014+AB1020+AB1039+AB1052+AB1100)</f>
        <v>-4539</v>
      </c>
      <c r="AC1089" s="304"/>
      <c r="AD1089" s="304">
        <v>-756</v>
      </c>
      <c r="AE1089" s="303">
        <f>E1089-AD1089</f>
        <v>9879</v>
      </c>
      <c r="AF1089" s="317"/>
      <c r="AG1089" s="314">
        <f t="shared" si="1279"/>
        <v>0</v>
      </c>
      <c r="AH1089" s="696">
        <f t="shared" si="1280"/>
        <v>0</v>
      </c>
      <c r="AI1089" s="314">
        <f t="shared" si="1281"/>
        <v>0</v>
      </c>
      <c r="AJ1089" s="314">
        <f t="shared" si="1282"/>
        <v>0</v>
      </c>
      <c r="AK1089" s="314">
        <f t="shared" si="1283"/>
        <v>0</v>
      </c>
      <c r="AL1089" s="314">
        <f t="shared" si="1284"/>
        <v>0</v>
      </c>
      <c r="AM1089" s="314">
        <f t="shared" si="1285"/>
        <v>0</v>
      </c>
      <c r="AN1089" s="314">
        <f t="shared" si="1286"/>
        <v>0</v>
      </c>
      <c r="AO1089" s="314">
        <f t="shared" si="1287"/>
        <v>0</v>
      </c>
      <c r="AP1089" s="314">
        <f t="shared" si="1288"/>
        <v>0</v>
      </c>
    </row>
    <row r="1090" spans="1:42" ht="55.2" hidden="1" outlineLevel="3">
      <c r="A1090" s="593" t="s">
        <v>23</v>
      </c>
      <c r="B1090" s="316" t="s">
        <v>2262</v>
      </c>
      <c r="C1090" s="302" t="s">
        <v>762</v>
      </c>
      <c r="D1090" s="304">
        <v>2550</v>
      </c>
      <c r="E1090" s="304">
        <f t="shared" ref="E1090:E1127" si="1329">F1090+AC1090</f>
        <v>0</v>
      </c>
      <c r="F1090" s="304">
        <f>H1090-AB1090</f>
        <v>0</v>
      </c>
      <c r="G1090" s="304">
        <f>F1090-D1090</f>
        <v>-2550</v>
      </c>
      <c r="H1090" s="303">
        <f t="shared" ref="H1090:H1091" si="1330">I1090+W1090</f>
        <v>0</v>
      </c>
      <c r="I1090" s="303"/>
      <c r="J1090" s="303"/>
      <c r="K1090" s="311"/>
      <c r="L1090" s="303"/>
      <c r="M1090" s="303"/>
      <c r="N1090" s="311"/>
      <c r="O1090" s="311"/>
      <c r="P1090" s="303"/>
      <c r="Q1090" s="311"/>
      <c r="R1090" s="312"/>
      <c r="S1090" s="303"/>
      <c r="T1090" s="303"/>
      <c r="U1090" s="303"/>
      <c r="V1090" s="303"/>
      <c r="W1090" s="303">
        <f t="shared" si="1328"/>
        <v>0</v>
      </c>
      <c r="X1090" s="303"/>
      <c r="Y1090" s="303"/>
      <c r="Z1090" s="303"/>
      <c r="AA1090" s="303"/>
      <c r="AB1090" s="304"/>
      <c r="AC1090" s="304"/>
      <c r="AD1090" s="304"/>
      <c r="AE1090" s="303">
        <f>E1090-AD1090</f>
        <v>0</v>
      </c>
      <c r="AF1090" s="317"/>
      <c r="AG1090" s="314">
        <f t="shared" si="1279"/>
        <v>0</v>
      </c>
      <c r="AH1090" s="696">
        <f t="shared" si="1280"/>
        <v>0</v>
      </c>
      <c r="AI1090" s="314">
        <f t="shared" si="1281"/>
        <v>0</v>
      </c>
      <c r="AJ1090" s="314">
        <f t="shared" si="1282"/>
        <v>0</v>
      </c>
      <c r="AK1090" s="314">
        <f t="shared" si="1283"/>
        <v>0</v>
      </c>
      <c r="AL1090" s="314">
        <f t="shared" si="1284"/>
        <v>0</v>
      </c>
      <c r="AM1090" s="314">
        <f t="shared" si="1285"/>
        <v>0</v>
      </c>
      <c r="AN1090" s="314">
        <f t="shared" si="1286"/>
        <v>0</v>
      </c>
      <c r="AO1090" s="314">
        <f t="shared" si="1287"/>
        <v>0</v>
      </c>
      <c r="AP1090" s="314">
        <f t="shared" si="1288"/>
        <v>0</v>
      </c>
    </row>
    <row r="1091" spans="1:42" ht="41.4" hidden="1" outlineLevel="3" collapsed="1">
      <c r="A1091" s="593" t="s">
        <v>23</v>
      </c>
      <c r="B1091" s="316" t="s">
        <v>1872</v>
      </c>
      <c r="C1091" s="302" t="s">
        <v>756</v>
      </c>
      <c r="D1091" s="304">
        <v>2722</v>
      </c>
      <c r="E1091" s="304">
        <f t="shared" si="1329"/>
        <v>0</v>
      </c>
      <c r="F1091" s="304">
        <f>H1091-AB1091</f>
        <v>0</v>
      </c>
      <c r="G1091" s="304">
        <f>F1091-D1091</f>
        <v>-2722</v>
      </c>
      <c r="H1091" s="303">
        <f t="shared" si="1330"/>
        <v>0</v>
      </c>
      <c r="I1091" s="303"/>
      <c r="J1091" s="303"/>
      <c r="K1091" s="311"/>
      <c r="L1091" s="303"/>
      <c r="M1091" s="303"/>
      <c r="N1091" s="311"/>
      <c r="O1091" s="311"/>
      <c r="P1091" s="303"/>
      <c r="Q1091" s="311"/>
      <c r="R1091" s="312"/>
      <c r="S1091" s="303"/>
      <c r="T1091" s="303"/>
      <c r="U1091" s="303"/>
      <c r="V1091" s="303"/>
      <c r="W1091" s="303">
        <f t="shared" si="1328"/>
        <v>0</v>
      </c>
      <c r="X1091" s="303"/>
      <c r="Y1091" s="303"/>
      <c r="Z1091" s="303"/>
      <c r="AA1091" s="303"/>
      <c r="AB1091" s="304"/>
      <c r="AC1091" s="304"/>
      <c r="AD1091" s="304"/>
      <c r="AE1091" s="303">
        <f>E1091-AD1091</f>
        <v>0</v>
      </c>
      <c r="AF1091" s="317" t="s">
        <v>2285</v>
      </c>
      <c r="AG1091" s="314">
        <f t="shared" si="1279"/>
        <v>0</v>
      </c>
      <c r="AH1091" s="696">
        <f t="shared" si="1280"/>
        <v>0</v>
      </c>
      <c r="AI1091" s="314">
        <f t="shared" si="1281"/>
        <v>0</v>
      </c>
      <c r="AJ1091" s="314">
        <f t="shared" si="1282"/>
        <v>0</v>
      </c>
      <c r="AK1091" s="314">
        <f t="shared" si="1283"/>
        <v>0</v>
      </c>
      <c r="AL1091" s="314">
        <f t="shared" si="1284"/>
        <v>0</v>
      </c>
      <c r="AM1091" s="314">
        <f t="shared" si="1285"/>
        <v>0</v>
      </c>
      <c r="AN1091" s="314">
        <f t="shared" si="1286"/>
        <v>0</v>
      </c>
      <c r="AO1091" s="314">
        <f t="shared" si="1287"/>
        <v>0</v>
      </c>
      <c r="AP1091" s="314">
        <f t="shared" si="1288"/>
        <v>0</v>
      </c>
    </row>
    <row r="1092" spans="1:42" s="314" customFormat="1" collapsed="1">
      <c r="A1092" s="592" t="s">
        <v>230</v>
      </c>
      <c r="B1092" s="327" t="s">
        <v>1247</v>
      </c>
      <c r="C1092" s="315"/>
      <c r="D1092" s="297">
        <v>0</v>
      </c>
      <c r="E1092" s="297">
        <f>E1093+E1098+E1100</f>
        <v>-41415</v>
      </c>
      <c r="F1092" s="297">
        <f t="shared" ref="F1092:AE1092" si="1331">F1093+F1098+F1100</f>
        <v>4539</v>
      </c>
      <c r="G1092" s="297">
        <f t="shared" si="1331"/>
        <v>4539</v>
      </c>
      <c r="H1092" s="297">
        <f t="shared" si="1331"/>
        <v>0</v>
      </c>
      <c r="I1092" s="297">
        <f t="shared" si="1331"/>
        <v>0</v>
      </c>
      <c r="J1092" s="297">
        <f t="shared" si="1331"/>
        <v>0</v>
      </c>
      <c r="K1092" s="297">
        <f t="shared" si="1331"/>
        <v>0</v>
      </c>
      <c r="L1092" s="297">
        <f t="shared" si="1331"/>
        <v>0</v>
      </c>
      <c r="M1092" s="297">
        <f t="shared" si="1331"/>
        <v>0</v>
      </c>
      <c r="N1092" s="297">
        <f t="shared" si="1331"/>
        <v>0</v>
      </c>
      <c r="O1092" s="297">
        <f t="shared" si="1331"/>
        <v>0</v>
      </c>
      <c r="P1092" s="297">
        <f t="shared" si="1331"/>
        <v>0</v>
      </c>
      <c r="Q1092" s="297">
        <f t="shared" si="1331"/>
        <v>0</v>
      </c>
      <c r="R1092" s="297">
        <f t="shared" si="1331"/>
        <v>0</v>
      </c>
      <c r="S1092" s="297">
        <f t="shared" si="1331"/>
        <v>0</v>
      </c>
      <c r="T1092" s="297">
        <f t="shared" si="1331"/>
        <v>0</v>
      </c>
      <c r="U1092" s="297">
        <f t="shared" si="1331"/>
        <v>0</v>
      </c>
      <c r="V1092" s="297">
        <f t="shared" si="1331"/>
        <v>0</v>
      </c>
      <c r="W1092" s="297">
        <f t="shared" si="1331"/>
        <v>0</v>
      </c>
      <c r="X1092" s="297">
        <f t="shared" si="1331"/>
        <v>0</v>
      </c>
      <c r="Y1092" s="297">
        <f t="shared" si="1331"/>
        <v>0</v>
      </c>
      <c r="Z1092" s="297">
        <f t="shared" si="1331"/>
        <v>0</v>
      </c>
      <c r="AA1092" s="297">
        <f t="shared" si="1331"/>
        <v>0</v>
      </c>
      <c r="AB1092" s="297">
        <f t="shared" si="1331"/>
        <v>-4539</v>
      </c>
      <c r="AC1092" s="297">
        <f t="shared" si="1331"/>
        <v>-45954</v>
      </c>
      <c r="AD1092" s="297">
        <f t="shared" si="1331"/>
        <v>-44905</v>
      </c>
      <c r="AE1092" s="297">
        <f t="shared" si="1331"/>
        <v>3490</v>
      </c>
      <c r="AF1092" s="315"/>
      <c r="AG1092" s="314">
        <f t="shared" si="1279"/>
        <v>0</v>
      </c>
      <c r="AH1092" s="696">
        <f t="shared" si="1280"/>
        <v>0</v>
      </c>
      <c r="AI1092" s="314">
        <f t="shared" si="1281"/>
        <v>0</v>
      </c>
      <c r="AJ1092" s="314">
        <f t="shared" si="1282"/>
        <v>0</v>
      </c>
      <c r="AK1092" s="314">
        <f t="shared" si="1283"/>
        <v>0</v>
      </c>
      <c r="AL1092" s="314">
        <f t="shared" si="1284"/>
        <v>0</v>
      </c>
      <c r="AM1092" s="314">
        <f t="shared" si="1285"/>
        <v>0</v>
      </c>
      <c r="AN1092" s="314">
        <f t="shared" si="1286"/>
        <v>0</v>
      </c>
      <c r="AO1092" s="314">
        <f t="shared" si="1287"/>
        <v>0</v>
      </c>
      <c r="AP1092" s="314">
        <f t="shared" si="1288"/>
        <v>0</v>
      </c>
    </row>
    <row r="1093" spans="1:42" ht="27.6">
      <c r="A1093" s="593" t="s">
        <v>18</v>
      </c>
      <c r="B1093" s="866" t="s">
        <v>2263</v>
      </c>
      <c r="C1093" s="334"/>
      <c r="D1093" s="304">
        <v>0</v>
      </c>
      <c r="E1093" s="304">
        <f>E1094+E1097</f>
        <v>-46158</v>
      </c>
      <c r="F1093" s="304">
        <f t="shared" ref="F1093:AE1093" si="1332">F1094+F1097</f>
        <v>0</v>
      </c>
      <c r="G1093" s="304">
        <f t="shared" si="1332"/>
        <v>0</v>
      </c>
      <c r="H1093" s="304">
        <f t="shared" si="1332"/>
        <v>0</v>
      </c>
      <c r="I1093" s="304">
        <f t="shared" si="1332"/>
        <v>0</v>
      </c>
      <c r="J1093" s="304">
        <f t="shared" si="1332"/>
        <v>0</v>
      </c>
      <c r="K1093" s="304">
        <f t="shared" si="1332"/>
        <v>0</v>
      </c>
      <c r="L1093" s="304">
        <f t="shared" si="1332"/>
        <v>0</v>
      </c>
      <c r="M1093" s="304">
        <f t="shared" si="1332"/>
        <v>0</v>
      </c>
      <c r="N1093" s="304">
        <f t="shared" si="1332"/>
        <v>0</v>
      </c>
      <c r="O1093" s="304">
        <f t="shared" si="1332"/>
        <v>0</v>
      </c>
      <c r="P1093" s="304">
        <f t="shared" si="1332"/>
        <v>0</v>
      </c>
      <c r="Q1093" s="304">
        <f t="shared" si="1332"/>
        <v>0</v>
      </c>
      <c r="R1093" s="304">
        <f t="shared" si="1332"/>
        <v>0</v>
      </c>
      <c r="S1093" s="304">
        <f t="shared" si="1332"/>
        <v>0</v>
      </c>
      <c r="T1093" s="304">
        <f t="shared" si="1332"/>
        <v>0</v>
      </c>
      <c r="U1093" s="304">
        <f t="shared" si="1332"/>
        <v>0</v>
      </c>
      <c r="V1093" s="304">
        <f t="shared" si="1332"/>
        <v>0</v>
      </c>
      <c r="W1093" s="304">
        <f t="shared" si="1332"/>
        <v>0</v>
      </c>
      <c r="X1093" s="304">
        <f t="shared" si="1332"/>
        <v>0</v>
      </c>
      <c r="Y1093" s="304">
        <f t="shared" si="1332"/>
        <v>0</v>
      </c>
      <c r="Z1093" s="304">
        <f t="shared" si="1332"/>
        <v>0</v>
      </c>
      <c r="AA1093" s="304">
        <f t="shared" si="1332"/>
        <v>0</v>
      </c>
      <c r="AB1093" s="304">
        <f t="shared" si="1332"/>
        <v>0</v>
      </c>
      <c r="AC1093" s="304">
        <f t="shared" si="1332"/>
        <v>-46158</v>
      </c>
      <c r="AD1093" s="304">
        <f t="shared" si="1332"/>
        <v>-44905</v>
      </c>
      <c r="AE1093" s="304">
        <f t="shared" si="1332"/>
        <v>-1253</v>
      </c>
      <c r="AF1093" s="334"/>
      <c r="AG1093" s="314">
        <f t="shared" si="1279"/>
        <v>0</v>
      </c>
      <c r="AH1093" s="696">
        <f t="shared" si="1280"/>
        <v>0</v>
      </c>
      <c r="AI1093" s="314">
        <f t="shared" si="1281"/>
        <v>0</v>
      </c>
      <c r="AJ1093" s="314">
        <f t="shared" si="1282"/>
        <v>0</v>
      </c>
      <c r="AK1093" s="314">
        <f t="shared" si="1283"/>
        <v>0</v>
      </c>
      <c r="AL1093" s="314">
        <f t="shared" si="1284"/>
        <v>0</v>
      </c>
      <c r="AM1093" s="314">
        <f t="shared" si="1285"/>
        <v>0</v>
      </c>
      <c r="AN1093" s="314">
        <f t="shared" si="1286"/>
        <v>0</v>
      </c>
      <c r="AO1093" s="314">
        <f t="shared" si="1287"/>
        <v>0</v>
      </c>
      <c r="AP1093" s="314">
        <f t="shared" si="1288"/>
        <v>0</v>
      </c>
    </row>
    <row r="1094" spans="1:42">
      <c r="A1094" s="593"/>
      <c r="B1094" s="866" t="s">
        <v>2264</v>
      </c>
      <c r="C1094" s="334"/>
      <c r="D1094" s="304"/>
      <c r="E1094" s="304">
        <f t="shared" ref="E1094:E1101" si="1333">F1094+AC1094</f>
        <v>-46158</v>
      </c>
      <c r="F1094" s="304">
        <f t="shared" ref="F1094:F1100" si="1334">H1094-AB1094</f>
        <v>0</v>
      </c>
      <c r="G1094" s="304">
        <f t="shared" ref="G1094:G1110" si="1335">F1094-D1094</f>
        <v>0</v>
      </c>
      <c r="H1094" s="303">
        <f t="shared" ref="H1094:H1101" si="1336">I1094+W1094</f>
        <v>0</v>
      </c>
      <c r="I1094" s="303"/>
      <c r="J1094" s="303"/>
      <c r="K1094" s="303"/>
      <c r="L1094" s="303"/>
      <c r="M1094" s="303"/>
      <c r="N1094" s="303"/>
      <c r="O1094" s="303"/>
      <c r="P1094" s="303"/>
      <c r="Q1094" s="303"/>
      <c r="R1094" s="303"/>
      <c r="S1094" s="303"/>
      <c r="T1094" s="303"/>
      <c r="U1094" s="303"/>
      <c r="V1094" s="303"/>
      <c r="W1094" s="303">
        <f t="shared" ref="W1094:W1101" si="1337">Z1094+AA1094</f>
        <v>0</v>
      </c>
      <c r="X1094" s="303"/>
      <c r="Y1094" s="303"/>
      <c r="Z1094" s="303"/>
      <c r="AA1094" s="303"/>
      <c r="AB1094" s="304"/>
      <c r="AC1094" s="304">
        <f>-45955-203</f>
        <v>-46158</v>
      </c>
      <c r="AD1094" s="304">
        <f>5280+203</f>
        <v>5483</v>
      </c>
      <c r="AE1094" s="303">
        <f t="shared" ref="AE1094:AE1100" si="1338">E1094-AD1094</f>
        <v>-51641</v>
      </c>
      <c r="AF1094" s="334"/>
      <c r="AG1094" s="314">
        <f t="shared" si="1279"/>
        <v>0</v>
      </c>
      <c r="AH1094" s="696">
        <f t="shared" si="1280"/>
        <v>0</v>
      </c>
      <c r="AI1094" s="314">
        <f t="shared" si="1281"/>
        <v>0</v>
      </c>
      <c r="AJ1094" s="314">
        <f t="shared" si="1282"/>
        <v>0</v>
      </c>
      <c r="AK1094" s="314">
        <f t="shared" si="1283"/>
        <v>0</v>
      </c>
      <c r="AL1094" s="314">
        <f t="shared" si="1284"/>
        <v>0</v>
      </c>
      <c r="AM1094" s="314">
        <f t="shared" si="1285"/>
        <v>0</v>
      </c>
      <c r="AN1094" s="314">
        <f t="shared" si="1286"/>
        <v>0</v>
      </c>
      <c r="AO1094" s="314">
        <f t="shared" si="1287"/>
        <v>0</v>
      </c>
      <c r="AP1094" s="314">
        <f t="shared" si="1288"/>
        <v>0</v>
      </c>
    </row>
    <row r="1095" spans="1:42">
      <c r="A1095" s="593"/>
      <c r="B1095" s="866" t="s">
        <v>2265</v>
      </c>
      <c r="C1095" s="334" t="s">
        <v>720</v>
      </c>
      <c r="D1095" s="304"/>
      <c r="E1095" s="304">
        <f t="shared" si="1333"/>
        <v>-22123</v>
      </c>
      <c r="F1095" s="304"/>
      <c r="G1095" s="304"/>
      <c r="H1095" s="303"/>
      <c r="I1095" s="303"/>
      <c r="J1095" s="303"/>
      <c r="K1095" s="303"/>
      <c r="L1095" s="303"/>
      <c r="M1095" s="303"/>
      <c r="N1095" s="303"/>
      <c r="O1095" s="303"/>
      <c r="P1095" s="303"/>
      <c r="Q1095" s="303"/>
      <c r="R1095" s="303"/>
      <c r="S1095" s="303"/>
      <c r="T1095" s="303"/>
      <c r="U1095" s="303"/>
      <c r="V1095" s="303"/>
      <c r="W1095" s="303"/>
      <c r="X1095" s="303"/>
      <c r="Y1095" s="303"/>
      <c r="Z1095" s="303"/>
      <c r="AA1095" s="303"/>
      <c r="AB1095" s="304"/>
      <c r="AC1095" s="304">
        <f>-22725+602</f>
        <v>-22123</v>
      </c>
      <c r="AD1095" s="304"/>
      <c r="AE1095" s="303"/>
      <c r="AF1095" s="334"/>
      <c r="AG1095" s="314">
        <f t="shared" si="1279"/>
        <v>0</v>
      </c>
      <c r="AH1095" s="696">
        <f t="shared" si="1280"/>
        <v>0</v>
      </c>
      <c r="AI1095" s="314">
        <f t="shared" si="1281"/>
        <v>0</v>
      </c>
      <c r="AJ1095" s="314">
        <f t="shared" si="1282"/>
        <v>0</v>
      </c>
      <c r="AK1095" s="314">
        <f t="shared" si="1283"/>
        <v>0</v>
      </c>
      <c r="AL1095" s="314">
        <f t="shared" si="1284"/>
        <v>0</v>
      </c>
      <c r="AM1095" s="314">
        <f t="shared" si="1285"/>
        <v>0</v>
      </c>
      <c r="AN1095" s="314">
        <f t="shared" si="1286"/>
        <v>0</v>
      </c>
      <c r="AO1095" s="314">
        <f t="shared" si="1287"/>
        <v>0</v>
      </c>
      <c r="AP1095" s="314">
        <f t="shared" si="1288"/>
        <v>0</v>
      </c>
    </row>
    <row r="1096" spans="1:42" ht="27.6">
      <c r="A1096" s="593"/>
      <c r="B1096" s="866" t="s">
        <v>2266</v>
      </c>
      <c r="C1096" s="334" t="s">
        <v>767</v>
      </c>
      <c r="D1096" s="304"/>
      <c r="E1096" s="304">
        <f t="shared" si="1333"/>
        <v>-24035</v>
      </c>
      <c r="F1096" s="304"/>
      <c r="G1096" s="304"/>
      <c r="H1096" s="303"/>
      <c r="I1096" s="303"/>
      <c r="J1096" s="303"/>
      <c r="K1096" s="303"/>
      <c r="L1096" s="303"/>
      <c r="M1096" s="303"/>
      <c r="N1096" s="303"/>
      <c r="O1096" s="303"/>
      <c r="P1096" s="303"/>
      <c r="Q1096" s="303"/>
      <c r="R1096" s="303"/>
      <c r="S1096" s="303"/>
      <c r="T1096" s="303"/>
      <c r="U1096" s="303"/>
      <c r="V1096" s="303"/>
      <c r="W1096" s="303"/>
      <c r="X1096" s="303"/>
      <c r="Y1096" s="303"/>
      <c r="Z1096" s="303"/>
      <c r="AA1096" s="303"/>
      <c r="AB1096" s="304"/>
      <c r="AC1096" s="304">
        <f>AC1094-AC1095</f>
        <v>-24035</v>
      </c>
      <c r="AD1096" s="304"/>
      <c r="AE1096" s="303"/>
      <c r="AF1096" s="334"/>
      <c r="AG1096" s="314">
        <f t="shared" si="1279"/>
        <v>0</v>
      </c>
      <c r="AH1096" s="696">
        <f t="shared" si="1280"/>
        <v>0</v>
      </c>
      <c r="AI1096" s="314">
        <f t="shared" si="1281"/>
        <v>0</v>
      </c>
      <c r="AJ1096" s="314">
        <f t="shared" si="1282"/>
        <v>0</v>
      </c>
      <c r="AK1096" s="314">
        <f t="shared" si="1283"/>
        <v>0</v>
      </c>
      <c r="AL1096" s="314">
        <f t="shared" si="1284"/>
        <v>0</v>
      </c>
      <c r="AM1096" s="314">
        <f t="shared" si="1285"/>
        <v>0</v>
      </c>
      <c r="AN1096" s="314">
        <f t="shared" si="1286"/>
        <v>0</v>
      </c>
      <c r="AO1096" s="314">
        <f t="shared" si="1287"/>
        <v>0</v>
      </c>
      <c r="AP1096" s="314">
        <f t="shared" si="1288"/>
        <v>0</v>
      </c>
    </row>
    <row r="1097" spans="1:42" ht="27.6" hidden="1">
      <c r="A1097" s="593"/>
      <c r="B1097" s="866" t="s">
        <v>2267</v>
      </c>
      <c r="C1097" s="334"/>
      <c r="D1097" s="304"/>
      <c r="E1097" s="304">
        <f t="shared" si="1333"/>
        <v>0</v>
      </c>
      <c r="F1097" s="304">
        <f t="shared" si="1334"/>
        <v>0</v>
      </c>
      <c r="G1097" s="304">
        <f t="shared" si="1335"/>
        <v>0</v>
      </c>
      <c r="H1097" s="303">
        <f t="shared" si="1336"/>
        <v>0</v>
      </c>
      <c r="I1097" s="303"/>
      <c r="J1097" s="303"/>
      <c r="K1097" s="303"/>
      <c r="L1097" s="303"/>
      <c r="M1097" s="303"/>
      <c r="N1097" s="303"/>
      <c r="O1097" s="303"/>
      <c r="P1097" s="303"/>
      <c r="Q1097" s="303"/>
      <c r="R1097" s="303"/>
      <c r="S1097" s="303"/>
      <c r="T1097" s="303"/>
      <c r="U1097" s="303"/>
      <c r="V1097" s="303"/>
      <c r="W1097" s="303">
        <f t="shared" si="1337"/>
        <v>0</v>
      </c>
      <c r="X1097" s="303"/>
      <c r="Y1097" s="303"/>
      <c r="Z1097" s="303"/>
      <c r="AA1097" s="303"/>
      <c r="AB1097" s="304"/>
      <c r="AC1097" s="304"/>
      <c r="AD1097" s="304">
        <f>-(AD26+AD623+AD919+AD1077+AD1078+AD1079)</f>
        <v>-50388</v>
      </c>
      <c r="AE1097" s="303">
        <f t="shared" si="1338"/>
        <v>50388</v>
      </c>
      <c r="AF1097" s="334"/>
      <c r="AG1097" s="314">
        <f t="shared" si="1279"/>
        <v>0</v>
      </c>
      <c r="AH1097" s="696">
        <f t="shared" si="1280"/>
        <v>0</v>
      </c>
      <c r="AI1097" s="314">
        <f t="shared" si="1281"/>
        <v>0</v>
      </c>
      <c r="AJ1097" s="314">
        <f t="shared" si="1282"/>
        <v>0</v>
      </c>
      <c r="AK1097" s="314">
        <f t="shared" si="1283"/>
        <v>0</v>
      </c>
      <c r="AL1097" s="314">
        <f t="shared" si="1284"/>
        <v>0</v>
      </c>
      <c r="AM1097" s="314">
        <f t="shared" si="1285"/>
        <v>0</v>
      </c>
      <c r="AN1097" s="314">
        <f t="shared" si="1286"/>
        <v>0</v>
      </c>
      <c r="AO1097" s="314">
        <f t="shared" si="1287"/>
        <v>0</v>
      </c>
      <c r="AP1097" s="314">
        <f t="shared" si="1288"/>
        <v>0</v>
      </c>
    </row>
    <row r="1098" spans="1:42">
      <c r="A1098" s="593">
        <v>2</v>
      </c>
      <c r="B1098" s="866" t="s">
        <v>2268</v>
      </c>
      <c r="C1098" s="334"/>
      <c r="D1098" s="304"/>
      <c r="E1098" s="304">
        <f t="shared" si="1333"/>
        <v>204</v>
      </c>
      <c r="F1098" s="304">
        <f t="shared" si="1334"/>
        <v>0</v>
      </c>
      <c r="G1098" s="304">
        <f t="shared" si="1335"/>
        <v>0</v>
      </c>
      <c r="H1098" s="303">
        <f t="shared" si="1336"/>
        <v>0</v>
      </c>
      <c r="I1098" s="303"/>
      <c r="J1098" s="303"/>
      <c r="K1098" s="303"/>
      <c r="L1098" s="303"/>
      <c r="M1098" s="303"/>
      <c r="N1098" s="303"/>
      <c r="O1098" s="303"/>
      <c r="P1098" s="303"/>
      <c r="Q1098" s="303"/>
      <c r="R1098" s="303"/>
      <c r="S1098" s="303"/>
      <c r="T1098" s="303"/>
      <c r="U1098" s="303"/>
      <c r="V1098" s="303"/>
      <c r="W1098" s="303">
        <f t="shared" si="1337"/>
        <v>0</v>
      </c>
      <c r="X1098" s="303"/>
      <c r="Y1098" s="303"/>
      <c r="Z1098" s="303"/>
      <c r="AA1098" s="303"/>
      <c r="AB1098" s="304"/>
      <c r="AC1098" s="304">
        <f>AC1099</f>
        <v>204</v>
      </c>
      <c r="AD1098" s="304"/>
      <c r="AE1098" s="303">
        <f t="shared" si="1338"/>
        <v>204</v>
      </c>
      <c r="AF1098" s="334"/>
      <c r="AG1098" s="314">
        <f t="shared" si="1279"/>
        <v>0</v>
      </c>
      <c r="AH1098" s="696">
        <f t="shared" si="1280"/>
        <v>0</v>
      </c>
      <c r="AI1098" s="314">
        <f t="shared" si="1281"/>
        <v>0</v>
      </c>
      <c r="AJ1098" s="314">
        <f t="shared" si="1282"/>
        <v>0</v>
      </c>
      <c r="AK1098" s="314">
        <f t="shared" si="1283"/>
        <v>0</v>
      </c>
      <c r="AL1098" s="314">
        <f t="shared" si="1284"/>
        <v>0</v>
      </c>
      <c r="AM1098" s="314">
        <f t="shared" si="1285"/>
        <v>0</v>
      </c>
      <c r="AN1098" s="314">
        <f t="shared" si="1286"/>
        <v>0</v>
      </c>
      <c r="AO1098" s="314">
        <f t="shared" si="1287"/>
        <v>0</v>
      </c>
      <c r="AP1098" s="314">
        <f t="shared" si="1288"/>
        <v>0</v>
      </c>
    </row>
    <row r="1099" spans="1:42">
      <c r="A1099" s="593"/>
      <c r="B1099" s="866" t="s">
        <v>2269</v>
      </c>
      <c r="C1099" s="1299" t="s">
        <v>724</v>
      </c>
      <c r="D1099" s="304"/>
      <c r="E1099" s="304">
        <f t="shared" si="1333"/>
        <v>204</v>
      </c>
      <c r="F1099" s="304">
        <f t="shared" si="1334"/>
        <v>0</v>
      </c>
      <c r="G1099" s="304">
        <f t="shared" si="1335"/>
        <v>0</v>
      </c>
      <c r="H1099" s="303">
        <f t="shared" si="1336"/>
        <v>0</v>
      </c>
      <c r="I1099" s="303"/>
      <c r="J1099" s="303"/>
      <c r="K1099" s="303"/>
      <c r="L1099" s="303"/>
      <c r="M1099" s="303"/>
      <c r="N1099" s="303"/>
      <c r="O1099" s="303"/>
      <c r="P1099" s="303"/>
      <c r="Q1099" s="303"/>
      <c r="R1099" s="303"/>
      <c r="S1099" s="303"/>
      <c r="T1099" s="303"/>
      <c r="U1099" s="303"/>
      <c r="V1099" s="303"/>
      <c r="W1099" s="303">
        <f t="shared" si="1337"/>
        <v>0</v>
      </c>
      <c r="X1099" s="303"/>
      <c r="Y1099" s="303"/>
      <c r="Z1099" s="303"/>
      <c r="AA1099" s="303"/>
      <c r="AB1099" s="304"/>
      <c r="AC1099" s="304">
        <v>204</v>
      </c>
      <c r="AD1099" s="304"/>
      <c r="AE1099" s="303">
        <f t="shared" si="1338"/>
        <v>204</v>
      </c>
      <c r="AF1099" s="334"/>
      <c r="AG1099" s="314">
        <f t="shared" si="1279"/>
        <v>0</v>
      </c>
      <c r="AH1099" s="696">
        <f t="shared" si="1280"/>
        <v>0</v>
      </c>
      <c r="AI1099" s="314">
        <f t="shared" si="1281"/>
        <v>0</v>
      </c>
      <c r="AJ1099" s="314">
        <f t="shared" si="1282"/>
        <v>0</v>
      </c>
      <c r="AK1099" s="314">
        <f t="shared" si="1283"/>
        <v>0</v>
      </c>
      <c r="AL1099" s="314">
        <f t="shared" si="1284"/>
        <v>0</v>
      </c>
      <c r="AM1099" s="314">
        <f t="shared" si="1285"/>
        <v>0</v>
      </c>
      <c r="AN1099" s="314">
        <f t="shared" si="1286"/>
        <v>0</v>
      </c>
      <c r="AO1099" s="314">
        <f t="shared" si="1287"/>
        <v>0</v>
      </c>
      <c r="AP1099" s="314">
        <f t="shared" si="1288"/>
        <v>0</v>
      </c>
    </row>
    <row r="1100" spans="1:42" ht="41.4">
      <c r="A1100" s="593" t="s">
        <v>59</v>
      </c>
      <c r="B1100" s="866" t="s">
        <v>2274</v>
      </c>
      <c r="C1100" s="1299">
        <v>428</v>
      </c>
      <c r="D1100" s="304"/>
      <c r="E1100" s="304">
        <f t="shared" si="1333"/>
        <v>4539</v>
      </c>
      <c r="F1100" s="304">
        <f t="shared" si="1334"/>
        <v>4539</v>
      </c>
      <c r="G1100" s="304">
        <f t="shared" si="1335"/>
        <v>4539</v>
      </c>
      <c r="H1100" s="303">
        <f t="shared" si="1336"/>
        <v>0</v>
      </c>
      <c r="I1100" s="303"/>
      <c r="J1100" s="303"/>
      <c r="K1100" s="303"/>
      <c r="L1100" s="303"/>
      <c r="M1100" s="303"/>
      <c r="N1100" s="303"/>
      <c r="O1100" s="303"/>
      <c r="P1100" s="303"/>
      <c r="Q1100" s="303"/>
      <c r="R1100" s="303"/>
      <c r="S1100" s="303"/>
      <c r="T1100" s="303"/>
      <c r="U1100" s="303"/>
      <c r="V1100" s="303"/>
      <c r="W1100" s="303">
        <f t="shared" si="1337"/>
        <v>0</v>
      </c>
      <c r="X1100" s="303"/>
      <c r="Y1100" s="303"/>
      <c r="Z1100" s="303"/>
      <c r="AA1100" s="303"/>
      <c r="AB1100" s="304">
        <f>-ROUND((AB27+AB86+AB101+AB118+AB152+AB281+AB352+AB416+AB441+AB499+AB510+AB539+AB576+AB592+AB624+AB665+AB491+AB680+AB692+AB705+AB717+AB726+AB756+AB763+AB792+AB800+AB821+AB840+AB857+AB867+AB896+AB920+AB929+AB940+AB949+AB956+AB958+AB968+AB979+AB987+AB995+AB1007+AB1014+AB1020+AB1039+AB1052)*50%,0)</f>
        <v>-4539</v>
      </c>
      <c r="AC1100" s="304"/>
      <c r="AD1100" s="304"/>
      <c r="AE1100" s="303">
        <f t="shared" si="1338"/>
        <v>4539</v>
      </c>
      <c r="AF1100" s="334"/>
      <c r="AG1100" s="314">
        <f t="shared" si="1279"/>
        <v>0</v>
      </c>
      <c r="AH1100" s="696">
        <f t="shared" si="1280"/>
        <v>0</v>
      </c>
      <c r="AI1100" s="314">
        <f t="shared" si="1281"/>
        <v>0</v>
      </c>
      <c r="AJ1100" s="314">
        <f t="shared" si="1282"/>
        <v>0</v>
      </c>
      <c r="AK1100" s="314">
        <f t="shared" si="1283"/>
        <v>0</v>
      </c>
      <c r="AL1100" s="314">
        <f t="shared" si="1284"/>
        <v>0</v>
      </c>
      <c r="AM1100" s="314">
        <f t="shared" si="1285"/>
        <v>0</v>
      </c>
      <c r="AN1100" s="314">
        <f t="shared" si="1286"/>
        <v>0</v>
      </c>
      <c r="AO1100" s="314">
        <f t="shared" si="1287"/>
        <v>0</v>
      </c>
      <c r="AP1100" s="314">
        <f t="shared" si="1288"/>
        <v>0</v>
      </c>
    </row>
    <row r="1101" spans="1:42" s="314" customFormat="1" ht="27.6">
      <c r="A1101" s="591" t="s">
        <v>1248</v>
      </c>
      <c r="B1101" s="645" t="s">
        <v>2290</v>
      </c>
      <c r="C1101" s="298"/>
      <c r="D1101" s="297"/>
      <c r="E1101" s="297">
        <f t="shared" si="1333"/>
        <v>0</v>
      </c>
      <c r="F1101" s="297">
        <f>H1101-AB1101</f>
        <v>7530</v>
      </c>
      <c r="G1101" s="297">
        <f t="shared" si="1335"/>
        <v>7530</v>
      </c>
      <c r="H1101" s="299">
        <f t="shared" si="1336"/>
        <v>7530</v>
      </c>
      <c r="I1101" s="299">
        <f t="shared" ref="I1101" si="1339">M1101+P1101</f>
        <v>0</v>
      </c>
      <c r="J1101" s="318"/>
      <c r="K1101" s="318"/>
      <c r="L1101" s="318"/>
      <c r="M1101" s="299"/>
      <c r="N1101" s="318"/>
      <c r="O1101" s="318"/>
      <c r="P1101" s="299">
        <f t="shared" ref="P1101" si="1340">S1101+T1101</f>
        <v>0</v>
      </c>
      <c r="Q1101" s="318"/>
      <c r="R1101" s="319"/>
      <c r="S1101" s="299"/>
      <c r="T1101" s="299">
        <f t="shared" ref="T1101" si="1341">U1101+V1101</f>
        <v>0</v>
      </c>
      <c r="U1101" s="299"/>
      <c r="V1101" s="299"/>
      <c r="W1101" s="299">
        <f t="shared" si="1337"/>
        <v>7530</v>
      </c>
      <c r="X1101" s="297"/>
      <c r="Y1101" s="297"/>
      <c r="Z1101" s="297">
        <f>6620+910</f>
        <v>7530</v>
      </c>
      <c r="AA1101" s="297"/>
      <c r="AB1101" s="297"/>
      <c r="AC1101" s="297">
        <f>-6620-910</f>
        <v>-7530</v>
      </c>
      <c r="AD1101" s="297"/>
      <c r="AE1101" s="299"/>
      <c r="AF1101" s="1271"/>
      <c r="AG1101" s="314">
        <f t="shared" si="1279"/>
        <v>0</v>
      </c>
      <c r="AH1101" s="696">
        <f t="shared" si="1280"/>
        <v>0</v>
      </c>
      <c r="AI1101" s="314">
        <f t="shared" si="1281"/>
        <v>0</v>
      </c>
      <c r="AJ1101" s="314">
        <f t="shared" si="1282"/>
        <v>0</v>
      </c>
      <c r="AK1101" s="314">
        <f t="shared" si="1283"/>
        <v>0</v>
      </c>
      <c r="AL1101" s="314">
        <f t="shared" si="1284"/>
        <v>0</v>
      </c>
      <c r="AM1101" s="314">
        <f t="shared" si="1285"/>
        <v>0</v>
      </c>
      <c r="AN1101" s="314">
        <f t="shared" si="1286"/>
        <v>0</v>
      </c>
      <c r="AO1101" s="314">
        <f t="shared" si="1287"/>
        <v>0</v>
      </c>
      <c r="AP1101" s="314">
        <f t="shared" si="1288"/>
        <v>0</v>
      </c>
    </row>
    <row r="1102" spans="1:42" s="314" customFormat="1">
      <c r="A1102" s="592" t="s">
        <v>1249</v>
      </c>
      <c r="B1102" s="645" t="s">
        <v>367</v>
      </c>
      <c r="C1102" s="298"/>
      <c r="D1102" s="297">
        <v>2200</v>
      </c>
      <c r="E1102" s="297">
        <f t="shared" si="1329"/>
        <v>2100</v>
      </c>
      <c r="F1102" s="297">
        <f>H1102-AB1102</f>
        <v>2100</v>
      </c>
      <c r="G1102" s="297">
        <f t="shared" si="1335"/>
        <v>-100</v>
      </c>
      <c r="H1102" s="299">
        <f t="shared" si="1307"/>
        <v>2100</v>
      </c>
      <c r="I1102" s="299">
        <f>M1102+P1102</f>
        <v>0</v>
      </c>
      <c r="J1102" s="300"/>
      <c r="K1102" s="300"/>
      <c r="L1102" s="300"/>
      <c r="M1102" s="297"/>
      <c r="N1102" s="300"/>
      <c r="O1102" s="300"/>
      <c r="P1102" s="299">
        <f>S1102+T1102</f>
        <v>0</v>
      </c>
      <c r="Q1102" s="300"/>
      <c r="R1102" s="301"/>
      <c r="S1102" s="297"/>
      <c r="T1102" s="299">
        <f>U1102+V1102</f>
        <v>0</v>
      </c>
      <c r="U1102" s="297"/>
      <c r="V1102" s="297"/>
      <c r="W1102" s="299">
        <f>Z1102+AA1102</f>
        <v>2100</v>
      </c>
      <c r="X1102" s="299"/>
      <c r="Y1102" s="299"/>
      <c r="Z1102" s="299">
        <v>2100</v>
      </c>
      <c r="AA1102" s="299"/>
      <c r="AB1102" s="299"/>
      <c r="AC1102" s="299"/>
      <c r="AD1102" s="299"/>
      <c r="AE1102" s="299">
        <f>E1102-AD1102</f>
        <v>2100</v>
      </c>
      <c r="AF1102" s="1271"/>
      <c r="AG1102" s="314">
        <f t="shared" si="1279"/>
        <v>0</v>
      </c>
      <c r="AH1102" s="696">
        <f t="shared" si="1280"/>
        <v>0</v>
      </c>
      <c r="AI1102" s="314">
        <f t="shared" si="1281"/>
        <v>0</v>
      </c>
      <c r="AJ1102" s="314">
        <f t="shared" si="1282"/>
        <v>0</v>
      </c>
      <c r="AK1102" s="314">
        <f t="shared" si="1283"/>
        <v>0</v>
      </c>
      <c r="AL1102" s="314">
        <f t="shared" si="1284"/>
        <v>0</v>
      </c>
      <c r="AM1102" s="314">
        <f t="shared" si="1285"/>
        <v>0</v>
      </c>
      <c r="AN1102" s="314">
        <f t="shared" si="1286"/>
        <v>0</v>
      </c>
      <c r="AO1102" s="314">
        <f t="shared" si="1287"/>
        <v>0</v>
      </c>
      <c r="AP1102" s="314">
        <f t="shared" si="1288"/>
        <v>0</v>
      </c>
    </row>
    <row r="1103" spans="1:42" s="314" customFormat="1">
      <c r="A1103" s="591" t="s">
        <v>1251</v>
      </c>
      <c r="B1103" s="645" t="s">
        <v>1250</v>
      </c>
      <c r="C1103" s="298" t="s">
        <v>774</v>
      </c>
      <c r="D1103" s="297">
        <v>1000</v>
      </c>
      <c r="E1103" s="297">
        <f t="shared" si="1329"/>
        <v>1000</v>
      </c>
      <c r="F1103" s="297">
        <f>H1103-AB1103</f>
        <v>1000</v>
      </c>
      <c r="G1103" s="297">
        <f t="shared" si="1335"/>
        <v>0</v>
      </c>
      <c r="H1103" s="299">
        <f t="shared" si="1307"/>
        <v>1000</v>
      </c>
      <c r="I1103" s="299">
        <f>M1103+P1103</f>
        <v>0</v>
      </c>
      <c r="J1103" s="318"/>
      <c r="K1103" s="318"/>
      <c r="L1103" s="318"/>
      <c r="M1103" s="299"/>
      <c r="N1103" s="318"/>
      <c r="O1103" s="318"/>
      <c r="P1103" s="299">
        <f>S1103+T1103</f>
        <v>0</v>
      </c>
      <c r="Q1103" s="318"/>
      <c r="R1103" s="319"/>
      <c r="S1103" s="299"/>
      <c r="T1103" s="299">
        <f>U1103+V1103</f>
        <v>0</v>
      </c>
      <c r="U1103" s="299"/>
      <c r="V1103" s="299"/>
      <c r="W1103" s="299">
        <f>Z1103+AA1103</f>
        <v>1000</v>
      </c>
      <c r="X1103" s="299"/>
      <c r="Y1103" s="299"/>
      <c r="Z1103" s="299">
        <v>1000</v>
      </c>
      <c r="AA1103" s="299"/>
      <c r="AB1103" s="297"/>
      <c r="AC1103" s="297"/>
      <c r="AD1103" s="297"/>
      <c r="AE1103" s="299">
        <f>E1103-AD1103</f>
        <v>1000</v>
      </c>
      <c r="AF1103" s="1271"/>
      <c r="AG1103" s="314">
        <f t="shared" si="1279"/>
        <v>0</v>
      </c>
      <c r="AH1103" s="696">
        <f t="shared" si="1280"/>
        <v>0</v>
      </c>
      <c r="AI1103" s="314">
        <f t="shared" si="1281"/>
        <v>0</v>
      </c>
      <c r="AJ1103" s="314">
        <f t="shared" si="1282"/>
        <v>0</v>
      </c>
      <c r="AK1103" s="314">
        <f t="shared" si="1283"/>
        <v>0</v>
      </c>
      <c r="AL1103" s="314">
        <f t="shared" si="1284"/>
        <v>0</v>
      </c>
      <c r="AM1103" s="314">
        <f t="shared" si="1285"/>
        <v>0</v>
      </c>
      <c r="AN1103" s="314">
        <f t="shared" si="1286"/>
        <v>0</v>
      </c>
      <c r="AO1103" s="314">
        <f t="shared" si="1287"/>
        <v>0</v>
      </c>
      <c r="AP1103" s="314">
        <f t="shared" si="1288"/>
        <v>0</v>
      </c>
    </row>
    <row r="1104" spans="1:42" s="333" customFormat="1">
      <c r="A1104" s="591" t="s">
        <v>1252</v>
      </c>
      <c r="B1104" s="645" t="s">
        <v>60</v>
      </c>
      <c r="C1104" s="298" t="s">
        <v>776</v>
      </c>
      <c r="D1104" s="297">
        <v>74046.002868228534</v>
      </c>
      <c r="E1104" s="297">
        <f t="shared" si="1329"/>
        <v>77933</v>
      </c>
      <c r="F1104" s="297">
        <f>H1104-AB1104</f>
        <v>77933</v>
      </c>
      <c r="G1104" s="297">
        <f t="shared" si="1335"/>
        <v>3886.9971317714662</v>
      </c>
      <c r="H1104" s="299">
        <f t="shared" si="1307"/>
        <v>77933</v>
      </c>
      <c r="I1104" s="299">
        <f>M1104+P1104</f>
        <v>0</v>
      </c>
      <c r="J1104" s="318"/>
      <c r="K1104" s="318"/>
      <c r="L1104" s="318"/>
      <c r="M1104" s="299"/>
      <c r="N1104" s="318"/>
      <c r="O1104" s="318"/>
      <c r="P1104" s="299">
        <f>S1104+T1104</f>
        <v>0</v>
      </c>
      <c r="Q1104" s="318"/>
      <c r="R1104" s="319"/>
      <c r="S1104" s="299"/>
      <c r="T1104" s="299">
        <f>U1104+V1104</f>
        <v>0</v>
      </c>
      <c r="U1104" s="299"/>
      <c r="V1104" s="299"/>
      <c r="W1104" s="299">
        <f>Z1104+AA1104</f>
        <v>77933</v>
      </c>
      <c r="X1104" s="299"/>
      <c r="Y1104" s="299"/>
      <c r="Z1104" s="299">
        <v>77933</v>
      </c>
      <c r="AA1104" s="299"/>
      <c r="AB1104" s="297"/>
      <c r="AC1104" s="297"/>
      <c r="AD1104" s="297"/>
      <c r="AE1104" s="299">
        <f>E1104-AD1104</f>
        <v>77933</v>
      </c>
      <c r="AF1104" s="1271"/>
      <c r="AG1104" s="314">
        <f t="shared" si="1279"/>
        <v>0</v>
      </c>
      <c r="AH1104" s="696">
        <f t="shared" si="1280"/>
        <v>0</v>
      </c>
      <c r="AI1104" s="314">
        <f t="shared" si="1281"/>
        <v>0</v>
      </c>
      <c r="AJ1104" s="314">
        <f t="shared" si="1282"/>
        <v>0</v>
      </c>
      <c r="AK1104" s="314">
        <f t="shared" si="1283"/>
        <v>0</v>
      </c>
      <c r="AL1104" s="314">
        <f t="shared" si="1284"/>
        <v>0</v>
      </c>
      <c r="AM1104" s="314">
        <f t="shared" si="1285"/>
        <v>0</v>
      </c>
      <c r="AN1104" s="314">
        <f t="shared" si="1286"/>
        <v>0</v>
      </c>
      <c r="AO1104" s="314">
        <f t="shared" si="1287"/>
        <v>0</v>
      </c>
      <c r="AP1104" s="314">
        <f t="shared" si="1288"/>
        <v>0</v>
      </c>
    </row>
    <row r="1105" spans="1:42" s="333" customFormat="1" ht="27.6">
      <c r="A1105" s="591" t="s">
        <v>2291</v>
      </c>
      <c r="B1105" s="645" t="s">
        <v>1786</v>
      </c>
      <c r="C1105" s="298"/>
      <c r="D1105" s="297">
        <v>1178860</v>
      </c>
      <c r="E1105" s="297">
        <f t="shared" si="1329"/>
        <v>1191688</v>
      </c>
      <c r="F1105" s="297">
        <f>F1106</f>
        <v>1191688</v>
      </c>
      <c r="G1105" s="297">
        <f t="shared" si="1335"/>
        <v>12828</v>
      </c>
      <c r="H1105" s="297">
        <f t="shared" ref="H1105:AE1105" si="1342">H1106</f>
        <v>1191688</v>
      </c>
      <c r="I1105" s="297">
        <f t="shared" si="1342"/>
        <v>0</v>
      </c>
      <c r="J1105" s="297">
        <f t="shared" si="1342"/>
        <v>0</v>
      </c>
      <c r="K1105" s="297">
        <f t="shared" si="1342"/>
        <v>0</v>
      </c>
      <c r="L1105" s="297">
        <f t="shared" si="1342"/>
        <v>0</v>
      </c>
      <c r="M1105" s="297">
        <f t="shared" si="1342"/>
        <v>0</v>
      </c>
      <c r="N1105" s="297">
        <f t="shared" si="1342"/>
        <v>0</v>
      </c>
      <c r="O1105" s="297">
        <f t="shared" si="1342"/>
        <v>0</v>
      </c>
      <c r="P1105" s="297">
        <f t="shared" si="1342"/>
        <v>0</v>
      </c>
      <c r="Q1105" s="297">
        <f t="shared" si="1342"/>
        <v>0</v>
      </c>
      <c r="R1105" s="297">
        <f t="shared" si="1342"/>
        <v>0</v>
      </c>
      <c r="S1105" s="297">
        <f t="shared" si="1342"/>
        <v>0</v>
      </c>
      <c r="T1105" s="297">
        <f t="shared" si="1342"/>
        <v>0</v>
      </c>
      <c r="U1105" s="297">
        <f t="shared" si="1342"/>
        <v>0</v>
      </c>
      <c r="V1105" s="297">
        <f t="shared" si="1342"/>
        <v>0</v>
      </c>
      <c r="W1105" s="297">
        <f t="shared" si="1342"/>
        <v>1191688</v>
      </c>
      <c r="X1105" s="297">
        <f t="shared" si="1342"/>
        <v>0</v>
      </c>
      <c r="Y1105" s="297">
        <f t="shared" si="1342"/>
        <v>0</v>
      </c>
      <c r="Z1105" s="297">
        <f t="shared" si="1342"/>
        <v>1191688</v>
      </c>
      <c r="AA1105" s="297">
        <f t="shared" si="1342"/>
        <v>0</v>
      </c>
      <c r="AB1105" s="297">
        <f t="shared" si="1342"/>
        <v>0</v>
      </c>
      <c r="AC1105" s="297">
        <f t="shared" si="1342"/>
        <v>0</v>
      </c>
      <c r="AD1105" s="297">
        <f t="shared" si="1342"/>
        <v>0</v>
      </c>
      <c r="AE1105" s="297">
        <f t="shared" si="1342"/>
        <v>1191688</v>
      </c>
      <c r="AF1105" s="1271"/>
      <c r="AG1105" s="314">
        <f t="shared" si="1279"/>
        <v>0</v>
      </c>
      <c r="AH1105" s="696">
        <f t="shared" si="1280"/>
        <v>0</v>
      </c>
      <c r="AI1105" s="314">
        <f t="shared" si="1281"/>
        <v>0</v>
      </c>
      <c r="AJ1105" s="314">
        <f t="shared" si="1282"/>
        <v>0</v>
      </c>
      <c r="AK1105" s="314">
        <f t="shared" si="1283"/>
        <v>0</v>
      </c>
      <c r="AL1105" s="314">
        <f t="shared" si="1284"/>
        <v>0</v>
      </c>
      <c r="AM1105" s="314">
        <f t="shared" si="1285"/>
        <v>0</v>
      </c>
      <c r="AN1105" s="314">
        <f t="shared" si="1286"/>
        <v>0</v>
      </c>
      <c r="AO1105" s="314">
        <f t="shared" si="1287"/>
        <v>0</v>
      </c>
      <c r="AP1105" s="314">
        <f t="shared" si="1288"/>
        <v>0</v>
      </c>
    </row>
    <row r="1106" spans="1:42" s="322" customFormat="1" ht="110.4">
      <c r="A1106" s="593" t="s">
        <v>18</v>
      </c>
      <c r="B1106" s="646" t="s">
        <v>2516</v>
      </c>
      <c r="C1106" s="302"/>
      <c r="D1106" s="304">
        <v>1178860</v>
      </c>
      <c r="E1106" s="304">
        <f t="shared" si="1329"/>
        <v>1191688</v>
      </c>
      <c r="F1106" s="304">
        <f>H1106-AB1106</f>
        <v>1191688</v>
      </c>
      <c r="G1106" s="304">
        <f t="shared" si="1335"/>
        <v>12828</v>
      </c>
      <c r="H1106" s="303">
        <f t="shared" si="1307"/>
        <v>1191688</v>
      </c>
      <c r="I1106" s="303">
        <f t="shared" ref="I1106:I1109" si="1343">M1106+P1106</f>
        <v>0</v>
      </c>
      <c r="J1106" s="311"/>
      <c r="K1106" s="311"/>
      <c r="L1106" s="311"/>
      <c r="M1106" s="303"/>
      <c r="N1106" s="311"/>
      <c r="O1106" s="311"/>
      <c r="P1106" s="303">
        <f t="shared" ref="P1106:P1109" si="1344">S1106+T1106</f>
        <v>0</v>
      </c>
      <c r="Q1106" s="311"/>
      <c r="R1106" s="312"/>
      <c r="S1106" s="303"/>
      <c r="T1106" s="303">
        <f t="shared" ref="T1106:T1109" si="1345">U1106+V1106</f>
        <v>0</v>
      </c>
      <c r="U1106" s="303"/>
      <c r="V1106" s="303"/>
      <c r="W1106" s="303">
        <f t="shared" ref="W1106:W1127" si="1346">Z1106+AA1106</f>
        <v>1191688</v>
      </c>
      <c r="X1106" s="304"/>
      <c r="Y1106" s="304"/>
      <c r="Z1106" s="304">
        <v>1191688</v>
      </c>
      <c r="AA1106" s="304"/>
      <c r="AB1106" s="304"/>
      <c r="AC1106" s="304"/>
      <c r="AD1106" s="304"/>
      <c r="AE1106" s="303">
        <f t="shared" ref="AE1106:AE1127" si="1347">E1106-AD1106</f>
        <v>1191688</v>
      </c>
      <c r="AF1106" s="1272"/>
      <c r="AG1106" s="314">
        <f t="shared" si="1279"/>
        <v>0</v>
      </c>
      <c r="AH1106" s="696">
        <f t="shared" si="1280"/>
        <v>0</v>
      </c>
      <c r="AI1106" s="314">
        <f t="shared" si="1281"/>
        <v>0</v>
      </c>
      <c r="AJ1106" s="314">
        <f t="shared" si="1282"/>
        <v>0</v>
      </c>
      <c r="AK1106" s="314">
        <f t="shared" si="1283"/>
        <v>0</v>
      </c>
      <c r="AL1106" s="314">
        <f t="shared" si="1284"/>
        <v>0</v>
      </c>
      <c r="AM1106" s="314">
        <f t="shared" si="1285"/>
        <v>0</v>
      </c>
      <c r="AN1106" s="314">
        <f t="shared" si="1286"/>
        <v>0</v>
      </c>
      <c r="AO1106" s="314">
        <f t="shared" si="1287"/>
        <v>0</v>
      </c>
      <c r="AP1106" s="314">
        <f t="shared" si="1288"/>
        <v>0</v>
      </c>
    </row>
    <row r="1107" spans="1:42" s="322" customFormat="1" ht="41.4">
      <c r="A1107" s="600"/>
      <c r="B1107" s="796" t="s">
        <v>368</v>
      </c>
      <c r="C1107" s="867"/>
      <c r="D1107" s="336">
        <v>102365</v>
      </c>
      <c r="E1107" s="336">
        <f t="shared" si="1329"/>
        <v>131571</v>
      </c>
      <c r="F1107" s="336">
        <f>H1107-AB1107</f>
        <v>131571</v>
      </c>
      <c r="G1107" s="336">
        <f t="shared" si="1335"/>
        <v>29206</v>
      </c>
      <c r="H1107" s="337">
        <f t="shared" si="1307"/>
        <v>131571</v>
      </c>
      <c r="I1107" s="337">
        <f t="shared" si="1343"/>
        <v>0</v>
      </c>
      <c r="J1107" s="873"/>
      <c r="K1107" s="873"/>
      <c r="L1107" s="873"/>
      <c r="M1107" s="337"/>
      <c r="N1107" s="873"/>
      <c r="O1107" s="873"/>
      <c r="P1107" s="337">
        <f t="shared" si="1344"/>
        <v>0</v>
      </c>
      <c r="Q1107" s="873"/>
      <c r="R1107" s="874"/>
      <c r="S1107" s="337"/>
      <c r="T1107" s="337">
        <f t="shared" si="1345"/>
        <v>0</v>
      </c>
      <c r="U1107" s="337"/>
      <c r="V1107" s="337"/>
      <c r="W1107" s="303">
        <f t="shared" si="1346"/>
        <v>131571</v>
      </c>
      <c r="X1107" s="336"/>
      <c r="Y1107" s="336"/>
      <c r="Z1107" s="336">
        <v>131571</v>
      </c>
      <c r="AA1107" s="336"/>
      <c r="AB1107" s="336"/>
      <c r="AC1107" s="336"/>
      <c r="AD1107" s="336"/>
      <c r="AE1107" s="337">
        <f t="shared" si="1347"/>
        <v>131571</v>
      </c>
      <c r="AF1107" s="1297"/>
      <c r="AG1107" s="314">
        <f t="shared" si="1279"/>
        <v>0</v>
      </c>
      <c r="AH1107" s="696">
        <f t="shared" si="1280"/>
        <v>0</v>
      </c>
      <c r="AI1107" s="314">
        <f t="shared" si="1281"/>
        <v>0</v>
      </c>
      <c r="AJ1107" s="314">
        <f t="shared" si="1282"/>
        <v>0</v>
      </c>
      <c r="AK1107" s="314">
        <f t="shared" si="1283"/>
        <v>0</v>
      </c>
      <c r="AL1107" s="314">
        <f t="shared" si="1284"/>
        <v>0</v>
      </c>
      <c r="AM1107" s="314">
        <f t="shared" si="1285"/>
        <v>0</v>
      </c>
      <c r="AN1107" s="314">
        <f t="shared" si="1286"/>
        <v>0</v>
      </c>
      <c r="AO1107" s="314">
        <f t="shared" si="1287"/>
        <v>0</v>
      </c>
      <c r="AP1107" s="314">
        <f t="shared" si="1288"/>
        <v>0</v>
      </c>
    </row>
    <row r="1108" spans="1:42" s="322" customFormat="1" ht="110.4">
      <c r="A1108" s="600"/>
      <c r="B1108" s="796" t="s">
        <v>369</v>
      </c>
      <c r="C1108" s="867"/>
      <c r="D1108" s="336">
        <v>120681</v>
      </c>
      <c r="E1108" s="336">
        <f t="shared" si="1329"/>
        <v>91593</v>
      </c>
      <c r="F1108" s="336">
        <f>H1108-AB1108</f>
        <v>91593</v>
      </c>
      <c r="G1108" s="336">
        <f t="shared" si="1335"/>
        <v>-29088</v>
      </c>
      <c r="H1108" s="337">
        <f t="shared" si="1307"/>
        <v>91593</v>
      </c>
      <c r="I1108" s="337">
        <f t="shared" si="1343"/>
        <v>0</v>
      </c>
      <c r="J1108" s="873"/>
      <c r="K1108" s="873"/>
      <c r="L1108" s="873"/>
      <c r="M1108" s="337"/>
      <c r="N1108" s="873"/>
      <c r="O1108" s="873"/>
      <c r="P1108" s="337">
        <f t="shared" si="1344"/>
        <v>0</v>
      </c>
      <c r="Q1108" s="873"/>
      <c r="R1108" s="874"/>
      <c r="S1108" s="337"/>
      <c r="T1108" s="337">
        <f t="shared" si="1345"/>
        <v>0</v>
      </c>
      <c r="U1108" s="337"/>
      <c r="V1108" s="337"/>
      <c r="W1108" s="303">
        <f t="shared" si="1346"/>
        <v>91593</v>
      </c>
      <c r="X1108" s="336"/>
      <c r="Y1108" s="336"/>
      <c r="Z1108" s="336">
        <v>91593</v>
      </c>
      <c r="AA1108" s="336"/>
      <c r="AB1108" s="336"/>
      <c r="AC1108" s="336"/>
      <c r="AD1108" s="336"/>
      <c r="AE1108" s="337">
        <f t="shared" si="1347"/>
        <v>91593</v>
      </c>
      <c r="AF1108" s="1297"/>
      <c r="AG1108" s="314">
        <f t="shared" si="1279"/>
        <v>0</v>
      </c>
      <c r="AH1108" s="696">
        <f t="shared" si="1280"/>
        <v>0</v>
      </c>
      <c r="AI1108" s="314">
        <f t="shared" si="1281"/>
        <v>0</v>
      </c>
      <c r="AJ1108" s="314">
        <f t="shared" si="1282"/>
        <v>0</v>
      </c>
      <c r="AK1108" s="314">
        <f t="shared" si="1283"/>
        <v>0</v>
      </c>
      <c r="AL1108" s="314">
        <f t="shared" si="1284"/>
        <v>0</v>
      </c>
      <c r="AM1108" s="314">
        <f t="shared" si="1285"/>
        <v>0</v>
      </c>
      <c r="AN1108" s="314">
        <f t="shared" si="1286"/>
        <v>0</v>
      </c>
      <c r="AO1108" s="314">
        <f t="shared" si="1287"/>
        <v>0</v>
      </c>
      <c r="AP1108" s="314">
        <f t="shared" si="1288"/>
        <v>0</v>
      </c>
    </row>
    <row r="1109" spans="1:42" s="322" customFormat="1" ht="41.4">
      <c r="A1109" s="600"/>
      <c r="B1109" s="796" t="s">
        <v>1392</v>
      </c>
      <c r="C1109" s="867"/>
      <c r="D1109" s="336">
        <v>21533</v>
      </c>
      <c r="E1109" s="336">
        <f t="shared" si="1329"/>
        <v>22553</v>
      </c>
      <c r="F1109" s="336">
        <f>H1109-AB1109</f>
        <v>22553</v>
      </c>
      <c r="G1109" s="336">
        <f t="shared" si="1335"/>
        <v>1020</v>
      </c>
      <c r="H1109" s="337">
        <f t="shared" si="1307"/>
        <v>22553</v>
      </c>
      <c r="I1109" s="337">
        <f t="shared" si="1343"/>
        <v>0</v>
      </c>
      <c r="J1109" s="873"/>
      <c r="K1109" s="873"/>
      <c r="L1109" s="873"/>
      <c r="M1109" s="337"/>
      <c r="N1109" s="873"/>
      <c r="O1109" s="873"/>
      <c r="P1109" s="337">
        <f t="shared" si="1344"/>
        <v>0</v>
      </c>
      <c r="Q1109" s="873"/>
      <c r="R1109" s="874"/>
      <c r="S1109" s="337"/>
      <c r="T1109" s="337">
        <f t="shared" si="1345"/>
        <v>0</v>
      </c>
      <c r="U1109" s="337"/>
      <c r="V1109" s="337"/>
      <c r="W1109" s="303">
        <f t="shared" si="1346"/>
        <v>22553</v>
      </c>
      <c r="X1109" s="336"/>
      <c r="Y1109" s="336"/>
      <c r="Z1109" s="336">
        <v>22553</v>
      </c>
      <c r="AA1109" s="336"/>
      <c r="AB1109" s="336"/>
      <c r="AC1109" s="336"/>
      <c r="AD1109" s="336"/>
      <c r="AE1109" s="337">
        <f t="shared" si="1347"/>
        <v>22553</v>
      </c>
      <c r="AF1109" s="1297"/>
      <c r="AG1109" s="314">
        <f t="shared" si="1279"/>
        <v>0</v>
      </c>
      <c r="AH1109" s="696">
        <f t="shared" si="1280"/>
        <v>0</v>
      </c>
      <c r="AI1109" s="314">
        <f t="shared" si="1281"/>
        <v>0</v>
      </c>
      <c r="AJ1109" s="314">
        <f t="shared" si="1282"/>
        <v>0</v>
      </c>
      <c r="AK1109" s="314">
        <f t="shared" si="1283"/>
        <v>0</v>
      </c>
      <c r="AL1109" s="314">
        <f t="shared" si="1284"/>
        <v>0</v>
      </c>
      <c r="AM1109" s="314">
        <f t="shared" si="1285"/>
        <v>0</v>
      </c>
      <c r="AN1109" s="314">
        <f t="shared" si="1286"/>
        <v>0</v>
      </c>
      <c r="AO1109" s="314">
        <f t="shared" si="1287"/>
        <v>0</v>
      </c>
      <c r="AP1109" s="314">
        <f t="shared" si="1288"/>
        <v>0</v>
      </c>
    </row>
    <row r="1110" spans="1:42" s="333" customFormat="1" ht="27.6">
      <c r="A1110" s="591" t="s">
        <v>509</v>
      </c>
      <c r="B1110" s="645" t="s">
        <v>779</v>
      </c>
      <c r="C1110" s="298"/>
      <c r="D1110" s="297">
        <v>77200</v>
      </c>
      <c r="E1110" s="297">
        <f t="shared" si="1329"/>
        <v>68500</v>
      </c>
      <c r="F1110" s="297">
        <f>H1110-AB1110</f>
        <v>68500</v>
      </c>
      <c r="G1110" s="297">
        <f t="shared" si="1335"/>
        <v>-8700</v>
      </c>
      <c r="H1110" s="299">
        <f>I1110+W1110</f>
        <v>68500</v>
      </c>
      <c r="I1110" s="299"/>
      <c r="J1110" s="318"/>
      <c r="K1110" s="318"/>
      <c r="L1110" s="318"/>
      <c r="M1110" s="299"/>
      <c r="N1110" s="318"/>
      <c r="O1110" s="318"/>
      <c r="P1110" s="299"/>
      <c r="Q1110" s="318"/>
      <c r="R1110" s="319"/>
      <c r="S1110" s="299"/>
      <c r="T1110" s="299"/>
      <c r="U1110" s="299"/>
      <c r="V1110" s="299"/>
      <c r="W1110" s="303">
        <f t="shared" si="1346"/>
        <v>68500</v>
      </c>
      <c r="X1110" s="299"/>
      <c r="Y1110" s="299"/>
      <c r="Z1110" s="299">
        <v>68500</v>
      </c>
      <c r="AA1110" s="299"/>
      <c r="AB1110" s="297"/>
      <c r="AC1110" s="297"/>
      <c r="AD1110" s="297"/>
      <c r="AE1110" s="299">
        <f t="shared" si="1347"/>
        <v>68500</v>
      </c>
      <c r="AF1110" s="1271"/>
      <c r="AG1110" s="314">
        <f t="shared" si="1279"/>
        <v>0</v>
      </c>
      <c r="AH1110" s="696">
        <f t="shared" si="1280"/>
        <v>0</v>
      </c>
      <c r="AI1110" s="314">
        <f t="shared" si="1281"/>
        <v>0</v>
      </c>
      <c r="AJ1110" s="314">
        <f t="shared" si="1282"/>
        <v>0</v>
      </c>
      <c r="AK1110" s="314">
        <f t="shared" si="1283"/>
        <v>0</v>
      </c>
      <c r="AL1110" s="314">
        <f t="shared" si="1284"/>
        <v>0</v>
      </c>
      <c r="AM1110" s="314">
        <f t="shared" si="1285"/>
        <v>0</v>
      </c>
      <c r="AN1110" s="314">
        <f t="shared" si="1286"/>
        <v>0</v>
      </c>
      <c r="AO1110" s="314">
        <f t="shared" si="1287"/>
        <v>0</v>
      </c>
      <c r="AP1110" s="314">
        <f t="shared" si="1288"/>
        <v>0</v>
      </c>
    </row>
    <row r="1111" spans="1:42" s="333" customFormat="1" ht="69">
      <c r="A1111" s="591" t="s">
        <v>69</v>
      </c>
      <c r="B1111" s="350" t="s">
        <v>1253</v>
      </c>
      <c r="C1111" s="298"/>
      <c r="D1111" s="297">
        <v>3147772</v>
      </c>
      <c r="E1111" s="297">
        <f t="shared" si="1329"/>
        <v>2282122</v>
      </c>
      <c r="F1111" s="297">
        <f>F1112+F1115+F1118</f>
        <v>2282122</v>
      </c>
      <c r="G1111" s="297">
        <f>G1112+G1115+G1118</f>
        <v>-865650</v>
      </c>
      <c r="H1111" s="297">
        <f t="shared" ref="H1111:AA1111" si="1348">H1112+H1115+H1118</f>
        <v>2282122</v>
      </c>
      <c r="I1111" s="297">
        <f t="shared" si="1348"/>
        <v>0</v>
      </c>
      <c r="J1111" s="297">
        <f t="shared" si="1348"/>
        <v>0</v>
      </c>
      <c r="K1111" s="297">
        <f t="shared" si="1348"/>
        <v>0</v>
      </c>
      <c r="L1111" s="297">
        <f t="shared" si="1348"/>
        <v>0</v>
      </c>
      <c r="M1111" s="297">
        <f t="shared" si="1348"/>
        <v>0</v>
      </c>
      <c r="N1111" s="297">
        <f t="shared" si="1348"/>
        <v>0</v>
      </c>
      <c r="O1111" s="297">
        <f t="shared" si="1348"/>
        <v>0</v>
      </c>
      <c r="P1111" s="297">
        <f t="shared" si="1348"/>
        <v>0</v>
      </c>
      <c r="Q1111" s="297">
        <f t="shared" si="1348"/>
        <v>0</v>
      </c>
      <c r="R1111" s="297">
        <f t="shared" si="1348"/>
        <v>0</v>
      </c>
      <c r="S1111" s="297">
        <f t="shared" si="1348"/>
        <v>0</v>
      </c>
      <c r="T1111" s="297">
        <f t="shared" si="1348"/>
        <v>0</v>
      </c>
      <c r="U1111" s="297">
        <f t="shared" si="1348"/>
        <v>0</v>
      </c>
      <c r="V1111" s="297">
        <f t="shared" si="1348"/>
        <v>0</v>
      </c>
      <c r="W1111" s="303">
        <f t="shared" si="1346"/>
        <v>2282122</v>
      </c>
      <c r="X1111" s="297">
        <f t="shared" si="1348"/>
        <v>0</v>
      </c>
      <c r="Y1111" s="297">
        <f t="shared" si="1348"/>
        <v>0</v>
      </c>
      <c r="Z1111" s="297">
        <f t="shared" si="1348"/>
        <v>2282122</v>
      </c>
      <c r="AA1111" s="297">
        <f t="shared" si="1348"/>
        <v>0</v>
      </c>
      <c r="AB1111" s="299"/>
      <c r="AC1111" s="299">
        <f>AC1112+AC1115</f>
        <v>0</v>
      </c>
      <c r="AD1111" s="299">
        <f>AD1112+AD1115</f>
        <v>0</v>
      </c>
      <c r="AE1111" s="299">
        <f t="shared" si="1347"/>
        <v>2282122</v>
      </c>
      <c r="AF1111" s="473"/>
      <c r="AG1111" s="314">
        <f t="shared" ref="AG1111:AG1128" si="1349">E1111-F1111-AC1111</f>
        <v>0</v>
      </c>
      <c r="AH1111" s="696">
        <f t="shared" ref="AH1111:AH1128" si="1350">F1111-H1111+AB1111</f>
        <v>0</v>
      </c>
      <c r="AI1111" s="314">
        <f t="shared" ref="AI1111:AI1128" si="1351">H1111-I1111-W1111</f>
        <v>0</v>
      </c>
      <c r="AJ1111" s="314">
        <f t="shared" ref="AJ1111:AJ1128" si="1352">I1111-M1111-P1111</f>
        <v>0</v>
      </c>
      <c r="AK1111" s="314">
        <f t="shared" ref="AK1111:AK1128" si="1353">J1111-K1111-L1111</f>
        <v>0</v>
      </c>
      <c r="AL1111" s="314">
        <f t="shared" ref="AL1111:AL1128" si="1354">M1111-N1111-O1111</f>
        <v>0</v>
      </c>
      <c r="AM1111" s="314">
        <f t="shared" ref="AM1111:AM1128" si="1355">P1111-S1111-T1111</f>
        <v>0</v>
      </c>
      <c r="AN1111" s="314">
        <f t="shared" ref="AN1111:AN1128" si="1356">T1111-U1111-V1111</f>
        <v>0</v>
      </c>
      <c r="AO1111" s="314">
        <f t="shared" ref="AO1111:AO1128" si="1357">W1111-Z1111-AA1111</f>
        <v>0</v>
      </c>
      <c r="AP1111" s="314">
        <f t="shared" ref="AP1111:AP1128" si="1358">AC1111+AA1111+Z1111+V1111+U1111+S1111+O1111+N1111-AB1111-E1111</f>
        <v>0</v>
      </c>
    </row>
    <row r="1112" spans="1:42" s="333" customFormat="1" ht="27.6">
      <c r="A1112" s="591" t="s">
        <v>16</v>
      </c>
      <c r="B1112" s="350" t="s">
        <v>1254</v>
      </c>
      <c r="C1112" s="298"/>
      <c r="D1112" s="297">
        <v>1825767</v>
      </c>
      <c r="E1112" s="297">
        <f t="shared" si="1329"/>
        <v>823220</v>
      </c>
      <c r="F1112" s="297">
        <f t="shared" ref="F1112:F1122" si="1359">H1112-AB1112</f>
        <v>823220</v>
      </c>
      <c r="G1112" s="297">
        <f t="shared" ref="G1112:G1122" si="1360">F1112-D1112</f>
        <v>-1002547</v>
      </c>
      <c r="H1112" s="299">
        <f>I1112+W1112</f>
        <v>823220</v>
      </c>
      <c r="I1112" s="299">
        <f t="shared" ref="I1112:V1112" si="1361">I1113+I1114</f>
        <v>0</v>
      </c>
      <c r="J1112" s="299">
        <f t="shared" si="1361"/>
        <v>0</v>
      </c>
      <c r="K1112" s="299">
        <f t="shared" si="1361"/>
        <v>0</v>
      </c>
      <c r="L1112" s="299">
        <f t="shared" si="1361"/>
        <v>0</v>
      </c>
      <c r="M1112" s="299">
        <f t="shared" si="1361"/>
        <v>0</v>
      </c>
      <c r="N1112" s="299">
        <f t="shared" si="1361"/>
        <v>0</v>
      </c>
      <c r="O1112" s="299">
        <f t="shared" si="1361"/>
        <v>0</v>
      </c>
      <c r="P1112" s="299">
        <f t="shared" si="1361"/>
        <v>0</v>
      </c>
      <c r="Q1112" s="299">
        <f t="shared" si="1361"/>
        <v>0</v>
      </c>
      <c r="R1112" s="299">
        <f t="shared" si="1361"/>
        <v>0</v>
      </c>
      <c r="S1112" s="299">
        <f t="shared" si="1361"/>
        <v>0</v>
      </c>
      <c r="T1112" s="299">
        <f t="shared" si="1361"/>
        <v>0</v>
      </c>
      <c r="U1112" s="299">
        <f t="shared" si="1361"/>
        <v>0</v>
      </c>
      <c r="V1112" s="299">
        <f t="shared" si="1361"/>
        <v>0</v>
      </c>
      <c r="W1112" s="303">
        <f t="shared" si="1346"/>
        <v>823220</v>
      </c>
      <c r="X1112" s="299"/>
      <c r="Y1112" s="299"/>
      <c r="Z1112" s="299">
        <f>Z1113+Z1114</f>
        <v>823220</v>
      </c>
      <c r="AA1112" s="299">
        <f>AA1113+AA1114</f>
        <v>0</v>
      </c>
      <c r="AB1112" s="299"/>
      <c r="AC1112" s="299">
        <f>AC1113+AC1114</f>
        <v>0</v>
      </c>
      <c r="AD1112" s="299">
        <f>AD1113+AD1114</f>
        <v>0</v>
      </c>
      <c r="AE1112" s="299">
        <f t="shared" si="1347"/>
        <v>823220</v>
      </c>
      <c r="AF1112" s="473"/>
      <c r="AG1112" s="314">
        <f t="shared" si="1349"/>
        <v>0</v>
      </c>
      <c r="AH1112" s="696">
        <f t="shared" si="1350"/>
        <v>0</v>
      </c>
      <c r="AI1112" s="314">
        <f t="shared" si="1351"/>
        <v>0</v>
      </c>
      <c r="AJ1112" s="314">
        <f t="shared" si="1352"/>
        <v>0</v>
      </c>
      <c r="AK1112" s="314">
        <f t="shared" si="1353"/>
        <v>0</v>
      </c>
      <c r="AL1112" s="314">
        <f t="shared" si="1354"/>
        <v>0</v>
      </c>
      <c r="AM1112" s="314">
        <f t="shared" si="1355"/>
        <v>0</v>
      </c>
      <c r="AN1112" s="314">
        <f t="shared" si="1356"/>
        <v>0</v>
      </c>
      <c r="AO1112" s="314">
        <f t="shared" si="1357"/>
        <v>0</v>
      </c>
      <c r="AP1112" s="314">
        <f t="shared" si="1358"/>
        <v>0</v>
      </c>
    </row>
    <row r="1113" spans="1:42" s="333" customFormat="1">
      <c r="A1113" s="593" t="s">
        <v>23</v>
      </c>
      <c r="B1113" s="349" t="s">
        <v>336</v>
      </c>
      <c r="C1113" s="298"/>
      <c r="D1113" s="304">
        <v>1753400</v>
      </c>
      <c r="E1113" s="304">
        <f t="shared" si="1329"/>
        <v>823220</v>
      </c>
      <c r="F1113" s="304">
        <f t="shared" si="1359"/>
        <v>823220</v>
      </c>
      <c r="G1113" s="304">
        <f t="shared" si="1360"/>
        <v>-930180</v>
      </c>
      <c r="H1113" s="303">
        <f t="shared" ref="H1113" si="1362">I1113+W1113</f>
        <v>823220</v>
      </c>
      <c r="I1113" s="303"/>
      <c r="J1113" s="303"/>
      <c r="K1113" s="303"/>
      <c r="L1113" s="303"/>
      <c r="M1113" s="303"/>
      <c r="N1113" s="303"/>
      <c r="O1113" s="303"/>
      <c r="P1113" s="303"/>
      <c r="Q1113" s="303"/>
      <c r="R1113" s="303"/>
      <c r="S1113" s="303"/>
      <c r="T1113" s="303"/>
      <c r="U1113" s="303"/>
      <c r="V1113" s="303"/>
      <c r="W1113" s="303">
        <f t="shared" si="1346"/>
        <v>823220</v>
      </c>
      <c r="X1113" s="303"/>
      <c r="Y1113" s="303"/>
      <c r="Z1113" s="303">
        <v>823220</v>
      </c>
      <c r="AA1113" s="303"/>
      <c r="AB1113" s="303"/>
      <c r="AC1113" s="303"/>
      <c r="AD1113" s="303"/>
      <c r="AE1113" s="303">
        <f t="shared" si="1347"/>
        <v>823220</v>
      </c>
      <c r="AF1113" s="472"/>
      <c r="AG1113" s="314">
        <f t="shared" si="1349"/>
        <v>0</v>
      </c>
      <c r="AH1113" s="696">
        <f t="shared" si="1350"/>
        <v>0</v>
      </c>
      <c r="AI1113" s="314">
        <f t="shared" si="1351"/>
        <v>0</v>
      </c>
      <c r="AJ1113" s="314">
        <f t="shared" si="1352"/>
        <v>0</v>
      </c>
      <c r="AK1113" s="314">
        <f t="shared" si="1353"/>
        <v>0</v>
      </c>
      <c r="AL1113" s="314">
        <f t="shared" si="1354"/>
        <v>0</v>
      </c>
      <c r="AM1113" s="314">
        <f t="shared" si="1355"/>
        <v>0</v>
      </c>
      <c r="AN1113" s="314">
        <f t="shared" si="1356"/>
        <v>0</v>
      </c>
      <c r="AO1113" s="314">
        <f t="shared" si="1357"/>
        <v>0</v>
      </c>
      <c r="AP1113" s="314">
        <f t="shared" si="1358"/>
        <v>0</v>
      </c>
    </row>
    <row r="1114" spans="1:42" s="333" customFormat="1">
      <c r="A1114" s="593" t="s">
        <v>23</v>
      </c>
      <c r="B1114" s="349" t="s">
        <v>456</v>
      </c>
      <c r="C1114" s="298"/>
      <c r="D1114" s="304">
        <v>72367</v>
      </c>
      <c r="E1114" s="304">
        <f t="shared" si="1329"/>
        <v>0</v>
      </c>
      <c r="F1114" s="304">
        <f t="shared" si="1359"/>
        <v>0</v>
      </c>
      <c r="G1114" s="304">
        <f t="shared" si="1360"/>
        <v>-72367</v>
      </c>
      <c r="H1114" s="303">
        <f>I1114+W1114</f>
        <v>0</v>
      </c>
      <c r="I1114" s="303"/>
      <c r="J1114" s="303"/>
      <c r="K1114" s="303"/>
      <c r="L1114" s="303"/>
      <c r="M1114" s="303"/>
      <c r="N1114" s="303"/>
      <c r="O1114" s="303"/>
      <c r="P1114" s="303"/>
      <c r="Q1114" s="303"/>
      <c r="R1114" s="303"/>
      <c r="S1114" s="303"/>
      <c r="T1114" s="303"/>
      <c r="U1114" s="303"/>
      <c r="V1114" s="303"/>
      <c r="W1114" s="303">
        <f t="shared" si="1346"/>
        <v>0</v>
      </c>
      <c r="X1114" s="303"/>
      <c r="Y1114" s="303"/>
      <c r="Z1114" s="303">
        <v>0</v>
      </c>
      <c r="AA1114" s="303"/>
      <c r="AB1114" s="303"/>
      <c r="AC1114" s="303"/>
      <c r="AD1114" s="303"/>
      <c r="AE1114" s="303">
        <f t="shared" si="1347"/>
        <v>0</v>
      </c>
      <c r="AF1114" s="472"/>
      <c r="AG1114" s="314">
        <f t="shared" si="1349"/>
        <v>0</v>
      </c>
      <c r="AH1114" s="696">
        <f t="shared" si="1350"/>
        <v>0</v>
      </c>
      <c r="AI1114" s="314">
        <f t="shared" si="1351"/>
        <v>0</v>
      </c>
      <c r="AJ1114" s="314">
        <f t="shared" si="1352"/>
        <v>0</v>
      </c>
      <c r="AK1114" s="314">
        <f t="shared" si="1353"/>
        <v>0</v>
      </c>
      <c r="AL1114" s="314">
        <f t="shared" si="1354"/>
        <v>0</v>
      </c>
      <c r="AM1114" s="314">
        <f t="shared" si="1355"/>
        <v>0</v>
      </c>
      <c r="AN1114" s="314">
        <f t="shared" si="1356"/>
        <v>0</v>
      </c>
      <c r="AO1114" s="314">
        <f t="shared" si="1357"/>
        <v>0</v>
      </c>
      <c r="AP1114" s="314">
        <f t="shared" si="1358"/>
        <v>0</v>
      </c>
    </row>
    <row r="1115" spans="1:42" s="333" customFormat="1" ht="55.2">
      <c r="A1115" s="591" t="s">
        <v>28</v>
      </c>
      <c r="B1115" s="350" t="s">
        <v>1255</v>
      </c>
      <c r="C1115" s="298"/>
      <c r="D1115" s="297">
        <v>78903</v>
      </c>
      <c r="E1115" s="297">
        <f t="shared" si="1329"/>
        <v>104944</v>
      </c>
      <c r="F1115" s="297">
        <f t="shared" si="1359"/>
        <v>104944</v>
      </c>
      <c r="G1115" s="297">
        <f t="shared" si="1360"/>
        <v>26041</v>
      </c>
      <c r="H1115" s="299">
        <f>I1115+W1115</f>
        <v>104944</v>
      </c>
      <c r="I1115" s="299">
        <f t="shared" ref="I1115:V1115" si="1363">I1116+I1117</f>
        <v>0</v>
      </c>
      <c r="J1115" s="299">
        <f t="shared" si="1363"/>
        <v>0</v>
      </c>
      <c r="K1115" s="299">
        <f t="shared" si="1363"/>
        <v>0</v>
      </c>
      <c r="L1115" s="299">
        <f t="shared" si="1363"/>
        <v>0</v>
      </c>
      <c r="M1115" s="299">
        <f t="shared" si="1363"/>
        <v>0</v>
      </c>
      <c r="N1115" s="299">
        <f t="shared" si="1363"/>
        <v>0</v>
      </c>
      <c r="O1115" s="299">
        <f t="shared" si="1363"/>
        <v>0</v>
      </c>
      <c r="P1115" s="299">
        <f t="shared" si="1363"/>
        <v>0</v>
      </c>
      <c r="Q1115" s="299">
        <f t="shared" si="1363"/>
        <v>0</v>
      </c>
      <c r="R1115" s="299">
        <f t="shared" si="1363"/>
        <v>0</v>
      </c>
      <c r="S1115" s="299">
        <f t="shared" si="1363"/>
        <v>0</v>
      </c>
      <c r="T1115" s="299">
        <f t="shared" si="1363"/>
        <v>0</v>
      </c>
      <c r="U1115" s="299">
        <f t="shared" si="1363"/>
        <v>0</v>
      </c>
      <c r="V1115" s="299">
        <f t="shared" si="1363"/>
        <v>0</v>
      </c>
      <c r="W1115" s="303">
        <f t="shared" si="1346"/>
        <v>104944</v>
      </c>
      <c r="X1115" s="299"/>
      <c r="Y1115" s="299"/>
      <c r="Z1115" s="299">
        <f>Z1116+Z1117</f>
        <v>104944</v>
      </c>
      <c r="AA1115" s="299">
        <f>AA1116+AA1117</f>
        <v>0</v>
      </c>
      <c r="AB1115" s="299"/>
      <c r="AC1115" s="299">
        <f>AC1116+AC1117</f>
        <v>0</v>
      </c>
      <c r="AD1115" s="299">
        <f>AD1116+AD1117</f>
        <v>0</v>
      </c>
      <c r="AE1115" s="299">
        <f t="shared" si="1347"/>
        <v>104944</v>
      </c>
      <c r="AF1115" s="473"/>
      <c r="AG1115" s="314">
        <f t="shared" si="1349"/>
        <v>0</v>
      </c>
      <c r="AH1115" s="696">
        <f t="shared" si="1350"/>
        <v>0</v>
      </c>
      <c r="AI1115" s="314">
        <f t="shared" si="1351"/>
        <v>0</v>
      </c>
      <c r="AJ1115" s="314">
        <f t="shared" si="1352"/>
        <v>0</v>
      </c>
      <c r="AK1115" s="314">
        <f t="shared" si="1353"/>
        <v>0</v>
      </c>
      <c r="AL1115" s="314">
        <f t="shared" si="1354"/>
        <v>0</v>
      </c>
      <c r="AM1115" s="314">
        <f t="shared" si="1355"/>
        <v>0</v>
      </c>
      <c r="AN1115" s="314">
        <f t="shared" si="1356"/>
        <v>0</v>
      </c>
      <c r="AO1115" s="314">
        <f t="shared" si="1357"/>
        <v>0</v>
      </c>
      <c r="AP1115" s="314">
        <f t="shared" si="1358"/>
        <v>0</v>
      </c>
    </row>
    <row r="1116" spans="1:42" s="322" customFormat="1">
      <c r="A1116" s="593" t="s">
        <v>18</v>
      </c>
      <c r="B1116" s="349" t="s">
        <v>341</v>
      </c>
      <c r="C1116" s="302"/>
      <c r="D1116" s="304">
        <v>0</v>
      </c>
      <c r="E1116" s="304">
        <f t="shared" si="1329"/>
        <v>0</v>
      </c>
      <c r="F1116" s="304">
        <f t="shared" si="1359"/>
        <v>0</v>
      </c>
      <c r="G1116" s="304">
        <f t="shared" si="1360"/>
        <v>0</v>
      </c>
      <c r="H1116" s="303">
        <f>I1116+W1116</f>
        <v>0</v>
      </c>
      <c r="I1116" s="303"/>
      <c r="J1116" s="303"/>
      <c r="K1116" s="303"/>
      <c r="L1116" s="303"/>
      <c r="M1116" s="303"/>
      <c r="N1116" s="303"/>
      <c r="O1116" s="303"/>
      <c r="P1116" s="303"/>
      <c r="Q1116" s="303"/>
      <c r="R1116" s="303"/>
      <c r="S1116" s="303"/>
      <c r="T1116" s="303"/>
      <c r="U1116" s="303"/>
      <c r="V1116" s="303"/>
      <c r="W1116" s="303">
        <f t="shared" si="1346"/>
        <v>0</v>
      </c>
      <c r="X1116" s="303"/>
      <c r="Y1116" s="303"/>
      <c r="Z1116" s="303"/>
      <c r="AA1116" s="303"/>
      <c r="AB1116" s="303"/>
      <c r="AC1116" s="303"/>
      <c r="AD1116" s="303"/>
      <c r="AE1116" s="303">
        <f t="shared" si="1347"/>
        <v>0</v>
      </c>
      <c r="AF1116" s="472"/>
      <c r="AG1116" s="314">
        <f t="shared" si="1349"/>
        <v>0</v>
      </c>
      <c r="AH1116" s="696">
        <f t="shared" si="1350"/>
        <v>0</v>
      </c>
      <c r="AI1116" s="314">
        <f t="shared" si="1351"/>
        <v>0</v>
      </c>
      <c r="AJ1116" s="314">
        <f t="shared" si="1352"/>
        <v>0</v>
      </c>
      <c r="AK1116" s="314">
        <f t="shared" si="1353"/>
        <v>0</v>
      </c>
      <c r="AL1116" s="314">
        <f t="shared" si="1354"/>
        <v>0</v>
      </c>
      <c r="AM1116" s="314">
        <f t="shared" si="1355"/>
        <v>0</v>
      </c>
      <c r="AN1116" s="314">
        <f t="shared" si="1356"/>
        <v>0</v>
      </c>
      <c r="AO1116" s="314">
        <f t="shared" si="1357"/>
        <v>0</v>
      </c>
      <c r="AP1116" s="314">
        <f t="shared" si="1358"/>
        <v>0</v>
      </c>
    </row>
    <row r="1117" spans="1:42" s="322" customFormat="1">
      <c r="A1117" s="593" t="s">
        <v>26</v>
      </c>
      <c r="B1117" s="349" t="s">
        <v>336</v>
      </c>
      <c r="C1117" s="302"/>
      <c r="D1117" s="304">
        <v>78903</v>
      </c>
      <c r="E1117" s="304">
        <f t="shared" si="1329"/>
        <v>104944</v>
      </c>
      <c r="F1117" s="304">
        <f t="shared" si="1359"/>
        <v>104944</v>
      </c>
      <c r="G1117" s="304">
        <f t="shared" si="1360"/>
        <v>26041</v>
      </c>
      <c r="H1117" s="303">
        <f>I1117+W1117</f>
        <v>104944</v>
      </c>
      <c r="I1117" s="303"/>
      <c r="J1117" s="303"/>
      <c r="K1117" s="303"/>
      <c r="L1117" s="303"/>
      <c r="M1117" s="303"/>
      <c r="N1117" s="303"/>
      <c r="O1117" s="303"/>
      <c r="P1117" s="303"/>
      <c r="Q1117" s="303"/>
      <c r="R1117" s="303"/>
      <c r="S1117" s="303"/>
      <c r="T1117" s="303"/>
      <c r="U1117" s="303"/>
      <c r="V1117" s="303"/>
      <c r="W1117" s="303">
        <f t="shared" si="1346"/>
        <v>104944</v>
      </c>
      <c r="X1117" s="303"/>
      <c r="Y1117" s="303"/>
      <c r="Z1117" s="303">
        <v>104944</v>
      </c>
      <c r="AA1117" s="303"/>
      <c r="AB1117" s="303"/>
      <c r="AC1117" s="303"/>
      <c r="AD1117" s="303"/>
      <c r="AE1117" s="303">
        <f t="shared" si="1347"/>
        <v>104944</v>
      </c>
      <c r="AF1117" s="472"/>
      <c r="AG1117" s="314">
        <f t="shared" si="1349"/>
        <v>0</v>
      </c>
      <c r="AH1117" s="696">
        <f t="shared" si="1350"/>
        <v>0</v>
      </c>
      <c r="AI1117" s="314">
        <f t="shared" si="1351"/>
        <v>0</v>
      </c>
      <c r="AJ1117" s="314">
        <f t="shared" si="1352"/>
        <v>0</v>
      </c>
      <c r="AK1117" s="314">
        <f t="shared" si="1353"/>
        <v>0</v>
      </c>
      <c r="AL1117" s="314">
        <f t="shared" si="1354"/>
        <v>0</v>
      </c>
      <c r="AM1117" s="314">
        <f t="shared" si="1355"/>
        <v>0</v>
      </c>
      <c r="AN1117" s="314">
        <f t="shared" si="1356"/>
        <v>0</v>
      </c>
      <c r="AO1117" s="314">
        <f t="shared" si="1357"/>
        <v>0</v>
      </c>
      <c r="AP1117" s="314">
        <f t="shared" si="1358"/>
        <v>0</v>
      </c>
    </row>
    <row r="1118" spans="1:42" s="333" customFormat="1" ht="27.6">
      <c r="A1118" s="591" t="s">
        <v>91</v>
      </c>
      <c r="B1118" s="350" t="s">
        <v>1581</v>
      </c>
      <c r="C1118" s="298"/>
      <c r="D1118" s="297">
        <v>1243102</v>
      </c>
      <c r="E1118" s="297">
        <f t="shared" si="1329"/>
        <v>1353958</v>
      </c>
      <c r="F1118" s="297">
        <f t="shared" si="1359"/>
        <v>1353958</v>
      </c>
      <c r="G1118" s="297">
        <f t="shared" si="1360"/>
        <v>110856</v>
      </c>
      <c r="H1118" s="299">
        <f t="shared" ref="H1118:H1122" si="1364">I1118+W1118</f>
        <v>1353958</v>
      </c>
      <c r="I1118" s="299"/>
      <c r="J1118" s="299"/>
      <c r="K1118" s="299"/>
      <c r="L1118" s="299"/>
      <c r="M1118" s="299"/>
      <c r="N1118" s="299"/>
      <c r="O1118" s="299"/>
      <c r="P1118" s="299"/>
      <c r="Q1118" s="299"/>
      <c r="R1118" s="299"/>
      <c r="S1118" s="299"/>
      <c r="T1118" s="299"/>
      <c r="U1118" s="299"/>
      <c r="V1118" s="299"/>
      <c r="W1118" s="303">
        <f t="shared" si="1346"/>
        <v>1353958</v>
      </c>
      <c r="X1118" s="299"/>
      <c r="Y1118" s="299"/>
      <c r="Z1118" s="299">
        <f>Z1119+Z1120+Z1121</f>
        <v>1353958</v>
      </c>
      <c r="AA1118" s="299"/>
      <c r="AB1118" s="297"/>
      <c r="AC1118" s="297"/>
      <c r="AD1118" s="297"/>
      <c r="AE1118" s="299">
        <f t="shared" si="1347"/>
        <v>1353958</v>
      </c>
      <c r="AF1118" s="473"/>
      <c r="AG1118" s="314">
        <f t="shared" si="1349"/>
        <v>0</v>
      </c>
      <c r="AH1118" s="696">
        <f t="shared" si="1350"/>
        <v>0</v>
      </c>
      <c r="AI1118" s="314">
        <f t="shared" si="1351"/>
        <v>0</v>
      </c>
      <c r="AJ1118" s="314">
        <f t="shared" si="1352"/>
        <v>0</v>
      </c>
      <c r="AK1118" s="314">
        <f t="shared" si="1353"/>
        <v>0</v>
      </c>
      <c r="AL1118" s="314">
        <f t="shared" si="1354"/>
        <v>0</v>
      </c>
      <c r="AM1118" s="314">
        <f t="shared" si="1355"/>
        <v>0</v>
      </c>
      <c r="AN1118" s="314">
        <f t="shared" si="1356"/>
        <v>0</v>
      </c>
      <c r="AO1118" s="314">
        <f t="shared" si="1357"/>
        <v>0</v>
      </c>
      <c r="AP1118" s="314">
        <f t="shared" si="1358"/>
        <v>0</v>
      </c>
    </row>
    <row r="1119" spans="1:42" s="322" customFormat="1">
      <c r="A1119" s="593" t="s">
        <v>18</v>
      </c>
      <c r="B1119" s="349" t="s">
        <v>342</v>
      </c>
      <c r="C1119" s="302"/>
      <c r="D1119" s="304">
        <v>138330</v>
      </c>
      <c r="E1119" s="304">
        <f t="shared" si="1329"/>
        <v>160530</v>
      </c>
      <c r="F1119" s="304">
        <f t="shared" si="1359"/>
        <v>160530</v>
      </c>
      <c r="G1119" s="304">
        <f t="shared" si="1360"/>
        <v>22200</v>
      </c>
      <c r="H1119" s="303">
        <f t="shared" si="1364"/>
        <v>160530</v>
      </c>
      <c r="I1119" s="303"/>
      <c r="J1119" s="303"/>
      <c r="K1119" s="303"/>
      <c r="L1119" s="303"/>
      <c r="M1119" s="303"/>
      <c r="N1119" s="303"/>
      <c r="O1119" s="303"/>
      <c r="P1119" s="303"/>
      <c r="Q1119" s="303"/>
      <c r="R1119" s="303"/>
      <c r="S1119" s="303"/>
      <c r="T1119" s="303"/>
      <c r="U1119" s="303"/>
      <c r="V1119" s="303"/>
      <c r="W1119" s="303">
        <f t="shared" si="1346"/>
        <v>160530</v>
      </c>
      <c r="X1119" s="303"/>
      <c r="Y1119" s="303"/>
      <c r="Z1119" s="303">
        <v>160530</v>
      </c>
      <c r="AA1119" s="303"/>
      <c r="AB1119" s="304"/>
      <c r="AC1119" s="304"/>
      <c r="AD1119" s="304"/>
      <c r="AE1119" s="303">
        <f t="shared" si="1347"/>
        <v>160530</v>
      </c>
      <c r="AF1119" s="472"/>
      <c r="AG1119" s="314">
        <f t="shared" si="1349"/>
        <v>0</v>
      </c>
      <c r="AH1119" s="696">
        <f t="shared" si="1350"/>
        <v>0</v>
      </c>
      <c r="AI1119" s="314">
        <f t="shared" si="1351"/>
        <v>0</v>
      </c>
      <c r="AJ1119" s="314">
        <f t="shared" si="1352"/>
        <v>0</v>
      </c>
      <c r="AK1119" s="314">
        <f t="shared" si="1353"/>
        <v>0</v>
      </c>
      <c r="AL1119" s="314">
        <f t="shared" si="1354"/>
        <v>0</v>
      </c>
      <c r="AM1119" s="314">
        <f t="shared" si="1355"/>
        <v>0</v>
      </c>
      <c r="AN1119" s="314">
        <f t="shared" si="1356"/>
        <v>0</v>
      </c>
      <c r="AO1119" s="314">
        <f t="shared" si="1357"/>
        <v>0</v>
      </c>
      <c r="AP1119" s="314">
        <f t="shared" si="1358"/>
        <v>0</v>
      </c>
    </row>
    <row r="1120" spans="1:42" s="322" customFormat="1">
      <c r="A1120" s="593" t="s">
        <v>26</v>
      </c>
      <c r="B1120" s="349" t="s">
        <v>343</v>
      </c>
      <c r="C1120" s="302"/>
      <c r="D1120" s="304">
        <v>283570</v>
      </c>
      <c r="E1120" s="304">
        <f t="shared" si="1329"/>
        <v>325739</v>
      </c>
      <c r="F1120" s="304">
        <f t="shared" si="1359"/>
        <v>325739</v>
      </c>
      <c r="G1120" s="304">
        <f t="shared" si="1360"/>
        <v>42169</v>
      </c>
      <c r="H1120" s="303">
        <f t="shared" si="1364"/>
        <v>325739</v>
      </c>
      <c r="I1120" s="303"/>
      <c r="J1120" s="303"/>
      <c r="K1120" s="303"/>
      <c r="L1120" s="303"/>
      <c r="M1120" s="303"/>
      <c r="N1120" s="303"/>
      <c r="O1120" s="303"/>
      <c r="P1120" s="303"/>
      <c r="Q1120" s="303"/>
      <c r="R1120" s="303"/>
      <c r="S1120" s="303"/>
      <c r="T1120" s="303"/>
      <c r="U1120" s="303"/>
      <c r="V1120" s="303"/>
      <c r="W1120" s="303">
        <f t="shared" si="1346"/>
        <v>325739</v>
      </c>
      <c r="X1120" s="303"/>
      <c r="Y1120" s="303"/>
      <c r="Z1120" s="303">
        <v>325739</v>
      </c>
      <c r="AA1120" s="303"/>
      <c r="AB1120" s="304"/>
      <c r="AC1120" s="304"/>
      <c r="AD1120" s="304"/>
      <c r="AE1120" s="303">
        <f t="shared" si="1347"/>
        <v>325739</v>
      </c>
      <c r="AF1120" s="472"/>
      <c r="AG1120" s="314">
        <f t="shared" si="1349"/>
        <v>0</v>
      </c>
      <c r="AH1120" s="696">
        <f t="shared" si="1350"/>
        <v>0</v>
      </c>
      <c r="AI1120" s="314">
        <f t="shared" si="1351"/>
        <v>0</v>
      </c>
      <c r="AJ1120" s="314">
        <f t="shared" si="1352"/>
        <v>0</v>
      </c>
      <c r="AK1120" s="314">
        <f t="shared" si="1353"/>
        <v>0</v>
      </c>
      <c r="AL1120" s="314">
        <f t="shared" si="1354"/>
        <v>0</v>
      </c>
      <c r="AM1120" s="314">
        <f t="shared" si="1355"/>
        <v>0</v>
      </c>
      <c r="AN1120" s="314">
        <f t="shared" si="1356"/>
        <v>0</v>
      </c>
      <c r="AO1120" s="314">
        <f t="shared" si="1357"/>
        <v>0</v>
      </c>
      <c r="AP1120" s="314">
        <f t="shared" si="1358"/>
        <v>0</v>
      </c>
    </row>
    <row r="1121" spans="1:42" s="322" customFormat="1" ht="27.6">
      <c r="A1121" s="593" t="s">
        <v>59</v>
      </c>
      <c r="B1121" s="349" t="s">
        <v>1582</v>
      </c>
      <c r="C1121" s="302"/>
      <c r="D1121" s="304">
        <v>821202</v>
      </c>
      <c r="E1121" s="304">
        <f t="shared" si="1329"/>
        <v>867689</v>
      </c>
      <c r="F1121" s="304">
        <f t="shared" si="1359"/>
        <v>867689</v>
      </c>
      <c r="G1121" s="304">
        <f t="shared" si="1360"/>
        <v>46487</v>
      </c>
      <c r="H1121" s="303">
        <f t="shared" si="1364"/>
        <v>867689</v>
      </c>
      <c r="I1121" s="303"/>
      <c r="J1121" s="303"/>
      <c r="K1121" s="303"/>
      <c r="L1121" s="303"/>
      <c r="M1121" s="303"/>
      <c r="N1121" s="303"/>
      <c r="O1121" s="303"/>
      <c r="P1121" s="303"/>
      <c r="Q1121" s="303"/>
      <c r="R1121" s="303"/>
      <c r="S1121" s="303"/>
      <c r="T1121" s="303"/>
      <c r="U1121" s="303"/>
      <c r="V1121" s="303"/>
      <c r="W1121" s="303">
        <f t="shared" si="1346"/>
        <v>867689</v>
      </c>
      <c r="X1121" s="303"/>
      <c r="Y1121" s="303"/>
      <c r="Z1121" s="303">
        <v>867689</v>
      </c>
      <c r="AA1121" s="303"/>
      <c r="AB1121" s="304"/>
      <c r="AC1121" s="304"/>
      <c r="AD1121" s="304"/>
      <c r="AE1121" s="303">
        <f t="shared" si="1347"/>
        <v>867689</v>
      </c>
      <c r="AF1121" s="472"/>
      <c r="AG1121" s="314">
        <f t="shared" si="1349"/>
        <v>0</v>
      </c>
      <c r="AH1121" s="696">
        <f t="shared" si="1350"/>
        <v>0</v>
      </c>
      <c r="AI1121" s="314">
        <f t="shared" si="1351"/>
        <v>0</v>
      </c>
      <c r="AJ1121" s="314">
        <f t="shared" si="1352"/>
        <v>0</v>
      </c>
      <c r="AK1121" s="314">
        <f t="shared" si="1353"/>
        <v>0</v>
      </c>
      <c r="AL1121" s="314">
        <f t="shared" si="1354"/>
        <v>0</v>
      </c>
      <c r="AM1121" s="314">
        <f t="shared" si="1355"/>
        <v>0</v>
      </c>
      <c r="AN1121" s="314">
        <f t="shared" si="1356"/>
        <v>0</v>
      </c>
      <c r="AO1121" s="314">
        <f t="shared" si="1357"/>
        <v>0</v>
      </c>
      <c r="AP1121" s="314">
        <f t="shared" si="1358"/>
        <v>0</v>
      </c>
    </row>
    <row r="1122" spans="1:42" s="333" customFormat="1" hidden="1" outlineLevel="3" collapsed="1">
      <c r="A1122" s="592" t="s">
        <v>93</v>
      </c>
      <c r="B1122" s="350" t="s">
        <v>344</v>
      </c>
      <c r="C1122" s="298"/>
      <c r="D1122" s="304">
        <v>0</v>
      </c>
      <c r="E1122" s="304">
        <f t="shared" si="1329"/>
        <v>0</v>
      </c>
      <c r="F1122" s="304">
        <f t="shared" si="1359"/>
        <v>0</v>
      </c>
      <c r="G1122" s="304">
        <f t="shared" si="1360"/>
        <v>0</v>
      </c>
      <c r="H1122" s="303">
        <f t="shared" si="1364"/>
        <v>0</v>
      </c>
      <c r="I1122" s="303"/>
      <c r="J1122" s="303"/>
      <c r="K1122" s="303"/>
      <c r="L1122" s="303"/>
      <c r="M1122" s="303"/>
      <c r="N1122" s="303"/>
      <c r="O1122" s="303"/>
      <c r="P1122" s="303"/>
      <c r="Q1122" s="303"/>
      <c r="R1122" s="303"/>
      <c r="S1122" s="303"/>
      <c r="T1122" s="303"/>
      <c r="U1122" s="303"/>
      <c r="V1122" s="303"/>
      <c r="W1122" s="303">
        <f t="shared" si="1346"/>
        <v>0</v>
      </c>
      <c r="X1122" s="299"/>
      <c r="Y1122" s="299"/>
      <c r="Z1122" s="299"/>
      <c r="AA1122" s="299"/>
      <c r="AB1122" s="297"/>
      <c r="AC1122" s="297"/>
      <c r="AD1122" s="297"/>
      <c r="AE1122" s="303">
        <f t="shared" si="1347"/>
        <v>0</v>
      </c>
      <c r="AF1122" s="473"/>
      <c r="AG1122" s="314">
        <f t="shared" si="1349"/>
        <v>0</v>
      </c>
      <c r="AH1122" s="696">
        <f t="shared" si="1350"/>
        <v>0</v>
      </c>
      <c r="AI1122" s="314">
        <f t="shared" si="1351"/>
        <v>0</v>
      </c>
      <c r="AJ1122" s="314">
        <f t="shared" si="1352"/>
        <v>0</v>
      </c>
      <c r="AK1122" s="314">
        <f t="shared" si="1353"/>
        <v>0</v>
      </c>
      <c r="AL1122" s="314">
        <f t="shared" si="1354"/>
        <v>0</v>
      </c>
      <c r="AM1122" s="314">
        <f t="shared" si="1355"/>
        <v>0</v>
      </c>
      <c r="AN1122" s="314">
        <f t="shared" si="1356"/>
        <v>0</v>
      </c>
      <c r="AO1122" s="314">
        <f t="shared" si="1357"/>
        <v>0</v>
      </c>
      <c r="AP1122" s="314">
        <f t="shared" si="1358"/>
        <v>0</v>
      </c>
    </row>
    <row r="1123" spans="1:42" s="333" customFormat="1" ht="27.6" collapsed="1">
      <c r="A1123" s="592"/>
      <c r="B1123" s="350" t="s">
        <v>1256</v>
      </c>
      <c r="C1123" s="298"/>
      <c r="D1123" s="299">
        <f>D15+D1111</f>
        <v>6680414.2628682284</v>
      </c>
      <c r="E1123" s="299">
        <f>F1123+AC1123</f>
        <v>5965395</v>
      </c>
      <c r="F1123" s="299">
        <f t="shared" ref="F1123:V1123" si="1365">F15+F1111</f>
        <v>5891253</v>
      </c>
      <c r="G1123" s="299">
        <f t="shared" si="1365"/>
        <v>-784009.26286822848</v>
      </c>
      <c r="H1123" s="299">
        <f t="shared" si="1365"/>
        <v>5891253</v>
      </c>
      <c r="I1123" s="299">
        <f t="shared" si="1365"/>
        <v>1009313</v>
      </c>
      <c r="J1123" s="299">
        <f t="shared" si="1365"/>
        <v>3132</v>
      </c>
      <c r="K1123" s="299">
        <f t="shared" si="1365"/>
        <v>2921</v>
      </c>
      <c r="L1123" s="299">
        <f t="shared" si="1365"/>
        <v>211</v>
      </c>
      <c r="M1123" s="299">
        <f t="shared" si="1365"/>
        <v>382495</v>
      </c>
      <c r="N1123" s="299">
        <f t="shared" si="1365"/>
        <v>366512</v>
      </c>
      <c r="O1123" s="299">
        <f t="shared" si="1365"/>
        <v>15983</v>
      </c>
      <c r="P1123" s="299">
        <f t="shared" si="1365"/>
        <v>626818</v>
      </c>
      <c r="Q1123" s="299">
        <f t="shared" si="1365"/>
        <v>0</v>
      </c>
      <c r="R1123" s="299">
        <f t="shared" si="1365"/>
        <v>0</v>
      </c>
      <c r="S1123" s="299">
        <f t="shared" si="1365"/>
        <v>128799</v>
      </c>
      <c r="T1123" s="299">
        <f t="shared" si="1365"/>
        <v>498019</v>
      </c>
      <c r="U1123" s="299">
        <f t="shared" si="1365"/>
        <v>480932</v>
      </c>
      <c r="V1123" s="299">
        <f t="shared" si="1365"/>
        <v>17087</v>
      </c>
      <c r="W1123" s="303">
        <f t="shared" si="1346"/>
        <v>4881940</v>
      </c>
      <c r="X1123" s="299"/>
      <c r="Y1123" s="299"/>
      <c r="Z1123" s="299">
        <f>Z15+Z1111</f>
        <v>4822828</v>
      </c>
      <c r="AA1123" s="299">
        <f>AA15+AA1111</f>
        <v>59112</v>
      </c>
      <c r="AB1123" s="299"/>
      <c r="AC1123" s="299">
        <f>AC15+AC1111</f>
        <v>74142</v>
      </c>
      <c r="AD1123" s="299">
        <f>AD15+AD1111</f>
        <v>5483</v>
      </c>
      <c r="AE1123" s="299">
        <f t="shared" si="1347"/>
        <v>5959912</v>
      </c>
      <c r="AF1123" s="473"/>
      <c r="AG1123" s="314">
        <f t="shared" si="1349"/>
        <v>0</v>
      </c>
      <c r="AH1123" s="696">
        <f t="shared" si="1350"/>
        <v>0</v>
      </c>
      <c r="AI1123" s="314">
        <f t="shared" si="1351"/>
        <v>0</v>
      </c>
      <c r="AJ1123" s="314">
        <f t="shared" si="1352"/>
        <v>0</v>
      </c>
      <c r="AK1123" s="314">
        <f t="shared" si="1353"/>
        <v>0</v>
      </c>
      <c r="AL1123" s="314">
        <f t="shared" si="1354"/>
        <v>0</v>
      </c>
      <c r="AM1123" s="314">
        <f t="shared" si="1355"/>
        <v>0</v>
      </c>
      <c r="AN1123" s="314">
        <f t="shared" si="1356"/>
        <v>0</v>
      </c>
      <c r="AO1123" s="314">
        <f t="shared" si="1357"/>
        <v>0</v>
      </c>
      <c r="AP1123" s="314">
        <f t="shared" si="1358"/>
        <v>0</v>
      </c>
    </row>
    <row r="1124" spans="1:42" s="333" customFormat="1">
      <c r="A1124" s="592" t="s">
        <v>70</v>
      </c>
      <c r="B1124" s="350" t="s">
        <v>1257</v>
      </c>
      <c r="C1124" s="298"/>
      <c r="D1124" s="297">
        <v>77200</v>
      </c>
      <c r="E1124" s="297">
        <f t="shared" si="1329"/>
        <v>68500</v>
      </c>
      <c r="F1124" s="297">
        <f>H1124-AB1124</f>
        <v>68500</v>
      </c>
      <c r="G1124" s="299">
        <f>F1124-D1124</f>
        <v>-8700</v>
      </c>
      <c r="H1124" s="299">
        <f>I1124+W1124</f>
        <v>68500</v>
      </c>
      <c r="I1124" s="299"/>
      <c r="J1124" s="299"/>
      <c r="K1124" s="299"/>
      <c r="L1124" s="299"/>
      <c r="M1124" s="299"/>
      <c r="N1124" s="299"/>
      <c r="O1124" s="299"/>
      <c r="P1124" s="299"/>
      <c r="Q1124" s="299"/>
      <c r="R1124" s="299"/>
      <c r="S1124" s="299"/>
      <c r="T1124" s="299"/>
      <c r="U1124" s="299"/>
      <c r="V1124" s="299"/>
      <c r="W1124" s="303">
        <f t="shared" si="1346"/>
        <v>68500</v>
      </c>
      <c r="X1124" s="299"/>
      <c r="Y1124" s="299"/>
      <c r="Z1124" s="299">
        <v>68500</v>
      </c>
      <c r="AA1124" s="299"/>
      <c r="AB1124" s="299"/>
      <c r="AC1124" s="299"/>
      <c r="AD1124" s="299"/>
      <c r="AE1124" s="299">
        <f t="shared" si="1347"/>
        <v>68500</v>
      </c>
      <c r="AF1124" s="473"/>
      <c r="AG1124" s="314">
        <f t="shared" si="1349"/>
        <v>0</v>
      </c>
      <c r="AH1124" s="696">
        <f t="shared" si="1350"/>
        <v>0</v>
      </c>
      <c r="AI1124" s="314">
        <f t="shared" si="1351"/>
        <v>0</v>
      </c>
      <c r="AJ1124" s="314">
        <f t="shared" si="1352"/>
        <v>0</v>
      </c>
      <c r="AK1124" s="314">
        <f t="shared" si="1353"/>
        <v>0</v>
      </c>
      <c r="AL1124" s="314">
        <f t="shared" si="1354"/>
        <v>0</v>
      </c>
      <c r="AM1124" s="314">
        <f t="shared" si="1355"/>
        <v>0</v>
      </c>
      <c r="AN1124" s="314">
        <f t="shared" si="1356"/>
        <v>0</v>
      </c>
      <c r="AO1124" s="314">
        <f t="shared" si="1357"/>
        <v>0</v>
      </c>
      <c r="AP1124" s="314">
        <f t="shared" si="1358"/>
        <v>0</v>
      </c>
    </row>
    <row r="1125" spans="1:42" s="333" customFormat="1">
      <c r="A1125" s="592" t="s">
        <v>71</v>
      </c>
      <c r="B1125" s="350" t="s">
        <v>1258</v>
      </c>
      <c r="C1125" s="298"/>
      <c r="D1125" s="297">
        <v>77200</v>
      </c>
      <c r="E1125" s="297">
        <f t="shared" si="1329"/>
        <v>77100</v>
      </c>
      <c r="F1125" s="297">
        <f>H1125-AB1125</f>
        <v>77100</v>
      </c>
      <c r="G1125" s="299">
        <f>F1125-D1125</f>
        <v>-100</v>
      </c>
      <c r="H1125" s="299">
        <f>I1125+W1125</f>
        <v>77100</v>
      </c>
      <c r="I1125" s="299"/>
      <c r="J1125" s="299"/>
      <c r="K1125" s="299"/>
      <c r="L1125" s="299"/>
      <c r="M1125" s="299"/>
      <c r="N1125" s="299"/>
      <c r="O1125" s="299"/>
      <c r="P1125" s="299"/>
      <c r="Q1125" s="299"/>
      <c r="R1125" s="299"/>
      <c r="S1125" s="299"/>
      <c r="T1125" s="299"/>
      <c r="U1125" s="299"/>
      <c r="V1125" s="299"/>
      <c r="W1125" s="303">
        <f t="shared" si="1346"/>
        <v>77100</v>
      </c>
      <c r="X1125" s="299"/>
      <c r="Y1125" s="299"/>
      <c r="Z1125" s="299">
        <f>Z1126+Z1127</f>
        <v>77100</v>
      </c>
      <c r="AA1125" s="299"/>
      <c r="AB1125" s="299"/>
      <c r="AC1125" s="299"/>
      <c r="AD1125" s="299"/>
      <c r="AE1125" s="299">
        <f t="shared" si="1347"/>
        <v>77100</v>
      </c>
      <c r="AF1125" s="473"/>
      <c r="AG1125" s="314">
        <f t="shared" si="1349"/>
        <v>0</v>
      </c>
      <c r="AH1125" s="696">
        <f t="shared" si="1350"/>
        <v>0</v>
      </c>
      <c r="AI1125" s="314">
        <f t="shared" si="1351"/>
        <v>0</v>
      </c>
      <c r="AJ1125" s="314">
        <f t="shared" si="1352"/>
        <v>0</v>
      </c>
      <c r="AK1125" s="314">
        <f t="shared" si="1353"/>
        <v>0</v>
      </c>
      <c r="AL1125" s="314">
        <f t="shared" si="1354"/>
        <v>0</v>
      </c>
      <c r="AM1125" s="314">
        <f t="shared" si="1355"/>
        <v>0</v>
      </c>
      <c r="AN1125" s="314">
        <f t="shared" si="1356"/>
        <v>0</v>
      </c>
      <c r="AO1125" s="314">
        <f t="shared" si="1357"/>
        <v>0</v>
      </c>
      <c r="AP1125" s="314">
        <f t="shared" si="1358"/>
        <v>0</v>
      </c>
    </row>
    <row r="1126" spans="1:42" s="322" customFormat="1">
      <c r="A1126" s="593" t="s">
        <v>18</v>
      </c>
      <c r="B1126" s="349" t="s">
        <v>1259</v>
      </c>
      <c r="C1126" s="302"/>
      <c r="D1126" s="304">
        <v>77200</v>
      </c>
      <c r="E1126" s="304">
        <f t="shared" si="1329"/>
        <v>68500</v>
      </c>
      <c r="F1126" s="304">
        <f>H1126-AB1126</f>
        <v>68500</v>
      </c>
      <c r="G1126" s="303">
        <f>F1126-D1126</f>
        <v>-8700</v>
      </c>
      <c r="H1126" s="303">
        <f>I1126+W1126</f>
        <v>68500</v>
      </c>
      <c r="I1126" s="303"/>
      <c r="J1126" s="303"/>
      <c r="K1126" s="303"/>
      <c r="L1126" s="303"/>
      <c r="M1126" s="303"/>
      <c r="N1126" s="303"/>
      <c r="O1126" s="303"/>
      <c r="P1126" s="303"/>
      <c r="Q1126" s="303"/>
      <c r="R1126" s="303"/>
      <c r="S1126" s="303"/>
      <c r="T1126" s="303"/>
      <c r="U1126" s="303"/>
      <c r="V1126" s="303"/>
      <c r="W1126" s="303">
        <f t="shared" si="1346"/>
        <v>68500</v>
      </c>
      <c r="X1126" s="303"/>
      <c r="Y1126" s="303"/>
      <c r="Z1126" s="303">
        <v>68500</v>
      </c>
      <c r="AA1126" s="303"/>
      <c r="AB1126" s="303"/>
      <c r="AC1126" s="303"/>
      <c r="AD1126" s="303"/>
      <c r="AE1126" s="303">
        <f t="shared" si="1347"/>
        <v>68500</v>
      </c>
      <c r="AF1126" s="472"/>
      <c r="AG1126" s="314">
        <f t="shared" si="1349"/>
        <v>0</v>
      </c>
      <c r="AH1126" s="696">
        <f t="shared" si="1350"/>
        <v>0</v>
      </c>
      <c r="AI1126" s="314">
        <f t="shared" si="1351"/>
        <v>0</v>
      </c>
      <c r="AJ1126" s="314">
        <f t="shared" si="1352"/>
        <v>0</v>
      </c>
      <c r="AK1126" s="314">
        <f t="shared" si="1353"/>
        <v>0</v>
      </c>
      <c r="AL1126" s="314">
        <f t="shared" si="1354"/>
        <v>0</v>
      </c>
      <c r="AM1126" s="314">
        <f t="shared" si="1355"/>
        <v>0</v>
      </c>
      <c r="AN1126" s="314">
        <f t="shared" si="1356"/>
        <v>0</v>
      </c>
      <c r="AO1126" s="314">
        <f t="shared" si="1357"/>
        <v>0</v>
      </c>
      <c r="AP1126" s="314">
        <f t="shared" si="1358"/>
        <v>0</v>
      </c>
    </row>
    <row r="1127" spans="1:42" s="322" customFormat="1">
      <c r="A1127" s="593" t="s">
        <v>26</v>
      </c>
      <c r="B1127" s="349" t="s">
        <v>345</v>
      </c>
      <c r="C1127" s="302"/>
      <c r="D1127" s="304">
        <v>0</v>
      </c>
      <c r="E1127" s="304">
        <f t="shared" si="1329"/>
        <v>8600</v>
      </c>
      <c r="F1127" s="304">
        <f>H1127-AB1127</f>
        <v>8600</v>
      </c>
      <c r="G1127" s="303">
        <f>F1127-D1127</f>
        <v>8600</v>
      </c>
      <c r="H1127" s="303">
        <f>I1127+W1127</f>
        <v>8600</v>
      </c>
      <c r="I1127" s="303"/>
      <c r="J1127" s="303"/>
      <c r="K1127" s="303"/>
      <c r="L1127" s="303"/>
      <c r="M1127" s="303"/>
      <c r="N1127" s="303"/>
      <c r="O1127" s="303"/>
      <c r="P1127" s="303"/>
      <c r="Q1127" s="303"/>
      <c r="R1127" s="303"/>
      <c r="S1127" s="303"/>
      <c r="T1127" s="303"/>
      <c r="U1127" s="303"/>
      <c r="V1127" s="303"/>
      <c r="W1127" s="303">
        <f t="shared" si="1346"/>
        <v>8600</v>
      </c>
      <c r="X1127" s="303"/>
      <c r="Y1127" s="303"/>
      <c r="Z1127" s="303">
        <v>8600</v>
      </c>
      <c r="AA1127" s="303"/>
      <c r="AB1127" s="303"/>
      <c r="AC1127" s="303"/>
      <c r="AD1127" s="303"/>
      <c r="AE1127" s="303">
        <f t="shared" si="1347"/>
        <v>8600</v>
      </c>
      <c r="AF1127" s="472"/>
      <c r="AG1127" s="314">
        <f t="shared" si="1349"/>
        <v>0</v>
      </c>
      <c r="AH1127" s="696">
        <f t="shared" si="1350"/>
        <v>0</v>
      </c>
      <c r="AI1127" s="314">
        <f t="shared" si="1351"/>
        <v>0</v>
      </c>
      <c r="AJ1127" s="314">
        <f t="shared" si="1352"/>
        <v>0</v>
      </c>
      <c r="AK1127" s="314">
        <f t="shared" si="1353"/>
        <v>0</v>
      </c>
      <c r="AL1127" s="314">
        <f t="shared" si="1354"/>
        <v>0</v>
      </c>
      <c r="AM1127" s="314">
        <f t="shared" si="1355"/>
        <v>0</v>
      </c>
      <c r="AN1127" s="314">
        <f t="shared" si="1356"/>
        <v>0</v>
      </c>
      <c r="AO1127" s="314">
        <f t="shared" si="1357"/>
        <v>0</v>
      </c>
      <c r="AP1127" s="314">
        <f t="shared" si="1358"/>
        <v>0</v>
      </c>
    </row>
    <row r="1128" spans="1:42" s="314" customFormat="1" collapsed="1">
      <c r="A1128" s="878"/>
      <c r="B1128" s="879"/>
      <c r="C1128" s="880"/>
      <c r="D1128" s="351"/>
      <c r="E1128" s="351"/>
      <c r="F1128" s="351"/>
      <c r="G1128" s="351"/>
      <c r="H1128" s="351"/>
      <c r="I1128" s="351"/>
      <c r="J1128" s="351"/>
      <c r="K1128" s="351"/>
      <c r="L1128" s="351"/>
      <c r="M1128" s="351"/>
      <c r="N1128" s="351"/>
      <c r="O1128" s="351"/>
      <c r="P1128" s="351"/>
      <c r="Q1128" s="351"/>
      <c r="R1128" s="351"/>
      <c r="S1128" s="351"/>
      <c r="T1128" s="351"/>
      <c r="U1128" s="351"/>
      <c r="V1128" s="351"/>
      <c r="W1128" s="351"/>
      <c r="X1128" s="351"/>
      <c r="Y1128" s="351"/>
      <c r="Z1128" s="351"/>
      <c r="AA1128" s="351"/>
      <c r="AB1128" s="351"/>
      <c r="AC1128" s="351"/>
      <c r="AD1128" s="351"/>
      <c r="AE1128" s="351"/>
      <c r="AF1128" s="881"/>
      <c r="AG1128" s="314">
        <f t="shared" si="1349"/>
        <v>0</v>
      </c>
      <c r="AH1128" s="696">
        <f t="shared" si="1350"/>
        <v>0</v>
      </c>
      <c r="AI1128" s="314">
        <f t="shared" si="1351"/>
        <v>0</v>
      </c>
      <c r="AJ1128" s="314">
        <f t="shared" si="1352"/>
        <v>0</v>
      </c>
      <c r="AK1128" s="314">
        <f t="shared" si="1353"/>
        <v>0</v>
      </c>
      <c r="AL1128" s="314">
        <f t="shared" si="1354"/>
        <v>0</v>
      </c>
      <c r="AM1128" s="314">
        <f t="shared" si="1355"/>
        <v>0</v>
      </c>
      <c r="AN1128" s="314">
        <f t="shared" si="1356"/>
        <v>0</v>
      </c>
      <c r="AO1128" s="314">
        <f t="shared" si="1357"/>
        <v>0</v>
      </c>
      <c r="AP1128" s="314">
        <f t="shared" si="1358"/>
        <v>0</v>
      </c>
    </row>
    <row r="1129" spans="1:42">
      <c r="A1129" s="1306"/>
      <c r="AL1129" s="314"/>
    </row>
    <row r="1130" spans="1:42" ht="37.5" customHeight="1" collapsed="1">
      <c r="A1130" s="1639" t="s">
        <v>2270</v>
      </c>
      <c r="B1130" s="1639"/>
      <c r="C1130" s="1639"/>
      <c r="D1130" s="1639"/>
      <c r="E1130" s="1639"/>
      <c r="F1130" s="1639"/>
      <c r="G1130" s="1639"/>
      <c r="H1130" s="1639"/>
      <c r="I1130" s="1639"/>
      <c r="J1130" s="1639"/>
      <c r="K1130" s="1639"/>
      <c r="L1130" s="1639"/>
      <c r="M1130" s="1639"/>
      <c r="N1130" s="1639"/>
      <c r="O1130" s="1639"/>
      <c r="P1130" s="1639"/>
      <c r="Q1130" s="1639"/>
      <c r="R1130" s="1639"/>
      <c r="S1130" s="1639"/>
      <c r="T1130" s="1639"/>
      <c r="U1130" s="1639"/>
      <c r="V1130" s="1639"/>
      <c r="W1130" s="1639"/>
      <c r="X1130" s="1639"/>
      <c r="Y1130" s="1639"/>
      <c r="Z1130" s="1639"/>
      <c r="AA1130" s="1639"/>
      <c r="AB1130" s="1639"/>
      <c r="AC1130" s="1639"/>
      <c r="AD1130" s="1639"/>
      <c r="AE1130" s="1639"/>
      <c r="AF1130" s="1639"/>
    </row>
  </sheetData>
  <autoFilter ref="A1:AG1130"/>
  <dataConsolidate/>
  <mergeCells count="61">
    <mergeCell ref="A4:AE4"/>
    <mergeCell ref="A5:AB5"/>
    <mergeCell ref="S6:AB6"/>
    <mergeCell ref="A7:A13"/>
    <mergeCell ref="B7:B13"/>
    <mergeCell ref="C7:C13"/>
    <mergeCell ref="D7:D13"/>
    <mergeCell ref="E7:E13"/>
    <mergeCell ref="F7:AC7"/>
    <mergeCell ref="AD7:AD13"/>
    <mergeCell ref="F8:F13"/>
    <mergeCell ref="G8:G13"/>
    <mergeCell ref="H8:AB8"/>
    <mergeCell ref="AC8:AC13"/>
    <mergeCell ref="H9:H13"/>
    <mergeCell ref="I9:AA9"/>
    <mergeCell ref="I10:I13"/>
    <mergeCell ref="T12:T13"/>
    <mergeCell ref="J10:V10"/>
    <mergeCell ref="W10:W13"/>
    <mergeCell ref="X10:Y10"/>
    <mergeCell ref="J11:J13"/>
    <mergeCell ref="K11:L11"/>
    <mergeCell ref="M11:M13"/>
    <mergeCell ref="N11:O11"/>
    <mergeCell ref="P11:P13"/>
    <mergeCell ref="Q11:V11"/>
    <mergeCell ref="K12:K13"/>
    <mergeCell ref="L12:L13"/>
    <mergeCell ref="N12:N13"/>
    <mergeCell ref="O12:O13"/>
    <mergeCell ref="Q12:S12"/>
    <mergeCell ref="AF357:AF359"/>
    <mergeCell ref="X11:X13"/>
    <mergeCell ref="Y11:Y13"/>
    <mergeCell ref="Z11:Z13"/>
    <mergeCell ref="AA11:AA13"/>
    <mergeCell ref="AE7:AE13"/>
    <mergeCell ref="AF7:AF13"/>
    <mergeCell ref="U12:V12"/>
    <mergeCell ref="AF146:AF148"/>
    <mergeCell ref="AF274:AF275"/>
    <mergeCell ref="AF345:AF346"/>
    <mergeCell ref="AB9:AB13"/>
    <mergeCell ref="Z10:AA10"/>
    <mergeCell ref="AF926:AF927"/>
    <mergeCell ref="AF369:AF372"/>
    <mergeCell ref="AF383:AF386"/>
    <mergeCell ref="AF515:AF517"/>
    <mergeCell ref="AF526:AF527"/>
    <mergeCell ref="AF587:AF590"/>
    <mergeCell ref="AF657:AF661"/>
    <mergeCell ref="AF703:AF704"/>
    <mergeCell ref="AF876:AF877"/>
    <mergeCell ref="AF890:AF891"/>
    <mergeCell ref="AF912:AF913"/>
    <mergeCell ref="AF1010:AF1011"/>
    <mergeCell ref="AF1023:AF1030"/>
    <mergeCell ref="AF1032:AF1034"/>
    <mergeCell ref="AF1061:AF1062"/>
    <mergeCell ref="A1130:AF1130"/>
  </mergeCells>
  <dataValidations count="9">
    <dataValidation allowBlank="1" showInputMessage="1" showErrorMessage="1" prompt="Nguồn tập trung 2023: 397 triệu đồng + 299 triệu - nhu cầu SGD thấp hơn số đã bố trí cân đối" sqref="Z223"/>
    <dataValidation allowBlank="1" showInputMessage="1" showErrorMessage="1" prompt="lấy bằng số UBND tỉnh đã phê duyệt nhu cầu" sqref="Z207"/>
    <dataValidation allowBlank="1" showInputMessage="1" showErrorMessage="1" prompt="Chuyển BSMT các huyện, TP KP tổ chức Đại biểu Hội đồng nhân dân tỉnh tiếp xúc cử tri và Chuyên mục “Diễn đàn cử tri” : 264 triệu đồng" sqref="U724"/>
    <dataValidation allowBlank="1" showInputMessage="1" showErrorMessage="1" prompt="Lấy bằng KP QT chính sách năm 2022" sqref="Z372"/>
    <dataValidation allowBlank="1" showInputMessage="1" showErrorMessage="1" prompt="Giảm DT SKHCN 1.600trd chuyển BS DT cho cac huyện_x000a_- Ktum 300trđ, DHa 300 trđ, Konplo 300trđ_x000a_- 07 huyen còn lại môi huyên 100trđ/huyện" sqref="Z509"/>
    <dataValidation allowBlank="1" showInputMessage="1" showErrorMessage="1" prompt="TT phục vụ hành chính công là cơ quan hành chính đặc thù, BC giao chung trong VP UB tỉnh nên tính theo ĐM BC hành chính của VP UB tỉnh" sqref="Q782 Q768"/>
    <dataValidation allowBlank="1" showInputMessage="1" showErrorMessage="1" prompt="Chị Thanh báo Ban Dân tộc không có phòng Thanh tra nên không tính hệ số thanh tra 0,1" sqref="R682"/>
    <dataValidation allowBlank="1" showInputMessage="1" showErrorMessage="1" prompt="Bố trí theo nhu cầu của Trường tại Văn bản 214/BC-CĐCĐ ngày 27/10/2022" sqref="Z638:Z639"/>
    <dataValidation allowBlank="1" showInputMessage="1" showErrorMessage="1" prompt="DT 2022 theo số thảo luận BTC: 20.7378trđ, trđ_x000a_- DT 2022 BQL thuỷ lợi 15.088trđ_x000a_- BSMT NSH 5.649trđ" sqref="Z83"/>
  </dataValidations>
  <printOptions horizontalCentered="1"/>
  <pageMargins left="0.5" right="0.5" top="0.4" bottom="0.4" header="0" footer="0"/>
  <pageSetup paperSize="8" scale="93" fitToHeight="0" orientation="landscape" blackAndWhite="1" r:id="rId1"/>
  <headerFooter alignWithMargins="0">
    <oddFooter>&amp;R&amp;P/&amp;N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52"/>
  <sheetViews>
    <sheetView zoomScale="85" zoomScaleNormal="85" workbookViewId="0">
      <pane xSplit="2" ySplit="8" topLeftCell="C9" activePane="bottomRight" state="frozen"/>
      <selection pane="topRight" activeCell="C1" sqref="C1"/>
      <selection pane="bottomLeft" activeCell="A9" sqref="A9"/>
      <selection pane="bottomRight" activeCell="A3" sqref="A3:E3"/>
    </sheetView>
  </sheetViews>
  <sheetFormatPr defaultRowHeight="28.5" customHeight="1"/>
  <cols>
    <col min="1" max="1" width="5.5546875" style="370" bestFit="1" customWidth="1"/>
    <col min="2" max="2" width="63.5546875" style="366" customWidth="1"/>
    <col min="3" max="3" width="10.44140625" style="367" bestFit="1" customWidth="1"/>
    <col min="4" max="4" width="13.88671875" style="368" customWidth="1"/>
    <col min="5" max="5" width="15.6640625" style="367" customWidth="1"/>
    <col min="6" max="256" width="9.109375" style="366"/>
    <col min="257" max="257" width="5.5546875" style="366" bestFit="1" customWidth="1"/>
    <col min="258" max="258" width="63.5546875" style="366" customWidth="1"/>
    <col min="259" max="259" width="10.44140625" style="366" bestFit="1" customWidth="1"/>
    <col min="260" max="260" width="13.88671875" style="366" customWidth="1"/>
    <col min="261" max="261" width="18.6640625" style="366" customWidth="1"/>
    <col min="262" max="512" width="9.109375" style="366"/>
    <col min="513" max="513" width="5.5546875" style="366" bestFit="1" customWidth="1"/>
    <col min="514" max="514" width="63.5546875" style="366" customWidth="1"/>
    <col min="515" max="515" width="10.44140625" style="366" bestFit="1" customWidth="1"/>
    <col min="516" max="516" width="13.88671875" style="366" customWidth="1"/>
    <col min="517" max="517" width="18.6640625" style="366" customWidth="1"/>
    <col min="518" max="768" width="9.109375" style="366"/>
    <col min="769" max="769" width="5.5546875" style="366" bestFit="1" customWidth="1"/>
    <col min="770" max="770" width="63.5546875" style="366" customWidth="1"/>
    <col min="771" max="771" width="10.44140625" style="366" bestFit="1" customWidth="1"/>
    <col min="772" max="772" width="13.88671875" style="366" customWidth="1"/>
    <col min="773" max="773" width="18.6640625" style="366" customWidth="1"/>
    <col min="774" max="1024" width="9.109375" style="366"/>
    <col min="1025" max="1025" width="5.5546875" style="366" bestFit="1" customWidth="1"/>
    <col min="1026" max="1026" width="63.5546875" style="366" customWidth="1"/>
    <col min="1027" max="1027" width="10.44140625" style="366" bestFit="1" customWidth="1"/>
    <col min="1028" max="1028" width="13.88671875" style="366" customWidth="1"/>
    <col min="1029" max="1029" width="18.6640625" style="366" customWidth="1"/>
    <col min="1030" max="1280" width="9.109375" style="366"/>
    <col min="1281" max="1281" width="5.5546875" style="366" bestFit="1" customWidth="1"/>
    <col min="1282" max="1282" width="63.5546875" style="366" customWidth="1"/>
    <col min="1283" max="1283" width="10.44140625" style="366" bestFit="1" customWidth="1"/>
    <col min="1284" max="1284" width="13.88671875" style="366" customWidth="1"/>
    <col min="1285" max="1285" width="18.6640625" style="366" customWidth="1"/>
    <col min="1286" max="1536" width="9.109375" style="366"/>
    <col min="1537" max="1537" width="5.5546875" style="366" bestFit="1" customWidth="1"/>
    <col min="1538" max="1538" width="63.5546875" style="366" customWidth="1"/>
    <col min="1539" max="1539" width="10.44140625" style="366" bestFit="1" customWidth="1"/>
    <col min="1540" max="1540" width="13.88671875" style="366" customWidth="1"/>
    <col min="1541" max="1541" width="18.6640625" style="366" customWidth="1"/>
    <col min="1542" max="1792" width="9.109375" style="366"/>
    <col min="1793" max="1793" width="5.5546875" style="366" bestFit="1" customWidth="1"/>
    <col min="1794" max="1794" width="63.5546875" style="366" customWidth="1"/>
    <col min="1795" max="1795" width="10.44140625" style="366" bestFit="1" customWidth="1"/>
    <col min="1796" max="1796" width="13.88671875" style="366" customWidth="1"/>
    <col min="1797" max="1797" width="18.6640625" style="366" customWidth="1"/>
    <col min="1798" max="2048" width="9.109375" style="366"/>
    <col min="2049" max="2049" width="5.5546875" style="366" bestFit="1" customWidth="1"/>
    <col min="2050" max="2050" width="63.5546875" style="366" customWidth="1"/>
    <col min="2051" max="2051" width="10.44140625" style="366" bestFit="1" customWidth="1"/>
    <col min="2052" max="2052" width="13.88671875" style="366" customWidth="1"/>
    <col min="2053" max="2053" width="18.6640625" style="366" customWidth="1"/>
    <col min="2054" max="2304" width="9.109375" style="366"/>
    <col min="2305" max="2305" width="5.5546875" style="366" bestFit="1" customWidth="1"/>
    <col min="2306" max="2306" width="63.5546875" style="366" customWidth="1"/>
    <col min="2307" max="2307" width="10.44140625" style="366" bestFit="1" customWidth="1"/>
    <col min="2308" max="2308" width="13.88671875" style="366" customWidth="1"/>
    <col min="2309" max="2309" width="18.6640625" style="366" customWidth="1"/>
    <col min="2310" max="2560" width="9.109375" style="366"/>
    <col min="2561" max="2561" width="5.5546875" style="366" bestFit="1" customWidth="1"/>
    <col min="2562" max="2562" width="63.5546875" style="366" customWidth="1"/>
    <col min="2563" max="2563" width="10.44140625" style="366" bestFit="1" customWidth="1"/>
    <col min="2564" max="2564" width="13.88671875" style="366" customWidth="1"/>
    <col min="2565" max="2565" width="18.6640625" style="366" customWidth="1"/>
    <col min="2566" max="2816" width="9.109375" style="366"/>
    <col min="2817" max="2817" width="5.5546875" style="366" bestFit="1" customWidth="1"/>
    <col min="2818" max="2818" width="63.5546875" style="366" customWidth="1"/>
    <col min="2819" max="2819" width="10.44140625" style="366" bestFit="1" customWidth="1"/>
    <col min="2820" max="2820" width="13.88671875" style="366" customWidth="1"/>
    <col min="2821" max="2821" width="18.6640625" style="366" customWidth="1"/>
    <col min="2822" max="3072" width="9.109375" style="366"/>
    <col min="3073" max="3073" width="5.5546875" style="366" bestFit="1" customWidth="1"/>
    <col min="3074" max="3074" width="63.5546875" style="366" customWidth="1"/>
    <col min="3075" max="3075" width="10.44140625" style="366" bestFit="1" customWidth="1"/>
    <col min="3076" max="3076" width="13.88671875" style="366" customWidth="1"/>
    <col min="3077" max="3077" width="18.6640625" style="366" customWidth="1"/>
    <col min="3078" max="3328" width="9.109375" style="366"/>
    <col min="3329" max="3329" width="5.5546875" style="366" bestFit="1" customWidth="1"/>
    <col min="3330" max="3330" width="63.5546875" style="366" customWidth="1"/>
    <col min="3331" max="3331" width="10.44140625" style="366" bestFit="1" customWidth="1"/>
    <col min="3332" max="3332" width="13.88671875" style="366" customWidth="1"/>
    <col min="3333" max="3333" width="18.6640625" style="366" customWidth="1"/>
    <col min="3334" max="3584" width="9.109375" style="366"/>
    <col min="3585" max="3585" width="5.5546875" style="366" bestFit="1" customWidth="1"/>
    <col min="3586" max="3586" width="63.5546875" style="366" customWidth="1"/>
    <col min="3587" max="3587" width="10.44140625" style="366" bestFit="1" customWidth="1"/>
    <col min="3588" max="3588" width="13.88671875" style="366" customWidth="1"/>
    <col min="3589" max="3589" width="18.6640625" style="366" customWidth="1"/>
    <col min="3590" max="3840" width="9.109375" style="366"/>
    <col min="3841" max="3841" width="5.5546875" style="366" bestFit="1" customWidth="1"/>
    <col min="3842" max="3842" width="63.5546875" style="366" customWidth="1"/>
    <col min="3843" max="3843" width="10.44140625" style="366" bestFit="1" customWidth="1"/>
    <col min="3844" max="3844" width="13.88671875" style="366" customWidth="1"/>
    <col min="3845" max="3845" width="18.6640625" style="366" customWidth="1"/>
    <col min="3846" max="4096" width="9.109375" style="366"/>
    <col min="4097" max="4097" width="5.5546875" style="366" bestFit="1" customWidth="1"/>
    <col min="4098" max="4098" width="63.5546875" style="366" customWidth="1"/>
    <col min="4099" max="4099" width="10.44140625" style="366" bestFit="1" customWidth="1"/>
    <col min="4100" max="4100" width="13.88671875" style="366" customWidth="1"/>
    <col min="4101" max="4101" width="18.6640625" style="366" customWidth="1"/>
    <col min="4102" max="4352" width="9.109375" style="366"/>
    <col min="4353" max="4353" width="5.5546875" style="366" bestFit="1" customWidth="1"/>
    <col min="4354" max="4354" width="63.5546875" style="366" customWidth="1"/>
    <col min="4355" max="4355" width="10.44140625" style="366" bestFit="1" customWidth="1"/>
    <col min="4356" max="4356" width="13.88671875" style="366" customWidth="1"/>
    <col min="4357" max="4357" width="18.6640625" style="366" customWidth="1"/>
    <col min="4358" max="4608" width="9.109375" style="366"/>
    <col min="4609" max="4609" width="5.5546875" style="366" bestFit="1" customWidth="1"/>
    <col min="4610" max="4610" width="63.5546875" style="366" customWidth="1"/>
    <col min="4611" max="4611" width="10.44140625" style="366" bestFit="1" customWidth="1"/>
    <col min="4612" max="4612" width="13.88671875" style="366" customWidth="1"/>
    <col min="4613" max="4613" width="18.6640625" style="366" customWidth="1"/>
    <col min="4614" max="4864" width="9.109375" style="366"/>
    <col min="4865" max="4865" width="5.5546875" style="366" bestFit="1" customWidth="1"/>
    <col min="4866" max="4866" width="63.5546875" style="366" customWidth="1"/>
    <col min="4867" max="4867" width="10.44140625" style="366" bestFit="1" customWidth="1"/>
    <col min="4868" max="4868" width="13.88671875" style="366" customWidth="1"/>
    <col min="4869" max="4869" width="18.6640625" style="366" customWidth="1"/>
    <col min="4870" max="5120" width="9.109375" style="366"/>
    <col min="5121" max="5121" width="5.5546875" style="366" bestFit="1" customWidth="1"/>
    <col min="5122" max="5122" width="63.5546875" style="366" customWidth="1"/>
    <col min="5123" max="5123" width="10.44140625" style="366" bestFit="1" customWidth="1"/>
    <col min="5124" max="5124" width="13.88671875" style="366" customWidth="1"/>
    <col min="5125" max="5125" width="18.6640625" style="366" customWidth="1"/>
    <col min="5126" max="5376" width="9.109375" style="366"/>
    <col min="5377" max="5377" width="5.5546875" style="366" bestFit="1" customWidth="1"/>
    <col min="5378" max="5378" width="63.5546875" style="366" customWidth="1"/>
    <col min="5379" max="5379" width="10.44140625" style="366" bestFit="1" customWidth="1"/>
    <col min="5380" max="5380" width="13.88671875" style="366" customWidth="1"/>
    <col min="5381" max="5381" width="18.6640625" style="366" customWidth="1"/>
    <col min="5382" max="5632" width="9.109375" style="366"/>
    <col min="5633" max="5633" width="5.5546875" style="366" bestFit="1" customWidth="1"/>
    <col min="5634" max="5634" width="63.5546875" style="366" customWidth="1"/>
    <col min="5635" max="5635" width="10.44140625" style="366" bestFit="1" customWidth="1"/>
    <col min="5636" max="5636" width="13.88671875" style="366" customWidth="1"/>
    <col min="5637" max="5637" width="18.6640625" style="366" customWidth="1"/>
    <col min="5638" max="5888" width="9.109375" style="366"/>
    <col min="5889" max="5889" width="5.5546875" style="366" bestFit="1" customWidth="1"/>
    <col min="5890" max="5890" width="63.5546875" style="366" customWidth="1"/>
    <col min="5891" max="5891" width="10.44140625" style="366" bestFit="1" customWidth="1"/>
    <col min="5892" max="5892" width="13.88671875" style="366" customWidth="1"/>
    <col min="5893" max="5893" width="18.6640625" style="366" customWidth="1"/>
    <col min="5894" max="6144" width="9.109375" style="366"/>
    <col min="6145" max="6145" width="5.5546875" style="366" bestFit="1" customWidth="1"/>
    <col min="6146" max="6146" width="63.5546875" style="366" customWidth="1"/>
    <col min="6147" max="6147" width="10.44140625" style="366" bestFit="1" customWidth="1"/>
    <col min="6148" max="6148" width="13.88671875" style="366" customWidth="1"/>
    <col min="6149" max="6149" width="18.6640625" style="366" customWidth="1"/>
    <col min="6150" max="6400" width="9.109375" style="366"/>
    <col min="6401" max="6401" width="5.5546875" style="366" bestFit="1" customWidth="1"/>
    <col min="6402" max="6402" width="63.5546875" style="366" customWidth="1"/>
    <col min="6403" max="6403" width="10.44140625" style="366" bestFit="1" customWidth="1"/>
    <col min="6404" max="6404" width="13.88671875" style="366" customWidth="1"/>
    <col min="6405" max="6405" width="18.6640625" style="366" customWidth="1"/>
    <col min="6406" max="6656" width="9.109375" style="366"/>
    <col min="6657" max="6657" width="5.5546875" style="366" bestFit="1" customWidth="1"/>
    <col min="6658" max="6658" width="63.5546875" style="366" customWidth="1"/>
    <col min="6659" max="6659" width="10.44140625" style="366" bestFit="1" customWidth="1"/>
    <col min="6660" max="6660" width="13.88671875" style="366" customWidth="1"/>
    <col min="6661" max="6661" width="18.6640625" style="366" customWidth="1"/>
    <col min="6662" max="6912" width="9.109375" style="366"/>
    <col min="6913" max="6913" width="5.5546875" style="366" bestFit="1" customWidth="1"/>
    <col min="6914" max="6914" width="63.5546875" style="366" customWidth="1"/>
    <col min="6915" max="6915" width="10.44140625" style="366" bestFit="1" customWidth="1"/>
    <col min="6916" max="6916" width="13.88671875" style="366" customWidth="1"/>
    <col min="6917" max="6917" width="18.6640625" style="366" customWidth="1"/>
    <col min="6918" max="7168" width="9.109375" style="366"/>
    <col min="7169" max="7169" width="5.5546875" style="366" bestFit="1" customWidth="1"/>
    <col min="7170" max="7170" width="63.5546875" style="366" customWidth="1"/>
    <col min="7171" max="7171" width="10.44140625" style="366" bestFit="1" customWidth="1"/>
    <col min="7172" max="7172" width="13.88671875" style="366" customWidth="1"/>
    <col min="7173" max="7173" width="18.6640625" style="366" customWidth="1"/>
    <col min="7174" max="7424" width="9.109375" style="366"/>
    <col min="7425" max="7425" width="5.5546875" style="366" bestFit="1" customWidth="1"/>
    <col min="7426" max="7426" width="63.5546875" style="366" customWidth="1"/>
    <col min="7427" max="7427" width="10.44140625" style="366" bestFit="1" customWidth="1"/>
    <col min="7428" max="7428" width="13.88671875" style="366" customWidth="1"/>
    <col min="7429" max="7429" width="18.6640625" style="366" customWidth="1"/>
    <col min="7430" max="7680" width="9.109375" style="366"/>
    <col min="7681" max="7681" width="5.5546875" style="366" bestFit="1" customWidth="1"/>
    <col min="7682" max="7682" width="63.5546875" style="366" customWidth="1"/>
    <col min="7683" max="7683" width="10.44140625" style="366" bestFit="1" customWidth="1"/>
    <col min="7684" max="7684" width="13.88671875" style="366" customWidth="1"/>
    <col min="7685" max="7685" width="18.6640625" style="366" customWidth="1"/>
    <col min="7686" max="7936" width="9.109375" style="366"/>
    <col min="7937" max="7937" width="5.5546875" style="366" bestFit="1" customWidth="1"/>
    <col min="7938" max="7938" width="63.5546875" style="366" customWidth="1"/>
    <col min="7939" max="7939" width="10.44140625" style="366" bestFit="1" customWidth="1"/>
    <col min="7940" max="7940" width="13.88671875" style="366" customWidth="1"/>
    <col min="7941" max="7941" width="18.6640625" style="366" customWidth="1"/>
    <col min="7942" max="8192" width="9.109375" style="366"/>
    <col min="8193" max="8193" width="5.5546875" style="366" bestFit="1" customWidth="1"/>
    <col min="8194" max="8194" width="63.5546875" style="366" customWidth="1"/>
    <col min="8195" max="8195" width="10.44140625" style="366" bestFit="1" customWidth="1"/>
    <col min="8196" max="8196" width="13.88671875" style="366" customWidth="1"/>
    <col min="8197" max="8197" width="18.6640625" style="366" customWidth="1"/>
    <col min="8198" max="8448" width="9.109375" style="366"/>
    <col min="8449" max="8449" width="5.5546875" style="366" bestFit="1" customWidth="1"/>
    <col min="8450" max="8450" width="63.5546875" style="366" customWidth="1"/>
    <col min="8451" max="8451" width="10.44140625" style="366" bestFit="1" customWidth="1"/>
    <col min="8452" max="8452" width="13.88671875" style="366" customWidth="1"/>
    <col min="8453" max="8453" width="18.6640625" style="366" customWidth="1"/>
    <col min="8454" max="8704" width="9.109375" style="366"/>
    <col min="8705" max="8705" width="5.5546875" style="366" bestFit="1" customWidth="1"/>
    <col min="8706" max="8706" width="63.5546875" style="366" customWidth="1"/>
    <col min="8707" max="8707" width="10.44140625" style="366" bestFit="1" customWidth="1"/>
    <col min="8708" max="8708" width="13.88671875" style="366" customWidth="1"/>
    <col min="8709" max="8709" width="18.6640625" style="366" customWidth="1"/>
    <col min="8710" max="8960" width="9.109375" style="366"/>
    <col min="8961" max="8961" width="5.5546875" style="366" bestFit="1" customWidth="1"/>
    <col min="8962" max="8962" width="63.5546875" style="366" customWidth="1"/>
    <col min="8963" max="8963" width="10.44140625" style="366" bestFit="1" customWidth="1"/>
    <col min="8964" max="8964" width="13.88671875" style="366" customWidth="1"/>
    <col min="8965" max="8965" width="18.6640625" style="366" customWidth="1"/>
    <col min="8966" max="9216" width="9.109375" style="366"/>
    <col min="9217" max="9217" width="5.5546875" style="366" bestFit="1" customWidth="1"/>
    <col min="9218" max="9218" width="63.5546875" style="366" customWidth="1"/>
    <col min="9219" max="9219" width="10.44140625" style="366" bestFit="1" customWidth="1"/>
    <col min="9220" max="9220" width="13.88671875" style="366" customWidth="1"/>
    <col min="9221" max="9221" width="18.6640625" style="366" customWidth="1"/>
    <col min="9222" max="9472" width="9.109375" style="366"/>
    <col min="9473" max="9473" width="5.5546875" style="366" bestFit="1" customWidth="1"/>
    <col min="9474" max="9474" width="63.5546875" style="366" customWidth="1"/>
    <col min="9475" max="9475" width="10.44140625" style="366" bestFit="1" customWidth="1"/>
    <col min="9476" max="9476" width="13.88671875" style="366" customWidth="1"/>
    <col min="9477" max="9477" width="18.6640625" style="366" customWidth="1"/>
    <col min="9478" max="9728" width="9.109375" style="366"/>
    <col min="9729" max="9729" width="5.5546875" style="366" bestFit="1" customWidth="1"/>
    <col min="9730" max="9730" width="63.5546875" style="366" customWidth="1"/>
    <col min="9731" max="9731" width="10.44140625" style="366" bestFit="1" customWidth="1"/>
    <col min="9732" max="9732" width="13.88671875" style="366" customWidth="1"/>
    <col min="9733" max="9733" width="18.6640625" style="366" customWidth="1"/>
    <col min="9734" max="9984" width="9.109375" style="366"/>
    <col min="9985" max="9985" width="5.5546875" style="366" bestFit="1" customWidth="1"/>
    <col min="9986" max="9986" width="63.5546875" style="366" customWidth="1"/>
    <col min="9987" max="9987" width="10.44140625" style="366" bestFit="1" customWidth="1"/>
    <col min="9988" max="9988" width="13.88671875" style="366" customWidth="1"/>
    <col min="9989" max="9989" width="18.6640625" style="366" customWidth="1"/>
    <col min="9990" max="10240" width="9.109375" style="366"/>
    <col min="10241" max="10241" width="5.5546875" style="366" bestFit="1" customWidth="1"/>
    <col min="10242" max="10242" width="63.5546875" style="366" customWidth="1"/>
    <col min="10243" max="10243" width="10.44140625" style="366" bestFit="1" customWidth="1"/>
    <col min="10244" max="10244" width="13.88671875" style="366" customWidth="1"/>
    <col min="10245" max="10245" width="18.6640625" style="366" customWidth="1"/>
    <col min="10246" max="10496" width="9.109375" style="366"/>
    <col min="10497" max="10497" width="5.5546875" style="366" bestFit="1" customWidth="1"/>
    <col min="10498" max="10498" width="63.5546875" style="366" customWidth="1"/>
    <col min="10499" max="10499" width="10.44140625" style="366" bestFit="1" customWidth="1"/>
    <col min="10500" max="10500" width="13.88671875" style="366" customWidth="1"/>
    <col min="10501" max="10501" width="18.6640625" style="366" customWidth="1"/>
    <col min="10502" max="10752" width="9.109375" style="366"/>
    <col min="10753" max="10753" width="5.5546875" style="366" bestFit="1" customWidth="1"/>
    <col min="10754" max="10754" width="63.5546875" style="366" customWidth="1"/>
    <col min="10755" max="10755" width="10.44140625" style="366" bestFit="1" customWidth="1"/>
    <col min="10756" max="10756" width="13.88671875" style="366" customWidth="1"/>
    <col min="10757" max="10757" width="18.6640625" style="366" customWidth="1"/>
    <col min="10758" max="11008" width="9.109375" style="366"/>
    <col min="11009" max="11009" width="5.5546875" style="366" bestFit="1" customWidth="1"/>
    <col min="11010" max="11010" width="63.5546875" style="366" customWidth="1"/>
    <col min="11011" max="11011" width="10.44140625" style="366" bestFit="1" customWidth="1"/>
    <col min="11012" max="11012" width="13.88671875" style="366" customWidth="1"/>
    <col min="11013" max="11013" width="18.6640625" style="366" customWidth="1"/>
    <col min="11014" max="11264" width="9.109375" style="366"/>
    <col min="11265" max="11265" width="5.5546875" style="366" bestFit="1" customWidth="1"/>
    <col min="11266" max="11266" width="63.5546875" style="366" customWidth="1"/>
    <col min="11267" max="11267" width="10.44140625" style="366" bestFit="1" customWidth="1"/>
    <col min="11268" max="11268" width="13.88671875" style="366" customWidth="1"/>
    <col min="11269" max="11269" width="18.6640625" style="366" customWidth="1"/>
    <col min="11270" max="11520" width="9.109375" style="366"/>
    <col min="11521" max="11521" width="5.5546875" style="366" bestFit="1" customWidth="1"/>
    <col min="11522" max="11522" width="63.5546875" style="366" customWidth="1"/>
    <col min="11523" max="11523" width="10.44140625" style="366" bestFit="1" customWidth="1"/>
    <col min="11524" max="11524" width="13.88671875" style="366" customWidth="1"/>
    <col min="11525" max="11525" width="18.6640625" style="366" customWidth="1"/>
    <col min="11526" max="11776" width="9.109375" style="366"/>
    <col min="11777" max="11777" width="5.5546875" style="366" bestFit="1" customWidth="1"/>
    <col min="11778" max="11778" width="63.5546875" style="366" customWidth="1"/>
    <col min="11779" max="11779" width="10.44140625" style="366" bestFit="1" customWidth="1"/>
    <col min="11780" max="11780" width="13.88671875" style="366" customWidth="1"/>
    <col min="11781" max="11781" width="18.6640625" style="366" customWidth="1"/>
    <col min="11782" max="12032" width="9.109375" style="366"/>
    <col min="12033" max="12033" width="5.5546875" style="366" bestFit="1" customWidth="1"/>
    <col min="12034" max="12034" width="63.5546875" style="366" customWidth="1"/>
    <col min="12035" max="12035" width="10.44140625" style="366" bestFit="1" customWidth="1"/>
    <col min="12036" max="12036" width="13.88671875" style="366" customWidth="1"/>
    <col min="12037" max="12037" width="18.6640625" style="366" customWidth="1"/>
    <col min="12038" max="12288" width="9.109375" style="366"/>
    <col min="12289" max="12289" width="5.5546875" style="366" bestFit="1" customWidth="1"/>
    <col min="12290" max="12290" width="63.5546875" style="366" customWidth="1"/>
    <col min="12291" max="12291" width="10.44140625" style="366" bestFit="1" customWidth="1"/>
    <col min="12292" max="12292" width="13.88671875" style="366" customWidth="1"/>
    <col min="12293" max="12293" width="18.6640625" style="366" customWidth="1"/>
    <col min="12294" max="12544" width="9.109375" style="366"/>
    <col min="12545" max="12545" width="5.5546875" style="366" bestFit="1" customWidth="1"/>
    <col min="12546" max="12546" width="63.5546875" style="366" customWidth="1"/>
    <col min="12547" max="12547" width="10.44140625" style="366" bestFit="1" customWidth="1"/>
    <col min="12548" max="12548" width="13.88671875" style="366" customWidth="1"/>
    <col min="12549" max="12549" width="18.6640625" style="366" customWidth="1"/>
    <col min="12550" max="12800" width="9.109375" style="366"/>
    <col min="12801" max="12801" width="5.5546875" style="366" bestFit="1" customWidth="1"/>
    <col min="12802" max="12802" width="63.5546875" style="366" customWidth="1"/>
    <col min="12803" max="12803" width="10.44140625" style="366" bestFit="1" customWidth="1"/>
    <col min="12804" max="12804" width="13.88671875" style="366" customWidth="1"/>
    <col min="12805" max="12805" width="18.6640625" style="366" customWidth="1"/>
    <col min="12806" max="13056" width="9.109375" style="366"/>
    <col min="13057" max="13057" width="5.5546875" style="366" bestFit="1" customWidth="1"/>
    <col min="13058" max="13058" width="63.5546875" style="366" customWidth="1"/>
    <col min="13059" max="13059" width="10.44140625" style="366" bestFit="1" customWidth="1"/>
    <col min="13060" max="13060" width="13.88671875" style="366" customWidth="1"/>
    <col min="13061" max="13061" width="18.6640625" style="366" customWidth="1"/>
    <col min="13062" max="13312" width="9.109375" style="366"/>
    <col min="13313" max="13313" width="5.5546875" style="366" bestFit="1" customWidth="1"/>
    <col min="13314" max="13314" width="63.5546875" style="366" customWidth="1"/>
    <col min="13315" max="13315" width="10.44140625" style="366" bestFit="1" customWidth="1"/>
    <col min="13316" max="13316" width="13.88671875" style="366" customWidth="1"/>
    <col min="13317" max="13317" width="18.6640625" style="366" customWidth="1"/>
    <col min="13318" max="13568" width="9.109375" style="366"/>
    <col min="13569" max="13569" width="5.5546875" style="366" bestFit="1" customWidth="1"/>
    <col min="13570" max="13570" width="63.5546875" style="366" customWidth="1"/>
    <col min="13571" max="13571" width="10.44140625" style="366" bestFit="1" customWidth="1"/>
    <col min="13572" max="13572" width="13.88671875" style="366" customWidth="1"/>
    <col min="13573" max="13573" width="18.6640625" style="366" customWidth="1"/>
    <col min="13574" max="13824" width="9.109375" style="366"/>
    <col min="13825" max="13825" width="5.5546875" style="366" bestFit="1" customWidth="1"/>
    <col min="13826" max="13826" width="63.5546875" style="366" customWidth="1"/>
    <col min="13827" max="13827" width="10.44140625" style="366" bestFit="1" customWidth="1"/>
    <col min="13828" max="13828" width="13.88671875" style="366" customWidth="1"/>
    <col min="13829" max="13829" width="18.6640625" style="366" customWidth="1"/>
    <col min="13830" max="14080" width="9.109375" style="366"/>
    <col min="14081" max="14081" width="5.5546875" style="366" bestFit="1" customWidth="1"/>
    <col min="14082" max="14082" width="63.5546875" style="366" customWidth="1"/>
    <col min="14083" max="14083" width="10.44140625" style="366" bestFit="1" customWidth="1"/>
    <col min="14084" max="14084" width="13.88671875" style="366" customWidth="1"/>
    <col min="14085" max="14085" width="18.6640625" style="366" customWidth="1"/>
    <col min="14086" max="14336" width="9.109375" style="366"/>
    <col min="14337" max="14337" width="5.5546875" style="366" bestFit="1" customWidth="1"/>
    <col min="14338" max="14338" width="63.5546875" style="366" customWidth="1"/>
    <col min="14339" max="14339" width="10.44140625" style="366" bestFit="1" customWidth="1"/>
    <col min="14340" max="14340" width="13.88671875" style="366" customWidth="1"/>
    <col min="14341" max="14341" width="18.6640625" style="366" customWidth="1"/>
    <col min="14342" max="14592" width="9.109375" style="366"/>
    <col min="14593" max="14593" width="5.5546875" style="366" bestFit="1" customWidth="1"/>
    <col min="14594" max="14594" width="63.5546875" style="366" customWidth="1"/>
    <col min="14595" max="14595" width="10.44140625" style="366" bestFit="1" customWidth="1"/>
    <col min="14596" max="14596" width="13.88671875" style="366" customWidth="1"/>
    <col min="14597" max="14597" width="18.6640625" style="366" customWidth="1"/>
    <col min="14598" max="14848" width="9.109375" style="366"/>
    <col min="14849" max="14849" width="5.5546875" style="366" bestFit="1" customWidth="1"/>
    <col min="14850" max="14850" width="63.5546875" style="366" customWidth="1"/>
    <col min="14851" max="14851" width="10.44140625" style="366" bestFit="1" customWidth="1"/>
    <col min="14852" max="14852" width="13.88671875" style="366" customWidth="1"/>
    <col min="14853" max="14853" width="18.6640625" style="366" customWidth="1"/>
    <col min="14854" max="15104" width="9.109375" style="366"/>
    <col min="15105" max="15105" width="5.5546875" style="366" bestFit="1" customWidth="1"/>
    <col min="15106" max="15106" width="63.5546875" style="366" customWidth="1"/>
    <col min="15107" max="15107" width="10.44140625" style="366" bestFit="1" customWidth="1"/>
    <col min="15108" max="15108" width="13.88671875" style="366" customWidth="1"/>
    <col min="15109" max="15109" width="18.6640625" style="366" customWidth="1"/>
    <col min="15110" max="15360" width="9.109375" style="366"/>
    <col min="15361" max="15361" width="5.5546875" style="366" bestFit="1" customWidth="1"/>
    <col min="15362" max="15362" width="63.5546875" style="366" customWidth="1"/>
    <col min="15363" max="15363" width="10.44140625" style="366" bestFit="1" customWidth="1"/>
    <col min="15364" max="15364" width="13.88671875" style="366" customWidth="1"/>
    <col min="15365" max="15365" width="18.6640625" style="366" customWidth="1"/>
    <col min="15366" max="15616" width="9.109375" style="366"/>
    <col min="15617" max="15617" width="5.5546875" style="366" bestFit="1" customWidth="1"/>
    <col min="15618" max="15618" width="63.5546875" style="366" customWidth="1"/>
    <col min="15619" max="15619" width="10.44140625" style="366" bestFit="1" customWidth="1"/>
    <col min="15620" max="15620" width="13.88671875" style="366" customWidth="1"/>
    <col min="15621" max="15621" width="18.6640625" style="366" customWidth="1"/>
    <col min="15622" max="15872" width="9.109375" style="366"/>
    <col min="15873" max="15873" width="5.5546875" style="366" bestFit="1" customWidth="1"/>
    <col min="15874" max="15874" width="63.5546875" style="366" customWidth="1"/>
    <col min="15875" max="15875" width="10.44140625" style="366" bestFit="1" customWidth="1"/>
    <col min="15876" max="15876" width="13.88671875" style="366" customWidth="1"/>
    <col min="15877" max="15877" width="18.6640625" style="366" customWidth="1"/>
    <col min="15878" max="16128" width="9.109375" style="366"/>
    <col min="16129" max="16129" width="5.5546875" style="366" bestFit="1" customWidth="1"/>
    <col min="16130" max="16130" width="63.5546875" style="366" customWidth="1"/>
    <col min="16131" max="16131" width="10.44140625" style="366" bestFit="1" customWidth="1"/>
    <col min="16132" max="16132" width="13.88671875" style="366" customWidth="1"/>
    <col min="16133" max="16133" width="18.6640625" style="366" customWidth="1"/>
    <col min="16134" max="16384" width="9.109375" style="366"/>
  </cols>
  <sheetData>
    <row r="1" spans="1:6" ht="16.8">
      <c r="A1" s="365" t="s">
        <v>1895</v>
      </c>
    </row>
    <row r="2" spans="1:6" ht="34.200000000000003" customHeight="1">
      <c r="A2" s="1679" t="s">
        <v>2369</v>
      </c>
      <c r="B2" s="1679"/>
      <c r="C2" s="1679"/>
      <c r="D2" s="1679"/>
      <c r="E2" s="1679"/>
    </row>
    <row r="3" spans="1:6" ht="16.8">
      <c r="A3" s="1680" t="s">
        <v>2540</v>
      </c>
      <c r="B3" s="1680"/>
      <c r="C3" s="1680"/>
      <c r="D3" s="1680"/>
      <c r="E3" s="1680"/>
    </row>
    <row r="4" spans="1:6" ht="16.8">
      <c r="A4" s="369"/>
      <c r="B4" s="369"/>
      <c r="C4" s="369"/>
      <c r="D4" s="369"/>
      <c r="E4" s="369"/>
    </row>
    <row r="5" spans="1:6" ht="16.8">
      <c r="B5" s="1014"/>
      <c r="C5" s="368"/>
      <c r="D5" s="1681" t="s">
        <v>1876</v>
      </c>
      <c r="E5" s="1681"/>
    </row>
    <row r="6" spans="1:6" ht="16.8">
      <c r="A6" s="1677" t="s">
        <v>1</v>
      </c>
      <c r="B6" s="1677" t="s">
        <v>2541</v>
      </c>
      <c r="C6" s="1678" t="s">
        <v>1445</v>
      </c>
      <c r="D6" s="1682" t="s">
        <v>65</v>
      </c>
      <c r="E6" s="1682"/>
    </row>
    <row r="7" spans="1:6" ht="45" customHeight="1">
      <c r="A7" s="1677"/>
      <c r="B7" s="1677"/>
      <c r="C7" s="1678"/>
      <c r="D7" s="1232" t="s">
        <v>1446</v>
      </c>
      <c r="E7" s="1232" t="s">
        <v>1447</v>
      </c>
    </row>
    <row r="8" spans="1:6" s="371" customFormat="1" ht="16.8">
      <c r="A8" s="1237" t="s">
        <v>14</v>
      </c>
      <c r="B8" s="1238" t="s">
        <v>1877</v>
      </c>
      <c r="C8" s="1239">
        <f>C9+C24+C26+C30+C32+C34+C36+C38+C40+C42+C44+C51</f>
        <v>8000</v>
      </c>
      <c r="D8" s="1239">
        <f>D9+D24+D26+D30+D32+D34+D36+D38+D40+D42+D44+D51</f>
        <v>3000</v>
      </c>
      <c r="E8" s="1239">
        <f>E9+E24+E26+E30+E32+E34+E36+E38+E40+E42+E44+E51</f>
        <v>5000</v>
      </c>
      <c r="F8" s="1233"/>
    </row>
    <row r="9" spans="1:6" s="371" customFormat="1" ht="16.8">
      <c r="A9" s="1240">
        <v>1</v>
      </c>
      <c r="B9" s="904" t="s">
        <v>1491</v>
      </c>
      <c r="C9" s="1241">
        <f>C10+C12+C17+C20+C22</f>
        <v>2220</v>
      </c>
      <c r="D9" s="1241">
        <f>D10+D12+D17+D20+D22</f>
        <v>740</v>
      </c>
      <c r="E9" s="1241">
        <f>E10+E12+E17+E20+E22</f>
        <v>1480</v>
      </c>
    </row>
    <row r="10" spans="1:6" ht="16.8">
      <c r="A10" s="1240" t="s">
        <v>34</v>
      </c>
      <c r="B10" s="904" t="s">
        <v>2479</v>
      </c>
      <c r="C10" s="1241">
        <f>C11</f>
        <v>180</v>
      </c>
      <c r="D10" s="1241">
        <f>D11</f>
        <v>180</v>
      </c>
      <c r="E10" s="1241"/>
    </row>
    <row r="11" spans="1:6" s="371" customFormat="1" ht="16.8">
      <c r="A11" s="1242" t="s">
        <v>23</v>
      </c>
      <c r="B11" s="907" t="s">
        <v>2480</v>
      </c>
      <c r="C11" s="1243">
        <f>SUM(D11:E11)</f>
        <v>180</v>
      </c>
      <c r="D11" s="1243">
        <v>180</v>
      </c>
      <c r="E11" s="1244">
        <v>0</v>
      </c>
    </row>
    <row r="12" spans="1:6" s="371" customFormat="1" ht="16.8">
      <c r="A12" s="1245" t="s">
        <v>36</v>
      </c>
      <c r="B12" s="1246" t="s">
        <v>621</v>
      </c>
      <c r="C12" s="1247">
        <f>C14+C16</f>
        <v>360</v>
      </c>
      <c r="D12" s="1247">
        <f>D14+D16</f>
        <v>360</v>
      </c>
      <c r="E12" s="1247">
        <f>SUM(E14:E16)</f>
        <v>0</v>
      </c>
    </row>
    <row r="13" spans="1:6" ht="16.8">
      <c r="A13" s="1248" t="s">
        <v>23</v>
      </c>
      <c r="B13" s="1249" t="s">
        <v>2481</v>
      </c>
      <c r="C13" s="1250">
        <f>C14</f>
        <v>170</v>
      </c>
      <c r="D13" s="1250">
        <f>D14</f>
        <v>170</v>
      </c>
      <c r="E13" s="1250"/>
    </row>
    <row r="14" spans="1:6" ht="16.8">
      <c r="A14" s="1242" t="s">
        <v>23</v>
      </c>
      <c r="B14" s="907" t="s">
        <v>2482</v>
      </c>
      <c r="C14" s="1243">
        <f>SUM(D14:E14)</f>
        <v>170</v>
      </c>
      <c r="D14" s="1243">
        <v>170</v>
      </c>
      <c r="E14" s="1244">
        <v>0</v>
      </c>
    </row>
    <row r="15" spans="1:6" s="371" customFormat="1" ht="16.8">
      <c r="A15" s="1248" t="s">
        <v>23</v>
      </c>
      <c r="B15" s="1249" t="s">
        <v>2483</v>
      </c>
      <c r="C15" s="1250">
        <f>C16</f>
        <v>190</v>
      </c>
      <c r="D15" s="1250">
        <f>D16</f>
        <v>190</v>
      </c>
      <c r="E15" s="1250"/>
    </row>
    <row r="16" spans="1:6" ht="16.8">
      <c r="A16" s="1242" t="s">
        <v>23</v>
      </c>
      <c r="B16" s="907" t="s">
        <v>2484</v>
      </c>
      <c r="C16" s="1243">
        <f>SUM(D16:E16)</f>
        <v>190</v>
      </c>
      <c r="D16" s="1243">
        <v>190</v>
      </c>
      <c r="E16" s="1244">
        <v>0</v>
      </c>
    </row>
    <row r="17" spans="1:5" ht="16.8">
      <c r="A17" s="1245" t="s">
        <v>38</v>
      </c>
      <c r="B17" s="904" t="s">
        <v>835</v>
      </c>
      <c r="C17" s="1241">
        <f>C18+C19</f>
        <v>695</v>
      </c>
      <c r="D17" s="1241">
        <f>D18+D19</f>
        <v>200</v>
      </c>
      <c r="E17" s="1241">
        <f>E18+E19</f>
        <v>495</v>
      </c>
    </row>
    <row r="18" spans="1:5" s="371" customFormat="1" ht="16.8">
      <c r="A18" s="1242" t="s">
        <v>23</v>
      </c>
      <c r="B18" s="907" t="s">
        <v>2485</v>
      </c>
      <c r="C18" s="1243">
        <f>D18+E18</f>
        <v>200</v>
      </c>
      <c r="D18" s="1243">
        <v>200</v>
      </c>
      <c r="E18" s="1241"/>
    </row>
    <row r="19" spans="1:5" ht="16.8">
      <c r="A19" s="1242" t="s">
        <v>23</v>
      </c>
      <c r="B19" s="1251" t="s">
        <v>2486</v>
      </c>
      <c r="C19" s="1243">
        <f>E19</f>
        <v>495</v>
      </c>
      <c r="D19" s="1243">
        <v>0</v>
      </c>
      <c r="E19" s="1244">
        <v>495</v>
      </c>
    </row>
    <row r="20" spans="1:5" ht="16.8">
      <c r="A20" s="1245" t="s">
        <v>322</v>
      </c>
      <c r="B20" s="1252" t="s">
        <v>2487</v>
      </c>
      <c r="C20" s="1241">
        <f>C21</f>
        <v>495</v>
      </c>
      <c r="D20" s="1241">
        <f>D21</f>
        <v>0</v>
      </c>
      <c r="E20" s="1241">
        <f>E21</f>
        <v>495</v>
      </c>
    </row>
    <row r="21" spans="1:5" s="371" customFormat="1" ht="16.8">
      <c r="A21" s="1242" t="s">
        <v>23</v>
      </c>
      <c r="B21" s="1251" t="s">
        <v>2486</v>
      </c>
      <c r="C21" s="1243">
        <f>E21</f>
        <v>495</v>
      </c>
      <c r="D21" s="1243">
        <v>0</v>
      </c>
      <c r="E21" s="1244">
        <v>495</v>
      </c>
    </row>
    <row r="22" spans="1:5" ht="16.8">
      <c r="A22" s="1245" t="s">
        <v>2488</v>
      </c>
      <c r="B22" s="904" t="s">
        <v>1878</v>
      </c>
      <c r="C22" s="1241">
        <f>C23</f>
        <v>490</v>
      </c>
      <c r="D22" s="1241">
        <f>D23</f>
        <v>0</v>
      </c>
      <c r="E22" s="1241">
        <f>E23</f>
        <v>490</v>
      </c>
    </row>
    <row r="23" spans="1:5" ht="33.6">
      <c r="A23" s="1242" t="s">
        <v>23</v>
      </c>
      <c r="B23" s="1251" t="s">
        <v>2489</v>
      </c>
      <c r="C23" s="1243">
        <f>E23</f>
        <v>490</v>
      </c>
      <c r="D23" s="1243">
        <v>0</v>
      </c>
      <c r="E23" s="1244">
        <v>490</v>
      </c>
    </row>
    <row r="24" spans="1:5" s="371" customFormat="1" ht="16.8">
      <c r="A24" s="1245">
        <v>2</v>
      </c>
      <c r="B24" s="1246" t="s">
        <v>865</v>
      </c>
      <c r="C24" s="1247">
        <f>SUM(D24:E24)</f>
        <v>280</v>
      </c>
      <c r="D24" s="1247">
        <f>SUM(D25:D25)</f>
        <v>280</v>
      </c>
      <c r="E24" s="1247">
        <f>SUM(E25:E25)</f>
        <v>0</v>
      </c>
    </row>
    <row r="25" spans="1:5" ht="16.8">
      <c r="A25" s="1242" t="s">
        <v>23</v>
      </c>
      <c r="B25" s="907" t="s">
        <v>2490</v>
      </c>
      <c r="C25" s="1243">
        <f>SUM(D25:E25)</f>
        <v>280</v>
      </c>
      <c r="D25" s="1243">
        <v>280</v>
      </c>
      <c r="E25" s="1244"/>
    </row>
    <row r="26" spans="1:5" s="371" customFormat="1" ht="16.8">
      <c r="A26" s="1245">
        <v>3</v>
      </c>
      <c r="B26" s="1246" t="s">
        <v>2491</v>
      </c>
      <c r="C26" s="1247">
        <f>C27</f>
        <v>500</v>
      </c>
      <c r="D26" s="1247">
        <f>D27</f>
        <v>500</v>
      </c>
      <c r="E26" s="1247">
        <f>E27</f>
        <v>0</v>
      </c>
    </row>
    <row r="27" spans="1:5" ht="16.8">
      <c r="A27" s="1245" t="s">
        <v>285</v>
      </c>
      <c r="B27" s="1246" t="s">
        <v>936</v>
      </c>
      <c r="C27" s="1247">
        <f>C28+C29</f>
        <v>500</v>
      </c>
      <c r="D27" s="1247">
        <f>D28+D29</f>
        <v>500</v>
      </c>
      <c r="E27" s="1247">
        <f>E28+E29</f>
        <v>0</v>
      </c>
    </row>
    <row r="28" spans="1:5" s="371" customFormat="1" ht="16.8">
      <c r="A28" s="1242" t="s">
        <v>23</v>
      </c>
      <c r="B28" s="1251" t="s">
        <v>2492</v>
      </c>
      <c r="C28" s="1243">
        <f>SUM(D28:E28)</f>
        <v>290</v>
      </c>
      <c r="D28" s="1243">
        <v>290</v>
      </c>
      <c r="E28" s="1244">
        <v>0</v>
      </c>
    </row>
    <row r="29" spans="1:5" ht="16.8">
      <c r="A29" s="1242" t="s">
        <v>23</v>
      </c>
      <c r="B29" s="1251" t="s">
        <v>2493</v>
      </c>
      <c r="C29" s="1243">
        <f>SUM(D29:E29)</f>
        <v>210</v>
      </c>
      <c r="D29" s="1243">
        <v>210</v>
      </c>
      <c r="E29" s="1244">
        <v>0</v>
      </c>
    </row>
    <row r="30" spans="1:5" s="371" customFormat="1" ht="16.8">
      <c r="A30" s="1245">
        <v>4</v>
      </c>
      <c r="B30" s="1252" t="s">
        <v>1305</v>
      </c>
      <c r="C30" s="1241">
        <f>C31</f>
        <v>210</v>
      </c>
      <c r="D30" s="1241">
        <f>D31</f>
        <v>210</v>
      </c>
      <c r="E30" s="1241">
        <f>E31</f>
        <v>0</v>
      </c>
    </row>
    <row r="31" spans="1:5" ht="16.8">
      <c r="A31" s="1242" t="s">
        <v>23</v>
      </c>
      <c r="B31" s="907" t="s">
        <v>2494</v>
      </c>
      <c r="C31" s="1243">
        <f>SUM(D31:E31)</f>
        <v>210</v>
      </c>
      <c r="D31" s="1243">
        <v>210</v>
      </c>
      <c r="E31" s="1244"/>
    </row>
    <row r="32" spans="1:5" s="371" customFormat="1" ht="16.8">
      <c r="A32" s="1240">
        <v>5</v>
      </c>
      <c r="B32" s="1246" t="s">
        <v>2495</v>
      </c>
      <c r="C32" s="1241">
        <f>C33</f>
        <v>120</v>
      </c>
      <c r="D32" s="1241">
        <f>D33</f>
        <v>120</v>
      </c>
      <c r="E32" s="1241">
        <f>E33</f>
        <v>0</v>
      </c>
    </row>
    <row r="33" spans="1:5" ht="16.8">
      <c r="A33" s="1242" t="s">
        <v>23</v>
      </c>
      <c r="B33" s="907" t="s">
        <v>2496</v>
      </c>
      <c r="C33" s="1243">
        <f>SUM(D33:E33)</f>
        <v>120</v>
      </c>
      <c r="D33" s="1243">
        <v>120</v>
      </c>
      <c r="E33" s="1244"/>
    </row>
    <row r="34" spans="1:5" ht="16.8">
      <c r="A34" s="1240">
        <v>6</v>
      </c>
      <c r="B34" s="1246" t="s">
        <v>2497</v>
      </c>
      <c r="C34" s="1241">
        <f>C35</f>
        <v>200</v>
      </c>
      <c r="D34" s="1241">
        <f>D35</f>
        <v>200</v>
      </c>
      <c r="E34" s="1241">
        <f>E35</f>
        <v>0</v>
      </c>
    </row>
    <row r="35" spans="1:5" s="371" customFormat="1" ht="16.8">
      <c r="A35" s="1242" t="s">
        <v>23</v>
      </c>
      <c r="B35" s="907" t="s">
        <v>2498</v>
      </c>
      <c r="C35" s="1243">
        <f>SUM(D35:E35)</f>
        <v>200</v>
      </c>
      <c r="D35" s="1243">
        <v>200</v>
      </c>
      <c r="E35" s="1244">
        <v>0</v>
      </c>
    </row>
    <row r="36" spans="1:5" ht="16.8">
      <c r="A36" s="1245">
        <v>7</v>
      </c>
      <c r="B36" s="904" t="s">
        <v>2499</v>
      </c>
      <c r="C36" s="1247">
        <f>C37</f>
        <v>150</v>
      </c>
      <c r="D36" s="1247">
        <f>D37</f>
        <v>150</v>
      </c>
      <c r="E36" s="1247">
        <f>E37</f>
        <v>0</v>
      </c>
    </row>
    <row r="37" spans="1:5" s="371" customFormat="1" ht="16.8">
      <c r="A37" s="1242" t="s">
        <v>23</v>
      </c>
      <c r="B37" s="907" t="s">
        <v>2500</v>
      </c>
      <c r="C37" s="1243">
        <f>SUM(D37:E37)</f>
        <v>150</v>
      </c>
      <c r="D37" s="1243">
        <v>150</v>
      </c>
      <c r="E37" s="1244"/>
    </row>
    <row r="38" spans="1:5" ht="16.8">
      <c r="A38" s="1245">
        <v>8</v>
      </c>
      <c r="B38" s="904" t="s">
        <v>2501</v>
      </c>
      <c r="C38" s="1247">
        <f>C39</f>
        <v>240</v>
      </c>
      <c r="D38" s="1247">
        <f>D39</f>
        <v>0</v>
      </c>
      <c r="E38" s="1247">
        <f>E39</f>
        <v>240</v>
      </c>
    </row>
    <row r="39" spans="1:5" s="371" customFormat="1" ht="33.6">
      <c r="A39" s="1242" t="s">
        <v>23</v>
      </c>
      <c r="B39" s="1251" t="s">
        <v>2502</v>
      </c>
      <c r="C39" s="1243">
        <f>D39+E39</f>
        <v>240</v>
      </c>
      <c r="D39" s="1243">
        <v>0</v>
      </c>
      <c r="E39" s="1244">
        <v>240</v>
      </c>
    </row>
    <row r="40" spans="1:5" ht="16.8">
      <c r="A40" s="1240">
        <v>9</v>
      </c>
      <c r="B40" s="1246" t="s">
        <v>1054</v>
      </c>
      <c r="C40" s="1241">
        <f>C41</f>
        <v>170</v>
      </c>
      <c r="D40" s="1241">
        <f>D41</f>
        <v>170</v>
      </c>
      <c r="E40" s="1241">
        <f>E41</f>
        <v>0</v>
      </c>
    </row>
    <row r="41" spans="1:5" s="371" customFormat="1" ht="16.8">
      <c r="A41" s="1242" t="s">
        <v>23</v>
      </c>
      <c r="B41" s="907" t="s">
        <v>2503</v>
      </c>
      <c r="C41" s="1243">
        <f>SUM(D41:E41)</f>
        <v>170</v>
      </c>
      <c r="D41" s="1243">
        <v>170</v>
      </c>
      <c r="E41" s="1244">
        <v>0</v>
      </c>
    </row>
    <row r="42" spans="1:5" s="371" customFormat="1" ht="16.8">
      <c r="A42" s="1240">
        <v>10</v>
      </c>
      <c r="B42" s="1253" t="s">
        <v>2504</v>
      </c>
      <c r="C42" s="1241">
        <f>C43</f>
        <v>200</v>
      </c>
      <c r="D42" s="1241">
        <f>D43</f>
        <v>200</v>
      </c>
      <c r="E42" s="1241">
        <f>E43</f>
        <v>0</v>
      </c>
    </row>
    <row r="43" spans="1:5" ht="16.8">
      <c r="A43" s="1242" t="s">
        <v>23</v>
      </c>
      <c r="B43" s="907" t="s">
        <v>2505</v>
      </c>
      <c r="C43" s="1243">
        <f>SUM(D43:E43)</f>
        <v>200</v>
      </c>
      <c r="D43" s="1243">
        <v>200</v>
      </c>
      <c r="E43" s="1244">
        <v>0</v>
      </c>
    </row>
    <row r="44" spans="1:5" s="371" customFormat="1" ht="16.8">
      <c r="A44" s="1240">
        <v>11</v>
      </c>
      <c r="B44" s="1246" t="s">
        <v>627</v>
      </c>
      <c r="C44" s="1241">
        <f>C45+C49+C47</f>
        <v>860</v>
      </c>
      <c r="D44" s="1241">
        <f>D45+D49+D47</f>
        <v>430</v>
      </c>
      <c r="E44" s="1241">
        <f>E45+E49+E47</f>
        <v>430</v>
      </c>
    </row>
    <row r="45" spans="1:5" ht="16.8">
      <c r="A45" s="1240" t="s">
        <v>994</v>
      </c>
      <c r="B45" s="1252" t="s">
        <v>2506</v>
      </c>
      <c r="C45" s="1241">
        <f t="shared" ref="C45:C52" si="0">SUM(D45:E45)</f>
        <v>250</v>
      </c>
      <c r="D45" s="1241">
        <f>D46</f>
        <v>250</v>
      </c>
      <c r="E45" s="1241">
        <f>E46</f>
        <v>0</v>
      </c>
    </row>
    <row r="46" spans="1:5" s="371" customFormat="1" ht="16.8">
      <c r="A46" s="1242" t="s">
        <v>23</v>
      </c>
      <c r="B46" s="907" t="s">
        <v>2507</v>
      </c>
      <c r="C46" s="1243">
        <f t="shared" si="0"/>
        <v>250</v>
      </c>
      <c r="D46" s="1243">
        <v>250</v>
      </c>
      <c r="E46" s="1244">
        <v>0</v>
      </c>
    </row>
    <row r="47" spans="1:5" ht="16.8">
      <c r="A47" s="1245" t="s">
        <v>1016</v>
      </c>
      <c r="B47" s="904" t="s">
        <v>2538</v>
      </c>
      <c r="C47" s="1241">
        <f>C48</f>
        <v>180</v>
      </c>
      <c r="D47" s="1241">
        <f>D48</f>
        <v>180</v>
      </c>
      <c r="E47" s="1254"/>
    </row>
    <row r="48" spans="1:5" ht="33.6">
      <c r="A48" s="1242"/>
      <c r="B48" s="907" t="s">
        <v>2539</v>
      </c>
      <c r="C48" s="1243">
        <f>D48</f>
        <v>180</v>
      </c>
      <c r="D48" s="1243">
        <v>180</v>
      </c>
      <c r="E48" s="1255"/>
    </row>
    <row r="49" spans="1:5" ht="28.5" customHeight="1">
      <c r="A49" s="1240" t="s">
        <v>1020</v>
      </c>
      <c r="B49" s="1253" t="s">
        <v>2508</v>
      </c>
      <c r="C49" s="1241">
        <f t="shared" si="0"/>
        <v>430</v>
      </c>
      <c r="D49" s="1241">
        <f>D50</f>
        <v>0</v>
      </c>
      <c r="E49" s="1241">
        <f>E50</f>
        <v>430</v>
      </c>
    </row>
    <row r="50" spans="1:5" ht="28.5" customHeight="1">
      <c r="A50" s="1242" t="s">
        <v>23</v>
      </c>
      <c r="B50" s="907" t="s">
        <v>2509</v>
      </c>
      <c r="C50" s="1243">
        <f t="shared" si="0"/>
        <v>430</v>
      </c>
      <c r="D50" s="1243"/>
      <c r="E50" s="1244">
        <v>430</v>
      </c>
    </row>
    <row r="51" spans="1:5" ht="28.5" customHeight="1">
      <c r="A51" s="1256">
        <v>12</v>
      </c>
      <c r="B51" s="1253" t="s">
        <v>1880</v>
      </c>
      <c r="C51" s="1257">
        <f>C52</f>
        <v>2850</v>
      </c>
      <c r="D51" s="1257">
        <f>D52</f>
        <v>0</v>
      </c>
      <c r="E51" s="1257">
        <f>E52</f>
        <v>2850</v>
      </c>
    </row>
    <row r="52" spans="1:5" ht="67.2">
      <c r="A52" s="1258" t="s">
        <v>23</v>
      </c>
      <c r="B52" s="1259" t="s">
        <v>2510</v>
      </c>
      <c r="C52" s="1260">
        <f t="shared" si="0"/>
        <v>2850</v>
      </c>
      <c r="D52" s="1260">
        <v>0</v>
      </c>
      <c r="E52" s="1261">
        <v>2850</v>
      </c>
    </row>
  </sheetData>
  <mergeCells count="7">
    <mergeCell ref="A6:A7"/>
    <mergeCell ref="B6:B7"/>
    <mergeCell ref="C6:C7"/>
    <mergeCell ref="A2:E2"/>
    <mergeCell ref="A3:E3"/>
    <mergeCell ref="D5:E5"/>
    <mergeCell ref="D6:E6"/>
  </mergeCells>
  <printOptions horizontalCentered="1"/>
  <pageMargins left="0.59055118110236227" right="0.19685039370078741" top="0.59055118110236227" bottom="0.39370078740157483" header="0.19685039370078741" footer="0.19685039370078741"/>
  <pageSetup paperSize="9" scale="80" fitToHeight="0" orientation="portrait" r:id="rId1"/>
  <headerFooter alignWithMargins="0">
    <oddFooter>&amp;R&amp;P/&amp;N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N71"/>
  <sheetViews>
    <sheetView zoomScaleNormal="100" workbookViewId="0">
      <pane xSplit="2" ySplit="7" topLeftCell="C8" activePane="bottomRight" state="frozen"/>
      <selection activeCell="O28" sqref="O28"/>
      <selection pane="topRight" activeCell="O28" sqref="O28"/>
      <selection pane="bottomLeft" activeCell="O28" sqref="O28"/>
      <selection pane="bottomRight" activeCell="M16" sqref="M16"/>
    </sheetView>
  </sheetViews>
  <sheetFormatPr defaultColWidth="9.109375" defaultRowHeight="13.8" outlineLevelRow="1"/>
  <cols>
    <col min="1" max="1" width="5.44140625" style="555" customWidth="1"/>
    <col min="2" max="2" width="45.44140625" style="239" customWidth="1"/>
    <col min="3" max="3" width="9.5546875" style="239" customWidth="1"/>
    <col min="4" max="13" width="8.44140625" style="239" customWidth="1"/>
    <col min="14" max="14" width="11.109375" style="239" bestFit="1" customWidth="1"/>
    <col min="15" max="16384" width="9.109375" style="239"/>
  </cols>
  <sheetData>
    <row r="1" spans="1:13" s="240" customFormat="1" ht="17.25" customHeight="1">
      <c r="A1" s="1683" t="s">
        <v>1836</v>
      </c>
      <c r="B1" s="1683"/>
      <c r="C1" s="239"/>
      <c r="D1" s="239"/>
      <c r="E1" s="239"/>
      <c r="F1" s="239"/>
      <c r="G1" s="239"/>
      <c r="H1" s="239"/>
      <c r="I1" s="239"/>
      <c r="J1" s="239"/>
      <c r="L1" s="1683"/>
      <c r="M1" s="1683"/>
    </row>
    <row r="2" spans="1:13" s="240" customFormat="1" ht="19.5" customHeight="1">
      <c r="A2" s="1684" t="s">
        <v>1985</v>
      </c>
      <c r="B2" s="1684"/>
      <c r="C2" s="1684"/>
      <c r="D2" s="1684"/>
      <c r="E2" s="1684"/>
      <c r="F2" s="1684"/>
      <c r="G2" s="1684"/>
      <c r="H2" s="1684"/>
      <c r="I2" s="1684"/>
      <c r="J2" s="1684"/>
      <c r="K2" s="1684"/>
      <c r="L2" s="1684"/>
      <c r="M2" s="1684"/>
    </row>
    <row r="3" spans="1:13" s="240" customFormat="1" ht="19.5" customHeight="1">
      <c r="A3" s="1696" t="s">
        <v>1903</v>
      </c>
      <c r="B3" s="1696"/>
      <c r="C3" s="1696"/>
      <c r="D3" s="1696"/>
      <c r="E3" s="1696"/>
      <c r="F3" s="1696"/>
      <c r="G3" s="1696"/>
      <c r="H3" s="1696"/>
      <c r="I3" s="1696"/>
      <c r="J3" s="1696"/>
      <c r="K3" s="1696"/>
      <c r="L3" s="1696"/>
      <c r="M3" s="1696"/>
    </row>
    <row r="4" spans="1:13">
      <c r="B4" s="241"/>
      <c r="L4" s="1685" t="s">
        <v>0</v>
      </c>
      <c r="M4" s="1685"/>
    </row>
    <row r="5" spans="1:13" ht="16.5" customHeight="1">
      <c r="A5" s="1686" t="s">
        <v>1</v>
      </c>
      <c r="B5" s="1689" t="s">
        <v>2</v>
      </c>
      <c r="C5" s="1692" t="s">
        <v>1905</v>
      </c>
      <c r="D5" s="1695" t="s">
        <v>3</v>
      </c>
      <c r="E5" s="1695"/>
      <c r="F5" s="1695"/>
      <c r="G5" s="1695"/>
      <c r="H5" s="1695"/>
      <c r="I5" s="1695"/>
      <c r="J5" s="1695"/>
      <c r="K5" s="1695"/>
      <c r="L5" s="1695"/>
      <c r="M5" s="1695"/>
    </row>
    <row r="6" spans="1:13" ht="13.5" customHeight="1">
      <c r="A6" s="1687"/>
      <c r="B6" s="1690"/>
      <c r="C6" s="1693"/>
      <c r="D6" s="1541" t="s">
        <v>4</v>
      </c>
      <c r="E6" s="1541" t="s">
        <v>5</v>
      </c>
      <c r="F6" s="1541" t="s">
        <v>6</v>
      </c>
      <c r="G6" s="1541" t="s">
        <v>7</v>
      </c>
      <c r="H6" s="1541" t="s">
        <v>8</v>
      </c>
      <c r="I6" s="1541" t="s">
        <v>9</v>
      </c>
      <c r="J6" s="1541" t="s">
        <v>10</v>
      </c>
      <c r="K6" s="1541" t="s">
        <v>11</v>
      </c>
      <c r="L6" s="1541" t="s">
        <v>12</v>
      </c>
      <c r="M6" s="1541" t="s">
        <v>13</v>
      </c>
    </row>
    <row r="7" spans="1:13">
      <c r="A7" s="1688"/>
      <c r="B7" s="1691"/>
      <c r="C7" s="1694"/>
      <c r="D7" s="1541"/>
      <c r="E7" s="1541"/>
      <c r="F7" s="1541"/>
      <c r="G7" s="1541"/>
      <c r="H7" s="1541"/>
      <c r="I7" s="1541"/>
      <c r="J7" s="1541"/>
      <c r="K7" s="1541"/>
      <c r="L7" s="1541"/>
      <c r="M7" s="1541"/>
    </row>
    <row r="8" spans="1:13" s="244" customFormat="1" ht="18" customHeight="1">
      <c r="A8" s="358" t="s">
        <v>14</v>
      </c>
      <c r="B8" s="243" t="s">
        <v>1492</v>
      </c>
      <c r="C8" s="242">
        <f t="shared" ref="C8:M8" si="0">C9+C24</f>
        <v>4737229.0954400003</v>
      </c>
      <c r="D8" s="242">
        <f t="shared" si="0"/>
        <v>1092249.2856600001</v>
      </c>
      <c r="E8" s="242">
        <f t="shared" si="0"/>
        <v>535723.70426000003</v>
      </c>
      <c r="F8" s="242">
        <f t="shared" si="0"/>
        <v>427664.34660000005</v>
      </c>
      <c r="G8" s="242">
        <f t="shared" si="0"/>
        <v>402780.80331999995</v>
      </c>
      <c r="H8" s="242">
        <f t="shared" si="0"/>
        <v>484402.08600000001</v>
      </c>
      <c r="I8" s="242">
        <f t="shared" si="0"/>
        <v>454649.77399999998</v>
      </c>
      <c r="J8" s="242">
        <f t="shared" si="0"/>
        <v>166428.10459999999</v>
      </c>
      <c r="K8" s="242">
        <f t="shared" si="0"/>
        <v>305621.2108</v>
      </c>
      <c r="L8" s="242">
        <f t="shared" si="0"/>
        <v>483467.51659999997</v>
      </c>
      <c r="M8" s="242">
        <f t="shared" si="0"/>
        <v>384242.46360000002</v>
      </c>
    </row>
    <row r="9" spans="1:13" s="244" customFormat="1" ht="18" customHeight="1">
      <c r="A9" s="359" t="s">
        <v>16</v>
      </c>
      <c r="B9" s="252" t="s">
        <v>1493</v>
      </c>
      <c r="C9" s="10">
        <f>C11+C14+C19+C21+C23</f>
        <v>4396147.0954400003</v>
      </c>
      <c r="D9" s="10">
        <f t="shared" ref="D9:M9" si="1">D11+D14+D19+D21+D23</f>
        <v>998038.28566000005</v>
      </c>
      <c r="E9" s="10">
        <f t="shared" si="1"/>
        <v>504187.70426000003</v>
      </c>
      <c r="F9" s="10">
        <f t="shared" si="1"/>
        <v>393519.34660000005</v>
      </c>
      <c r="G9" s="10">
        <f t="shared" si="1"/>
        <v>376163.80331999995</v>
      </c>
      <c r="H9" s="10">
        <f t="shared" si="1"/>
        <v>465646.08600000001</v>
      </c>
      <c r="I9" s="10">
        <f t="shared" si="1"/>
        <v>436499.77399999998</v>
      </c>
      <c r="J9" s="10">
        <f t="shared" si="1"/>
        <v>142116.10459999999</v>
      </c>
      <c r="K9" s="10">
        <f t="shared" si="1"/>
        <v>286587.2108</v>
      </c>
      <c r="L9" s="10">
        <f t="shared" si="1"/>
        <v>433496.51659999997</v>
      </c>
      <c r="M9" s="10">
        <f t="shared" si="1"/>
        <v>359892.46360000002</v>
      </c>
    </row>
    <row r="10" spans="1:13" s="265" customFormat="1" ht="32.25" customHeight="1">
      <c r="A10" s="556"/>
      <c r="B10" s="264" t="s">
        <v>30</v>
      </c>
      <c r="C10" s="1">
        <f t="shared" ref="C10:C50" si="2">D10+E10+F10+G10+H10+I10+J10+K10+L10+M10</f>
        <v>4396147</v>
      </c>
      <c r="D10" s="1">
        <f>D31</f>
        <v>998038</v>
      </c>
      <c r="E10" s="1">
        <f t="shared" ref="E10:M10" si="3">E31</f>
        <v>504188</v>
      </c>
      <c r="F10" s="1">
        <f t="shared" si="3"/>
        <v>393519</v>
      </c>
      <c r="G10" s="1">
        <f t="shared" si="3"/>
        <v>376164</v>
      </c>
      <c r="H10" s="1">
        <f t="shared" si="3"/>
        <v>465646</v>
      </c>
      <c r="I10" s="1">
        <f t="shared" si="3"/>
        <v>436500</v>
      </c>
      <c r="J10" s="1">
        <f t="shared" si="3"/>
        <v>142116</v>
      </c>
      <c r="K10" s="1">
        <f t="shared" si="3"/>
        <v>286587</v>
      </c>
      <c r="L10" s="1">
        <f t="shared" si="3"/>
        <v>433497</v>
      </c>
      <c r="M10" s="1">
        <f t="shared" si="3"/>
        <v>359892</v>
      </c>
    </row>
    <row r="11" spans="1:13" s="244" customFormat="1" ht="18" customHeight="1">
      <c r="A11" s="361" t="s">
        <v>18</v>
      </c>
      <c r="B11" s="252" t="s">
        <v>822</v>
      </c>
      <c r="C11" s="10">
        <f>C12+C13</f>
        <v>433791</v>
      </c>
      <c r="D11" s="10">
        <f t="shared" ref="D11:M11" si="4">D12+D13</f>
        <v>192762</v>
      </c>
      <c r="E11" s="10">
        <f t="shared" si="4"/>
        <v>24625</v>
      </c>
      <c r="F11" s="10">
        <f t="shared" si="4"/>
        <v>20571</v>
      </c>
      <c r="G11" s="10">
        <f t="shared" si="4"/>
        <v>29396</v>
      </c>
      <c r="H11" s="10">
        <f t="shared" si="4"/>
        <v>15950</v>
      </c>
      <c r="I11" s="10">
        <f t="shared" si="4"/>
        <v>29832</v>
      </c>
      <c r="J11" s="10">
        <f t="shared" si="4"/>
        <v>10326</v>
      </c>
      <c r="K11" s="10">
        <f t="shared" si="4"/>
        <v>7028</v>
      </c>
      <c r="L11" s="10">
        <f t="shared" si="4"/>
        <v>95623</v>
      </c>
      <c r="M11" s="10">
        <f t="shared" si="4"/>
        <v>7678.0000000000009</v>
      </c>
    </row>
    <row r="12" spans="1:13" ht="18" customHeight="1">
      <c r="A12" s="362" t="s">
        <v>34</v>
      </c>
      <c r="B12" s="266" t="s">
        <v>35</v>
      </c>
      <c r="C12" s="267">
        <f t="shared" si="2"/>
        <v>81791</v>
      </c>
      <c r="D12" s="267">
        <f>'Bieu 04_TT'!R31</f>
        <v>16410</v>
      </c>
      <c r="E12" s="267">
        <f>'Bieu 04_TT'!V31</f>
        <v>7025</v>
      </c>
      <c r="F12" s="267">
        <f>'Bieu 04_TT'!Z31</f>
        <v>7371</v>
      </c>
      <c r="G12" s="267">
        <f>'Bieu 04_TT'!AD31</f>
        <v>7396</v>
      </c>
      <c r="H12" s="267">
        <f>'Bieu 04_TT'!AH31</f>
        <v>8030</v>
      </c>
      <c r="I12" s="267">
        <f>'Bieu 04_TT'!AL31</f>
        <v>7832</v>
      </c>
      <c r="J12" s="267">
        <f>'Bieu 04_TT'!AP31</f>
        <v>5926</v>
      </c>
      <c r="K12" s="267">
        <f>'Bieu 04_TT'!AT31</f>
        <v>6588</v>
      </c>
      <c r="L12" s="267">
        <f>'Bieu 04_TT'!AX31</f>
        <v>7623</v>
      </c>
      <c r="M12" s="267">
        <f>'Bieu 04_TT'!BB31</f>
        <v>7590.0000000000009</v>
      </c>
    </row>
    <row r="13" spans="1:13" ht="18" customHeight="1">
      <c r="A13" s="362" t="s">
        <v>36</v>
      </c>
      <c r="B13" s="266" t="s">
        <v>37</v>
      </c>
      <c r="C13" s="1">
        <f t="shared" si="2"/>
        <v>352000</v>
      </c>
      <c r="D13" s="267">
        <f>'Bieu 04_TT'!R32</f>
        <v>176352</v>
      </c>
      <c r="E13" s="267">
        <f>'Bieu 04_TT'!V32</f>
        <v>17600</v>
      </c>
      <c r="F13" s="267">
        <f>'Bieu 04_TT'!Z32</f>
        <v>13200</v>
      </c>
      <c r="G13" s="267">
        <f>'Bieu 04_TT'!AD32</f>
        <v>22000</v>
      </c>
      <c r="H13" s="267">
        <f>'Bieu 04_TT'!AH32</f>
        <v>7920</v>
      </c>
      <c r="I13" s="267">
        <f>'Bieu 04_TT'!AL32</f>
        <v>22000</v>
      </c>
      <c r="J13" s="267">
        <f>'Bieu 04_TT'!AP32</f>
        <v>4400</v>
      </c>
      <c r="K13" s="267">
        <f>'Bieu 04_TT'!AT32</f>
        <v>440</v>
      </c>
      <c r="L13" s="267">
        <f>'Bieu 04_TT'!AX32</f>
        <v>88000</v>
      </c>
      <c r="M13" s="267">
        <f>'Bieu 04_TT'!BB32</f>
        <v>88</v>
      </c>
    </row>
    <row r="14" spans="1:13" s="244" customFormat="1" ht="18" customHeight="1">
      <c r="A14" s="361" t="s">
        <v>26</v>
      </c>
      <c r="B14" s="252" t="s">
        <v>324</v>
      </c>
      <c r="C14" s="10">
        <f>D14+E14+F14+G14+H14+I14+J14+K14+L14+M14-0.2</f>
        <v>3786433.0954399998</v>
      </c>
      <c r="D14" s="10">
        <f t="shared" ref="D14:M14" si="5">D16+D17+D18</f>
        <v>697315.28566000005</v>
      </c>
      <c r="E14" s="10">
        <f t="shared" si="5"/>
        <v>469478.70426000003</v>
      </c>
      <c r="F14" s="10">
        <f t="shared" si="5"/>
        <v>365078.34660000005</v>
      </c>
      <c r="G14" s="10">
        <f t="shared" si="5"/>
        <v>339244.80331999995</v>
      </c>
      <c r="H14" s="10">
        <f t="shared" si="5"/>
        <v>440383.08600000001</v>
      </c>
      <c r="I14" s="10">
        <f t="shared" si="5"/>
        <v>397937.77399999998</v>
      </c>
      <c r="J14" s="10">
        <f t="shared" si="5"/>
        <v>128948.10459999999</v>
      </c>
      <c r="K14" s="10">
        <f t="shared" si="5"/>
        <v>273827.2108</v>
      </c>
      <c r="L14" s="10">
        <f t="shared" si="5"/>
        <v>329203.51659999997</v>
      </c>
      <c r="M14" s="10">
        <f t="shared" si="5"/>
        <v>345016.46360000002</v>
      </c>
    </row>
    <row r="15" spans="1:13" ht="18" hidden="1" customHeight="1" outlineLevel="1">
      <c r="A15" s="362"/>
      <c r="B15" s="266" t="s">
        <v>338</v>
      </c>
      <c r="C15" s="1">
        <f t="shared" si="2"/>
        <v>0</v>
      </c>
      <c r="D15" s="1"/>
      <c r="E15" s="1"/>
      <c r="F15" s="1"/>
      <c r="G15" s="1"/>
      <c r="H15" s="1"/>
      <c r="I15" s="1"/>
      <c r="J15" s="1"/>
      <c r="K15" s="1"/>
      <c r="L15" s="1"/>
      <c r="M15" s="1"/>
    </row>
    <row r="16" spans="1:13" ht="18" customHeight="1" collapsed="1">
      <c r="A16" s="362" t="s">
        <v>42</v>
      </c>
      <c r="B16" s="268" t="s">
        <v>326</v>
      </c>
      <c r="C16" s="1">
        <f>D16+E16+F16+G16+H16+I16+J16+K16+L16+M16-0.2</f>
        <v>2185722.0954399998</v>
      </c>
      <c r="D16" s="267">
        <f>'Bieu 04_TT'!R37</f>
        <v>399497.28565999999</v>
      </c>
      <c r="E16" s="267">
        <f>'Bieu 04_TT'!V37</f>
        <v>292237.70426000003</v>
      </c>
      <c r="F16" s="267">
        <f>'Bieu 04_TT'!Z37</f>
        <v>229403.34660000002</v>
      </c>
      <c r="G16" s="267">
        <f>'Bieu 04_TT'!AD37</f>
        <v>184138.80331999998</v>
      </c>
      <c r="H16" s="267">
        <f>'Bieu 04_TT'!AH37</f>
        <v>251193.08600000001</v>
      </c>
      <c r="I16" s="267">
        <f>'Bieu 04_TT'!AL37</f>
        <v>236940.774</v>
      </c>
      <c r="J16" s="267">
        <f>'Bieu 04_TT'!AP37</f>
        <v>51708.104599999999</v>
      </c>
      <c r="K16" s="267">
        <f>'Bieu 04_TT'!AT37</f>
        <v>158030.2108</v>
      </c>
      <c r="L16" s="267">
        <f>'Bieu 04_TT'!AX37</f>
        <v>177564.5166</v>
      </c>
      <c r="M16" s="267">
        <f>'Bieu 04_TT'!BB37</f>
        <v>205008.46360000002</v>
      </c>
    </row>
    <row r="17" spans="1:14" ht="18" customHeight="1">
      <c r="A17" s="362" t="s">
        <v>52</v>
      </c>
      <c r="B17" s="643" t="s">
        <v>1022</v>
      </c>
      <c r="C17" s="1">
        <f t="shared" si="2"/>
        <v>2000</v>
      </c>
      <c r="D17" s="267">
        <f>'Bieu 04_TT'!R53</f>
        <v>200</v>
      </c>
      <c r="E17" s="267">
        <f>'Bieu 04_TT'!V53</f>
        <v>200</v>
      </c>
      <c r="F17" s="267">
        <f>'Bieu 04_TT'!Z53</f>
        <v>200</v>
      </c>
      <c r="G17" s="267">
        <f>'Bieu 04_TT'!AD53</f>
        <v>200</v>
      </c>
      <c r="H17" s="267">
        <f>'Bieu 04_TT'!AH53</f>
        <v>200</v>
      </c>
      <c r="I17" s="267">
        <f>'Bieu 04_TT'!AL53</f>
        <v>200</v>
      </c>
      <c r="J17" s="267">
        <f>'Bieu 04_TT'!AP53</f>
        <v>200</v>
      </c>
      <c r="K17" s="267">
        <f>'Bieu 04_TT'!AT53</f>
        <v>200</v>
      </c>
      <c r="L17" s="267">
        <f>'Bieu 04_TT'!AX53</f>
        <v>200</v>
      </c>
      <c r="M17" s="267">
        <f>'Bieu 04_TT'!BB53</f>
        <v>200</v>
      </c>
    </row>
    <row r="18" spans="1:14" ht="18" customHeight="1">
      <c r="A18" s="362" t="s">
        <v>53</v>
      </c>
      <c r="B18" s="268" t="s">
        <v>1494</v>
      </c>
      <c r="C18" s="1">
        <f t="shared" si="2"/>
        <v>1598711</v>
      </c>
      <c r="D18" s="267">
        <f>'Bieu 04_TT'!R55</f>
        <v>297618</v>
      </c>
      <c r="E18" s="267">
        <f>'Bieu 04_TT'!V55</f>
        <v>177041</v>
      </c>
      <c r="F18" s="267">
        <f>'Bieu 04_TT'!Z55</f>
        <v>135475</v>
      </c>
      <c r="G18" s="267">
        <f>'Bieu 04_TT'!AD55</f>
        <v>154906</v>
      </c>
      <c r="H18" s="267">
        <f>'Bieu 04_TT'!AH55</f>
        <v>188990</v>
      </c>
      <c r="I18" s="267">
        <f>'Bieu 04_TT'!AL55</f>
        <v>160797</v>
      </c>
      <c r="J18" s="267">
        <f>'Bieu 04_TT'!AP55</f>
        <v>77040</v>
      </c>
      <c r="K18" s="267">
        <f>'Bieu 04_TT'!AT55</f>
        <v>115597</v>
      </c>
      <c r="L18" s="267">
        <f>'Bieu 04_TT'!AX55</f>
        <v>151439</v>
      </c>
      <c r="M18" s="267">
        <f>'Bieu 04_TT'!BB55</f>
        <v>139808</v>
      </c>
    </row>
    <row r="19" spans="1:14" s="244" customFormat="1" ht="18" customHeight="1">
      <c r="A19" s="361" t="s">
        <v>59</v>
      </c>
      <c r="B19" s="252" t="s">
        <v>60</v>
      </c>
      <c r="C19" s="245">
        <f t="shared" si="2"/>
        <v>87923</v>
      </c>
      <c r="D19" s="245">
        <f>'Bieu 04_TT'!S64</f>
        <v>19961</v>
      </c>
      <c r="E19" s="245">
        <f>'Bieu 04_TT'!W64</f>
        <v>10084</v>
      </c>
      <c r="F19" s="245">
        <f>'Bieu 04_TT'!AA64</f>
        <v>7870</v>
      </c>
      <c r="G19" s="245">
        <f>'Bieu 04_TT'!AE64</f>
        <v>7523</v>
      </c>
      <c r="H19" s="245">
        <f>'Bieu 04_TT'!AI64</f>
        <v>9313</v>
      </c>
      <c r="I19" s="245">
        <f>'Bieu 04_TT'!AM64</f>
        <v>8730</v>
      </c>
      <c r="J19" s="245">
        <f>'Bieu 04_TT'!AQ64</f>
        <v>2842</v>
      </c>
      <c r="K19" s="245">
        <f>'Bieu 04_TT'!AU64</f>
        <v>5732</v>
      </c>
      <c r="L19" s="245">
        <f>'Bieu 04_TT'!AY64</f>
        <v>8670</v>
      </c>
      <c r="M19" s="245">
        <f>'Bieu 04_TT'!BC64</f>
        <v>7198</v>
      </c>
    </row>
    <row r="20" spans="1:14" s="247" customFormat="1" ht="18" customHeight="1">
      <c r="A20" s="556"/>
      <c r="B20" s="270" t="s">
        <v>1495</v>
      </c>
      <c r="C20" s="269">
        <f t="shared" ref="C20:M20" si="6">C19/(C9)*100</f>
        <v>2.0000013214116525</v>
      </c>
      <c r="D20" s="269">
        <f t="shared" si="6"/>
        <v>2.0000234747307157</v>
      </c>
      <c r="E20" s="269">
        <f t="shared" si="6"/>
        <v>2.0000487744540223</v>
      </c>
      <c r="F20" s="269">
        <f t="shared" si="6"/>
        <v>1.9999016739574955</v>
      </c>
      <c r="G20" s="269">
        <f t="shared" si="6"/>
        <v>1.9999266100572244</v>
      </c>
      <c r="H20" s="269">
        <f t="shared" si="6"/>
        <v>2.0000168110507857</v>
      </c>
      <c r="I20" s="269">
        <f t="shared" si="6"/>
        <v>2.0000010355102726</v>
      </c>
      <c r="J20" s="269">
        <f t="shared" si="6"/>
        <v>1.999773359957405</v>
      </c>
      <c r="K20" s="269">
        <f t="shared" si="6"/>
        <v>2.0000892517147872</v>
      </c>
      <c r="L20" s="269">
        <f t="shared" si="6"/>
        <v>2.0000160711787367</v>
      </c>
      <c r="M20" s="269">
        <f t="shared" si="6"/>
        <v>2.0000418813993748</v>
      </c>
    </row>
    <row r="21" spans="1:14" s="247" customFormat="1" ht="55.2">
      <c r="A21" s="513" t="s">
        <v>73</v>
      </c>
      <c r="B21" s="221" t="s">
        <v>1496</v>
      </c>
      <c r="C21" s="10">
        <f>D21</f>
        <v>88000</v>
      </c>
      <c r="D21" s="245">
        <f>'Bieu 04_TT'!R67</f>
        <v>88000</v>
      </c>
      <c r="E21" s="246"/>
      <c r="F21" s="246"/>
      <c r="G21" s="246"/>
      <c r="H21" s="246"/>
      <c r="I21" s="246"/>
      <c r="J21" s="246"/>
      <c r="K21" s="246"/>
      <c r="L21" s="246"/>
      <c r="M21" s="246"/>
    </row>
    <row r="22" spans="1:14" s="247" customFormat="1" ht="27.6" hidden="1">
      <c r="A22" s="557"/>
      <c r="B22" s="223" t="s">
        <v>1470</v>
      </c>
      <c r="C22" s="248">
        <f>D22</f>
        <v>0</v>
      </c>
      <c r="D22" s="249"/>
      <c r="E22" s="246"/>
      <c r="F22" s="246"/>
      <c r="G22" s="246"/>
      <c r="H22" s="246"/>
      <c r="I22" s="246"/>
      <c r="J22" s="246"/>
      <c r="K22" s="246"/>
      <c r="L22" s="246"/>
      <c r="M22" s="246"/>
    </row>
    <row r="23" spans="1:14" s="644" customFormat="1" ht="21" hidden="1" customHeight="1" outlineLevel="1">
      <c r="A23" s="513">
        <v>5</v>
      </c>
      <c r="B23" s="221" t="s">
        <v>1559</v>
      </c>
      <c r="C23" s="10">
        <f t="shared" si="2"/>
        <v>0</v>
      </c>
      <c r="D23" s="245">
        <f>'Bieu 04_TT'!R68</f>
        <v>0</v>
      </c>
      <c r="E23" s="245">
        <f>'Bieu 04_TT'!V68</f>
        <v>0</v>
      </c>
      <c r="F23" s="245">
        <f>'Bieu 04_TT'!Z68</f>
        <v>0</v>
      </c>
      <c r="G23" s="245">
        <f>'Bieu 04_TT'!AD68</f>
        <v>0</v>
      </c>
      <c r="H23" s="245">
        <f>'Bieu 04_TT'!AH68</f>
        <v>0</v>
      </c>
      <c r="I23" s="245">
        <f>'Bieu 04_TT'!AL68</f>
        <v>0</v>
      </c>
      <c r="J23" s="245">
        <f>'Bieu 04_TT'!AP68</f>
        <v>0</v>
      </c>
      <c r="K23" s="245">
        <f>'Bieu 04_TT'!AT68</f>
        <v>0</v>
      </c>
      <c r="L23" s="245">
        <f>'Bieu 04_TT'!AX68</f>
        <v>0</v>
      </c>
      <c r="M23" s="245">
        <f>'Bieu 04_TT'!BB68</f>
        <v>0</v>
      </c>
    </row>
    <row r="24" spans="1:14" s="244" customFormat="1" ht="31.5" customHeight="1" collapsed="1">
      <c r="A24" s="359" t="s">
        <v>28</v>
      </c>
      <c r="B24" s="250" t="s">
        <v>1497</v>
      </c>
      <c r="C24" s="10">
        <f t="shared" si="2"/>
        <v>341082</v>
      </c>
      <c r="D24" s="10">
        <f>D25+D26</f>
        <v>94211</v>
      </c>
      <c r="E24" s="10">
        <f t="shared" ref="E24:M24" si="7">E25+E26</f>
        <v>31536</v>
      </c>
      <c r="F24" s="10">
        <f t="shared" si="7"/>
        <v>34145</v>
      </c>
      <c r="G24" s="10">
        <f t="shared" si="7"/>
        <v>26617</v>
      </c>
      <c r="H24" s="10">
        <f t="shared" si="7"/>
        <v>18756</v>
      </c>
      <c r="I24" s="10">
        <f t="shared" si="7"/>
        <v>18150</v>
      </c>
      <c r="J24" s="10">
        <f t="shared" si="7"/>
        <v>24312</v>
      </c>
      <c r="K24" s="10">
        <f t="shared" si="7"/>
        <v>19034</v>
      </c>
      <c r="L24" s="10">
        <f t="shared" si="7"/>
        <v>49971</v>
      </c>
      <c r="M24" s="10">
        <f t="shared" si="7"/>
        <v>24350</v>
      </c>
    </row>
    <row r="25" spans="1:14" ht="21.75" customHeight="1">
      <c r="A25" s="362" t="s">
        <v>18</v>
      </c>
      <c r="B25" s="251" t="s">
        <v>1498</v>
      </c>
      <c r="C25" s="1">
        <f t="shared" si="2"/>
        <v>281871</v>
      </c>
      <c r="D25" s="1">
        <f>'Bieu 5 TT'!D9</f>
        <v>92480</v>
      </c>
      <c r="E25" s="1">
        <f>'Bieu 5 TT'!E9</f>
        <v>24474</v>
      </c>
      <c r="F25" s="1">
        <f>'Bieu 5 TT'!F9</f>
        <v>23441</v>
      </c>
      <c r="G25" s="1">
        <f>'Bieu 5 TT'!G9</f>
        <v>16516</v>
      </c>
      <c r="H25" s="1">
        <f>'Bieu 5 TT'!H9</f>
        <v>19902</v>
      </c>
      <c r="I25" s="1">
        <f>'Bieu 5 TT'!I9</f>
        <v>15983</v>
      </c>
      <c r="J25" s="1">
        <f>'Bieu 5 TT'!J9</f>
        <v>14295</v>
      </c>
      <c r="K25" s="1">
        <f>'Bieu 5 TT'!K9</f>
        <v>15844</v>
      </c>
      <c r="L25" s="1">
        <f>'Bieu 5 TT'!L9</f>
        <v>43754</v>
      </c>
      <c r="M25" s="1">
        <f>'Bieu 5 TT'!M9</f>
        <v>15182</v>
      </c>
    </row>
    <row r="26" spans="1:14" ht="21" customHeight="1">
      <c r="A26" s="362" t="s">
        <v>26</v>
      </c>
      <c r="B26" s="251" t="s">
        <v>1499</v>
      </c>
      <c r="C26" s="1">
        <f t="shared" si="2"/>
        <v>59211</v>
      </c>
      <c r="D26" s="1">
        <f>'Bieu 09a_TT_TUBSMT huyen'!D8</f>
        <v>1731</v>
      </c>
      <c r="E26" s="1">
        <f>'Bieu 09a_TT_TUBSMT huyen'!E8</f>
        <v>7062</v>
      </c>
      <c r="F26" s="1">
        <f>'Bieu 09a_TT_TUBSMT huyen'!F8</f>
        <v>10704</v>
      </c>
      <c r="G26" s="1">
        <f>'Bieu 09a_TT_TUBSMT huyen'!G8</f>
        <v>10101</v>
      </c>
      <c r="H26" s="1">
        <f>'Bieu 09a_TT_TUBSMT huyen'!H8</f>
        <v>-1146</v>
      </c>
      <c r="I26" s="1">
        <f>'Bieu 09a_TT_TUBSMT huyen'!I8</f>
        <v>2167</v>
      </c>
      <c r="J26" s="1">
        <f>'Bieu 09a_TT_TUBSMT huyen'!J8</f>
        <v>10017</v>
      </c>
      <c r="K26" s="1">
        <f>'Bieu 09a_TT_TUBSMT huyen'!K8</f>
        <v>3190</v>
      </c>
      <c r="L26" s="1">
        <f>'Bieu 09a_TT_TUBSMT huyen'!L8</f>
        <v>6217</v>
      </c>
      <c r="M26" s="1">
        <f>'Bieu 09a_TT_TUBSMT huyen'!M8</f>
        <v>9168</v>
      </c>
    </row>
    <row r="27" spans="1:14" s="244" customFormat="1" ht="28.5" customHeight="1">
      <c r="A27" s="359" t="s">
        <v>69</v>
      </c>
      <c r="B27" s="252" t="s">
        <v>1500</v>
      </c>
      <c r="C27" s="10">
        <f>C28+C46</f>
        <v>3180189</v>
      </c>
      <c r="D27" s="10">
        <f t="shared" ref="D27:M27" si="8">D28+D46</f>
        <v>445018</v>
      </c>
      <c r="E27" s="10">
        <f t="shared" si="8"/>
        <v>461307</v>
      </c>
      <c r="F27" s="10">
        <f t="shared" si="8"/>
        <v>331285</v>
      </c>
      <c r="G27" s="10">
        <f t="shared" si="8"/>
        <v>308372</v>
      </c>
      <c r="H27" s="10">
        <f t="shared" si="8"/>
        <v>460573</v>
      </c>
      <c r="I27" s="10">
        <f t="shared" si="8"/>
        <v>366428</v>
      </c>
      <c r="J27" s="10">
        <f t="shared" si="8"/>
        <v>125545</v>
      </c>
      <c r="K27" s="10">
        <f t="shared" si="8"/>
        <v>240860</v>
      </c>
      <c r="L27" s="10">
        <f t="shared" si="8"/>
        <v>97930</v>
      </c>
      <c r="M27" s="10">
        <f t="shared" si="8"/>
        <v>342871</v>
      </c>
      <c r="N27" s="263"/>
    </row>
    <row r="28" spans="1:14" s="244" customFormat="1" ht="28.5" customHeight="1">
      <c r="A28" s="359" t="s">
        <v>1501</v>
      </c>
      <c r="B28" s="252" t="s">
        <v>1502</v>
      </c>
      <c r="C28" s="10">
        <f>C29+C32</f>
        <v>3120978</v>
      </c>
      <c r="D28" s="10">
        <f t="shared" ref="D28:M28" si="9">D29+D32</f>
        <v>443287</v>
      </c>
      <c r="E28" s="10">
        <f>E29+E32</f>
        <v>454245</v>
      </c>
      <c r="F28" s="10">
        <f t="shared" si="9"/>
        <v>320581</v>
      </c>
      <c r="G28" s="10">
        <f t="shared" si="9"/>
        <v>298271</v>
      </c>
      <c r="H28" s="10">
        <f t="shared" si="9"/>
        <v>461719</v>
      </c>
      <c r="I28" s="10">
        <f t="shared" si="9"/>
        <v>364261</v>
      </c>
      <c r="J28" s="10">
        <f t="shared" si="9"/>
        <v>115528</v>
      </c>
      <c r="K28" s="10">
        <f t="shared" si="9"/>
        <v>237670</v>
      </c>
      <c r="L28" s="10">
        <f t="shared" si="9"/>
        <v>91713</v>
      </c>
      <c r="M28" s="10">
        <f t="shared" si="9"/>
        <v>333703</v>
      </c>
    </row>
    <row r="29" spans="1:14" ht="18" customHeight="1">
      <c r="A29" s="361" t="s">
        <v>16</v>
      </c>
      <c r="B29" s="252" t="s">
        <v>1503</v>
      </c>
      <c r="C29" s="10">
        <f>C31-C30</f>
        <v>2839107</v>
      </c>
      <c r="D29" s="10">
        <f t="shared" ref="D29:M29" si="10">D31-D30</f>
        <v>350807</v>
      </c>
      <c r="E29" s="10">
        <f t="shared" si="10"/>
        <v>429771</v>
      </c>
      <c r="F29" s="10">
        <f t="shared" si="10"/>
        <v>297140</v>
      </c>
      <c r="G29" s="10">
        <f t="shared" si="10"/>
        <v>281755</v>
      </c>
      <c r="H29" s="10">
        <f t="shared" si="10"/>
        <v>441817</v>
      </c>
      <c r="I29" s="10">
        <f t="shared" si="10"/>
        <v>348278</v>
      </c>
      <c r="J29" s="10">
        <f t="shared" si="10"/>
        <v>101233</v>
      </c>
      <c r="K29" s="10">
        <f t="shared" si="10"/>
        <v>221826</v>
      </c>
      <c r="L29" s="10">
        <f t="shared" si="10"/>
        <v>47959</v>
      </c>
      <c r="M29" s="10">
        <f t="shared" si="10"/>
        <v>318521</v>
      </c>
    </row>
    <row r="30" spans="1:14" ht="18" customHeight="1">
      <c r="A30" s="362" t="s">
        <v>18</v>
      </c>
      <c r="B30" s="268" t="s">
        <v>1504</v>
      </c>
      <c r="C30" s="1">
        <f>D30+E30+F30+G30+H30+I30+J30+K30+L30+M30</f>
        <v>1557040</v>
      </c>
      <c r="D30" s="267">
        <f>'Bieu 04_TT'!R12</f>
        <v>647231</v>
      </c>
      <c r="E30" s="267">
        <f>'Bieu 04_TT'!V12</f>
        <v>74417</v>
      </c>
      <c r="F30" s="267">
        <f>'Bieu 04_TT'!Z12</f>
        <v>96379</v>
      </c>
      <c r="G30" s="267">
        <f>'Bieu 04_TT'!AD12</f>
        <v>94409</v>
      </c>
      <c r="H30" s="267">
        <f>'Bieu 04_TT'!AH12</f>
        <v>23829</v>
      </c>
      <c r="I30" s="267">
        <f>'Bieu 04_TT'!AL12</f>
        <v>88222</v>
      </c>
      <c r="J30" s="267">
        <f>'Bieu 04_TT'!AP12</f>
        <v>40883</v>
      </c>
      <c r="K30" s="267">
        <f>'Bieu 04_TT'!AT12</f>
        <v>64761</v>
      </c>
      <c r="L30" s="267">
        <f>'Bieu 04_TT'!AX12</f>
        <v>385538</v>
      </c>
      <c r="M30" s="267">
        <f>'Bieu 04_TT'!BB12</f>
        <v>41371</v>
      </c>
    </row>
    <row r="31" spans="1:14" s="244" customFormat="1" ht="18" customHeight="1">
      <c r="A31" s="362" t="s">
        <v>26</v>
      </c>
      <c r="B31" s="266" t="s">
        <v>1505</v>
      </c>
      <c r="C31" s="1">
        <f>D31+E31+F31+G31+H31+I31+J31+K31+L31+M31</f>
        <v>4396147</v>
      </c>
      <c r="D31" s="1">
        <f>'Bieu 04_TT'!R26</f>
        <v>998038</v>
      </c>
      <c r="E31" s="1">
        <f>'Bieu 04_TT'!V26</f>
        <v>504188</v>
      </c>
      <c r="F31" s="1">
        <f>'Bieu 04_TT'!Z26</f>
        <v>393519</v>
      </c>
      <c r="G31" s="1">
        <f>'Bieu 04_TT'!AD26</f>
        <v>376164</v>
      </c>
      <c r="H31" s="1">
        <f>'Bieu 04_TT'!AH26</f>
        <v>465646</v>
      </c>
      <c r="I31" s="1">
        <f>'Bieu 04_TT'!AL26</f>
        <v>436500</v>
      </c>
      <c r="J31" s="1">
        <f>'Bieu 04_TT'!AP26</f>
        <v>142116</v>
      </c>
      <c r="K31" s="1">
        <f>'Bieu 04_TT'!AT26</f>
        <v>286587</v>
      </c>
      <c r="L31" s="1">
        <f>'Bieu 04_TT'!AX26</f>
        <v>433497</v>
      </c>
      <c r="M31" s="1">
        <f>'Bieu 04_TT'!BB26</f>
        <v>359892</v>
      </c>
    </row>
    <row r="32" spans="1:14" s="244" customFormat="1" ht="31.5" customHeight="1">
      <c r="A32" s="361" t="s">
        <v>28</v>
      </c>
      <c r="B32" s="252" t="s">
        <v>1497</v>
      </c>
      <c r="C32" s="10">
        <f>D32+E32+F32+G32+H32+I32+J32+K32+L32+M32</f>
        <v>281871</v>
      </c>
      <c r="D32" s="10">
        <f t="shared" ref="D32:M32" si="11">D33+D45</f>
        <v>92480</v>
      </c>
      <c r="E32" s="10">
        <f t="shared" si="11"/>
        <v>24474</v>
      </c>
      <c r="F32" s="10">
        <f t="shared" si="11"/>
        <v>23441</v>
      </c>
      <c r="G32" s="10">
        <f t="shared" si="11"/>
        <v>16516</v>
      </c>
      <c r="H32" s="10">
        <f t="shared" si="11"/>
        <v>19902</v>
      </c>
      <c r="I32" s="10">
        <f t="shared" si="11"/>
        <v>15983</v>
      </c>
      <c r="J32" s="10">
        <f t="shared" si="11"/>
        <v>14295</v>
      </c>
      <c r="K32" s="10">
        <f t="shared" si="11"/>
        <v>15844</v>
      </c>
      <c r="L32" s="10">
        <f t="shared" si="11"/>
        <v>43754</v>
      </c>
      <c r="M32" s="10">
        <f t="shared" si="11"/>
        <v>15182</v>
      </c>
    </row>
    <row r="33" spans="1:13" s="244" customFormat="1" ht="18" customHeight="1">
      <c r="A33" s="361" t="s">
        <v>18</v>
      </c>
      <c r="B33" s="252" t="s">
        <v>1506</v>
      </c>
      <c r="C33" s="10">
        <f>C34+C43+C41+C44</f>
        <v>217209</v>
      </c>
      <c r="D33" s="10">
        <f t="shared" ref="D33:M33" si="12">D34+D43+D41+D44</f>
        <v>79450</v>
      </c>
      <c r="E33" s="10">
        <f t="shared" si="12"/>
        <v>18450</v>
      </c>
      <c r="F33" s="10">
        <f t="shared" si="12"/>
        <v>18950</v>
      </c>
      <c r="G33" s="10">
        <f t="shared" si="12"/>
        <v>10450</v>
      </c>
      <c r="H33" s="10">
        <f t="shared" si="12"/>
        <v>11150</v>
      </c>
      <c r="I33" s="10">
        <f t="shared" si="12"/>
        <v>8950</v>
      </c>
      <c r="J33" s="10">
        <f t="shared" si="12"/>
        <v>9750</v>
      </c>
      <c r="K33" s="10">
        <f t="shared" si="12"/>
        <v>12050</v>
      </c>
      <c r="L33" s="10">
        <f t="shared" si="12"/>
        <v>38359</v>
      </c>
      <c r="M33" s="10">
        <f t="shared" si="12"/>
        <v>9650</v>
      </c>
    </row>
    <row r="34" spans="1:13" ht="18" customHeight="1">
      <c r="A34" s="361" t="s">
        <v>34</v>
      </c>
      <c r="B34" s="252" t="s">
        <v>667</v>
      </c>
      <c r="C34" s="10">
        <f>D34+E34+F34+G34+H34+I34+J34+K34+L34+M34</f>
        <v>158209</v>
      </c>
      <c r="D34" s="10">
        <f>SUM(D35:D40)</f>
        <v>72350</v>
      </c>
      <c r="E34" s="10">
        <f t="shared" ref="E34:M34" si="13">SUM(E35:E40)</f>
        <v>12350</v>
      </c>
      <c r="F34" s="10">
        <f t="shared" si="13"/>
        <v>12850</v>
      </c>
      <c r="G34" s="10">
        <f t="shared" si="13"/>
        <v>4350</v>
      </c>
      <c r="H34" s="10">
        <f t="shared" si="13"/>
        <v>5550</v>
      </c>
      <c r="I34" s="10">
        <f t="shared" si="13"/>
        <v>3350</v>
      </c>
      <c r="J34" s="10">
        <f t="shared" si="13"/>
        <v>3950</v>
      </c>
      <c r="K34" s="10">
        <f t="shared" si="13"/>
        <v>6850</v>
      </c>
      <c r="L34" s="10">
        <f t="shared" si="13"/>
        <v>32559</v>
      </c>
      <c r="M34" s="10">
        <f t="shared" si="13"/>
        <v>4050</v>
      </c>
    </row>
    <row r="35" spans="1:13" ht="18" customHeight="1">
      <c r="A35" s="362" t="s">
        <v>23</v>
      </c>
      <c r="B35" s="266" t="s">
        <v>691</v>
      </c>
      <c r="C35" s="1">
        <f t="shared" si="2"/>
        <v>56709</v>
      </c>
      <c r="D35" s="267">
        <f>'Bieu 5 TT'!D12</f>
        <v>30000</v>
      </c>
      <c r="E35" s="267">
        <f>'Bieu 5 TT'!E12</f>
        <v>0</v>
      </c>
      <c r="F35" s="267">
        <f>'Bieu 5 TT'!F12</f>
        <v>0</v>
      </c>
      <c r="G35" s="267">
        <f>'Bieu 5 TT'!G12</f>
        <v>0</v>
      </c>
      <c r="H35" s="267">
        <f>'Bieu 5 TT'!H12</f>
        <v>0</v>
      </c>
      <c r="I35" s="267">
        <f>'Bieu 5 TT'!I12</f>
        <v>0</v>
      </c>
      <c r="J35" s="267">
        <f>'Bieu 5 TT'!J12</f>
        <v>0</v>
      </c>
      <c r="K35" s="267">
        <f>'Bieu 5 TT'!K12</f>
        <v>0</v>
      </c>
      <c r="L35" s="267">
        <f>'Bieu 5 TT'!L12</f>
        <v>26709</v>
      </c>
      <c r="M35" s="267">
        <f>'Bieu 5 TT'!M12</f>
        <v>0</v>
      </c>
    </row>
    <row r="36" spans="1:13" ht="18" customHeight="1">
      <c r="A36" s="362" t="s">
        <v>23</v>
      </c>
      <c r="B36" s="266" t="s">
        <v>692</v>
      </c>
      <c r="C36" s="1">
        <f t="shared" si="2"/>
        <v>28000</v>
      </c>
      <c r="D36" s="267">
        <f>'Bieu 5 TT'!D13</f>
        <v>4000</v>
      </c>
      <c r="E36" s="267">
        <f>'Bieu 5 TT'!E13</f>
        <v>4000</v>
      </c>
      <c r="F36" s="267">
        <f>'Bieu 5 TT'!F13</f>
        <v>2000</v>
      </c>
      <c r="G36" s="267">
        <f>'Bieu 5 TT'!G13</f>
        <v>3000</v>
      </c>
      <c r="H36" s="267">
        <f>'Bieu 5 TT'!H13</f>
        <v>2700</v>
      </c>
      <c r="I36" s="267">
        <f>'Bieu 5 TT'!I13</f>
        <v>2000</v>
      </c>
      <c r="J36" s="267">
        <f>'Bieu 5 TT'!J13</f>
        <v>2600</v>
      </c>
      <c r="K36" s="267">
        <f>'Bieu 5 TT'!K13</f>
        <v>3000</v>
      </c>
      <c r="L36" s="267">
        <f>'Bieu 5 TT'!L13</f>
        <v>2000</v>
      </c>
      <c r="M36" s="267">
        <f>'Bieu 5 TT'!M13</f>
        <v>2700</v>
      </c>
    </row>
    <row r="37" spans="1:13" ht="19.5" customHeight="1">
      <c r="A37" s="362" t="s">
        <v>23</v>
      </c>
      <c r="B37" s="266" t="s">
        <v>669</v>
      </c>
      <c r="C37" s="1">
        <f t="shared" si="2"/>
        <v>21000</v>
      </c>
      <c r="D37" s="267">
        <f>'Bieu 5 TT'!D14</f>
        <v>7000</v>
      </c>
      <c r="E37" s="267">
        <f>'Bieu 5 TT'!E14</f>
        <v>7000</v>
      </c>
      <c r="F37" s="267">
        <f>'Bieu 5 TT'!F14</f>
        <v>7000</v>
      </c>
      <c r="G37" s="267">
        <f>'Bieu 5 TT'!G14</f>
        <v>0</v>
      </c>
      <c r="H37" s="267">
        <f>'Bieu 5 TT'!H14</f>
        <v>0</v>
      </c>
      <c r="I37" s="267">
        <f>'Bieu 5 TT'!I14</f>
        <v>0</v>
      </c>
      <c r="J37" s="267">
        <f>'Bieu 5 TT'!J14</f>
        <v>0</v>
      </c>
      <c r="K37" s="267">
        <f>'Bieu 5 TT'!K14</f>
        <v>0</v>
      </c>
      <c r="L37" s="267">
        <f>'Bieu 5 TT'!L14</f>
        <v>0</v>
      </c>
      <c r="M37" s="267">
        <f>'Bieu 5 TT'!M14</f>
        <v>0</v>
      </c>
    </row>
    <row r="38" spans="1:13" ht="18" customHeight="1">
      <c r="A38" s="362" t="s">
        <v>23</v>
      </c>
      <c r="B38" s="266" t="s">
        <v>668</v>
      </c>
      <c r="C38" s="1">
        <f t="shared" si="2"/>
        <v>30000</v>
      </c>
      <c r="D38" s="267">
        <f>'Bieu 5 TT'!D15</f>
        <v>30000</v>
      </c>
      <c r="E38" s="267">
        <f>'Bieu 5 TT'!E15</f>
        <v>0</v>
      </c>
      <c r="F38" s="267">
        <f>'Bieu 5 TT'!F15</f>
        <v>0</v>
      </c>
      <c r="G38" s="267">
        <f>'Bieu 5 TT'!G15</f>
        <v>0</v>
      </c>
      <c r="H38" s="267">
        <f>'Bieu 5 TT'!H15</f>
        <v>0</v>
      </c>
      <c r="I38" s="267">
        <f>'Bieu 5 TT'!I15</f>
        <v>0</v>
      </c>
      <c r="J38" s="267">
        <f>'Bieu 5 TT'!J15</f>
        <v>0</v>
      </c>
      <c r="K38" s="267">
        <f>'Bieu 5 TT'!K15</f>
        <v>0</v>
      </c>
      <c r="L38" s="267">
        <f>'Bieu 5 TT'!L15</f>
        <v>0</v>
      </c>
      <c r="M38" s="267">
        <f>'Bieu 5 TT'!M15</f>
        <v>0</v>
      </c>
    </row>
    <row r="39" spans="1:13" ht="18" customHeight="1">
      <c r="A39" s="362" t="s">
        <v>23</v>
      </c>
      <c r="B39" s="266" t="s">
        <v>670</v>
      </c>
      <c r="C39" s="1">
        <f t="shared" si="2"/>
        <v>7500</v>
      </c>
      <c r="D39" s="267">
        <f>'Bieu 5 TT'!D16</f>
        <v>0</v>
      </c>
      <c r="E39" s="267">
        <f>'Bieu 5 TT'!E16</f>
        <v>0</v>
      </c>
      <c r="F39" s="267">
        <f>'Bieu 5 TT'!F16</f>
        <v>2500</v>
      </c>
      <c r="G39" s="267">
        <f>'Bieu 5 TT'!G16</f>
        <v>0</v>
      </c>
      <c r="H39" s="267">
        <f>'Bieu 5 TT'!H16</f>
        <v>0</v>
      </c>
      <c r="I39" s="267">
        <f>'Bieu 5 TT'!I16</f>
        <v>0</v>
      </c>
      <c r="J39" s="267">
        <f>'Bieu 5 TT'!J16</f>
        <v>0</v>
      </c>
      <c r="K39" s="267">
        <f>'Bieu 5 TT'!K16</f>
        <v>2500</v>
      </c>
      <c r="L39" s="267">
        <f>'Bieu 5 TT'!L16</f>
        <v>2500</v>
      </c>
      <c r="M39" s="267">
        <f>'Bieu 5 TT'!M16</f>
        <v>0</v>
      </c>
    </row>
    <row r="40" spans="1:13" ht="18" customHeight="1">
      <c r="A40" s="468" t="s">
        <v>23</v>
      </c>
      <c r="B40" s="469" t="s">
        <v>2472</v>
      </c>
      <c r="C40" s="1">
        <f t="shared" si="2"/>
        <v>15000</v>
      </c>
      <c r="D40" s="267">
        <f>'Bieu 5 TT'!D17</f>
        <v>1350</v>
      </c>
      <c r="E40" s="267">
        <f>'Bieu 5 TT'!E17</f>
        <v>1350</v>
      </c>
      <c r="F40" s="267">
        <f>'Bieu 5 TT'!F17</f>
        <v>1350</v>
      </c>
      <c r="G40" s="267">
        <f>'Bieu 5 TT'!G17</f>
        <v>1350</v>
      </c>
      <c r="H40" s="267">
        <f>'Bieu 5 TT'!H17</f>
        <v>2850</v>
      </c>
      <c r="I40" s="267">
        <f>'Bieu 5 TT'!I17</f>
        <v>1350</v>
      </c>
      <c r="J40" s="267">
        <f>'Bieu 5 TT'!J17</f>
        <v>1350</v>
      </c>
      <c r="K40" s="267">
        <f>'Bieu 5 TT'!K17</f>
        <v>1350</v>
      </c>
      <c r="L40" s="267">
        <f>'Bieu 5 TT'!L17</f>
        <v>1350</v>
      </c>
      <c r="M40" s="267">
        <f>'Bieu 5 TT'!M17</f>
        <v>1350</v>
      </c>
    </row>
    <row r="41" spans="1:13" ht="18" customHeight="1">
      <c r="A41" s="361" t="s">
        <v>36</v>
      </c>
      <c r="B41" s="252" t="s">
        <v>671</v>
      </c>
      <c r="C41" s="10">
        <f t="shared" si="2"/>
        <v>0</v>
      </c>
      <c r="D41" s="10">
        <f>D42</f>
        <v>0</v>
      </c>
      <c r="E41" s="10">
        <f t="shared" ref="E41:M41" si="14">E42</f>
        <v>0</v>
      </c>
      <c r="F41" s="10">
        <f t="shared" si="14"/>
        <v>0</v>
      </c>
      <c r="G41" s="10">
        <f t="shared" si="14"/>
        <v>0</v>
      </c>
      <c r="H41" s="10">
        <f t="shared" si="14"/>
        <v>0</v>
      </c>
      <c r="I41" s="10">
        <f t="shared" si="14"/>
        <v>0</v>
      </c>
      <c r="J41" s="10">
        <f t="shared" si="14"/>
        <v>0</v>
      </c>
      <c r="K41" s="10">
        <f t="shared" si="14"/>
        <v>0</v>
      </c>
      <c r="L41" s="10">
        <f t="shared" si="14"/>
        <v>0</v>
      </c>
      <c r="M41" s="10">
        <f t="shared" si="14"/>
        <v>0</v>
      </c>
    </row>
    <row r="42" spans="1:13" ht="29.25" customHeight="1">
      <c r="A42" s="362" t="s">
        <v>23</v>
      </c>
      <c r="B42" s="266" t="s">
        <v>693</v>
      </c>
      <c r="C42" s="1">
        <f t="shared" si="2"/>
        <v>0</v>
      </c>
      <c r="D42" s="1">
        <f>'Bieu 5 TT'!D19</f>
        <v>0</v>
      </c>
      <c r="E42" s="1">
        <f>'Bieu 5 TT'!E19</f>
        <v>0</v>
      </c>
      <c r="F42" s="1">
        <f>'Bieu 5 TT'!F19</f>
        <v>0</v>
      </c>
      <c r="G42" s="1">
        <f>'Bieu 5 TT'!G19</f>
        <v>0</v>
      </c>
      <c r="H42" s="1">
        <f>'Bieu 5 TT'!H19</f>
        <v>0</v>
      </c>
      <c r="I42" s="1">
        <f>'Bieu 5 TT'!I19</f>
        <v>0</v>
      </c>
      <c r="J42" s="1">
        <f>'Bieu 5 TT'!J19</f>
        <v>0</v>
      </c>
      <c r="K42" s="1">
        <f>'Bieu 5 TT'!K19</f>
        <v>0</v>
      </c>
      <c r="L42" s="1">
        <f>'Bieu 5 TT'!L19</f>
        <v>0</v>
      </c>
      <c r="M42" s="1">
        <f>'Bieu 5 TT'!M19</f>
        <v>0</v>
      </c>
    </row>
    <row r="43" spans="1:13" s="244" customFormat="1" ht="68.25" customHeight="1">
      <c r="A43" s="361" t="s">
        <v>38</v>
      </c>
      <c r="B43" s="252" t="s">
        <v>1507</v>
      </c>
      <c r="C43" s="10">
        <f t="shared" si="2"/>
        <v>20000</v>
      </c>
      <c r="D43" s="10">
        <f>'Bieu 5 TT'!D20</f>
        <v>3800</v>
      </c>
      <c r="E43" s="10">
        <f>'Bieu 5 TT'!E20</f>
        <v>1800</v>
      </c>
      <c r="F43" s="10">
        <f>'Bieu 5 TT'!F20</f>
        <v>1800</v>
      </c>
      <c r="G43" s="10">
        <f>'Bieu 5 TT'!G20</f>
        <v>1800</v>
      </c>
      <c r="H43" s="10">
        <f>'Bieu 5 TT'!H20</f>
        <v>1800</v>
      </c>
      <c r="I43" s="10">
        <f>'Bieu 5 TT'!I20</f>
        <v>1800</v>
      </c>
      <c r="J43" s="10">
        <f>'Bieu 5 TT'!J20</f>
        <v>1800</v>
      </c>
      <c r="K43" s="10">
        <f>'Bieu 5 TT'!K20</f>
        <v>1800</v>
      </c>
      <c r="L43" s="10">
        <f>'Bieu 5 TT'!L20</f>
        <v>1800</v>
      </c>
      <c r="M43" s="10">
        <f>'Bieu 5 TT'!M20</f>
        <v>1800</v>
      </c>
    </row>
    <row r="44" spans="1:13" s="244" customFormat="1" ht="82.8">
      <c r="A44" s="361" t="s">
        <v>322</v>
      </c>
      <c r="B44" s="253" t="s">
        <v>1536</v>
      </c>
      <c r="C44" s="10">
        <f t="shared" si="2"/>
        <v>39000</v>
      </c>
      <c r="D44" s="10">
        <f>'Bieu 5 TT'!D21</f>
        <v>3300</v>
      </c>
      <c r="E44" s="10">
        <f>'Bieu 5 TT'!E21</f>
        <v>4300</v>
      </c>
      <c r="F44" s="10">
        <f>'Bieu 5 TT'!F21</f>
        <v>4300</v>
      </c>
      <c r="G44" s="10">
        <f>'Bieu 5 TT'!G21</f>
        <v>4300</v>
      </c>
      <c r="H44" s="10">
        <f>'Bieu 5 TT'!H21</f>
        <v>3800</v>
      </c>
      <c r="I44" s="10">
        <f>'Bieu 5 TT'!I21</f>
        <v>3800</v>
      </c>
      <c r="J44" s="10">
        <f>'Bieu 5 TT'!J21</f>
        <v>4000</v>
      </c>
      <c r="K44" s="10">
        <f>'Bieu 5 TT'!K21</f>
        <v>3400</v>
      </c>
      <c r="L44" s="10">
        <f>'Bieu 5 TT'!L21</f>
        <v>4000</v>
      </c>
      <c r="M44" s="10">
        <f>'Bieu 5 TT'!M21</f>
        <v>3800</v>
      </c>
    </row>
    <row r="45" spans="1:13" s="244" customFormat="1" ht="30.75" customHeight="1">
      <c r="A45" s="361" t="s">
        <v>26</v>
      </c>
      <c r="B45" s="252" t="s">
        <v>2421</v>
      </c>
      <c r="C45" s="10">
        <f t="shared" si="2"/>
        <v>64662</v>
      </c>
      <c r="D45" s="245">
        <f>'Bieu 5 TT'!D22</f>
        <v>13030</v>
      </c>
      <c r="E45" s="245">
        <f>'Bieu 5 TT'!E22</f>
        <v>6024</v>
      </c>
      <c r="F45" s="245">
        <f>'Bieu 5 TT'!F22</f>
        <v>4491</v>
      </c>
      <c r="G45" s="245">
        <f>'Bieu 5 TT'!G22</f>
        <v>6066</v>
      </c>
      <c r="H45" s="245">
        <f>'Bieu 5 TT'!H22</f>
        <v>8752</v>
      </c>
      <c r="I45" s="245">
        <f>'Bieu 5 TT'!I22</f>
        <v>7033</v>
      </c>
      <c r="J45" s="245">
        <f>'Bieu 5 TT'!J22</f>
        <v>4545</v>
      </c>
      <c r="K45" s="245">
        <f>'Bieu 5 TT'!K22</f>
        <v>3794</v>
      </c>
      <c r="L45" s="245">
        <f>'Bieu 5 TT'!L22</f>
        <v>5395</v>
      </c>
      <c r="M45" s="245">
        <f>'Bieu 5 TT'!M22</f>
        <v>5532</v>
      </c>
    </row>
    <row r="46" spans="1:13" s="244" customFormat="1" ht="21.75" customHeight="1">
      <c r="A46" s="558" t="s">
        <v>1508</v>
      </c>
      <c r="B46" s="254" t="s">
        <v>1509</v>
      </c>
      <c r="C46" s="10">
        <f>C47+C48+C49+C50</f>
        <v>59211</v>
      </c>
      <c r="D46" s="10">
        <f t="shared" ref="D46:M46" si="15">D47+D48+D49+D50</f>
        <v>1731</v>
      </c>
      <c r="E46" s="10">
        <f t="shared" si="15"/>
        <v>7062</v>
      </c>
      <c r="F46" s="10">
        <f t="shared" si="15"/>
        <v>10704</v>
      </c>
      <c r="G46" s="10">
        <f t="shared" si="15"/>
        <v>10101</v>
      </c>
      <c r="H46" s="10">
        <f t="shared" si="15"/>
        <v>-1146</v>
      </c>
      <c r="I46" s="10">
        <f t="shared" si="15"/>
        <v>2167</v>
      </c>
      <c r="J46" s="10">
        <f t="shared" si="15"/>
        <v>10017</v>
      </c>
      <c r="K46" s="10">
        <f t="shared" si="15"/>
        <v>3190</v>
      </c>
      <c r="L46" s="10">
        <f t="shared" si="15"/>
        <v>6217</v>
      </c>
      <c r="M46" s="10">
        <f t="shared" si="15"/>
        <v>9168</v>
      </c>
    </row>
    <row r="47" spans="1:13" ht="27" customHeight="1">
      <c r="A47" s="559" t="s">
        <v>18</v>
      </c>
      <c r="B47" s="255" t="s">
        <v>1370</v>
      </c>
      <c r="C47" s="1">
        <f t="shared" si="2"/>
        <v>1084</v>
      </c>
      <c r="D47" s="256">
        <f>'Bieu 09a_TT_TUBSMT huyen'!D9</f>
        <v>184</v>
      </c>
      <c r="E47" s="256">
        <f>'Bieu 09a_TT_TUBSMT huyen'!E9</f>
        <v>100</v>
      </c>
      <c r="F47" s="256">
        <f>'Bieu 09a_TT_TUBSMT huyen'!F9</f>
        <v>100</v>
      </c>
      <c r="G47" s="256">
        <f>'Bieu 09a_TT_TUBSMT huyen'!G9</f>
        <v>100</v>
      </c>
      <c r="H47" s="256">
        <f>'Bieu 09a_TT_TUBSMT huyen'!H9</f>
        <v>100</v>
      </c>
      <c r="I47" s="256">
        <f>'Bieu 09a_TT_TUBSMT huyen'!I9</f>
        <v>100</v>
      </c>
      <c r="J47" s="256">
        <f>'Bieu 09a_TT_TUBSMT huyen'!J9</f>
        <v>100</v>
      </c>
      <c r="K47" s="256">
        <f>'Bieu 09a_TT_TUBSMT huyen'!K9</f>
        <v>100</v>
      </c>
      <c r="L47" s="256">
        <f>'Bieu 09a_TT_TUBSMT huyen'!L9</f>
        <v>100</v>
      </c>
      <c r="M47" s="256">
        <f>'Bieu 09a_TT_TUBSMT huyen'!M9</f>
        <v>100</v>
      </c>
    </row>
    <row r="48" spans="1:13" ht="27" customHeight="1">
      <c r="A48" s="559">
        <v>2</v>
      </c>
      <c r="B48" s="255" t="s">
        <v>1570</v>
      </c>
      <c r="C48" s="1">
        <f t="shared" si="2"/>
        <v>168</v>
      </c>
      <c r="D48" s="256"/>
      <c r="E48" s="256"/>
      <c r="F48" s="256"/>
      <c r="G48" s="256"/>
      <c r="H48" s="256"/>
      <c r="I48" s="256"/>
      <c r="J48" s="256"/>
      <c r="K48" s="256"/>
      <c r="L48" s="256">
        <f>'Bieu 09a_TT_TUBSMT huyen'!L10</f>
        <v>168</v>
      </c>
      <c r="M48" s="256"/>
    </row>
    <row r="49" spans="1:13" ht="27" customHeight="1">
      <c r="A49" s="559" t="s">
        <v>59</v>
      </c>
      <c r="B49" s="255" t="s">
        <v>2008</v>
      </c>
      <c r="C49" s="1">
        <f t="shared" si="2"/>
        <v>48306</v>
      </c>
      <c r="D49" s="256">
        <f>'Bieu 09a_TT_TUBSMT huyen'!D11</f>
        <v>4440</v>
      </c>
      <c r="E49" s="256">
        <f>'Bieu 09a_TT_TUBSMT huyen'!E11</f>
        <v>7462</v>
      </c>
      <c r="F49" s="256">
        <f>'Bieu 09a_TT_TUBSMT huyen'!F11</f>
        <v>9634</v>
      </c>
      <c r="G49" s="256">
        <f>'Bieu 09a_TT_TUBSMT huyen'!G11</f>
        <v>7864</v>
      </c>
      <c r="H49" s="256">
        <f>'Bieu 09a_TT_TUBSMT huyen'!H11</f>
        <v>4916</v>
      </c>
      <c r="I49" s="256">
        <f>'Bieu 09a_TT_TUBSMT huyen'!I11</f>
        <v>4340</v>
      </c>
      <c r="J49" s="256">
        <f>'Bieu 09a_TT_TUBSMT huyen'!J11</f>
        <v>5703</v>
      </c>
      <c r="K49" s="256">
        <f>'Bieu 09a_TT_TUBSMT huyen'!K11</f>
        <v>3451</v>
      </c>
      <c r="L49" s="256">
        <f>'Bieu 09a_TT_TUBSMT huyen'!L11</f>
        <v>496</v>
      </c>
      <c r="M49" s="256">
        <f>'Bieu 09a_TT_TUBSMT huyen'!M11</f>
        <v>0</v>
      </c>
    </row>
    <row r="50" spans="1:13" ht="27" customHeight="1">
      <c r="A50" s="559">
        <v>3</v>
      </c>
      <c r="B50" s="255" t="s">
        <v>2422</v>
      </c>
      <c r="C50" s="1">
        <f t="shared" si="2"/>
        <v>9653</v>
      </c>
      <c r="D50" s="256">
        <f>'Bieu 09a_TT_TUBSMT huyen'!D12</f>
        <v>-2893</v>
      </c>
      <c r="E50" s="256">
        <f>'Bieu 09a_TT_TUBSMT huyen'!E12</f>
        <v>-500</v>
      </c>
      <c r="F50" s="256">
        <f>'Bieu 09a_TT_TUBSMT huyen'!F12</f>
        <v>970</v>
      </c>
      <c r="G50" s="256">
        <f>'Bieu 09a_TT_TUBSMT huyen'!G12</f>
        <v>2137</v>
      </c>
      <c r="H50" s="256">
        <f>'Bieu 09a_TT_TUBSMT huyen'!H12</f>
        <v>-6162</v>
      </c>
      <c r="I50" s="256">
        <f>'Bieu 09a_TT_TUBSMT huyen'!I12</f>
        <v>-2273</v>
      </c>
      <c r="J50" s="256">
        <f>'Bieu 09a_TT_TUBSMT huyen'!J12</f>
        <v>4214</v>
      </c>
      <c r="K50" s="256">
        <f>'Bieu 09a_TT_TUBSMT huyen'!K12</f>
        <v>-361</v>
      </c>
      <c r="L50" s="256">
        <f>'Bieu 09a_TT_TUBSMT huyen'!L12</f>
        <v>5453</v>
      </c>
      <c r="M50" s="256">
        <f>'Bieu 09a_TT_TUBSMT huyen'!M12</f>
        <v>9068</v>
      </c>
    </row>
    <row r="51" spans="1:13" ht="9.75" customHeight="1">
      <c r="A51" s="560"/>
      <c r="B51" s="258"/>
      <c r="C51" s="257"/>
      <c r="D51" s="257"/>
      <c r="E51" s="257"/>
      <c r="F51" s="257"/>
      <c r="G51" s="257"/>
      <c r="H51" s="257"/>
      <c r="I51" s="257"/>
      <c r="J51" s="257"/>
      <c r="K51" s="257"/>
      <c r="L51" s="257"/>
      <c r="M51" s="257"/>
    </row>
    <row r="52" spans="1:13" ht="49.5" customHeight="1">
      <c r="A52" s="561"/>
      <c r="B52" s="1539" t="s">
        <v>2424</v>
      </c>
      <c r="C52" s="1539"/>
      <c r="D52" s="1539"/>
      <c r="E52" s="1539"/>
      <c r="F52" s="1539"/>
      <c r="G52" s="1539"/>
      <c r="H52" s="1539"/>
      <c r="I52" s="1539"/>
      <c r="J52" s="1539"/>
      <c r="K52" s="1539"/>
      <c r="L52" s="1539"/>
      <c r="M52" s="1539"/>
    </row>
    <row r="53" spans="1:13" ht="15.75" customHeight="1">
      <c r="A53" s="561"/>
      <c r="B53" s="1697" t="s">
        <v>1510</v>
      </c>
      <c r="C53" s="1697"/>
      <c r="D53" s="1697"/>
      <c r="E53" s="1697"/>
      <c r="F53" s="1697"/>
      <c r="G53" s="1697"/>
      <c r="H53" s="1697"/>
      <c r="I53" s="1697"/>
      <c r="J53" s="1697"/>
      <c r="K53" s="1697"/>
      <c r="L53" s="1697"/>
      <c r="M53" s="1697"/>
    </row>
    <row r="54" spans="1:13">
      <c r="A54" s="561"/>
      <c r="B54" s="1697"/>
      <c r="C54" s="1697"/>
      <c r="D54" s="1697"/>
      <c r="E54" s="1697"/>
      <c r="F54" s="1697"/>
      <c r="G54" s="1697"/>
      <c r="H54" s="1697"/>
      <c r="I54" s="1697"/>
      <c r="J54" s="1697"/>
      <c r="K54" s="1697"/>
      <c r="L54" s="1697"/>
      <c r="M54" s="1697"/>
    </row>
    <row r="55" spans="1:13" ht="19.5" customHeight="1">
      <c r="A55" s="562"/>
      <c r="B55" s="1697"/>
      <c r="C55" s="1697"/>
      <c r="D55" s="1697"/>
      <c r="E55" s="1697"/>
      <c r="F55" s="1697"/>
      <c r="G55" s="1697"/>
      <c r="H55" s="1697"/>
      <c r="I55" s="1697"/>
      <c r="J55" s="1697"/>
      <c r="K55" s="1697"/>
      <c r="L55" s="1697"/>
      <c r="M55" s="1697"/>
    </row>
    <row r="56" spans="1:13" s="240" customFormat="1" ht="27.75" customHeight="1">
      <c r="A56" s="561"/>
      <c r="B56" s="260"/>
      <c r="C56" s="259"/>
      <c r="D56" s="259"/>
      <c r="E56" s="259"/>
      <c r="F56" s="259"/>
      <c r="G56" s="259"/>
      <c r="H56" s="259"/>
      <c r="I56" s="259"/>
      <c r="J56" s="259"/>
      <c r="K56" s="259"/>
      <c r="L56" s="259"/>
      <c r="M56" s="259"/>
    </row>
    <row r="57" spans="1:13">
      <c r="C57" s="261"/>
      <c r="D57" s="259"/>
      <c r="E57" s="259"/>
      <c r="F57" s="259"/>
      <c r="G57" s="259"/>
      <c r="H57" s="259"/>
      <c r="I57" s="259"/>
      <c r="J57" s="259"/>
      <c r="K57" s="259"/>
      <c r="L57" s="259"/>
      <c r="M57" s="259"/>
    </row>
    <row r="58" spans="1:13">
      <c r="C58" s="261"/>
      <c r="D58" s="262"/>
      <c r="E58" s="262"/>
      <c r="F58" s="262"/>
      <c r="G58" s="262"/>
      <c r="H58" s="262"/>
      <c r="I58" s="262"/>
      <c r="J58" s="262"/>
      <c r="K58" s="262"/>
      <c r="L58" s="262"/>
      <c r="M58" s="262"/>
    </row>
    <row r="59" spans="1:13">
      <c r="C59" s="261"/>
      <c r="D59" s="262"/>
      <c r="E59" s="262"/>
      <c r="F59" s="262"/>
      <c r="G59" s="262"/>
      <c r="H59" s="262"/>
      <c r="I59" s="262"/>
      <c r="J59" s="262"/>
      <c r="K59" s="262"/>
      <c r="L59" s="262"/>
      <c r="M59" s="262"/>
    </row>
    <row r="60" spans="1:13">
      <c r="C60" s="261"/>
      <c r="D60" s="262"/>
      <c r="E60" s="262"/>
      <c r="F60" s="262"/>
      <c r="G60" s="262"/>
      <c r="H60" s="262"/>
      <c r="I60" s="262"/>
      <c r="J60" s="262"/>
      <c r="K60" s="262"/>
      <c r="L60" s="262"/>
      <c r="M60" s="262"/>
    </row>
    <row r="61" spans="1:13">
      <c r="C61" s="261"/>
      <c r="D61" s="261"/>
      <c r="E61" s="261"/>
      <c r="F61" s="261"/>
      <c r="G61" s="261"/>
      <c r="H61" s="261"/>
      <c r="I61" s="261"/>
      <c r="J61" s="261"/>
      <c r="K61" s="261"/>
      <c r="L61" s="261"/>
      <c r="M61" s="261"/>
    </row>
    <row r="62" spans="1:13">
      <c r="C62" s="261"/>
      <c r="D62" s="261"/>
      <c r="E62" s="261"/>
      <c r="F62" s="261"/>
      <c r="G62" s="261"/>
      <c r="H62" s="261"/>
      <c r="I62" s="261"/>
      <c r="J62" s="261"/>
      <c r="K62" s="261"/>
      <c r="L62" s="261"/>
      <c r="M62" s="261"/>
    </row>
    <row r="63" spans="1:13">
      <c r="C63" s="261"/>
      <c r="D63" s="262"/>
      <c r="E63" s="262"/>
      <c r="F63" s="262"/>
      <c r="G63" s="262"/>
      <c r="H63" s="262"/>
      <c r="I63" s="262"/>
      <c r="J63" s="262"/>
      <c r="K63" s="262"/>
      <c r="L63" s="262"/>
      <c r="M63" s="262"/>
    </row>
    <row r="64" spans="1:13">
      <c r="C64" s="262"/>
      <c r="D64" s="262"/>
      <c r="E64" s="262"/>
      <c r="F64" s="262"/>
      <c r="G64" s="262"/>
      <c r="H64" s="262"/>
      <c r="I64" s="262"/>
      <c r="J64" s="262"/>
      <c r="K64" s="262"/>
      <c r="L64" s="262"/>
      <c r="M64" s="262"/>
    </row>
    <row r="65" spans="1:13">
      <c r="C65" s="261"/>
      <c r="D65" s="262"/>
      <c r="E65" s="262"/>
      <c r="F65" s="262"/>
      <c r="G65" s="262"/>
      <c r="H65" s="262"/>
      <c r="I65" s="262"/>
      <c r="J65" s="262"/>
      <c r="K65" s="262"/>
      <c r="L65" s="262"/>
      <c r="M65" s="262"/>
    </row>
    <row r="66" spans="1:13">
      <c r="C66" s="261"/>
      <c r="D66" s="262"/>
      <c r="E66" s="262"/>
      <c r="F66" s="262"/>
      <c r="G66" s="262"/>
      <c r="H66" s="262"/>
      <c r="I66" s="262"/>
      <c r="J66" s="262"/>
      <c r="K66" s="262"/>
      <c r="L66" s="262"/>
      <c r="M66" s="262"/>
    </row>
    <row r="67" spans="1:13">
      <c r="A67" s="563"/>
      <c r="C67" s="261"/>
      <c r="D67" s="261"/>
      <c r="E67" s="261"/>
      <c r="F67" s="261"/>
      <c r="G67" s="261"/>
      <c r="H67" s="261"/>
      <c r="I67" s="261"/>
      <c r="J67" s="261"/>
      <c r="K67" s="261"/>
      <c r="L67" s="261"/>
      <c r="M67" s="261"/>
    </row>
    <row r="68" spans="1:13">
      <c r="A68" s="563"/>
      <c r="C68" s="261"/>
      <c r="D68" s="262"/>
      <c r="E68" s="262"/>
      <c r="F68" s="262"/>
      <c r="G68" s="262"/>
      <c r="H68" s="262"/>
      <c r="I68" s="262"/>
      <c r="J68" s="262"/>
      <c r="K68" s="262"/>
      <c r="L68" s="262"/>
      <c r="M68" s="262"/>
    </row>
    <row r="69" spans="1:13">
      <c r="A69" s="563"/>
      <c r="C69" s="261"/>
      <c r="D69" s="262"/>
      <c r="E69" s="262"/>
      <c r="F69" s="262"/>
      <c r="G69" s="262"/>
      <c r="H69" s="262"/>
      <c r="I69" s="262"/>
      <c r="J69" s="262"/>
      <c r="K69" s="262"/>
      <c r="L69" s="262"/>
      <c r="M69" s="262"/>
    </row>
    <row r="70" spans="1:13">
      <c r="A70" s="563"/>
      <c r="C70" s="261"/>
      <c r="D70" s="262"/>
      <c r="E70" s="262"/>
      <c r="F70" s="262"/>
      <c r="G70" s="262"/>
      <c r="H70" s="262"/>
      <c r="I70" s="262"/>
      <c r="J70" s="262"/>
      <c r="K70" s="262"/>
      <c r="L70" s="262"/>
      <c r="M70" s="262"/>
    </row>
    <row r="71" spans="1:13">
      <c r="A71" s="563"/>
      <c r="C71" s="261"/>
      <c r="D71" s="261"/>
      <c r="E71" s="261"/>
      <c r="F71" s="261"/>
      <c r="G71" s="261"/>
      <c r="H71" s="261"/>
      <c r="I71" s="261"/>
      <c r="J71" s="261"/>
      <c r="K71" s="261"/>
      <c r="L71" s="261"/>
      <c r="M71" s="261"/>
    </row>
  </sheetData>
  <mergeCells count="23">
    <mergeCell ref="B55:M55"/>
    <mergeCell ref="F6:F7"/>
    <mergeCell ref="G6:G7"/>
    <mergeCell ref="H6:H7"/>
    <mergeCell ref="I6:I7"/>
    <mergeCell ref="J6:J7"/>
    <mergeCell ref="K6:K7"/>
    <mergeCell ref="L6:L7"/>
    <mergeCell ref="M6:M7"/>
    <mergeCell ref="B52:M52"/>
    <mergeCell ref="B53:M53"/>
    <mergeCell ref="B54:M54"/>
    <mergeCell ref="A1:B1"/>
    <mergeCell ref="L1:M1"/>
    <mergeCell ref="A2:M2"/>
    <mergeCell ref="L4:M4"/>
    <mergeCell ref="A5:A7"/>
    <mergeCell ref="B5:B7"/>
    <mergeCell ref="C5:C7"/>
    <mergeCell ref="D5:M5"/>
    <mergeCell ref="D6:D7"/>
    <mergeCell ref="E6:E7"/>
    <mergeCell ref="A3:M3"/>
  </mergeCells>
  <printOptions horizontalCentered="1"/>
  <pageMargins left="0.59055118110236227" right="0.19685039370078741" top="0.43307086614173229" bottom="0.59055118110236227" header="0.19685039370078741" footer="0.27559055118110237"/>
  <pageSetup paperSize="9" scale="88" fitToHeight="0" orientation="landscape" r:id="rId1"/>
  <headerFooter>
    <oddFooter>&amp;R&amp;9&amp;P/&amp;N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81"/>
  <sheetViews>
    <sheetView topLeftCell="A3" zoomScale="115" zoomScaleNormal="115" workbookViewId="0">
      <pane xSplit="4" ySplit="9" topLeftCell="E12" activePane="bottomRight" state="frozen"/>
      <selection activeCell="A3" sqref="A3"/>
      <selection pane="topRight" activeCell="E3" sqref="E3"/>
      <selection pane="bottomLeft" activeCell="A12" sqref="A12"/>
      <selection pane="bottomRight" activeCell="A81" sqref="A81:J81"/>
    </sheetView>
  </sheetViews>
  <sheetFormatPr defaultColWidth="9.109375" defaultRowHeight="15.6" outlineLevelRow="1" outlineLevelCol="1"/>
  <cols>
    <col min="1" max="1" width="6.109375" style="606" customWidth="1"/>
    <col min="2" max="2" width="47.88671875" style="608" customWidth="1"/>
    <col min="3" max="3" width="7.6640625" style="607" hidden="1" customWidth="1" outlineLevel="1"/>
    <col min="4" max="4" width="13.33203125" style="568" hidden="1" customWidth="1" outlineLevel="1"/>
    <col min="5" max="5" width="10.33203125" style="568" customWidth="1" collapsed="1"/>
    <col min="6" max="6" width="12.44140625" style="568" customWidth="1"/>
    <col min="7" max="7" width="9.88671875" style="568" customWidth="1"/>
    <col min="8" max="8" width="11.44140625" style="568" customWidth="1"/>
    <col min="9" max="11" width="9.109375" style="568" hidden="1" customWidth="1" outlineLevel="1"/>
    <col min="12" max="12" width="0" style="568" hidden="1" customWidth="1" collapsed="1"/>
    <col min="13" max="15" width="0" style="568" hidden="1" customWidth="1"/>
    <col min="16" max="16" width="9.109375" style="568"/>
    <col min="17" max="17" width="9.109375" style="234"/>
    <col min="18" max="16384" width="9.109375" style="568"/>
  </cols>
  <sheetData>
    <row r="1" spans="1:17" ht="13.5" hidden="1" customHeight="1" outlineLevel="1">
      <c r="B1" s="568"/>
      <c r="D1" s="568">
        <v>206352</v>
      </c>
    </row>
    <row r="2" spans="1:17" ht="12.75" hidden="1" customHeight="1" outlineLevel="1" collapsed="1">
      <c r="D2" s="607">
        <f t="shared" ref="D2:F2" si="0">D1-D11</f>
        <v>126497</v>
      </c>
      <c r="E2" s="607">
        <f t="shared" si="0"/>
        <v>-164155</v>
      </c>
      <c r="F2" s="607">
        <f t="shared" si="0"/>
        <v>-164155</v>
      </c>
    </row>
    <row r="3" spans="1:17" ht="12.75" customHeight="1" collapsed="1">
      <c r="A3" s="1701" t="s">
        <v>1839</v>
      </c>
      <c r="B3" s="1701"/>
      <c r="D3" s="607"/>
    </row>
    <row r="4" spans="1:17" ht="38.25" customHeight="1">
      <c r="A4" s="1702" t="s">
        <v>2009</v>
      </c>
      <c r="B4" s="1702"/>
      <c r="C4" s="1702"/>
      <c r="D4" s="1702"/>
      <c r="E4" s="1702"/>
      <c r="F4" s="1702"/>
      <c r="G4" s="1702"/>
      <c r="H4" s="1702"/>
      <c r="I4" s="1702"/>
      <c r="J4" s="1702"/>
    </row>
    <row r="5" spans="1:17" ht="18.75" customHeight="1">
      <c r="A5" s="1699" t="s">
        <v>1903</v>
      </c>
      <c r="B5" s="1699"/>
      <c r="C5" s="1699"/>
      <c r="D5" s="1699"/>
      <c r="E5" s="1699"/>
      <c r="F5" s="1699"/>
      <c r="G5" s="1699"/>
      <c r="H5" s="1699"/>
      <c r="I5" s="609"/>
      <c r="J5" s="609"/>
    </row>
    <row r="6" spans="1:17" ht="14.25" customHeight="1">
      <c r="B6" s="610"/>
      <c r="D6" s="611"/>
      <c r="G6" s="1703" t="s">
        <v>0</v>
      </c>
      <c r="H6" s="1703"/>
    </row>
    <row r="7" spans="1:17" ht="12.75" customHeight="1">
      <c r="A7" s="1704" t="s">
        <v>1</v>
      </c>
      <c r="B7" s="1698" t="s">
        <v>1566</v>
      </c>
      <c r="C7" s="1698" t="s">
        <v>796</v>
      </c>
      <c r="D7" s="1705" t="s">
        <v>1567</v>
      </c>
      <c r="E7" s="1705" t="s">
        <v>1999</v>
      </c>
      <c r="F7" s="1698" t="s">
        <v>2000</v>
      </c>
      <c r="G7" s="1708" t="s">
        <v>65</v>
      </c>
      <c r="H7" s="1709"/>
      <c r="I7" s="1705" t="s">
        <v>2001</v>
      </c>
      <c r="J7" s="1705" t="s">
        <v>663</v>
      </c>
    </row>
    <row r="8" spans="1:17">
      <c r="A8" s="1704"/>
      <c r="B8" s="1698"/>
      <c r="C8" s="1698"/>
      <c r="D8" s="1706"/>
      <c r="E8" s="1706"/>
      <c r="F8" s="1698"/>
      <c r="G8" s="1710" t="s">
        <v>1365</v>
      </c>
      <c r="H8" s="1698" t="s">
        <v>1527</v>
      </c>
      <c r="I8" s="1706"/>
      <c r="J8" s="1706"/>
    </row>
    <row r="9" spans="1:17" s="612" customFormat="1" ht="44.25" customHeight="1">
      <c r="A9" s="1704"/>
      <c r="B9" s="1698"/>
      <c r="C9" s="1698"/>
      <c r="D9" s="1707"/>
      <c r="E9" s="1707"/>
      <c r="F9" s="1698"/>
      <c r="G9" s="1711"/>
      <c r="H9" s="1698"/>
      <c r="I9" s="1707"/>
      <c r="J9" s="1707"/>
      <c r="Q9" s="642"/>
    </row>
    <row r="10" spans="1:17" s="612" customFormat="1">
      <c r="A10" s="613" t="s">
        <v>14</v>
      </c>
      <c r="B10" s="614" t="s">
        <v>69</v>
      </c>
      <c r="C10" s="615"/>
      <c r="D10" s="616"/>
      <c r="E10" s="615" t="s">
        <v>18</v>
      </c>
      <c r="F10" s="616" t="s">
        <v>26</v>
      </c>
      <c r="G10" s="615" t="s">
        <v>59</v>
      </c>
      <c r="H10" s="616" t="s">
        <v>73</v>
      </c>
      <c r="I10" s="615"/>
      <c r="J10" s="616"/>
      <c r="Q10" s="642"/>
    </row>
    <row r="11" spans="1:17" s="620" customFormat="1">
      <c r="A11" s="617"/>
      <c r="B11" s="618" t="s">
        <v>1366</v>
      </c>
      <c r="C11" s="618"/>
      <c r="D11" s="618">
        <f>D12+D13</f>
        <v>79855</v>
      </c>
      <c r="E11" s="618">
        <f t="shared" ref="E11:H11" si="1">E12+E13</f>
        <v>164155</v>
      </c>
      <c r="F11" s="618">
        <f t="shared" si="1"/>
        <v>164155</v>
      </c>
      <c r="G11" s="618">
        <f t="shared" si="1"/>
        <v>104944</v>
      </c>
      <c r="H11" s="618">
        <f t="shared" si="1"/>
        <v>59211</v>
      </c>
      <c r="I11" s="618">
        <f>I12+I13</f>
        <v>-81113</v>
      </c>
      <c r="J11" s="619"/>
      <c r="O11" s="620">
        <f>E11-G11-H11</f>
        <v>0</v>
      </c>
      <c r="Q11" s="235"/>
    </row>
    <row r="12" spans="1:17" s="620" customFormat="1">
      <c r="A12" s="621" t="s">
        <v>16</v>
      </c>
      <c r="B12" s="622" t="s">
        <v>341</v>
      </c>
      <c r="C12" s="623"/>
      <c r="D12" s="623">
        <v>0</v>
      </c>
      <c r="E12" s="236"/>
      <c r="F12" s="236">
        <f>G12+H12</f>
        <v>0</v>
      </c>
      <c r="G12" s="236">
        <v>0</v>
      </c>
      <c r="H12" s="236"/>
      <c r="I12" s="236">
        <f>D12-E12</f>
        <v>0</v>
      </c>
      <c r="J12" s="236"/>
      <c r="L12" s="620" t="s">
        <v>2002</v>
      </c>
      <c r="Q12" s="235"/>
    </row>
    <row r="13" spans="1:17" s="620" customFormat="1">
      <c r="A13" s="621" t="s">
        <v>28</v>
      </c>
      <c r="B13" s="622" t="s">
        <v>336</v>
      </c>
      <c r="C13" s="624"/>
      <c r="D13" s="624">
        <f t="shared" ref="D13:I13" si="2">D14+D31+D37+D38+D43+D57+D58+D59+D60+D63</f>
        <v>79855</v>
      </c>
      <c r="E13" s="624">
        <f t="shared" si="2"/>
        <v>164155</v>
      </c>
      <c r="F13" s="624">
        <f t="shared" si="2"/>
        <v>164155</v>
      </c>
      <c r="G13" s="624">
        <f t="shared" si="2"/>
        <v>104944</v>
      </c>
      <c r="H13" s="624">
        <f t="shared" si="2"/>
        <v>59211</v>
      </c>
      <c r="I13" s="624">
        <f t="shared" si="2"/>
        <v>-81113</v>
      </c>
      <c r="J13" s="236"/>
      <c r="L13" s="625">
        <f>E13+1480</f>
        <v>165635</v>
      </c>
      <c r="M13" s="625"/>
      <c r="N13" s="625"/>
      <c r="O13" s="620">
        <f>E13-G13-H13</f>
        <v>0</v>
      </c>
      <c r="Q13" s="235"/>
    </row>
    <row r="14" spans="1:17" s="620" customFormat="1" ht="27.6">
      <c r="A14" s="621">
        <v>1</v>
      </c>
      <c r="B14" s="3" t="s">
        <v>1370</v>
      </c>
      <c r="C14" s="624" t="s">
        <v>756</v>
      </c>
      <c r="D14" s="623">
        <f>D15+D30</f>
        <v>2644</v>
      </c>
      <c r="E14" s="623">
        <v>3187</v>
      </c>
      <c r="F14" s="623">
        <f t="shared" ref="F14:I14" si="3">F15+F30</f>
        <v>3187</v>
      </c>
      <c r="G14" s="623">
        <f t="shared" si="3"/>
        <v>2103</v>
      </c>
      <c r="H14" s="623">
        <f t="shared" si="3"/>
        <v>1084</v>
      </c>
      <c r="I14" s="623">
        <f t="shared" si="3"/>
        <v>2644</v>
      </c>
      <c r="J14" s="236"/>
      <c r="L14" s="620">
        <f>L13-165635</f>
        <v>0</v>
      </c>
      <c r="O14" s="620">
        <f>E14-G14-H14</f>
        <v>0</v>
      </c>
      <c r="Q14" s="235"/>
    </row>
    <row r="15" spans="1:17" s="620" customFormat="1">
      <c r="A15" s="352" t="s">
        <v>45</v>
      </c>
      <c r="B15" s="2" t="s">
        <v>67</v>
      </c>
      <c r="C15" s="626"/>
      <c r="D15" s="626">
        <f>SUM(D16:D29)</f>
        <v>1760</v>
      </c>
      <c r="E15" s="626">
        <f>SUM(E16:E27)</f>
        <v>0</v>
      </c>
      <c r="F15" s="626">
        <f>SUM(F16:F29)</f>
        <v>2103</v>
      </c>
      <c r="G15" s="626">
        <f>SUM(G16:G29)</f>
        <v>2103</v>
      </c>
      <c r="H15" s="626">
        <f>SUM(H16:H29)</f>
        <v>0</v>
      </c>
      <c r="I15" s="626">
        <f>SUM(I16:I29)</f>
        <v>1760</v>
      </c>
      <c r="J15" s="236"/>
      <c r="Q15" s="235"/>
    </row>
    <row r="16" spans="1:17">
      <c r="A16" s="352" t="s">
        <v>23</v>
      </c>
      <c r="B16" s="2" t="s">
        <v>1371</v>
      </c>
      <c r="C16" s="626"/>
      <c r="D16" s="626">
        <v>880</v>
      </c>
      <c r="E16" s="356"/>
      <c r="F16" s="356">
        <f t="shared" ref="F16:F29" si="4">G16+H16</f>
        <v>1051</v>
      </c>
      <c r="G16" s="356">
        <v>1051</v>
      </c>
      <c r="H16" s="356"/>
      <c r="I16" s="356">
        <f>D16-E16</f>
        <v>880</v>
      </c>
      <c r="J16" s="356"/>
    </row>
    <row r="17" spans="1:15">
      <c r="A17" s="352" t="s">
        <v>23</v>
      </c>
      <c r="B17" s="2" t="s">
        <v>1372</v>
      </c>
      <c r="C17" s="626"/>
      <c r="D17" s="626">
        <v>440</v>
      </c>
      <c r="E17" s="356"/>
      <c r="F17" s="356">
        <f t="shared" si="4"/>
        <v>526</v>
      </c>
      <c r="G17" s="356">
        <v>526</v>
      </c>
      <c r="H17" s="356"/>
      <c r="I17" s="356">
        <f t="shared" ref="I17:I31" si="5">D17-E17</f>
        <v>440</v>
      </c>
      <c r="J17" s="356"/>
    </row>
    <row r="18" spans="1:15">
      <c r="A18" s="352" t="s">
        <v>23</v>
      </c>
      <c r="B18" s="2" t="s">
        <v>2003</v>
      </c>
      <c r="C18" s="626"/>
      <c r="D18" s="626">
        <v>35</v>
      </c>
      <c r="E18" s="356"/>
      <c r="F18" s="356">
        <f t="shared" si="4"/>
        <v>40</v>
      </c>
      <c r="G18" s="356">
        <v>40</v>
      </c>
      <c r="H18" s="356"/>
      <c r="I18" s="356">
        <f t="shared" si="5"/>
        <v>35</v>
      </c>
      <c r="J18" s="356"/>
    </row>
    <row r="19" spans="1:15">
      <c r="A19" s="352" t="s">
        <v>23</v>
      </c>
      <c r="B19" s="2" t="s">
        <v>1374</v>
      </c>
      <c r="C19" s="626"/>
      <c r="D19" s="626">
        <v>35</v>
      </c>
      <c r="E19" s="356"/>
      <c r="F19" s="356">
        <f t="shared" si="4"/>
        <v>40</v>
      </c>
      <c r="G19" s="356">
        <v>40</v>
      </c>
      <c r="H19" s="356"/>
      <c r="I19" s="356">
        <f t="shared" si="5"/>
        <v>35</v>
      </c>
      <c r="J19" s="356"/>
    </row>
    <row r="20" spans="1:15">
      <c r="A20" s="352" t="s">
        <v>23</v>
      </c>
      <c r="B20" s="2" t="s">
        <v>1375</v>
      </c>
      <c r="C20" s="626"/>
      <c r="D20" s="626">
        <v>35</v>
      </c>
      <c r="E20" s="356"/>
      <c r="F20" s="356">
        <f t="shared" si="4"/>
        <v>40</v>
      </c>
      <c r="G20" s="356">
        <v>40</v>
      </c>
      <c r="H20" s="356"/>
      <c r="I20" s="356">
        <f t="shared" si="5"/>
        <v>35</v>
      </c>
      <c r="J20" s="356"/>
    </row>
    <row r="21" spans="1:15">
      <c r="A21" s="352" t="s">
        <v>23</v>
      </c>
      <c r="B21" s="2" t="s">
        <v>1376</v>
      </c>
      <c r="C21" s="626"/>
      <c r="D21" s="626">
        <v>35</v>
      </c>
      <c r="E21" s="356"/>
      <c r="F21" s="356">
        <f t="shared" si="4"/>
        <v>45</v>
      </c>
      <c r="G21" s="356">
        <v>45</v>
      </c>
      <c r="H21" s="356"/>
      <c r="I21" s="356">
        <f t="shared" si="5"/>
        <v>35</v>
      </c>
      <c r="J21" s="356"/>
    </row>
    <row r="22" spans="1:15" ht="27.6">
      <c r="A22" s="352" t="s">
        <v>23</v>
      </c>
      <c r="B22" s="2" t="s">
        <v>1377</v>
      </c>
      <c r="C22" s="626"/>
      <c r="D22" s="626">
        <v>85</v>
      </c>
      <c r="E22" s="356"/>
      <c r="F22" s="356">
        <f t="shared" si="4"/>
        <v>100</v>
      </c>
      <c r="G22" s="356">
        <v>100</v>
      </c>
      <c r="H22" s="356"/>
      <c r="I22" s="356">
        <f t="shared" si="5"/>
        <v>85</v>
      </c>
      <c r="J22" s="356"/>
    </row>
    <row r="23" spans="1:15">
      <c r="A23" s="352" t="s">
        <v>23</v>
      </c>
      <c r="B23" s="2" t="s">
        <v>1378</v>
      </c>
      <c r="C23" s="626"/>
      <c r="D23" s="626">
        <v>45</v>
      </c>
      <c r="E23" s="356"/>
      <c r="F23" s="356">
        <f t="shared" si="4"/>
        <v>55</v>
      </c>
      <c r="G23" s="356">
        <v>55</v>
      </c>
      <c r="H23" s="356"/>
      <c r="I23" s="356">
        <f t="shared" si="5"/>
        <v>45</v>
      </c>
      <c r="J23" s="356"/>
    </row>
    <row r="24" spans="1:15">
      <c r="A24" s="352" t="s">
        <v>23</v>
      </c>
      <c r="B24" s="2" t="s">
        <v>1368</v>
      </c>
      <c r="C24" s="626"/>
      <c r="D24" s="626">
        <v>30</v>
      </c>
      <c r="E24" s="356"/>
      <c r="F24" s="356">
        <f t="shared" si="4"/>
        <v>50</v>
      </c>
      <c r="G24" s="356">
        <v>50</v>
      </c>
      <c r="H24" s="356"/>
      <c r="I24" s="356">
        <f t="shared" si="5"/>
        <v>30</v>
      </c>
      <c r="J24" s="356"/>
    </row>
    <row r="25" spans="1:15">
      <c r="A25" s="352" t="s">
        <v>23</v>
      </c>
      <c r="B25" s="2" t="s">
        <v>1305</v>
      </c>
      <c r="C25" s="626"/>
      <c r="D25" s="626">
        <v>30</v>
      </c>
      <c r="E25" s="356"/>
      <c r="F25" s="356">
        <f t="shared" si="4"/>
        <v>32</v>
      </c>
      <c r="G25" s="356">
        <v>32</v>
      </c>
      <c r="H25" s="356"/>
      <c r="I25" s="356">
        <f t="shared" si="5"/>
        <v>30</v>
      </c>
      <c r="J25" s="356"/>
    </row>
    <row r="26" spans="1:15">
      <c r="A26" s="352" t="s">
        <v>23</v>
      </c>
      <c r="B26" s="2" t="s">
        <v>1379</v>
      </c>
      <c r="C26" s="626"/>
      <c r="D26" s="626">
        <v>30</v>
      </c>
      <c r="E26" s="356"/>
      <c r="F26" s="356">
        <f t="shared" si="4"/>
        <v>32</v>
      </c>
      <c r="G26" s="356">
        <v>32</v>
      </c>
      <c r="H26" s="356"/>
      <c r="I26" s="356">
        <f t="shared" si="5"/>
        <v>30</v>
      </c>
      <c r="J26" s="356"/>
    </row>
    <row r="27" spans="1:15" ht="13.5" customHeight="1">
      <c r="A27" s="352" t="s">
        <v>23</v>
      </c>
      <c r="B27" s="2" t="s">
        <v>1380</v>
      </c>
      <c r="C27" s="626"/>
      <c r="D27" s="626">
        <v>30</v>
      </c>
      <c r="E27" s="356"/>
      <c r="F27" s="356">
        <f t="shared" si="4"/>
        <v>32</v>
      </c>
      <c r="G27" s="356">
        <v>32</v>
      </c>
      <c r="H27" s="356"/>
      <c r="I27" s="356">
        <f t="shared" si="5"/>
        <v>30</v>
      </c>
      <c r="J27" s="356"/>
    </row>
    <row r="28" spans="1:15" ht="13.5" customHeight="1">
      <c r="A28" s="352" t="s">
        <v>23</v>
      </c>
      <c r="B28" s="2" t="s">
        <v>1381</v>
      </c>
      <c r="C28" s="626"/>
      <c r="D28" s="626">
        <v>30</v>
      </c>
      <c r="E28" s="356"/>
      <c r="F28" s="356">
        <f t="shared" si="4"/>
        <v>35</v>
      </c>
      <c r="G28" s="356">
        <v>35</v>
      </c>
      <c r="H28" s="356"/>
      <c r="I28" s="356">
        <f t="shared" si="5"/>
        <v>30</v>
      </c>
      <c r="J28" s="356"/>
    </row>
    <row r="29" spans="1:15" ht="13.5" customHeight="1">
      <c r="A29" s="352" t="s">
        <v>23</v>
      </c>
      <c r="B29" s="2" t="s">
        <v>1382</v>
      </c>
      <c r="C29" s="626"/>
      <c r="D29" s="626">
        <v>20</v>
      </c>
      <c r="E29" s="356"/>
      <c r="F29" s="356">
        <f t="shared" si="4"/>
        <v>25</v>
      </c>
      <c r="G29" s="356">
        <v>25</v>
      </c>
      <c r="H29" s="356"/>
      <c r="I29" s="356">
        <f t="shared" si="5"/>
        <v>20</v>
      </c>
      <c r="J29" s="356"/>
    </row>
    <row r="30" spans="1:15">
      <c r="A30" s="352" t="s">
        <v>47</v>
      </c>
      <c r="B30" s="2" t="s">
        <v>1367</v>
      </c>
      <c r="C30" s="626"/>
      <c r="D30" s="626">
        <v>884</v>
      </c>
      <c r="E30" s="356"/>
      <c r="F30" s="356">
        <f>G30+H30</f>
        <v>1084</v>
      </c>
      <c r="G30" s="356"/>
      <c r="H30" s="356">
        <f>'Bieu 09a_TT_TUBSMT huyen'!C9</f>
        <v>1084</v>
      </c>
      <c r="I30" s="356">
        <f t="shared" si="5"/>
        <v>884</v>
      </c>
      <c r="J30" s="356"/>
    </row>
    <row r="31" spans="1:15" ht="16.5" customHeight="1">
      <c r="A31" s="621">
        <v>2</v>
      </c>
      <c r="B31" s="3" t="s">
        <v>1383</v>
      </c>
      <c r="C31" s="624" t="s">
        <v>728</v>
      </c>
      <c r="D31" s="623">
        <v>48847</v>
      </c>
      <c r="E31" s="623">
        <v>50909</v>
      </c>
      <c r="F31" s="623">
        <f>F32+F33</f>
        <v>50909</v>
      </c>
      <c r="G31" s="623">
        <f t="shared" ref="G31:H31" si="6">G32+G33</f>
        <v>50909</v>
      </c>
      <c r="H31" s="623">
        <f t="shared" si="6"/>
        <v>0</v>
      </c>
      <c r="I31" s="236">
        <f t="shared" si="5"/>
        <v>-2062</v>
      </c>
      <c r="J31" s="356"/>
      <c r="O31" s="620">
        <f>E31-G31-H31</f>
        <v>0</v>
      </c>
    </row>
    <row r="32" spans="1:15" ht="20.25" hidden="1" customHeight="1" outlineLevel="1">
      <c r="A32" s="352" t="s">
        <v>34</v>
      </c>
      <c r="B32" s="2" t="s">
        <v>1384</v>
      </c>
      <c r="C32" s="626"/>
      <c r="D32" s="627">
        <v>300</v>
      </c>
      <c r="E32" s="627"/>
      <c r="F32" s="627">
        <f>G32+H32</f>
        <v>0</v>
      </c>
      <c r="G32" s="627"/>
      <c r="H32" s="627"/>
      <c r="I32" s="356"/>
      <c r="J32" s="356"/>
    </row>
    <row r="33" spans="1:17" ht="17.25" hidden="1" customHeight="1" outlineLevel="1">
      <c r="A33" s="352" t="s">
        <v>36</v>
      </c>
      <c r="B33" s="2" t="s">
        <v>1385</v>
      </c>
      <c r="C33" s="626"/>
      <c r="D33" s="627">
        <f>SUM(D34:D35)</f>
        <v>48547</v>
      </c>
      <c r="E33" s="627">
        <f>SUM(E34:E35)</f>
        <v>0</v>
      </c>
      <c r="F33" s="627">
        <f>SUM(F34:F36)</f>
        <v>50909</v>
      </c>
      <c r="G33" s="627">
        <f t="shared" ref="G33:I33" si="7">SUM(G34:G36)</f>
        <v>50909</v>
      </c>
      <c r="H33" s="627">
        <f t="shared" si="7"/>
        <v>0</v>
      </c>
      <c r="I33" s="627">
        <f t="shared" si="7"/>
        <v>0</v>
      </c>
      <c r="J33" s="356"/>
    </row>
    <row r="34" spans="1:17" ht="27.6" hidden="1" outlineLevel="1">
      <c r="A34" s="352" t="s">
        <v>23</v>
      </c>
      <c r="B34" s="2" t="s">
        <v>1568</v>
      </c>
      <c r="C34" s="626"/>
      <c r="D34" s="627">
        <v>31325</v>
      </c>
      <c r="E34" s="627"/>
      <c r="F34" s="627">
        <f t="shared" ref="F34:F36" si="8">G34+H34</f>
        <v>0</v>
      </c>
      <c r="G34" s="627"/>
      <c r="H34" s="627"/>
      <c r="I34" s="356"/>
      <c r="J34" s="356"/>
      <c r="M34" s="1699"/>
      <c r="N34" s="1699"/>
      <c r="O34" s="1699"/>
      <c r="P34" s="1699"/>
      <c r="Q34" s="1699"/>
    </row>
    <row r="35" spans="1:17" ht="27.6" collapsed="1">
      <c r="A35" s="352" t="s">
        <v>23</v>
      </c>
      <c r="B35" s="2" t="s">
        <v>1569</v>
      </c>
      <c r="C35" s="626"/>
      <c r="D35" s="627">
        <v>17222</v>
      </c>
      <c r="E35" s="627"/>
      <c r="F35" s="627">
        <f t="shared" si="8"/>
        <v>17000</v>
      </c>
      <c r="G35" s="627">
        <v>17000</v>
      </c>
      <c r="H35" s="627"/>
      <c r="I35" s="356"/>
      <c r="J35" s="356"/>
      <c r="M35" s="571"/>
      <c r="N35" s="571"/>
      <c r="O35" s="571"/>
      <c r="P35" s="571"/>
      <c r="Q35" s="572"/>
    </row>
    <row r="36" spans="1:17" ht="69.75" customHeight="1">
      <c r="A36" s="352" t="s">
        <v>23</v>
      </c>
      <c r="B36" s="2" t="s">
        <v>2288</v>
      </c>
      <c r="C36" s="626"/>
      <c r="D36" s="627"/>
      <c r="E36" s="627"/>
      <c r="F36" s="627">
        <f t="shared" si="8"/>
        <v>33909</v>
      </c>
      <c r="G36" s="627">
        <v>33909</v>
      </c>
      <c r="H36" s="627"/>
      <c r="I36" s="356"/>
      <c r="J36" s="627" t="s">
        <v>2004</v>
      </c>
      <c r="M36" s="571"/>
      <c r="N36" s="571"/>
      <c r="O36" s="571"/>
      <c r="P36" s="571"/>
      <c r="Q36" s="572"/>
    </row>
    <row r="37" spans="1:17" s="620" customFormat="1" ht="41.4">
      <c r="A37" s="621">
        <v>3</v>
      </c>
      <c r="B37" s="628" t="s">
        <v>1386</v>
      </c>
      <c r="C37" s="624" t="s">
        <v>756</v>
      </c>
      <c r="D37" s="236">
        <v>230</v>
      </c>
      <c r="E37" s="236">
        <v>259</v>
      </c>
      <c r="F37" s="236">
        <f>G37+H37</f>
        <v>259</v>
      </c>
      <c r="G37" s="236">
        <v>259</v>
      </c>
      <c r="H37" s="236"/>
      <c r="I37" s="236">
        <f t="shared" ref="I37:I38" si="9">D37-E37</f>
        <v>-29</v>
      </c>
      <c r="J37" s="236"/>
      <c r="O37" s="620">
        <f>E37-G37-H37</f>
        <v>0</v>
      </c>
      <c r="Q37" s="235"/>
    </row>
    <row r="38" spans="1:17" s="620" customFormat="1" ht="17.25" customHeight="1">
      <c r="A38" s="629">
        <v>4</v>
      </c>
      <c r="B38" s="630" t="s">
        <v>2005</v>
      </c>
      <c r="C38" s="631"/>
      <c r="D38" s="632">
        <f>SUM(D39:D42)</f>
        <v>2000</v>
      </c>
      <c r="E38" s="632">
        <v>1000</v>
      </c>
      <c r="F38" s="390">
        <f t="shared" ref="F38:F57" si="10">G38+H38</f>
        <v>1000</v>
      </c>
      <c r="G38" s="632">
        <f>E38</f>
        <v>1000</v>
      </c>
      <c r="H38" s="632"/>
      <c r="I38" s="570">
        <f t="shared" si="9"/>
        <v>1000</v>
      </c>
      <c r="J38" s="633"/>
      <c r="O38" s="620">
        <f>E38-G38-H38</f>
        <v>0</v>
      </c>
      <c r="Q38" s="235"/>
    </row>
    <row r="39" spans="1:17" ht="17.25" customHeight="1">
      <c r="A39" s="352" t="s">
        <v>23</v>
      </c>
      <c r="B39" s="2" t="s">
        <v>1626</v>
      </c>
      <c r="C39" s="634" t="s">
        <v>724</v>
      </c>
      <c r="D39" s="567">
        <v>700</v>
      </c>
      <c r="E39" s="355"/>
      <c r="F39" s="356">
        <f>G39+H39</f>
        <v>300</v>
      </c>
      <c r="G39" s="356">
        <v>300</v>
      </c>
      <c r="H39" s="355"/>
      <c r="I39" s="355"/>
      <c r="J39" s="355"/>
    </row>
    <row r="40" spans="1:17" ht="17.25" customHeight="1">
      <c r="A40" s="352" t="s">
        <v>23</v>
      </c>
      <c r="B40" s="2" t="s">
        <v>2006</v>
      </c>
      <c r="C40" s="634" t="s">
        <v>728</v>
      </c>
      <c r="D40" s="567">
        <v>649.5</v>
      </c>
      <c r="E40" s="355"/>
      <c r="F40" s="356">
        <f t="shared" ref="F40:F41" si="11">G40+H40</f>
        <v>400</v>
      </c>
      <c r="G40" s="356">
        <v>400</v>
      </c>
      <c r="H40" s="355"/>
      <c r="I40" s="355"/>
      <c r="J40" s="355"/>
    </row>
    <row r="41" spans="1:17" ht="17.25" customHeight="1">
      <c r="A41" s="352" t="s">
        <v>23</v>
      </c>
      <c r="B41" s="2" t="s">
        <v>2007</v>
      </c>
      <c r="C41" s="634" t="s">
        <v>728</v>
      </c>
      <c r="D41" s="567">
        <v>450.5</v>
      </c>
      <c r="E41" s="355"/>
      <c r="F41" s="356">
        <f t="shared" si="11"/>
        <v>300</v>
      </c>
      <c r="G41" s="356">
        <v>300</v>
      </c>
      <c r="H41" s="355"/>
      <c r="I41" s="355"/>
      <c r="J41" s="355"/>
    </row>
    <row r="42" spans="1:17" ht="17.25" hidden="1" customHeight="1" outlineLevel="1">
      <c r="A42" s="352" t="s">
        <v>23</v>
      </c>
      <c r="B42" s="569" t="s">
        <v>1879</v>
      </c>
      <c r="C42" s="634" t="s">
        <v>728</v>
      </c>
      <c r="D42" s="567">
        <v>200</v>
      </c>
      <c r="E42" s="355"/>
      <c r="F42" s="356"/>
      <c r="G42" s="355"/>
      <c r="H42" s="355"/>
      <c r="I42" s="355"/>
      <c r="J42" s="355"/>
    </row>
    <row r="43" spans="1:17" s="620" customFormat="1" ht="27.6" collapsed="1">
      <c r="A43" s="629">
        <v>5</v>
      </c>
      <c r="B43" s="630" t="s">
        <v>1570</v>
      </c>
      <c r="C43" s="631"/>
      <c r="D43" s="632">
        <f>SUM(D44:D56)</f>
        <v>25341</v>
      </c>
      <c r="E43" s="632">
        <v>23995</v>
      </c>
      <c r="F43" s="390">
        <f>SUM(F44:F56)</f>
        <v>23995</v>
      </c>
      <c r="G43" s="390">
        <f t="shared" ref="G43:H43" si="12">SUM(G44:G56)</f>
        <v>23827</v>
      </c>
      <c r="H43" s="390">
        <f t="shared" si="12"/>
        <v>168</v>
      </c>
      <c r="I43" s="570">
        <f t="shared" ref="I43" si="13">D43-E43</f>
        <v>1346</v>
      </c>
      <c r="J43" s="633"/>
      <c r="O43" s="620">
        <f>E43-G43-H43</f>
        <v>0</v>
      </c>
      <c r="Q43" s="235"/>
    </row>
    <row r="44" spans="1:17" ht="17.25" customHeight="1">
      <c r="A44" s="352" t="s">
        <v>23</v>
      </c>
      <c r="B44" s="353" t="s">
        <v>1822</v>
      </c>
      <c r="C44" s="354"/>
      <c r="D44" s="355">
        <v>400</v>
      </c>
      <c r="E44" s="355"/>
      <c r="F44" s="356">
        <f t="shared" si="10"/>
        <v>400</v>
      </c>
      <c r="G44" s="355">
        <v>400</v>
      </c>
      <c r="H44" s="355"/>
      <c r="I44" s="355"/>
      <c r="J44" s="355"/>
    </row>
    <row r="45" spans="1:17" ht="17.25" customHeight="1">
      <c r="A45" s="352" t="s">
        <v>23</v>
      </c>
      <c r="B45" s="353" t="s">
        <v>1063</v>
      </c>
      <c r="C45" s="354"/>
      <c r="D45" s="355">
        <v>6400</v>
      </c>
      <c r="E45" s="355"/>
      <c r="F45" s="356">
        <f t="shared" si="10"/>
        <v>5186</v>
      </c>
      <c r="G45" s="355">
        <v>5186</v>
      </c>
      <c r="H45" s="355"/>
      <c r="I45" s="355"/>
      <c r="J45" s="355"/>
    </row>
    <row r="46" spans="1:17" ht="17.25" customHeight="1">
      <c r="A46" s="352" t="s">
        <v>23</v>
      </c>
      <c r="B46" s="353" t="s">
        <v>1823</v>
      </c>
      <c r="C46" s="354"/>
      <c r="D46" s="355">
        <v>2560</v>
      </c>
      <c r="E46" s="355"/>
      <c r="F46" s="356">
        <f t="shared" si="10"/>
        <v>2560</v>
      </c>
      <c r="G46" s="355">
        <v>2560</v>
      </c>
      <c r="H46" s="355"/>
      <c r="I46" s="355"/>
      <c r="J46" s="355"/>
    </row>
    <row r="47" spans="1:17" ht="17.25" customHeight="1">
      <c r="A47" s="352" t="s">
        <v>23</v>
      </c>
      <c r="B47" s="353" t="s">
        <v>849</v>
      </c>
      <c r="C47" s="354"/>
      <c r="D47" s="355">
        <v>465</v>
      </c>
      <c r="E47" s="355"/>
      <c r="F47" s="356">
        <f t="shared" si="10"/>
        <v>449</v>
      </c>
      <c r="G47" s="355">
        <v>449</v>
      </c>
      <c r="H47" s="355"/>
      <c r="I47" s="355"/>
      <c r="J47" s="355"/>
    </row>
    <row r="48" spans="1:17" ht="17.25" customHeight="1">
      <c r="A48" s="352" t="s">
        <v>23</v>
      </c>
      <c r="B48" s="353" t="s">
        <v>1824</v>
      </c>
      <c r="C48" s="354"/>
      <c r="D48" s="355">
        <v>86</v>
      </c>
      <c r="E48" s="355"/>
      <c r="F48" s="356">
        <f t="shared" si="10"/>
        <v>384</v>
      </c>
      <c r="G48" s="355">
        <v>384</v>
      </c>
      <c r="H48" s="355"/>
      <c r="I48" s="355"/>
      <c r="J48" s="355"/>
    </row>
    <row r="49" spans="1:17" ht="17.25" customHeight="1">
      <c r="A49" s="352" t="s">
        <v>23</v>
      </c>
      <c r="B49" s="353" t="s">
        <v>1825</v>
      </c>
      <c r="C49" s="354"/>
      <c r="D49" s="355">
        <v>5534</v>
      </c>
      <c r="E49" s="355"/>
      <c r="F49" s="356">
        <f t="shared" si="10"/>
        <v>5393</v>
      </c>
      <c r="G49" s="355">
        <v>5393</v>
      </c>
      <c r="H49" s="355"/>
      <c r="I49" s="355"/>
      <c r="J49" s="355"/>
    </row>
    <row r="50" spans="1:17" ht="17.25" customHeight="1">
      <c r="A50" s="352" t="s">
        <v>23</v>
      </c>
      <c r="B50" s="353" t="s">
        <v>1826</v>
      </c>
      <c r="C50" s="354"/>
      <c r="D50" s="355">
        <v>642</v>
      </c>
      <c r="E50" s="355"/>
      <c r="F50" s="356">
        <f t="shared" si="10"/>
        <v>1102</v>
      </c>
      <c r="G50" s="355">
        <v>1102</v>
      </c>
      <c r="H50" s="355"/>
      <c r="I50" s="355"/>
      <c r="J50" s="355"/>
    </row>
    <row r="51" spans="1:17" ht="17.25" customHeight="1">
      <c r="A51" s="352" t="s">
        <v>23</v>
      </c>
      <c r="B51" s="353" t="s">
        <v>1827</v>
      </c>
      <c r="C51" s="354"/>
      <c r="D51" s="355">
        <v>3986</v>
      </c>
      <c r="E51" s="355"/>
      <c r="F51" s="356">
        <f t="shared" si="10"/>
        <v>3254</v>
      </c>
      <c r="G51" s="355">
        <v>3254</v>
      </c>
      <c r="H51" s="355"/>
      <c r="I51" s="355"/>
      <c r="J51" s="355"/>
    </row>
    <row r="52" spans="1:17" ht="17.25" customHeight="1">
      <c r="A52" s="352" t="s">
        <v>23</v>
      </c>
      <c r="B52" s="353" t="s">
        <v>1828</v>
      </c>
      <c r="C52" s="354"/>
      <c r="D52" s="355">
        <v>4459</v>
      </c>
      <c r="E52" s="355"/>
      <c r="F52" s="356">
        <f t="shared" si="10"/>
        <v>4237</v>
      </c>
      <c r="G52" s="355">
        <v>4237</v>
      </c>
      <c r="H52" s="355"/>
      <c r="I52" s="355"/>
      <c r="J52" s="355"/>
    </row>
    <row r="53" spans="1:17" ht="17.25" customHeight="1">
      <c r="A53" s="352" t="s">
        <v>23</v>
      </c>
      <c r="B53" s="353" t="s">
        <v>2287</v>
      </c>
      <c r="C53" s="354"/>
      <c r="D53" s="355"/>
      <c r="E53" s="355"/>
      <c r="F53" s="356">
        <f t="shared" si="10"/>
        <v>25</v>
      </c>
      <c r="G53" s="355">
        <v>25</v>
      </c>
      <c r="H53" s="355"/>
      <c r="I53" s="355"/>
      <c r="J53" s="355"/>
    </row>
    <row r="54" spans="1:17" ht="17.25" customHeight="1">
      <c r="A54" s="352" t="s">
        <v>23</v>
      </c>
      <c r="B54" s="353" t="s">
        <v>1829</v>
      </c>
      <c r="C54" s="354"/>
      <c r="D54" s="355">
        <v>68</v>
      </c>
      <c r="E54" s="355"/>
      <c r="F54" s="356">
        <f t="shared" si="10"/>
        <v>168</v>
      </c>
      <c r="G54" s="355"/>
      <c r="H54" s="355">
        <f>'Bieu 09a_TT_TUBSMT huyen'!C10</f>
        <v>168</v>
      </c>
      <c r="I54" s="355"/>
      <c r="J54" s="355"/>
    </row>
    <row r="55" spans="1:17" ht="17.25" customHeight="1">
      <c r="A55" s="352" t="s">
        <v>23</v>
      </c>
      <c r="B55" s="353" t="s">
        <v>621</v>
      </c>
      <c r="C55" s="354"/>
      <c r="D55" s="355">
        <v>400</v>
      </c>
      <c r="E55" s="355"/>
      <c r="F55" s="356">
        <f t="shared" si="10"/>
        <v>737</v>
      </c>
      <c r="G55" s="355">
        <f>697+40</f>
        <v>737</v>
      </c>
      <c r="H55" s="355"/>
      <c r="I55" s="355"/>
      <c r="J55" s="355"/>
    </row>
    <row r="56" spans="1:17" ht="17.25" customHeight="1">
      <c r="A56" s="352" t="s">
        <v>23</v>
      </c>
      <c r="B56" s="353" t="s">
        <v>1830</v>
      </c>
      <c r="C56" s="354"/>
      <c r="D56" s="355">
        <v>341</v>
      </c>
      <c r="E56" s="355"/>
      <c r="F56" s="356">
        <f t="shared" si="10"/>
        <v>100</v>
      </c>
      <c r="G56" s="355">
        <v>100</v>
      </c>
      <c r="H56" s="355"/>
      <c r="I56" s="355"/>
      <c r="J56" s="355"/>
    </row>
    <row r="57" spans="1:17" s="620" customFormat="1" ht="26.25" hidden="1" customHeight="1" outlineLevel="1">
      <c r="A57" s="621">
        <v>6</v>
      </c>
      <c r="B57" s="635" t="s">
        <v>1571</v>
      </c>
      <c r="C57" s="634"/>
      <c r="D57" s="636">
        <v>433</v>
      </c>
      <c r="E57" s="636">
        <v>0</v>
      </c>
      <c r="F57" s="236">
        <f t="shared" si="10"/>
        <v>0</v>
      </c>
      <c r="G57" s="636"/>
      <c r="H57" s="636"/>
      <c r="I57" s="236">
        <f t="shared" ref="I57:I60" si="14">D57-E57</f>
        <v>433</v>
      </c>
      <c r="J57" s="636"/>
      <c r="Q57" s="235"/>
    </row>
    <row r="58" spans="1:17" s="620" customFormat="1" ht="17.25" hidden="1" customHeight="1" outlineLevel="1">
      <c r="A58" s="621">
        <v>7</v>
      </c>
      <c r="B58" s="635" t="s">
        <v>1572</v>
      </c>
      <c r="C58" s="634"/>
      <c r="D58" s="236">
        <v>160</v>
      </c>
      <c r="E58" s="236">
        <v>0</v>
      </c>
      <c r="F58" s="236">
        <f>G58+H58</f>
        <v>0</v>
      </c>
      <c r="G58" s="236"/>
      <c r="H58" s="636"/>
      <c r="I58" s="236">
        <f t="shared" si="14"/>
        <v>160</v>
      </c>
      <c r="J58" s="636"/>
      <c r="Q58" s="235"/>
    </row>
    <row r="59" spans="1:17" s="620" customFormat="1" ht="55.2" hidden="1" outlineLevel="1">
      <c r="A59" s="621">
        <v>8</v>
      </c>
      <c r="B59" s="635" t="s">
        <v>1573</v>
      </c>
      <c r="C59" s="634"/>
      <c r="D59" s="636">
        <v>200</v>
      </c>
      <c r="E59" s="636">
        <v>0</v>
      </c>
      <c r="F59" s="236">
        <f>G59+H59</f>
        <v>0</v>
      </c>
      <c r="G59" s="636"/>
      <c r="H59" s="636"/>
      <c r="I59" s="236">
        <f t="shared" si="14"/>
        <v>200</v>
      </c>
      <c r="J59" s="636"/>
      <c r="Q59" s="235"/>
    </row>
    <row r="60" spans="1:17" s="620" customFormat="1" ht="16.5" customHeight="1" collapsed="1">
      <c r="A60" s="621">
        <v>6</v>
      </c>
      <c r="B60" s="635" t="s">
        <v>2008</v>
      </c>
      <c r="C60" s="634"/>
      <c r="D60" s="636"/>
      <c r="E60" s="636">
        <v>48481</v>
      </c>
      <c r="F60" s="236">
        <f>F61+F62</f>
        <v>48481</v>
      </c>
      <c r="G60" s="236">
        <f t="shared" ref="G60:H60" si="15">G61+G62</f>
        <v>175</v>
      </c>
      <c r="H60" s="236">
        <f t="shared" si="15"/>
        <v>48306</v>
      </c>
      <c r="I60" s="236">
        <f t="shared" si="14"/>
        <v>-48481</v>
      </c>
      <c r="J60" s="636"/>
      <c r="O60" s="620">
        <f>E60-G60-H60</f>
        <v>0</v>
      </c>
      <c r="Q60" s="235"/>
    </row>
    <row r="61" spans="1:17" ht="16.5" customHeight="1">
      <c r="A61" s="352" t="s">
        <v>23</v>
      </c>
      <c r="B61" s="2" t="s">
        <v>1373</v>
      </c>
      <c r="C61" s="354"/>
      <c r="D61" s="355"/>
      <c r="E61" s="355"/>
      <c r="F61" s="356">
        <f>G61+H61</f>
        <v>175</v>
      </c>
      <c r="G61" s="355">
        <v>175</v>
      </c>
      <c r="H61" s="355"/>
      <c r="I61" s="356"/>
      <c r="J61" s="355"/>
      <c r="K61" s="568">
        <f>E60-G61</f>
        <v>48306</v>
      </c>
    </row>
    <row r="62" spans="1:17" ht="16.5" customHeight="1">
      <c r="A62" s="352" t="s">
        <v>23</v>
      </c>
      <c r="B62" s="2" t="s">
        <v>1367</v>
      </c>
      <c r="C62" s="354"/>
      <c r="D62" s="355"/>
      <c r="E62" s="355"/>
      <c r="F62" s="356">
        <f>G62+H62</f>
        <v>48306</v>
      </c>
      <c r="G62" s="355"/>
      <c r="H62" s="355">
        <f>'Bieu 09a_TT_TUBSMT huyen'!C11</f>
        <v>48306</v>
      </c>
      <c r="I62" s="356"/>
      <c r="J62" s="355"/>
    </row>
    <row r="63" spans="1:17" s="263" customFormat="1" ht="16.5" customHeight="1">
      <c r="A63" s="629">
        <v>7</v>
      </c>
      <c r="B63" s="630" t="s">
        <v>2422</v>
      </c>
      <c r="C63" s="631"/>
      <c r="D63" s="632"/>
      <c r="E63" s="632">
        <v>36324</v>
      </c>
      <c r="F63" s="632">
        <f>F64+F78</f>
        <v>36324</v>
      </c>
      <c r="G63" s="632">
        <f>G64+G78</f>
        <v>26671</v>
      </c>
      <c r="H63" s="632">
        <f>H64+H78</f>
        <v>9653</v>
      </c>
      <c r="I63" s="390">
        <f t="shared" ref="I63" si="16">D63-E63</f>
        <v>-36324</v>
      </c>
      <c r="J63" s="632"/>
      <c r="O63" s="263">
        <f>E63-G63-H63</f>
        <v>0</v>
      </c>
      <c r="P63" s="263">
        <f>E63-F63</f>
        <v>0</v>
      </c>
      <c r="Q63" s="680"/>
    </row>
    <row r="64" spans="1:17" s="263" customFormat="1" ht="16.5" customHeight="1">
      <c r="A64" s="352" t="s">
        <v>45</v>
      </c>
      <c r="B64" s="2" t="s">
        <v>67</v>
      </c>
      <c r="C64" s="631"/>
      <c r="D64" s="632"/>
      <c r="E64" s="632"/>
      <c r="F64" s="688">
        <f>F65+F66+F70+F72</f>
        <v>26671</v>
      </c>
      <c r="G64" s="688">
        <f>G65+G66+G70+G72</f>
        <v>26671</v>
      </c>
      <c r="H64" s="688">
        <f>H65+H66+H70+H72</f>
        <v>0</v>
      </c>
      <c r="I64" s="632"/>
      <c r="J64" s="632"/>
      <c r="Q64" s="680"/>
    </row>
    <row r="65" spans="1:17" s="240" customFormat="1" ht="17.25" hidden="1" customHeight="1" outlineLevel="1">
      <c r="A65" s="686" t="s">
        <v>23</v>
      </c>
      <c r="B65" s="256" t="s">
        <v>2003</v>
      </c>
      <c r="C65" s="687"/>
      <c r="D65" s="688"/>
      <c r="E65" s="688"/>
      <c r="F65" s="688"/>
      <c r="G65" s="688"/>
      <c r="H65" s="688"/>
      <c r="I65" s="688"/>
      <c r="J65" s="688"/>
      <c r="Q65" s="689"/>
    </row>
    <row r="66" spans="1:17" s="240" customFormat="1" ht="18" customHeight="1" collapsed="1">
      <c r="A66" s="686" t="s">
        <v>23</v>
      </c>
      <c r="B66" s="256" t="s">
        <v>2399</v>
      </c>
      <c r="C66" s="687"/>
      <c r="D66" s="688"/>
      <c r="E66" s="688"/>
      <c r="F66" s="688">
        <f>SUM(F67:F69)</f>
        <v>7558</v>
      </c>
      <c r="G66" s="688">
        <f>SUM(G67:G69)</f>
        <v>7558</v>
      </c>
      <c r="H66" s="688">
        <f>SUM(H67:H69)</f>
        <v>0</v>
      </c>
      <c r="I66" s="688"/>
      <c r="J66" s="688"/>
      <c r="Q66" s="689"/>
    </row>
    <row r="67" spans="1:17" s="694" customFormat="1" ht="42" customHeight="1">
      <c r="A67" s="690" t="s">
        <v>281</v>
      </c>
      <c r="B67" s="691" t="s">
        <v>2414</v>
      </c>
      <c r="C67" s="692"/>
      <c r="D67" s="693"/>
      <c r="E67" s="693"/>
      <c r="F67" s="693">
        <f>G67+H67</f>
        <v>2830</v>
      </c>
      <c r="G67" s="693">
        <v>2830</v>
      </c>
      <c r="H67" s="693"/>
      <c r="I67" s="693"/>
      <c r="J67" s="693"/>
      <c r="Q67" s="695"/>
    </row>
    <row r="68" spans="1:17" s="694" customFormat="1" ht="42" customHeight="1">
      <c r="A68" s="690" t="s">
        <v>281</v>
      </c>
      <c r="B68" s="691" t="s">
        <v>2415</v>
      </c>
      <c r="C68" s="692"/>
      <c r="D68" s="693"/>
      <c r="E68" s="693"/>
      <c r="F68" s="693">
        <f t="shared" ref="F68:F69" si="17">G68+H68</f>
        <v>4634</v>
      </c>
      <c r="G68" s="693">
        <v>4634</v>
      </c>
      <c r="H68" s="693"/>
      <c r="I68" s="693"/>
      <c r="J68" s="693"/>
      <c r="Q68" s="695"/>
    </row>
    <row r="69" spans="1:17" s="694" customFormat="1" ht="42" customHeight="1">
      <c r="A69" s="690" t="s">
        <v>281</v>
      </c>
      <c r="B69" s="691" t="s">
        <v>2416</v>
      </c>
      <c r="C69" s="692"/>
      <c r="D69" s="693"/>
      <c r="E69" s="693"/>
      <c r="F69" s="693">
        <f t="shared" si="17"/>
        <v>94</v>
      </c>
      <c r="G69" s="693">
        <v>94</v>
      </c>
      <c r="H69" s="693"/>
      <c r="I69" s="693"/>
      <c r="J69" s="693"/>
      <c r="Q69" s="695"/>
    </row>
    <row r="70" spans="1:17" s="240" customFormat="1" ht="16.5" customHeight="1">
      <c r="A70" s="686" t="s">
        <v>23</v>
      </c>
      <c r="B70" s="256" t="s">
        <v>2412</v>
      </c>
      <c r="C70" s="687"/>
      <c r="D70" s="688"/>
      <c r="E70" s="688"/>
      <c r="F70" s="688">
        <f>F71</f>
        <v>131</v>
      </c>
      <c r="G70" s="688">
        <f t="shared" ref="G70:H70" si="18">G71</f>
        <v>131</v>
      </c>
      <c r="H70" s="688">
        <f t="shared" si="18"/>
        <v>0</v>
      </c>
      <c r="I70" s="688"/>
      <c r="J70" s="688"/>
      <c r="Q70" s="689"/>
    </row>
    <row r="71" spans="1:17" s="694" customFormat="1" ht="31.5" customHeight="1">
      <c r="A71" s="690" t="s">
        <v>281</v>
      </c>
      <c r="B71" s="691" t="s">
        <v>1556</v>
      </c>
      <c r="C71" s="692"/>
      <c r="D71" s="693"/>
      <c r="E71" s="693"/>
      <c r="F71" s="693">
        <f>G71</f>
        <v>131</v>
      </c>
      <c r="G71" s="693">
        <v>131</v>
      </c>
      <c r="H71" s="693"/>
      <c r="I71" s="693"/>
      <c r="J71" s="693"/>
      <c r="Q71" s="695"/>
    </row>
    <row r="72" spans="1:17" s="240" customFormat="1" ht="16.5" customHeight="1">
      <c r="A72" s="686" t="s">
        <v>23</v>
      </c>
      <c r="B72" s="256" t="s">
        <v>2413</v>
      </c>
      <c r="C72" s="687"/>
      <c r="D72" s="688"/>
      <c r="E72" s="688"/>
      <c r="F72" s="688">
        <f>SUM(F73:F77)</f>
        <v>18982</v>
      </c>
      <c r="G72" s="688">
        <f>SUM(G73:G77)</f>
        <v>18982</v>
      </c>
      <c r="H72" s="688">
        <f>SUM(H73:H77)</f>
        <v>0</v>
      </c>
      <c r="I72" s="688"/>
      <c r="J72" s="688"/>
      <c r="Q72" s="689"/>
    </row>
    <row r="73" spans="1:17" s="694" customFormat="1">
      <c r="A73" s="690" t="s">
        <v>281</v>
      </c>
      <c r="B73" s="691" t="s">
        <v>354</v>
      </c>
      <c r="C73" s="692"/>
      <c r="D73" s="693"/>
      <c r="E73" s="693"/>
      <c r="F73" s="693">
        <f t="shared" ref="F73:F77" si="19">G73+H73</f>
        <v>4591</v>
      </c>
      <c r="G73" s="693">
        <f>6453-1198-664</f>
        <v>4591</v>
      </c>
      <c r="H73" s="693"/>
      <c r="I73" s="693"/>
      <c r="J73" s="693"/>
      <c r="Q73" s="695"/>
    </row>
    <row r="74" spans="1:17" s="694" customFormat="1" ht="27.6">
      <c r="A74" s="690" t="s">
        <v>281</v>
      </c>
      <c r="B74" s="691" t="s">
        <v>355</v>
      </c>
      <c r="C74" s="692"/>
      <c r="D74" s="693"/>
      <c r="E74" s="693"/>
      <c r="F74" s="693">
        <f t="shared" si="19"/>
        <v>3645</v>
      </c>
      <c r="G74" s="693">
        <v>3645</v>
      </c>
      <c r="H74" s="693"/>
      <c r="I74" s="693"/>
      <c r="J74" s="693"/>
      <c r="Q74" s="695"/>
    </row>
    <row r="75" spans="1:17" s="694" customFormat="1">
      <c r="A75" s="690" t="s">
        <v>281</v>
      </c>
      <c r="B75" s="691" t="s">
        <v>356</v>
      </c>
      <c r="C75" s="692"/>
      <c r="D75" s="693"/>
      <c r="E75" s="693"/>
      <c r="F75" s="693">
        <f t="shared" si="19"/>
        <v>3</v>
      </c>
      <c r="G75" s="693">
        <v>3</v>
      </c>
      <c r="H75" s="693"/>
      <c r="I75" s="693"/>
      <c r="J75" s="693"/>
      <c r="Q75" s="695"/>
    </row>
    <row r="76" spans="1:17" s="694" customFormat="1" ht="18" customHeight="1">
      <c r="A76" s="690" t="s">
        <v>281</v>
      </c>
      <c r="B76" s="691" t="s">
        <v>357</v>
      </c>
      <c r="C76" s="692"/>
      <c r="D76" s="693"/>
      <c r="E76" s="693"/>
      <c r="F76" s="693">
        <f t="shared" si="19"/>
        <v>3516</v>
      </c>
      <c r="G76" s="693">
        <v>3516</v>
      </c>
      <c r="H76" s="693"/>
      <c r="I76" s="693"/>
      <c r="J76" s="693"/>
      <c r="Q76" s="695"/>
    </row>
    <row r="77" spans="1:17" s="694" customFormat="1" ht="18" customHeight="1">
      <c r="A77" s="690" t="s">
        <v>281</v>
      </c>
      <c r="B77" s="691" t="s">
        <v>2417</v>
      </c>
      <c r="C77" s="692"/>
      <c r="D77" s="693"/>
      <c r="E77" s="693"/>
      <c r="F77" s="693">
        <f t="shared" si="19"/>
        <v>7227</v>
      </c>
      <c r="G77" s="693">
        <v>7227</v>
      </c>
      <c r="H77" s="693"/>
      <c r="I77" s="693"/>
      <c r="J77" s="693"/>
      <c r="Q77" s="695"/>
    </row>
    <row r="78" spans="1:17" s="240" customFormat="1" ht="16.5" customHeight="1">
      <c r="A78" s="352" t="s">
        <v>47</v>
      </c>
      <c r="B78" s="2" t="s">
        <v>1367</v>
      </c>
      <c r="C78" s="687"/>
      <c r="D78" s="688"/>
      <c r="E78" s="688"/>
      <c r="F78" s="688">
        <f>G78+H78</f>
        <v>9653</v>
      </c>
      <c r="G78" s="688"/>
      <c r="H78" s="688">
        <f>'Bieu 09a_TT_TUBSMT huyen'!C12</f>
        <v>9653</v>
      </c>
      <c r="I78" s="688"/>
      <c r="J78" s="688"/>
      <c r="Q78" s="689"/>
    </row>
    <row r="79" spans="1:17" ht="6" customHeight="1">
      <c r="A79" s="637"/>
      <c r="B79" s="638"/>
      <c r="C79" s="639"/>
      <c r="D79" s="640"/>
      <c r="E79" s="641"/>
      <c r="F79" s="641"/>
      <c r="G79" s="641"/>
      <c r="H79" s="641"/>
      <c r="I79" s="641"/>
      <c r="J79" s="641"/>
    </row>
    <row r="80" spans="1:17" ht="8.4" customHeight="1">
      <c r="B80" s="391"/>
      <c r="D80" s="571"/>
    </row>
    <row r="81" spans="1:10" ht="29.25" customHeight="1">
      <c r="A81" s="1700" t="s">
        <v>1577</v>
      </c>
      <c r="B81" s="1700"/>
      <c r="C81" s="1700"/>
      <c r="D81" s="1700"/>
      <c r="E81" s="1700"/>
      <c r="F81" s="1700"/>
      <c r="G81" s="1700"/>
      <c r="H81" s="1700"/>
      <c r="I81" s="1700"/>
      <c r="J81" s="1700"/>
    </row>
  </sheetData>
  <mergeCells count="17">
    <mergeCell ref="G8:G9"/>
    <mergeCell ref="H8:H9"/>
    <mergeCell ref="M34:Q34"/>
    <mergeCell ref="A81:J81"/>
    <mergeCell ref="A5:H5"/>
    <mergeCell ref="A3:B3"/>
    <mergeCell ref="A4:J4"/>
    <mergeCell ref="G6:H6"/>
    <mergeCell ref="A7:A9"/>
    <mergeCell ref="B7:B9"/>
    <mergeCell ref="C7:C9"/>
    <mergeCell ref="D7:D9"/>
    <mergeCell ref="E7:E9"/>
    <mergeCell ref="F7:F9"/>
    <mergeCell ref="G7:H7"/>
    <mergeCell ref="I7:I9"/>
    <mergeCell ref="J7:J9"/>
  </mergeCells>
  <printOptions horizontalCentered="1"/>
  <pageMargins left="0.59055118110236227" right="0.59055118110236227" top="0.35433070866141736" bottom="0.43307086614173229" header="0.19685039370078741" footer="0.23622047244094491"/>
  <pageSetup paperSize="9" scale="85" fitToHeight="0" orientation="portrait" r:id="rId1"/>
  <headerFooter>
    <oddFooter>&amp;R&amp;P/&amp;N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24"/>
  <sheetViews>
    <sheetView tabSelected="1" zoomScaleNormal="100" workbookViewId="0">
      <pane xSplit="2" ySplit="7" topLeftCell="C8" activePane="bottomRight" state="frozen"/>
      <selection activeCell="O28" sqref="O28"/>
      <selection pane="topRight" activeCell="O28" sqref="O28"/>
      <selection pane="bottomLeft" activeCell="O28" sqref="O28"/>
      <selection pane="bottomRight" activeCell="G12" sqref="G12"/>
    </sheetView>
  </sheetViews>
  <sheetFormatPr defaultColWidth="9.109375" defaultRowHeight="15.6" outlineLevelRow="1"/>
  <cols>
    <col min="1" max="1" width="5.109375" style="699" customWidth="1"/>
    <col min="2" max="2" width="57.6640625" style="700" customWidth="1"/>
    <col min="3" max="3" width="10.44140625" style="698" customWidth="1"/>
    <col min="4" max="5" width="9.109375" style="698" customWidth="1"/>
    <col min="6" max="6" width="9.109375" style="1430" customWidth="1"/>
    <col min="7" max="13" width="9.109375" style="698" customWidth="1"/>
    <col min="14" max="16384" width="9.109375" style="698"/>
  </cols>
  <sheetData>
    <row r="1" spans="1:13" ht="18" customHeight="1">
      <c r="A1" s="697" t="s">
        <v>2468</v>
      </c>
      <c r="B1" s="698"/>
    </row>
    <row r="2" spans="1:13" collapsed="1">
      <c r="C2" s="701"/>
    </row>
    <row r="3" spans="1:13" ht="26.4" customHeight="1">
      <c r="A3" s="1714" t="s">
        <v>2512</v>
      </c>
      <c r="B3" s="1715"/>
      <c r="C3" s="1715"/>
      <c r="D3" s="1715"/>
      <c r="E3" s="1715"/>
      <c r="F3" s="1715"/>
      <c r="G3" s="1715"/>
      <c r="H3" s="1715"/>
      <c r="I3" s="1715"/>
      <c r="J3" s="1715"/>
      <c r="K3" s="1715"/>
      <c r="L3" s="1715"/>
      <c r="M3" s="1715"/>
    </row>
    <row r="4" spans="1:13" ht="15" customHeight="1">
      <c r="A4" s="1722" t="s">
        <v>1903</v>
      </c>
      <c r="B4" s="1722"/>
      <c r="C4" s="1722"/>
      <c r="D4" s="1722"/>
      <c r="E4" s="1722"/>
      <c r="F4" s="1722"/>
      <c r="G4" s="1722"/>
      <c r="H4" s="1722"/>
      <c r="I4" s="1722"/>
      <c r="J4" s="1722"/>
      <c r="K4" s="1722"/>
      <c r="L4" s="1722"/>
      <c r="M4" s="1722"/>
    </row>
    <row r="5" spans="1:13" ht="18" customHeight="1">
      <c r="B5" s="702"/>
      <c r="C5" s="703"/>
      <c r="L5" s="1716" t="s">
        <v>0</v>
      </c>
      <c r="M5" s="1716"/>
    </row>
    <row r="6" spans="1:13" s="704" customFormat="1" ht="18" customHeight="1">
      <c r="A6" s="1717" t="s">
        <v>1</v>
      </c>
      <c r="B6" s="1718" t="s">
        <v>273</v>
      </c>
      <c r="C6" s="1718" t="s">
        <v>274</v>
      </c>
      <c r="D6" s="1719" t="s">
        <v>1387</v>
      </c>
      <c r="E6" s="1720"/>
      <c r="F6" s="1720"/>
      <c r="G6" s="1720"/>
      <c r="H6" s="1720"/>
      <c r="I6" s="1720"/>
      <c r="J6" s="1720"/>
      <c r="K6" s="1720"/>
      <c r="L6" s="1720"/>
      <c r="M6" s="1721"/>
    </row>
    <row r="7" spans="1:13" s="706" customFormat="1" ht="50.4" customHeight="1">
      <c r="A7" s="1717"/>
      <c r="B7" s="1718"/>
      <c r="C7" s="1718"/>
      <c r="D7" s="705" t="s">
        <v>4</v>
      </c>
      <c r="E7" s="705" t="s">
        <v>5</v>
      </c>
      <c r="F7" s="1431" t="s">
        <v>6</v>
      </c>
      <c r="G7" s="705" t="s">
        <v>7</v>
      </c>
      <c r="H7" s="705" t="s">
        <v>8</v>
      </c>
      <c r="I7" s="705" t="s">
        <v>9</v>
      </c>
      <c r="J7" s="705" t="s">
        <v>10</v>
      </c>
      <c r="K7" s="705" t="s">
        <v>11</v>
      </c>
      <c r="L7" s="705" t="s">
        <v>12</v>
      </c>
      <c r="M7" s="705" t="s">
        <v>13</v>
      </c>
    </row>
    <row r="8" spans="1:13" s="704" customFormat="1" ht="24.9" customHeight="1">
      <c r="A8" s="707"/>
      <c r="B8" s="708" t="s">
        <v>1366</v>
      </c>
      <c r="C8" s="709">
        <f>C9+C10+C11+C12</f>
        <v>59211</v>
      </c>
      <c r="D8" s="709">
        <f t="shared" ref="D8:M8" si="0">D9+D10+D11+D12</f>
        <v>1731</v>
      </c>
      <c r="E8" s="709">
        <f t="shared" si="0"/>
        <v>7062</v>
      </c>
      <c r="F8" s="1432">
        <f t="shared" si="0"/>
        <v>10704</v>
      </c>
      <c r="G8" s="709">
        <f t="shared" si="0"/>
        <v>10101</v>
      </c>
      <c r="H8" s="709">
        <f t="shared" si="0"/>
        <v>-1146</v>
      </c>
      <c r="I8" s="709">
        <f t="shared" si="0"/>
        <v>2167</v>
      </c>
      <c r="J8" s="709">
        <f t="shared" si="0"/>
        <v>10017</v>
      </c>
      <c r="K8" s="709">
        <f t="shared" si="0"/>
        <v>3190</v>
      </c>
      <c r="L8" s="709">
        <f t="shared" si="0"/>
        <v>6217</v>
      </c>
      <c r="M8" s="709">
        <f t="shared" si="0"/>
        <v>9168</v>
      </c>
    </row>
    <row r="9" spans="1:13" ht="29.4" customHeight="1">
      <c r="A9" s="710" t="s">
        <v>18</v>
      </c>
      <c r="B9" s="711" t="s">
        <v>1370</v>
      </c>
      <c r="C9" s="712">
        <f>SUM(D9:M9)</f>
        <v>1084</v>
      </c>
      <c r="D9" s="713">
        <v>184</v>
      </c>
      <c r="E9" s="713">
        <v>100</v>
      </c>
      <c r="F9" s="1433">
        <v>100</v>
      </c>
      <c r="G9" s="713">
        <v>100</v>
      </c>
      <c r="H9" s="713">
        <v>100</v>
      </c>
      <c r="I9" s="713">
        <v>100</v>
      </c>
      <c r="J9" s="713">
        <v>100</v>
      </c>
      <c r="K9" s="713">
        <v>100</v>
      </c>
      <c r="L9" s="713">
        <v>100</v>
      </c>
      <c r="M9" s="713">
        <v>100</v>
      </c>
    </row>
    <row r="10" spans="1:13" ht="29.4" customHeight="1">
      <c r="A10" s="714">
        <v>2</v>
      </c>
      <c r="B10" s="715" t="s">
        <v>1570</v>
      </c>
      <c r="C10" s="712">
        <f>SUM(D10:M10)</f>
        <v>168</v>
      </c>
      <c r="D10" s="716"/>
      <c r="E10" s="716"/>
      <c r="F10" s="1434"/>
      <c r="G10" s="716"/>
      <c r="H10" s="716"/>
      <c r="I10" s="716"/>
      <c r="J10" s="716"/>
      <c r="K10" s="716"/>
      <c r="L10" s="716">
        <v>168</v>
      </c>
      <c r="M10" s="716"/>
    </row>
    <row r="11" spans="1:13" ht="29.4" customHeight="1">
      <c r="A11" s="710">
        <v>3</v>
      </c>
      <c r="B11" s="715" t="s">
        <v>2008</v>
      </c>
      <c r="C11" s="712">
        <f>SUM(D11:M11)</f>
        <v>48306</v>
      </c>
      <c r="D11" s="716">
        <v>4440</v>
      </c>
      <c r="E11" s="716">
        <v>7462</v>
      </c>
      <c r="F11" s="1434">
        <v>9634</v>
      </c>
      <c r="G11" s="716">
        <v>7864</v>
      </c>
      <c r="H11" s="716">
        <v>4916</v>
      </c>
      <c r="I11" s="716">
        <v>4340</v>
      </c>
      <c r="J11" s="716">
        <v>5703</v>
      </c>
      <c r="K11" s="716">
        <v>3451</v>
      </c>
      <c r="L11" s="716">
        <v>496</v>
      </c>
      <c r="M11" s="716">
        <v>0</v>
      </c>
    </row>
    <row r="12" spans="1:13" s="720" customFormat="1" ht="29.4" customHeight="1">
      <c r="A12" s="717">
        <v>4</v>
      </c>
      <c r="B12" s="715" t="s">
        <v>2422</v>
      </c>
      <c r="C12" s="719">
        <f>SUM(C13:C21)</f>
        <v>9653</v>
      </c>
      <c r="D12" s="719">
        <f>SUM(D13:D21)</f>
        <v>-2893</v>
      </c>
      <c r="E12" s="719">
        <f t="shared" ref="E12:M12" si="1">SUM(E13:E21)</f>
        <v>-500</v>
      </c>
      <c r="F12" s="1435">
        <f t="shared" si="1"/>
        <v>970</v>
      </c>
      <c r="G12" s="719">
        <f t="shared" si="1"/>
        <v>2137</v>
      </c>
      <c r="H12" s="719">
        <f t="shared" si="1"/>
        <v>-6162</v>
      </c>
      <c r="I12" s="719">
        <f t="shared" si="1"/>
        <v>-2273</v>
      </c>
      <c r="J12" s="719">
        <f t="shared" si="1"/>
        <v>4214</v>
      </c>
      <c r="K12" s="719">
        <f t="shared" si="1"/>
        <v>-361</v>
      </c>
      <c r="L12" s="719">
        <f t="shared" si="1"/>
        <v>5453</v>
      </c>
      <c r="M12" s="719">
        <f t="shared" si="1"/>
        <v>9068</v>
      </c>
    </row>
    <row r="13" spans="1:13" s="720" customFormat="1" ht="46.8" hidden="1" outlineLevel="1">
      <c r="A13" s="717" t="s">
        <v>23</v>
      </c>
      <c r="B13" s="715" t="s">
        <v>2418</v>
      </c>
      <c r="C13" s="718">
        <f>SUM(D13:M13)</f>
        <v>433</v>
      </c>
      <c r="D13" s="719">
        <v>77</v>
      </c>
      <c r="E13" s="719">
        <v>-278</v>
      </c>
      <c r="F13" s="1435">
        <v>356</v>
      </c>
      <c r="G13" s="719">
        <v>14</v>
      </c>
      <c r="H13" s="719">
        <v>-657</v>
      </c>
      <c r="I13" s="719">
        <v>-27</v>
      </c>
      <c r="J13" s="719">
        <v>420</v>
      </c>
      <c r="K13" s="719">
        <v>-160</v>
      </c>
      <c r="L13" s="719">
        <v>768</v>
      </c>
      <c r="M13" s="719">
        <v>-80</v>
      </c>
    </row>
    <row r="14" spans="1:13" s="720" customFormat="1" ht="46.8" hidden="1" outlineLevel="1">
      <c r="A14" s="717" t="s">
        <v>23</v>
      </c>
      <c r="B14" s="715" t="s">
        <v>2419</v>
      </c>
      <c r="C14" s="718">
        <f t="shared" ref="C14:C21" si="2">SUM(D14:M14)</f>
        <v>931</v>
      </c>
      <c r="D14" s="719">
        <v>101</v>
      </c>
      <c r="E14" s="719">
        <v>-50</v>
      </c>
      <c r="F14" s="1435">
        <v>92</v>
      </c>
      <c r="G14" s="719">
        <v>-142</v>
      </c>
      <c r="H14" s="719">
        <v>-135</v>
      </c>
      <c r="I14" s="719">
        <v>313</v>
      </c>
      <c r="J14" s="719">
        <v>53</v>
      </c>
      <c r="K14" s="719">
        <v>354</v>
      </c>
      <c r="L14" s="719">
        <v>226</v>
      </c>
      <c r="M14" s="719">
        <v>119</v>
      </c>
    </row>
    <row r="15" spans="1:13" s="720" customFormat="1" ht="46.8" hidden="1" outlineLevel="1">
      <c r="A15" s="717" t="s">
        <v>23</v>
      </c>
      <c r="B15" s="715" t="s">
        <v>2420</v>
      </c>
      <c r="C15" s="718">
        <f t="shared" si="2"/>
        <v>17072</v>
      </c>
      <c r="D15" s="719">
        <v>546</v>
      </c>
      <c r="E15" s="719">
        <v>-456</v>
      </c>
      <c r="F15" s="1435">
        <v>689</v>
      </c>
      <c r="G15" s="719">
        <v>1620</v>
      </c>
      <c r="H15" s="719">
        <v>1300</v>
      </c>
      <c r="I15" s="719">
        <v>-697</v>
      </c>
      <c r="J15" s="719">
        <v>2900</v>
      </c>
      <c r="K15" s="719">
        <v>920</v>
      </c>
      <c r="L15" s="719">
        <v>5646</v>
      </c>
      <c r="M15" s="719">
        <v>4604</v>
      </c>
    </row>
    <row r="16" spans="1:13" s="720" customFormat="1" ht="46.8" hidden="1" outlineLevel="1">
      <c r="A16" s="717" t="s">
        <v>23</v>
      </c>
      <c r="B16" s="715" t="s">
        <v>2414</v>
      </c>
      <c r="C16" s="718">
        <f t="shared" si="2"/>
        <v>7802</v>
      </c>
      <c r="D16" s="719">
        <v>597</v>
      </c>
      <c r="E16" s="719">
        <v>1971</v>
      </c>
      <c r="F16" s="1435">
        <v>127</v>
      </c>
      <c r="G16" s="719">
        <v>259</v>
      </c>
      <c r="H16" s="719">
        <v>20</v>
      </c>
      <c r="I16" s="719">
        <v>945</v>
      </c>
      <c r="J16" s="719">
        <v>1114</v>
      </c>
      <c r="K16" s="719">
        <v>-697</v>
      </c>
      <c r="L16" s="719">
        <v>1771</v>
      </c>
      <c r="M16" s="719">
        <v>1695</v>
      </c>
    </row>
    <row r="17" spans="1:13" s="720" customFormat="1" ht="29.4" hidden="1" customHeight="1" outlineLevel="1">
      <c r="A17" s="717" t="s">
        <v>23</v>
      </c>
      <c r="B17" s="715" t="s">
        <v>2416</v>
      </c>
      <c r="C17" s="718">
        <f t="shared" si="2"/>
        <v>3506</v>
      </c>
      <c r="D17" s="719">
        <v>26</v>
      </c>
      <c r="E17" s="719">
        <v>0</v>
      </c>
      <c r="F17" s="1435">
        <v>0</v>
      </c>
      <c r="G17" s="719">
        <v>1199</v>
      </c>
      <c r="H17" s="719">
        <v>0</v>
      </c>
      <c r="I17" s="719">
        <v>2281</v>
      </c>
      <c r="J17" s="719">
        <v>0</v>
      </c>
      <c r="K17" s="719">
        <v>0</v>
      </c>
      <c r="L17" s="719">
        <v>0</v>
      </c>
      <c r="M17" s="719">
        <v>0</v>
      </c>
    </row>
    <row r="18" spans="1:13" s="720" customFormat="1" ht="29.4" hidden="1" customHeight="1" outlineLevel="1">
      <c r="A18" s="717" t="s">
        <v>23</v>
      </c>
      <c r="B18" s="715" t="s">
        <v>167</v>
      </c>
      <c r="C18" s="718">
        <f t="shared" si="2"/>
        <v>867</v>
      </c>
      <c r="D18" s="719">
        <v>615</v>
      </c>
      <c r="E18" s="719">
        <v>118</v>
      </c>
      <c r="F18" s="1435">
        <v>255</v>
      </c>
      <c r="G18" s="719">
        <v>-101</v>
      </c>
      <c r="H18" s="719">
        <v>-134</v>
      </c>
      <c r="I18" s="719">
        <v>79</v>
      </c>
      <c r="J18" s="719">
        <v>1</v>
      </c>
      <c r="K18" s="719">
        <v>9</v>
      </c>
      <c r="L18" s="719">
        <v>27</v>
      </c>
      <c r="M18" s="719">
        <v>-2</v>
      </c>
    </row>
    <row r="19" spans="1:13" s="720" customFormat="1" ht="29.4" hidden="1" customHeight="1" outlineLevel="1">
      <c r="A19" s="717" t="s">
        <v>23</v>
      </c>
      <c r="B19" s="715" t="s">
        <v>168</v>
      </c>
      <c r="C19" s="718">
        <f t="shared" si="2"/>
        <v>242</v>
      </c>
      <c r="D19" s="719">
        <v>-3</v>
      </c>
      <c r="E19" s="719">
        <v>153</v>
      </c>
      <c r="F19" s="1435">
        <v>-7</v>
      </c>
      <c r="G19" s="719">
        <v>-10</v>
      </c>
      <c r="H19" s="719">
        <v>41</v>
      </c>
      <c r="I19" s="719">
        <v>44</v>
      </c>
      <c r="J19" s="719">
        <v>34</v>
      </c>
      <c r="K19" s="719">
        <v>7</v>
      </c>
      <c r="L19" s="719">
        <v>-17</v>
      </c>
      <c r="M19" s="719">
        <v>0</v>
      </c>
    </row>
    <row r="20" spans="1:13" s="720" customFormat="1" ht="29.4" hidden="1" customHeight="1" outlineLevel="1">
      <c r="A20" s="717" t="s">
        <v>23</v>
      </c>
      <c r="B20" s="715" t="s">
        <v>1556</v>
      </c>
      <c r="C20" s="718">
        <f t="shared" si="2"/>
        <v>-18737</v>
      </c>
      <c r="D20" s="719">
        <v>-4291</v>
      </c>
      <c r="E20" s="719">
        <v>-998</v>
      </c>
      <c r="F20" s="1435">
        <v>-69</v>
      </c>
      <c r="G20" s="719">
        <v>-543</v>
      </c>
      <c r="H20" s="719">
        <v>-7111</v>
      </c>
      <c r="I20" s="719">
        <v>-5158</v>
      </c>
      <c r="J20" s="719">
        <v>55</v>
      </c>
      <c r="K20" s="719">
        <v>-338</v>
      </c>
      <c r="L20" s="719">
        <v>-3016</v>
      </c>
      <c r="M20" s="719">
        <v>2732</v>
      </c>
    </row>
    <row r="21" spans="1:13" s="720" customFormat="1" ht="29.4" hidden="1" customHeight="1" outlineLevel="1">
      <c r="A21" s="717" t="s">
        <v>23</v>
      </c>
      <c r="B21" s="715" t="s">
        <v>1557</v>
      </c>
      <c r="C21" s="718">
        <f t="shared" si="2"/>
        <v>-2463</v>
      </c>
      <c r="D21" s="719">
        <v>-561</v>
      </c>
      <c r="E21" s="719">
        <v>-960</v>
      </c>
      <c r="F21" s="1435">
        <v>-473</v>
      </c>
      <c r="G21" s="719">
        <v>-159</v>
      </c>
      <c r="H21" s="719">
        <v>514</v>
      </c>
      <c r="I21" s="719">
        <v>-53</v>
      </c>
      <c r="J21" s="719">
        <v>-363</v>
      </c>
      <c r="K21" s="719">
        <v>-456</v>
      </c>
      <c r="L21" s="719">
        <v>48</v>
      </c>
      <c r="M21" s="719">
        <v>0</v>
      </c>
    </row>
    <row r="22" spans="1:13" ht="11.25" customHeight="1" collapsed="1">
      <c r="A22" s="721"/>
      <c r="B22" s="722"/>
      <c r="C22" s="723"/>
      <c r="D22" s="724"/>
      <c r="E22" s="724"/>
      <c r="F22" s="1436"/>
      <c r="G22" s="724"/>
      <c r="H22" s="724"/>
      <c r="I22" s="724"/>
      <c r="J22" s="724"/>
      <c r="K22" s="724"/>
      <c r="L22" s="724"/>
      <c r="M22" s="724"/>
    </row>
    <row r="23" spans="1:13" ht="14.25" customHeight="1">
      <c r="B23" s="1713"/>
      <c r="C23" s="1713"/>
      <c r="D23" s="1713"/>
      <c r="E23" s="1713"/>
      <c r="F23" s="1713"/>
      <c r="G23" s="1713"/>
      <c r="H23" s="1713"/>
      <c r="I23" s="1713"/>
      <c r="J23" s="1713"/>
      <c r="K23" s="1713"/>
      <c r="L23" s="1713"/>
      <c r="M23" s="1713"/>
    </row>
    <row r="24" spans="1:13" ht="78.75" customHeight="1">
      <c r="A24" s="1712" t="s">
        <v>2423</v>
      </c>
      <c r="B24" s="1712"/>
      <c r="C24" s="1712"/>
      <c r="D24" s="1712"/>
      <c r="E24" s="1712"/>
      <c r="F24" s="1712"/>
      <c r="G24" s="1712"/>
      <c r="H24" s="1712"/>
      <c r="I24" s="1712"/>
      <c r="J24" s="1712"/>
      <c r="K24" s="1712"/>
      <c r="L24" s="1712"/>
      <c r="M24" s="1712"/>
    </row>
  </sheetData>
  <mergeCells count="9">
    <mergeCell ref="A24:M24"/>
    <mergeCell ref="B23:M23"/>
    <mergeCell ref="A3:M3"/>
    <mergeCell ref="L5:M5"/>
    <mergeCell ref="A6:A7"/>
    <mergeCell ref="B6:B7"/>
    <mergeCell ref="C6:C7"/>
    <mergeCell ref="D6:M6"/>
    <mergeCell ref="A4:M4"/>
  </mergeCells>
  <printOptions horizontalCentered="1"/>
  <pageMargins left="0.78740157480314965" right="0.39370078740157483" top="0.51181102362204722" bottom="0.47244094488188981" header="0.19685039370078741" footer="0.27559055118110237"/>
  <pageSetup paperSize="9" scale="75" fitToHeight="0" orientation="landscape" r:id="rId1"/>
  <headerFooter>
    <oddFooter>&amp;R&amp;P/&amp;N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7"/>
  <sheetViews>
    <sheetView zoomScale="70" zoomScaleNormal="70" workbookViewId="0">
      <pane xSplit="7" ySplit="9" topLeftCell="H10" activePane="bottomRight" state="frozen"/>
      <selection pane="topRight" activeCell="H1" sqref="H1"/>
      <selection pane="bottomLeft" activeCell="A10" sqref="A10"/>
      <selection pane="bottomRight" activeCell="W33" sqref="W33"/>
    </sheetView>
  </sheetViews>
  <sheetFormatPr defaultColWidth="9.109375" defaultRowHeight="16.8" outlineLevelRow="1" outlineLevelCol="1"/>
  <cols>
    <col min="1" max="1" width="8" style="884" customWidth="1"/>
    <col min="2" max="2" width="51.33203125" style="885" customWidth="1"/>
    <col min="3" max="3" width="14.33203125" style="237" hidden="1" customWidth="1" outlineLevel="1"/>
    <col min="4" max="4" width="16" style="884" hidden="1" customWidth="1" outlineLevel="1"/>
    <col min="5" max="5" width="14.5546875" style="884" hidden="1" customWidth="1" outlineLevel="1"/>
    <col min="6" max="6" width="18" style="884" hidden="1" customWidth="1" outlineLevel="1"/>
    <col min="7" max="7" width="16.44140625" style="884" hidden="1" customWidth="1" outlineLevel="1"/>
    <col min="8" max="8" width="15.33203125" style="886" customWidth="1" collapsed="1"/>
    <col min="9" max="9" width="12.88671875" style="886" customWidth="1"/>
    <col min="10" max="12" width="10.88671875" style="886" customWidth="1"/>
    <col min="13" max="13" width="16" style="886" customWidth="1"/>
    <col min="14" max="14" width="13.33203125" style="886" customWidth="1"/>
    <col min="15" max="15" width="12.109375" style="886" customWidth="1"/>
    <col min="16" max="16" width="27.6640625" style="886" customWidth="1"/>
    <col min="17" max="17" width="16.109375" style="886" customWidth="1"/>
    <col min="18" max="18" width="15.88671875" style="886" hidden="1" customWidth="1"/>
    <col min="19" max="19" width="13.33203125" style="886" customWidth="1"/>
    <col min="20" max="20" width="19.33203125" style="886" customWidth="1"/>
    <col min="21" max="21" width="15.88671875" style="886" customWidth="1"/>
    <col min="22" max="22" width="13.88671875" style="886" customWidth="1"/>
    <col min="23" max="23" width="22.6640625" style="884" customWidth="1"/>
    <col min="24" max="24" width="53.109375" style="884" hidden="1" customWidth="1" outlineLevel="1"/>
    <col min="25" max="25" width="14.33203125" style="884" hidden="1" customWidth="1" collapsed="1"/>
    <col min="26" max="26" width="17.44140625" style="884" hidden="1" customWidth="1"/>
    <col min="27" max="27" width="9.109375" style="884"/>
    <col min="28" max="28" width="13.44140625" style="884" bestFit="1" customWidth="1"/>
    <col min="29" max="16384" width="9.109375" style="884"/>
  </cols>
  <sheetData>
    <row r="1" spans="1:28" ht="29.25" customHeight="1">
      <c r="B1" s="885" t="s">
        <v>1840</v>
      </c>
      <c r="W1" s="1117">
        <f>(N10-N30)/(J12+K12)</f>
        <v>0.14318095321325602</v>
      </c>
    </row>
    <row r="2" spans="1:28" ht="45" customHeight="1">
      <c r="A2" s="1723" t="s">
        <v>1969</v>
      </c>
      <c r="B2" s="1723"/>
      <c r="C2" s="1723"/>
      <c r="D2" s="1723"/>
      <c r="E2" s="1723"/>
      <c r="F2" s="1723"/>
      <c r="G2" s="1723"/>
      <c r="H2" s="1723"/>
      <c r="I2" s="1723"/>
      <c r="J2" s="1723"/>
      <c r="K2" s="1723"/>
      <c r="L2" s="1723"/>
      <c r="M2" s="1723"/>
      <c r="N2" s="1723"/>
      <c r="O2" s="1723"/>
      <c r="P2" s="1723"/>
      <c r="Q2" s="1723"/>
      <c r="R2" s="1723"/>
      <c r="S2" s="1723"/>
      <c r="T2" s="1723"/>
      <c r="U2" s="1723"/>
      <c r="V2" s="1723"/>
      <c r="W2" s="1723"/>
    </row>
    <row r="3" spans="1:28">
      <c r="A3" s="1021"/>
      <c r="B3" s="887"/>
      <c r="C3" s="238"/>
      <c r="D3" s="888"/>
      <c r="E3" s="1021"/>
      <c r="F3" s="1021"/>
      <c r="G3" s="888"/>
      <c r="H3" s="889"/>
      <c r="I3" s="890"/>
      <c r="J3" s="890"/>
      <c r="K3" s="890"/>
      <c r="L3" s="890"/>
      <c r="M3" s="890"/>
      <c r="N3" s="890"/>
      <c r="O3" s="890"/>
      <c r="P3" s="890"/>
      <c r="Q3" s="890"/>
      <c r="R3" s="890"/>
      <c r="S3" s="890"/>
      <c r="T3" s="890"/>
      <c r="U3" s="890"/>
      <c r="V3" s="890"/>
      <c r="W3" s="891" t="s">
        <v>0</v>
      </c>
    </row>
    <row r="4" spans="1:28" ht="42" customHeight="1">
      <c r="A4" s="1724" t="s">
        <v>1</v>
      </c>
      <c r="B4" s="1724" t="s">
        <v>642</v>
      </c>
      <c r="C4" s="1725" t="s">
        <v>1687</v>
      </c>
      <c r="D4" s="1724" t="s">
        <v>1406</v>
      </c>
      <c r="E4" s="1724" t="s">
        <v>65</v>
      </c>
      <c r="F4" s="1724"/>
      <c r="G4" s="1724"/>
      <c r="H4" s="1726" t="s">
        <v>1407</v>
      </c>
      <c r="I4" s="1727" t="s">
        <v>65</v>
      </c>
      <c r="J4" s="1728"/>
      <c r="K4" s="1728"/>
      <c r="L4" s="1729"/>
      <c r="M4" s="1724" t="s">
        <v>1408</v>
      </c>
      <c r="N4" s="1727" t="s">
        <v>1409</v>
      </c>
      <c r="O4" s="1728"/>
      <c r="P4" s="1728"/>
      <c r="Q4" s="1728"/>
      <c r="R4" s="1728"/>
      <c r="S4" s="1728"/>
      <c r="T4" s="1728"/>
      <c r="U4" s="1728"/>
      <c r="V4" s="1022"/>
      <c r="W4" s="1724" t="s">
        <v>643</v>
      </c>
    </row>
    <row r="5" spans="1:28" ht="21" hidden="1" customHeight="1">
      <c r="A5" s="1724"/>
      <c r="B5" s="1724"/>
      <c r="C5" s="1725"/>
      <c r="D5" s="1724"/>
      <c r="E5" s="892"/>
      <c r="F5" s="892"/>
      <c r="G5" s="892"/>
      <c r="H5" s="1726"/>
      <c r="I5" s="892"/>
      <c r="J5" s="892"/>
      <c r="K5" s="892"/>
      <c r="L5" s="892"/>
      <c r="M5" s="1724"/>
      <c r="N5" s="1724" t="s">
        <v>1410</v>
      </c>
      <c r="O5" s="1724" t="s">
        <v>1411</v>
      </c>
      <c r="P5" s="1724" t="s">
        <v>1412</v>
      </c>
      <c r="Q5" s="1724" t="s">
        <v>1413</v>
      </c>
      <c r="R5" s="1724" t="s">
        <v>1414</v>
      </c>
      <c r="S5" s="1730" t="s">
        <v>1462</v>
      </c>
      <c r="T5" s="893"/>
      <c r="U5" s="893" t="s">
        <v>65</v>
      </c>
      <c r="V5" s="893"/>
      <c r="W5" s="1724"/>
      <c r="X5" s="886"/>
    </row>
    <row r="6" spans="1:28" ht="25.5" customHeight="1">
      <c r="A6" s="1724"/>
      <c r="B6" s="1724"/>
      <c r="C6" s="1725"/>
      <c r="D6" s="1724"/>
      <c r="E6" s="1726" t="s">
        <v>1453</v>
      </c>
      <c r="F6" s="1726" t="s">
        <v>1415</v>
      </c>
      <c r="G6" s="1726" t="s">
        <v>1416</v>
      </c>
      <c r="H6" s="1726"/>
      <c r="I6" s="1726" t="s">
        <v>286</v>
      </c>
      <c r="J6" s="1726" t="s">
        <v>644</v>
      </c>
      <c r="K6" s="1726" t="s">
        <v>645</v>
      </c>
      <c r="L6" s="1735" t="s">
        <v>2377</v>
      </c>
      <c r="M6" s="1724"/>
      <c r="N6" s="1724"/>
      <c r="O6" s="1724"/>
      <c r="P6" s="1724"/>
      <c r="Q6" s="1724"/>
      <c r="R6" s="1724"/>
      <c r="S6" s="1734"/>
      <c r="T6" s="1724" t="s">
        <v>65</v>
      </c>
      <c r="U6" s="1724"/>
      <c r="V6" s="1730" t="s">
        <v>1463</v>
      </c>
      <c r="W6" s="1724"/>
      <c r="X6" s="886"/>
    </row>
    <row r="7" spans="1:28" ht="202.5" customHeight="1">
      <c r="A7" s="1724"/>
      <c r="B7" s="1724"/>
      <c r="C7" s="1725"/>
      <c r="D7" s="1724"/>
      <c r="E7" s="1726"/>
      <c r="F7" s="1726"/>
      <c r="G7" s="1726"/>
      <c r="H7" s="1726"/>
      <c r="I7" s="1726"/>
      <c r="J7" s="1726"/>
      <c r="K7" s="1726"/>
      <c r="L7" s="1736"/>
      <c r="M7" s="1724"/>
      <c r="N7" s="1724"/>
      <c r="O7" s="1724"/>
      <c r="P7" s="1724"/>
      <c r="Q7" s="1724"/>
      <c r="R7" s="1724"/>
      <c r="S7" s="1731"/>
      <c r="T7" s="1020" t="s">
        <v>1894</v>
      </c>
      <c r="U7" s="1020" t="s">
        <v>1458</v>
      </c>
      <c r="V7" s="1731"/>
      <c r="W7" s="1724"/>
      <c r="X7" s="894"/>
    </row>
    <row r="8" spans="1:28" ht="48" customHeight="1">
      <c r="A8" s="895">
        <v>1</v>
      </c>
      <c r="B8" s="895">
        <v>2</v>
      </c>
      <c r="C8" s="895">
        <v>3</v>
      </c>
      <c r="D8" s="895" t="s">
        <v>1417</v>
      </c>
      <c r="E8" s="895" t="s">
        <v>813</v>
      </c>
      <c r="F8" s="895" t="s">
        <v>814</v>
      </c>
      <c r="G8" s="895" t="s">
        <v>1418</v>
      </c>
      <c r="H8" s="895" t="s">
        <v>1419</v>
      </c>
      <c r="I8" s="895">
        <v>6</v>
      </c>
      <c r="J8" s="895">
        <v>7</v>
      </c>
      <c r="K8" s="895">
        <v>8</v>
      </c>
      <c r="L8" s="895">
        <v>9</v>
      </c>
      <c r="M8" s="895" t="s">
        <v>2370</v>
      </c>
      <c r="N8" s="895">
        <v>11</v>
      </c>
      <c r="O8" s="895">
        <v>12</v>
      </c>
      <c r="P8" s="895">
        <v>13</v>
      </c>
      <c r="Q8" s="895">
        <v>14</v>
      </c>
      <c r="R8" s="895">
        <v>15</v>
      </c>
      <c r="S8" s="895">
        <v>15</v>
      </c>
      <c r="T8" s="895" t="s">
        <v>2371</v>
      </c>
      <c r="U8" s="895" t="s">
        <v>2372</v>
      </c>
      <c r="V8" s="895">
        <v>16</v>
      </c>
      <c r="W8" s="895">
        <v>17</v>
      </c>
      <c r="X8" s="896"/>
    </row>
    <row r="9" spans="1:28" ht="36" customHeight="1">
      <c r="A9" s="897"/>
      <c r="B9" s="897" t="s">
        <v>1420</v>
      </c>
      <c r="C9" s="216" t="e">
        <f t="shared" ref="C9:G9" si="0">C11+C30</f>
        <v>#REF!</v>
      </c>
      <c r="D9" s="216" t="e">
        <f t="shared" si="0"/>
        <v>#REF!</v>
      </c>
      <c r="E9" s="216" t="e">
        <f t="shared" si="0"/>
        <v>#REF!</v>
      </c>
      <c r="F9" s="216" t="e">
        <f t="shared" si="0"/>
        <v>#REF!</v>
      </c>
      <c r="G9" s="216" t="e">
        <f t="shared" si="0"/>
        <v>#REF!</v>
      </c>
      <c r="H9" s="216">
        <f>H10+H33</f>
        <v>1347000.0009999999</v>
      </c>
      <c r="I9" s="216">
        <f t="shared" ref="I9:V9" si="1">I10+I33</f>
        <v>1127642.04</v>
      </c>
      <c r="J9" s="216">
        <f t="shared" si="1"/>
        <v>208290.5</v>
      </c>
      <c r="K9" s="216">
        <f t="shared" si="1"/>
        <v>9667.4609999999993</v>
      </c>
      <c r="L9" s="216">
        <f t="shared" si="1"/>
        <v>1400</v>
      </c>
      <c r="M9" s="216">
        <f>M10+M33</f>
        <v>1345628.2009999999</v>
      </c>
      <c r="N9" s="216">
        <f>N10+N33</f>
        <v>26940.000019999999</v>
      </c>
      <c r="O9" s="216">
        <f t="shared" si="1"/>
        <v>131570.57269999999</v>
      </c>
      <c r="P9" s="216">
        <f t="shared" si="1"/>
        <v>130593.25400000002</v>
      </c>
      <c r="Q9" s="216">
        <f t="shared" si="1"/>
        <v>22552.840800000002</v>
      </c>
      <c r="R9" s="216">
        <f t="shared" si="1"/>
        <v>0</v>
      </c>
      <c r="S9" s="216">
        <f>S10+S33</f>
        <v>945970.53347999998</v>
      </c>
      <c r="T9" s="216">
        <f t="shared" si="1"/>
        <v>907061.29827999999</v>
      </c>
      <c r="U9" s="216">
        <f t="shared" si="1"/>
        <v>38909.235200000003</v>
      </c>
      <c r="V9" s="216">
        <f t="shared" si="1"/>
        <v>88000</v>
      </c>
      <c r="W9" s="898"/>
      <c r="X9" s="894"/>
      <c r="Y9" s="886">
        <f>H9-N9</f>
        <v>1320060.00098</v>
      </c>
      <c r="Z9" s="886"/>
    </row>
    <row r="10" spans="1:28" ht="36" customHeight="1">
      <c r="A10" s="899" t="s">
        <v>14</v>
      </c>
      <c r="B10" s="899" t="s">
        <v>2373</v>
      </c>
      <c r="C10" s="217"/>
      <c r="D10" s="217"/>
      <c r="E10" s="217"/>
      <c r="F10" s="217"/>
      <c r="G10" s="217"/>
      <c r="H10" s="217">
        <f>H11+H30</f>
        <v>1345600.0009999999</v>
      </c>
      <c r="I10" s="217">
        <f t="shared" ref="I10:L10" si="2">I11+I30</f>
        <v>1127642.04</v>
      </c>
      <c r="J10" s="217">
        <f t="shared" si="2"/>
        <v>208290.5</v>
      </c>
      <c r="K10" s="217">
        <f t="shared" si="2"/>
        <v>9667.4609999999993</v>
      </c>
      <c r="L10" s="217">
        <f t="shared" si="2"/>
        <v>0</v>
      </c>
      <c r="M10" s="217">
        <f>M11+M30</f>
        <v>1345600.2009999999</v>
      </c>
      <c r="N10" s="217">
        <f>H10*2%</f>
        <v>26912.000019999999</v>
      </c>
      <c r="O10" s="217">
        <f t="shared" ref="O10:V10" si="3">O11+O30</f>
        <v>131570.57269999999</v>
      </c>
      <c r="P10" s="217">
        <f t="shared" si="3"/>
        <v>130593.25400000002</v>
      </c>
      <c r="Q10" s="217">
        <f t="shared" si="3"/>
        <v>22552.840800000002</v>
      </c>
      <c r="R10" s="217">
        <f t="shared" si="3"/>
        <v>0</v>
      </c>
      <c r="S10" s="217">
        <f t="shared" si="3"/>
        <v>945970.53347999998</v>
      </c>
      <c r="T10" s="217">
        <f t="shared" si="3"/>
        <v>907061.29827999999</v>
      </c>
      <c r="U10" s="217">
        <f t="shared" si="3"/>
        <v>38909.235200000003</v>
      </c>
      <c r="V10" s="217">
        <f t="shared" si="3"/>
        <v>88000</v>
      </c>
      <c r="W10" s="900" t="s">
        <v>2374</v>
      </c>
      <c r="X10" s="894"/>
      <c r="Y10" s="901">
        <f>H11-N11+P30+Q30</f>
        <v>1230688.00098</v>
      </c>
      <c r="Z10" s="901">
        <f>Y10+V9</f>
        <v>1318688.00098</v>
      </c>
      <c r="AB10" s="886"/>
    </row>
    <row r="11" spans="1:28" ht="36.75" customHeight="1">
      <c r="A11" s="899" t="s">
        <v>2375</v>
      </c>
      <c r="B11" s="899" t="s">
        <v>1471</v>
      </c>
      <c r="C11" s="217" t="e">
        <f t="shared" ref="C11:R11" si="4">C12+C24+C29</f>
        <v>#REF!</v>
      </c>
      <c r="D11" s="217" t="e">
        <f t="shared" si="4"/>
        <v>#REF!</v>
      </c>
      <c r="E11" s="217" t="e">
        <f t="shared" si="4"/>
        <v>#REF!</v>
      </c>
      <c r="F11" s="217" t="e">
        <f t="shared" si="4"/>
        <v>#REF!</v>
      </c>
      <c r="G11" s="217" t="e">
        <f t="shared" si="4"/>
        <v>#REF!</v>
      </c>
      <c r="H11" s="217">
        <f t="shared" si="4"/>
        <v>1245600.0009999999</v>
      </c>
      <c r="I11" s="217">
        <f t="shared" si="4"/>
        <v>1027642.04</v>
      </c>
      <c r="J11" s="217">
        <f t="shared" si="4"/>
        <v>208290.5</v>
      </c>
      <c r="K11" s="217">
        <f t="shared" si="4"/>
        <v>9667.4609999999993</v>
      </c>
      <c r="L11" s="217">
        <f t="shared" si="4"/>
        <v>0</v>
      </c>
      <c r="M11" s="217">
        <f>M12+M24+M29</f>
        <v>1245600.2009999999</v>
      </c>
      <c r="N11" s="217">
        <f>N12+N24+N29</f>
        <v>26912.000020000003</v>
      </c>
      <c r="O11" s="217">
        <f t="shared" si="4"/>
        <v>131570.57269999999</v>
      </c>
      <c r="P11" s="217">
        <f t="shared" si="4"/>
        <v>120593.25400000002</v>
      </c>
      <c r="Q11" s="217">
        <f t="shared" si="4"/>
        <v>20552.840800000002</v>
      </c>
      <c r="R11" s="217">
        <f t="shared" si="4"/>
        <v>0</v>
      </c>
      <c r="S11" s="217">
        <f>S12+S24+S29-1</f>
        <v>945970.53347999998</v>
      </c>
      <c r="T11" s="217">
        <f>T12+T24+T29-1</f>
        <v>907061.29827999999</v>
      </c>
      <c r="U11" s="217">
        <f>U12+U24+U29</f>
        <v>38909.235200000003</v>
      </c>
      <c r="V11" s="217">
        <f>V12+V24+V29</f>
        <v>0</v>
      </c>
      <c r="W11" s="900"/>
      <c r="X11" s="894"/>
      <c r="Z11" s="886"/>
      <c r="AB11" s="886"/>
    </row>
    <row r="12" spans="1:28" ht="30.75" customHeight="1">
      <c r="A12" s="899" t="s">
        <v>16</v>
      </c>
      <c r="B12" s="902" t="s">
        <v>1460</v>
      </c>
      <c r="C12" s="217" t="e">
        <f t="shared" ref="C12:V12" si="5">C13+C18</f>
        <v>#REF!</v>
      </c>
      <c r="D12" s="217" t="e">
        <f t="shared" si="5"/>
        <v>#REF!</v>
      </c>
      <c r="E12" s="217" t="e">
        <f t="shared" si="5"/>
        <v>#REF!</v>
      </c>
      <c r="F12" s="217" t="e">
        <f t="shared" si="5"/>
        <v>#REF!</v>
      </c>
      <c r="G12" s="217" t="e">
        <f t="shared" si="5"/>
        <v>#REF!</v>
      </c>
      <c r="H12" s="217">
        <f t="shared" si="5"/>
        <v>232173.00100000002</v>
      </c>
      <c r="I12" s="217">
        <f t="shared" si="5"/>
        <v>44215.040000000001</v>
      </c>
      <c r="J12" s="217">
        <f t="shared" si="5"/>
        <v>178290.5</v>
      </c>
      <c r="K12" s="217">
        <f t="shared" si="5"/>
        <v>9667.4609999999993</v>
      </c>
      <c r="L12" s="217"/>
      <c r="M12" s="217">
        <f t="shared" si="5"/>
        <v>232173.00100000002</v>
      </c>
      <c r="N12" s="217">
        <f t="shared" si="5"/>
        <v>26912.000020000003</v>
      </c>
      <c r="O12" s="217">
        <f t="shared" si="5"/>
        <v>131570.57269999999</v>
      </c>
      <c r="P12" s="217">
        <f t="shared" si="5"/>
        <v>22250.554000000004</v>
      </c>
      <c r="Q12" s="217">
        <f t="shared" si="5"/>
        <v>884.30080000000009</v>
      </c>
      <c r="R12" s="217">
        <f t="shared" si="5"/>
        <v>0</v>
      </c>
      <c r="S12" s="217">
        <f t="shared" si="5"/>
        <v>50555.573480000006</v>
      </c>
      <c r="T12" s="217">
        <f t="shared" si="5"/>
        <v>11646.338280000007</v>
      </c>
      <c r="U12" s="217">
        <f t="shared" si="5"/>
        <v>38909.235200000003</v>
      </c>
      <c r="V12" s="217">
        <f t="shared" si="5"/>
        <v>0</v>
      </c>
      <c r="W12" s="900"/>
      <c r="X12" s="894"/>
      <c r="Z12" s="886"/>
    </row>
    <row r="13" spans="1:28" s="896" customFormat="1" ht="38.25" customHeight="1">
      <c r="A13" s="903" t="s">
        <v>316</v>
      </c>
      <c r="B13" s="904" t="s">
        <v>1421</v>
      </c>
      <c r="C13" s="218">
        <f t="shared" ref="C13:U13" si="6">SUM(C14:C17)</f>
        <v>35482.3586</v>
      </c>
      <c r="D13" s="218">
        <f t="shared" si="6"/>
        <v>227.12590999999998</v>
      </c>
      <c r="E13" s="218">
        <f t="shared" si="6"/>
        <v>0</v>
      </c>
      <c r="F13" s="218">
        <f t="shared" si="6"/>
        <v>132.12591</v>
      </c>
      <c r="G13" s="218">
        <f t="shared" si="6"/>
        <v>95</v>
      </c>
      <c r="H13" s="218">
        <f t="shared" si="6"/>
        <v>44415.040000000001</v>
      </c>
      <c r="I13" s="218">
        <f t="shared" si="6"/>
        <v>44215.040000000001</v>
      </c>
      <c r="J13" s="218">
        <f t="shared" si="6"/>
        <v>0</v>
      </c>
      <c r="K13" s="218">
        <f t="shared" si="6"/>
        <v>200</v>
      </c>
      <c r="L13" s="218"/>
      <c r="M13" s="218">
        <f t="shared" si="6"/>
        <v>44415.040000000001</v>
      </c>
      <c r="N13" s="218">
        <f t="shared" si="6"/>
        <v>28.636190642651204</v>
      </c>
      <c r="O13" s="218">
        <f t="shared" si="6"/>
        <v>140</v>
      </c>
      <c r="P13" s="218">
        <f t="shared" si="6"/>
        <v>4421.5040000000008</v>
      </c>
      <c r="Q13" s="218">
        <f t="shared" si="6"/>
        <v>884.30080000000009</v>
      </c>
      <c r="R13" s="218">
        <f t="shared" si="6"/>
        <v>0</v>
      </c>
      <c r="S13" s="218">
        <f t="shared" si="6"/>
        <v>38940.599009357349</v>
      </c>
      <c r="T13" s="218">
        <f t="shared" si="6"/>
        <v>31.363809357348806</v>
      </c>
      <c r="U13" s="218">
        <f t="shared" si="6"/>
        <v>38909.235200000003</v>
      </c>
      <c r="V13" s="218"/>
      <c r="W13" s="900"/>
      <c r="X13" s="905"/>
      <c r="Z13" s="886"/>
    </row>
    <row r="14" spans="1:28" ht="38.25" customHeight="1">
      <c r="A14" s="906" t="s">
        <v>18</v>
      </c>
      <c r="B14" s="907" t="s">
        <v>651</v>
      </c>
      <c r="C14" s="219">
        <v>15513</v>
      </c>
      <c r="D14" s="908">
        <f>E14+F14+G14</f>
        <v>72.30843999999999</v>
      </c>
      <c r="E14" s="219"/>
      <c r="F14" s="219">
        <v>42.308439999999997</v>
      </c>
      <c r="G14" s="219">
        <v>30</v>
      </c>
      <c r="H14" s="219">
        <f>I14+J14+K14</f>
        <v>18971</v>
      </c>
      <c r="I14" s="219">
        <v>18928</v>
      </c>
      <c r="J14" s="219">
        <v>0</v>
      </c>
      <c r="K14" s="219">
        <v>43</v>
      </c>
      <c r="L14" s="219"/>
      <c r="M14" s="219">
        <f>N14+O14+P14+Q14+R14+S14</f>
        <v>18971</v>
      </c>
      <c r="N14" s="220">
        <f>(J14+K14)*$W$1</f>
        <v>6.1567809881700093</v>
      </c>
      <c r="O14" s="219">
        <f t="shared" ref="O14:O16" si="7">(J14+K14)*70%</f>
        <v>30.099999999999998</v>
      </c>
      <c r="P14" s="219">
        <f>(I14+J14)*10%</f>
        <v>1892.8000000000002</v>
      </c>
      <c r="Q14" s="219">
        <f>I14*2%</f>
        <v>378.56</v>
      </c>
      <c r="R14" s="219"/>
      <c r="S14" s="219">
        <f>H14-N14-O14-P14-Q14-R14</f>
        <v>16663.38321901183</v>
      </c>
      <c r="T14" s="219">
        <f>K14-O14-N14</f>
        <v>6.7432190118299928</v>
      </c>
      <c r="U14" s="219">
        <f t="shared" ref="U14:U16" si="8">S14-T14</f>
        <v>16656.64</v>
      </c>
      <c r="V14" s="219"/>
      <c r="W14" s="1732" t="s">
        <v>646</v>
      </c>
      <c r="X14" s="905"/>
      <c r="Z14" s="886"/>
    </row>
    <row r="15" spans="1:28" ht="40.5" customHeight="1">
      <c r="A15" s="906" t="s">
        <v>26</v>
      </c>
      <c r="B15" s="907" t="s">
        <v>653</v>
      </c>
      <c r="C15" s="219">
        <v>10250.879999999999</v>
      </c>
      <c r="D15" s="908">
        <f t="shared" ref="D15:D23" si="9">E15+F15+G15</f>
        <v>71.48527</v>
      </c>
      <c r="E15" s="219"/>
      <c r="F15" s="219">
        <v>41.48527</v>
      </c>
      <c r="G15" s="219">
        <v>30</v>
      </c>
      <c r="H15" s="219">
        <f t="shared" ref="H15:H17" si="10">I15+J15+K15</f>
        <v>13881.5</v>
      </c>
      <c r="I15" s="219">
        <f>13881.4+0.1</f>
        <v>13881.5</v>
      </c>
      <c r="J15" s="219"/>
      <c r="K15" s="219"/>
      <c r="L15" s="219"/>
      <c r="M15" s="219">
        <f>N15+O15+P15+Q15+R15+S15</f>
        <v>13881.500000000002</v>
      </c>
      <c r="N15" s="220">
        <f t="shared" ref="N15:N16" si="11">(J15+K15)*$W$1</f>
        <v>0</v>
      </c>
      <c r="O15" s="219">
        <f t="shared" si="7"/>
        <v>0</v>
      </c>
      <c r="P15" s="219">
        <f>(I15+J15)*10%</f>
        <v>1388.15</v>
      </c>
      <c r="Q15" s="219">
        <f>I15*2%</f>
        <v>277.63</v>
      </c>
      <c r="R15" s="219"/>
      <c r="S15" s="219">
        <f>H15-N15-O15-P15-Q15-R15</f>
        <v>12215.720000000001</v>
      </c>
      <c r="T15" s="219">
        <f t="shared" ref="T15:T16" si="12">K15-O15-N15</f>
        <v>0</v>
      </c>
      <c r="U15" s="219">
        <f t="shared" si="8"/>
        <v>12215.720000000001</v>
      </c>
      <c r="V15" s="219"/>
      <c r="W15" s="1732"/>
      <c r="X15" s="905"/>
      <c r="Z15" s="886"/>
    </row>
    <row r="16" spans="1:28" ht="43.5" customHeight="1">
      <c r="A16" s="906" t="s">
        <v>59</v>
      </c>
      <c r="B16" s="907" t="s">
        <v>654</v>
      </c>
      <c r="C16" s="219">
        <v>3167.424</v>
      </c>
      <c r="D16" s="908">
        <f t="shared" si="9"/>
        <v>38.766199999999998</v>
      </c>
      <c r="E16" s="219"/>
      <c r="F16" s="219">
        <v>23.766200000000001</v>
      </c>
      <c r="G16" s="219">
        <v>15</v>
      </c>
      <c r="H16" s="219">
        <f t="shared" si="10"/>
        <v>4301.54</v>
      </c>
      <c r="I16" s="219">
        <f>4301.44+0.1</f>
        <v>4301.54</v>
      </c>
      <c r="J16" s="219"/>
      <c r="K16" s="219"/>
      <c r="L16" s="219"/>
      <c r="M16" s="219">
        <f>N16+O16+P16+Q16+R16+S16</f>
        <v>4301.54</v>
      </c>
      <c r="N16" s="220">
        <f t="shared" si="11"/>
        <v>0</v>
      </c>
      <c r="O16" s="219">
        <f t="shared" si="7"/>
        <v>0</v>
      </c>
      <c r="P16" s="219">
        <f>(I16+J16)*10%</f>
        <v>430.154</v>
      </c>
      <c r="Q16" s="219">
        <f>I16*2%</f>
        <v>86.030799999999999</v>
      </c>
      <c r="R16" s="219"/>
      <c r="S16" s="219">
        <f>H16-N16-O16-P16-Q16-R16</f>
        <v>3785.3552</v>
      </c>
      <c r="T16" s="219">
        <f t="shared" si="12"/>
        <v>0</v>
      </c>
      <c r="U16" s="219">
        <f t="shared" si="8"/>
        <v>3785.3552</v>
      </c>
      <c r="V16" s="219"/>
      <c r="W16" s="1732"/>
      <c r="X16" s="905"/>
      <c r="Z16" s="886"/>
    </row>
    <row r="17" spans="1:26" ht="57" customHeight="1">
      <c r="A17" s="906" t="s">
        <v>73</v>
      </c>
      <c r="B17" s="907" t="s">
        <v>655</v>
      </c>
      <c r="C17" s="219">
        <v>6551.0546000000004</v>
      </c>
      <c r="D17" s="908">
        <f t="shared" si="9"/>
        <v>44.566000000000003</v>
      </c>
      <c r="E17" s="219"/>
      <c r="F17" s="219">
        <v>24.565999999999999</v>
      </c>
      <c r="G17" s="219">
        <v>20</v>
      </c>
      <c r="H17" s="219">
        <f t="shared" si="10"/>
        <v>7261</v>
      </c>
      <c r="I17" s="219">
        <v>7104</v>
      </c>
      <c r="J17" s="219"/>
      <c r="K17" s="219">
        <v>157</v>
      </c>
      <c r="L17" s="219"/>
      <c r="M17" s="219">
        <f>N17+O17+P17+Q17+R17+S17</f>
        <v>7261.0000000000009</v>
      </c>
      <c r="N17" s="220">
        <f>(J17+K17)*$W$1</f>
        <v>22.479409654481195</v>
      </c>
      <c r="O17" s="219">
        <f>(J17+K17)*70%</f>
        <v>109.89999999999999</v>
      </c>
      <c r="P17" s="219">
        <f>(I17+J17)*10%</f>
        <v>710.40000000000009</v>
      </c>
      <c r="Q17" s="219">
        <f>I17*2%</f>
        <v>142.08000000000001</v>
      </c>
      <c r="R17" s="219"/>
      <c r="S17" s="219">
        <f>H17-N17-O17-P17-Q17-R17</f>
        <v>6276.1405903455197</v>
      </c>
      <c r="T17" s="219">
        <f>K17-O17-N17</f>
        <v>24.620590345518814</v>
      </c>
      <c r="U17" s="219">
        <f>S17-T17</f>
        <v>6251.5200000000013</v>
      </c>
      <c r="V17" s="219"/>
      <c r="W17" s="1732"/>
      <c r="X17" s="905"/>
      <c r="Z17" s="886"/>
    </row>
    <row r="18" spans="1:26" s="896" customFormat="1" ht="29.25" customHeight="1">
      <c r="A18" s="903" t="s">
        <v>332</v>
      </c>
      <c r="B18" s="909" t="s">
        <v>1422</v>
      </c>
      <c r="C18" s="910" t="e">
        <f>#REF!+C19+C20+C21+C22+C23</f>
        <v>#REF!</v>
      </c>
      <c r="D18" s="910" t="e">
        <f>#REF!+D19+D20+D21+D22+D23</f>
        <v>#REF!</v>
      </c>
      <c r="E18" s="910" t="e">
        <f>#REF!+E19+E20+E21+E22+E23</f>
        <v>#REF!</v>
      </c>
      <c r="F18" s="910" t="e">
        <f>#REF!+F19+F20+F21+F22+F23</f>
        <v>#REF!</v>
      </c>
      <c r="G18" s="910" t="e">
        <f>#REF!+G19+G20+G21+G22+G23</f>
        <v>#REF!</v>
      </c>
      <c r="H18" s="910">
        <f>H19+H20+H21+H22+H23</f>
        <v>187757.96100000001</v>
      </c>
      <c r="I18" s="910">
        <f t="shared" ref="I18:U18" si="13">I19+I20+I21+I22+I23</f>
        <v>0</v>
      </c>
      <c r="J18" s="910">
        <f t="shared" si="13"/>
        <v>178290.5</v>
      </c>
      <c r="K18" s="910">
        <f t="shared" si="13"/>
        <v>9467.4609999999993</v>
      </c>
      <c r="L18" s="910"/>
      <c r="M18" s="910">
        <f t="shared" si="13"/>
        <v>187757.96100000001</v>
      </c>
      <c r="N18" s="910">
        <f t="shared" si="13"/>
        <v>26883.363829357353</v>
      </c>
      <c r="O18" s="910">
        <f t="shared" si="13"/>
        <v>131430.57269999999</v>
      </c>
      <c r="P18" s="910">
        <f t="shared" si="13"/>
        <v>17829.050000000003</v>
      </c>
      <c r="Q18" s="910">
        <f t="shared" si="13"/>
        <v>0</v>
      </c>
      <c r="R18" s="910">
        <f t="shared" si="13"/>
        <v>0</v>
      </c>
      <c r="S18" s="910">
        <f t="shared" si="13"/>
        <v>11614.974470642659</v>
      </c>
      <c r="T18" s="910">
        <f t="shared" si="13"/>
        <v>11614.974470642659</v>
      </c>
      <c r="U18" s="910">
        <f t="shared" si="13"/>
        <v>0</v>
      </c>
      <c r="V18" s="910"/>
      <c r="W18" s="900"/>
      <c r="X18" s="905"/>
      <c r="Z18" s="886"/>
    </row>
    <row r="19" spans="1:26" ht="96" customHeight="1">
      <c r="A19" s="906" t="s">
        <v>18</v>
      </c>
      <c r="B19" s="911" t="s">
        <v>1970</v>
      </c>
      <c r="C19" s="219">
        <f t="shared" ref="C19:C20" si="14">H19+D19</f>
        <v>52207</v>
      </c>
      <c r="D19" s="908">
        <f t="shared" si="9"/>
        <v>0</v>
      </c>
      <c r="E19" s="219"/>
      <c r="F19" s="219"/>
      <c r="G19" s="219"/>
      <c r="H19" s="219">
        <f>SUM(I19:K19)</f>
        <v>52207</v>
      </c>
      <c r="I19" s="219"/>
      <c r="J19" s="219">
        <v>45405</v>
      </c>
      <c r="K19" s="219">
        <v>6802</v>
      </c>
      <c r="L19" s="219"/>
      <c r="M19" s="219">
        <f t="shared" ref="M19:M28" si="15">N19+O19+P19+Q19+R19+S19</f>
        <v>52207</v>
      </c>
      <c r="N19" s="220">
        <f>(J19+K19)*$W$1</f>
        <v>7475.0480244044575</v>
      </c>
      <c r="O19" s="219">
        <f>(J19+K19)*70%</f>
        <v>36544.899999999994</v>
      </c>
      <c r="P19" s="219">
        <f>(I19+J19)*10%</f>
        <v>4540.5</v>
      </c>
      <c r="Q19" s="219">
        <f t="shared" ref="Q19:Q23" si="16">I19*2%</f>
        <v>0</v>
      </c>
      <c r="R19" s="219"/>
      <c r="S19" s="219">
        <f>H19-N19-O19-P19-Q19-R19</f>
        <v>3646.5519755955465</v>
      </c>
      <c r="T19" s="219">
        <f>S19</f>
        <v>3646.5519755955465</v>
      </c>
      <c r="U19" s="219"/>
      <c r="V19" s="219"/>
      <c r="W19" s="1732"/>
      <c r="X19" s="894"/>
      <c r="Y19" s="886">
        <f>N19-7483</f>
        <v>-7.9519755955425353</v>
      </c>
      <c r="Z19" s="886"/>
    </row>
    <row r="20" spans="1:26" ht="73.5" customHeight="1">
      <c r="A20" s="906" t="s">
        <v>26</v>
      </c>
      <c r="B20" s="911" t="s">
        <v>1971</v>
      </c>
      <c r="C20" s="219">
        <f t="shared" si="14"/>
        <v>135593.96100000001</v>
      </c>
      <c r="D20" s="908">
        <f t="shared" si="9"/>
        <v>43</v>
      </c>
      <c r="E20" s="219"/>
      <c r="F20" s="219">
        <v>23</v>
      </c>
      <c r="G20" s="219">
        <v>20</v>
      </c>
      <c r="H20" s="219">
        <f t="shared" ref="H20:H23" si="17">I20+J20+K20</f>
        <v>135550.96100000001</v>
      </c>
      <c r="I20" s="219"/>
      <c r="J20" s="219">
        <v>132885.5</v>
      </c>
      <c r="K20" s="219">
        <v>2665.4609999999998</v>
      </c>
      <c r="L20" s="219"/>
      <c r="M20" s="219">
        <f t="shared" si="15"/>
        <v>135550.96100000001</v>
      </c>
      <c r="N20" s="220">
        <f t="shared" ref="N20:N27" si="18">(J20+K20)*$W$1</f>
        <v>19408.315804952894</v>
      </c>
      <c r="O20" s="219">
        <f>(J20+K20)*70%</f>
        <v>94885.672699999996</v>
      </c>
      <c r="P20" s="219">
        <f>(I20+J20)*10%</f>
        <v>13288.550000000001</v>
      </c>
      <c r="Q20" s="219">
        <f t="shared" si="16"/>
        <v>0</v>
      </c>
      <c r="R20" s="219"/>
      <c r="S20" s="219">
        <f>H20-N20-O20-P20-Q20-R20</f>
        <v>7968.4224950471125</v>
      </c>
      <c r="T20" s="219">
        <f t="shared" ref="T20:T23" si="19">S20</f>
        <v>7968.4224950471125</v>
      </c>
      <c r="U20" s="219"/>
      <c r="V20" s="219"/>
      <c r="W20" s="1732"/>
      <c r="X20" s="894"/>
      <c r="Z20" s="886"/>
    </row>
    <row r="21" spans="1:26" ht="69.75" hidden="1" customHeight="1" outlineLevel="1">
      <c r="A21" s="906" t="s">
        <v>26</v>
      </c>
      <c r="B21" s="907" t="s">
        <v>647</v>
      </c>
      <c r="C21" s="219"/>
      <c r="D21" s="908">
        <f t="shared" si="9"/>
        <v>0</v>
      </c>
      <c r="E21" s="219"/>
      <c r="F21" s="219"/>
      <c r="G21" s="219"/>
      <c r="H21" s="219">
        <f>I21+J21+K21</f>
        <v>0</v>
      </c>
      <c r="I21" s="219"/>
      <c r="J21" s="219"/>
      <c r="K21" s="219"/>
      <c r="L21" s="219"/>
      <c r="M21" s="219">
        <f t="shared" si="15"/>
        <v>0</v>
      </c>
      <c r="N21" s="220">
        <f t="shared" si="18"/>
        <v>0</v>
      </c>
      <c r="O21" s="219">
        <f t="shared" ref="O21:O23" si="20">(J21+K21)*70%</f>
        <v>0</v>
      </c>
      <c r="P21" s="219">
        <f t="shared" ref="P21:P23" si="21">(I21+J21)*10%</f>
        <v>0</v>
      </c>
      <c r="Q21" s="219">
        <f t="shared" si="16"/>
        <v>0</v>
      </c>
      <c r="R21" s="219"/>
      <c r="S21" s="219">
        <f t="shared" ref="S21:S23" si="22">H21-N21-O21-P21-Q21-R21</f>
        <v>0</v>
      </c>
      <c r="T21" s="219">
        <f t="shared" si="19"/>
        <v>0</v>
      </c>
      <c r="U21" s="219"/>
      <c r="V21" s="219"/>
      <c r="W21" s="1732"/>
      <c r="X21" s="894"/>
      <c r="Z21" s="886"/>
    </row>
    <row r="22" spans="1:26" ht="48" hidden="1" customHeight="1" outlineLevel="1">
      <c r="A22" s="906" t="s">
        <v>73</v>
      </c>
      <c r="B22" s="912" t="s">
        <v>648</v>
      </c>
      <c r="C22" s="219"/>
      <c r="D22" s="908">
        <f t="shared" si="9"/>
        <v>0</v>
      </c>
      <c r="E22" s="219"/>
      <c r="F22" s="219"/>
      <c r="G22" s="219"/>
      <c r="H22" s="219">
        <f t="shared" si="17"/>
        <v>0</v>
      </c>
      <c r="I22" s="219"/>
      <c r="J22" s="219"/>
      <c r="K22" s="219"/>
      <c r="L22" s="219"/>
      <c r="M22" s="219">
        <f t="shared" si="15"/>
        <v>0</v>
      </c>
      <c r="N22" s="220">
        <f t="shared" si="18"/>
        <v>0</v>
      </c>
      <c r="O22" s="219">
        <f t="shared" si="20"/>
        <v>0</v>
      </c>
      <c r="P22" s="219">
        <f t="shared" si="21"/>
        <v>0</v>
      </c>
      <c r="Q22" s="219">
        <f t="shared" si="16"/>
        <v>0</v>
      </c>
      <c r="R22" s="219"/>
      <c r="S22" s="219">
        <f t="shared" si="22"/>
        <v>0</v>
      </c>
      <c r="T22" s="219">
        <f t="shared" si="19"/>
        <v>0</v>
      </c>
      <c r="U22" s="219"/>
      <c r="V22" s="219"/>
      <c r="W22" s="1732"/>
      <c r="X22" s="894"/>
      <c r="Z22" s="886"/>
    </row>
    <row r="23" spans="1:26" ht="51.75" hidden="1" customHeight="1" outlineLevel="1">
      <c r="A23" s="906" t="s">
        <v>74</v>
      </c>
      <c r="B23" s="907" t="s">
        <v>649</v>
      </c>
      <c r="C23" s="219"/>
      <c r="D23" s="908">
        <f t="shared" si="9"/>
        <v>0</v>
      </c>
      <c r="E23" s="219"/>
      <c r="F23" s="219"/>
      <c r="G23" s="219"/>
      <c r="H23" s="219">
        <f t="shared" si="17"/>
        <v>0</v>
      </c>
      <c r="I23" s="219"/>
      <c r="J23" s="219"/>
      <c r="K23" s="219"/>
      <c r="L23" s="219"/>
      <c r="M23" s="219">
        <f t="shared" si="15"/>
        <v>0</v>
      </c>
      <c r="N23" s="220">
        <f t="shared" si="18"/>
        <v>0</v>
      </c>
      <c r="O23" s="219">
        <f t="shared" si="20"/>
        <v>0</v>
      </c>
      <c r="P23" s="219">
        <f t="shared" si="21"/>
        <v>0</v>
      </c>
      <c r="Q23" s="219">
        <f t="shared" si="16"/>
        <v>0</v>
      </c>
      <c r="R23" s="219"/>
      <c r="S23" s="219">
        <f t="shared" si="22"/>
        <v>0</v>
      </c>
      <c r="T23" s="219">
        <f t="shared" si="19"/>
        <v>0</v>
      </c>
      <c r="U23" s="219"/>
      <c r="V23" s="219"/>
      <c r="W23" s="1732"/>
      <c r="X23" s="894"/>
      <c r="Z23" s="886"/>
    </row>
    <row r="24" spans="1:26" s="896" customFormat="1" ht="43.5" customHeight="1" collapsed="1">
      <c r="A24" s="903" t="s">
        <v>28</v>
      </c>
      <c r="B24" s="904" t="s">
        <v>656</v>
      </c>
      <c r="C24" s="218">
        <f>C25+C26+C27+C28</f>
        <v>980073.33632142586</v>
      </c>
      <c r="D24" s="218">
        <f t="shared" ref="D24:V24" si="23">D25+D26+D27+D28</f>
        <v>0</v>
      </c>
      <c r="E24" s="218">
        <f t="shared" si="23"/>
        <v>0</v>
      </c>
      <c r="F24" s="218">
        <f t="shared" si="23"/>
        <v>0</v>
      </c>
      <c r="G24" s="218">
        <f t="shared" si="23"/>
        <v>0</v>
      </c>
      <c r="H24" s="218">
        <f t="shared" si="23"/>
        <v>983427</v>
      </c>
      <c r="I24" s="218">
        <f t="shared" si="23"/>
        <v>983427</v>
      </c>
      <c r="J24" s="218">
        <f t="shared" si="23"/>
        <v>0</v>
      </c>
      <c r="K24" s="218">
        <f t="shared" si="23"/>
        <v>0</v>
      </c>
      <c r="L24" s="218"/>
      <c r="M24" s="218">
        <f t="shared" si="23"/>
        <v>983427.2</v>
      </c>
      <c r="N24" s="218">
        <f t="shared" si="23"/>
        <v>0</v>
      </c>
      <c r="O24" s="218">
        <f t="shared" si="23"/>
        <v>0</v>
      </c>
      <c r="P24" s="218">
        <f t="shared" si="23"/>
        <v>98342.700000000012</v>
      </c>
      <c r="Q24" s="218">
        <f t="shared" si="23"/>
        <v>19668.54</v>
      </c>
      <c r="R24" s="218">
        <f t="shared" si="23"/>
        <v>0</v>
      </c>
      <c r="S24" s="218">
        <f t="shared" si="23"/>
        <v>865415.96</v>
      </c>
      <c r="T24" s="218">
        <f>T25+T26+T27+T28</f>
        <v>865415.96</v>
      </c>
      <c r="U24" s="218">
        <f t="shared" si="23"/>
        <v>0</v>
      </c>
      <c r="V24" s="218">
        <f t="shared" si="23"/>
        <v>0</v>
      </c>
      <c r="W24" s="900"/>
      <c r="X24" s="894"/>
      <c r="Z24" s="886"/>
    </row>
    <row r="25" spans="1:26" ht="58.5" customHeight="1">
      <c r="A25" s="906" t="s">
        <v>18</v>
      </c>
      <c r="B25" s="913" t="s">
        <v>1688</v>
      </c>
      <c r="C25" s="908">
        <f>397329-30000-1137+252140-46027</f>
        <v>572305</v>
      </c>
      <c r="D25" s="908"/>
      <c r="E25" s="908"/>
      <c r="F25" s="908"/>
      <c r="G25" s="908"/>
      <c r="H25" s="219">
        <f>I25+J25+K25</f>
        <v>566238</v>
      </c>
      <c r="I25" s="219">
        <f>567638-1400</f>
        <v>566238</v>
      </c>
      <c r="J25" s="219"/>
      <c r="K25" s="219"/>
      <c r="L25" s="219"/>
      <c r="M25" s="219">
        <f t="shared" si="15"/>
        <v>566238.19999999995</v>
      </c>
      <c r="N25" s="220">
        <f>(J25+K25)*$W$1</f>
        <v>0</v>
      </c>
      <c r="O25" s="219"/>
      <c r="P25" s="219">
        <f>(I25+J25)*10%</f>
        <v>56623.8</v>
      </c>
      <c r="Q25" s="219">
        <f>I25*2%</f>
        <v>11324.76</v>
      </c>
      <c r="R25" s="219"/>
      <c r="S25" s="219">
        <f>H25-N25-O25-P25-Q25-R25+0.2</f>
        <v>498289.64</v>
      </c>
      <c r="T25" s="219">
        <f>S25</f>
        <v>498289.64</v>
      </c>
      <c r="U25" s="219"/>
      <c r="V25" s="219"/>
      <c r="W25" s="1732" t="s">
        <v>657</v>
      </c>
      <c r="X25" s="894"/>
      <c r="Z25" s="886"/>
    </row>
    <row r="26" spans="1:26" ht="82.5" customHeight="1">
      <c r="A26" s="906" t="s">
        <v>26</v>
      </c>
      <c r="B26" s="913" t="s">
        <v>658</v>
      </c>
      <c r="C26" s="908">
        <f>263185+20004</f>
        <v>283189</v>
      </c>
      <c r="D26" s="908"/>
      <c r="E26" s="908"/>
      <c r="F26" s="908"/>
      <c r="G26" s="908"/>
      <c r="H26" s="219">
        <f t="shared" ref="H26:H30" si="24">I26+J26+K26</f>
        <v>283189</v>
      </c>
      <c r="I26" s="219">
        <f>243189+40000</f>
        <v>283189</v>
      </c>
      <c r="J26" s="219"/>
      <c r="K26" s="219"/>
      <c r="L26" s="219"/>
      <c r="M26" s="219">
        <f t="shared" si="15"/>
        <v>283189</v>
      </c>
      <c r="N26" s="220">
        <f t="shared" si="18"/>
        <v>0</v>
      </c>
      <c r="O26" s="219"/>
      <c r="P26" s="219">
        <f>(I26+J26)*10%</f>
        <v>28318.9</v>
      </c>
      <c r="Q26" s="219">
        <f>I26*2%</f>
        <v>5663.78</v>
      </c>
      <c r="R26" s="219"/>
      <c r="S26" s="219">
        <f>H26-N26-O26-P26-Q26-R26</f>
        <v>249206.32</v>
      </c>
      <c r="T26" s="219">
        <f t="shared" ref="T26:T28" si="25">S26</f>
        <v>249206.32</v>
      </c>
      <c r="U26" s="219"/>
      <c r="V26" s="219"/>
      <c r="W26" s="1732"/>
      <c r="X26" s="894"/>
      <c r="Z26" s="886"/>
    </row>
    <row r="27" spans="1:26" ht="58.5" customHeight="1">
      <c r="A27" s="906" t="s">
        <v>59</v>
      </c>
      <c r="B27" s="913" t="s">
        <v>1689</v>
      </c>
      <c r="C27" s="908">
        <v>64579.336321425886</v>
      </c>
      <c r="D27" s="908"/>
      <c r="E27" s="908"/>
      <c r="F27" s="908"/>
      <c r="G27" s="908"/>
      <c r="H27" s="219">
        <f t="shared" si="24"/>
        <v>64000</v>
      </c>
      <c r="I27" s="219">
        <v>64000</v>
      </c>
      <c r="J27" s="219"/>
      <c r="K27" s="219"/>
      <c r="L27" s="219"/>
      <c r="M27" s="219">
        <f t="shared" si="15"/>
        <v>64000</v>
      </c>
      <c r="N27" s="220">
        <f t="shared" si="18"/>
        <v>0</v>
      </c>
      <c r="O27" s="219"/>
      <c r="P27" s="219">
        <f>(I27+J27)*10%</f>
        <v>6400</v>
      </c>
      <c r="Q27" s="219">
        <f>I27*2%</f>
        <v>1280</v>
      </c>
      <c r="R27" s="219"/>
      <c r="S27" s="219">
        <f>H27-N27-O27-P27-Q27-R27</f>
        <v>56320</v>
      </c>
      <c r="T27" s="219">
        <f t="shared" si="25"/>
        <v>56320</v>
      </c>
      <c r="U27" s="219"/>
      <c r="V27" s="219"/>
      <c r="W27" s="1732"/>
      <c r="X27" s="894"/>
      <c r="Z27" s="886"/>
    </row>
    <row r="28" spans="1:26" ht="58.5" customHeight="1">
      <c r="A28" s="906" t="s">
        <v>73</v>
      </c>
      <c r="B28" s="913" t="s">
        <v>1699</v>
      </c>
      <c r="C28" s="908">
        <f>39133+20867</f>
        <v>60000</v>
      </c>
      <c r="D28" s="908"/>
      <c r="E28" s="908"/>
      <c r="F28" s="908"/>
      <c r="G28" s="908"/>
      <c r="H28" s="219">
        <f t="shared" si="24"/>
        <v>70000</v>
      </c>
      <c r="I28" s="219">
        <v>70000</v>
      </c>
      <c r="J28" s="219"/>
      <c r="K28" s="219"/>
      <c r="L28" s="219"/>
      <c r="M28" s="219">
        <f t="shared" si="15"/>
        <v>70000</v>
      </c>
      <c r="N28" s="220">
        <f>(J28+K28)*$W$1</f>
        <v>0</v>
      </c>
      <c r="O28" s="219"/>
      <c r="P28" s="219">
        <f>(I28+J28)*10%</f>
        <v>7000</v>
      </c>
      <c r="Q28" s="219">
        <f>I28*2%</f>
        <v>1400</v>
      </c>
      <c r="R28" s="219"/>
      <c r="S28" s="219">
        <f>H28-N28-O28-P28-Q28-R28</f>
        <v>61600</v>
      </c>
      <c r="T28" s="219">
        <f t="shared" si="25"/>
        <v>61600</v>
      </c>
      <c r="U28" s="219"/>
      <c r="V28" s="219"/>
      <c r="W28" s="1732"/>
      <c r="X28" s="894"/>
      <c r="Z28" s="886"/>
    </row>
    <row r="29" spans="1:26" s="896" customFormat="1" ht="77.25" customHeight="1">
      <c r="A29" s="900" t="s">
        <v>91</v>
      </c>
      <c r="B29" s="904" t="s">
        <v>659</v>
      </c>
      <c r="C29" s="218">
        <f>H29</f>
        <v>30000</v>
      </c>
      <c r="D29" s="910"/>
      <c r="E29" s="910"/>
      <c r="F29" s="910"/>
      <c r="G29" s="910"/>
      <c r="H29" s="218">
        <f>I29+J29+K29</f>
        <v>30000</v>
      </c>
      <c r="I29" s="218"/>
      <c r="J29" s="218">
        <v>30000</v>
      </c>
      <c r="K29" s="218"/>
      <c r="L29" s="218"/>
      <c r="M29" s="218">
        <f>N29+O29+P29+Q29+R29+S29</f>
        <v>30000</v>
      </c>
      <c r="N29" s="217"/>
      <c r="O29" s="218"/>
      <c r="P29" s="218"/>
      <c r="Q29" s="218"/>
      <c r="R29" s="218"/>
      <c r="S29" s="218">
        <f>J29</f>
        <v>30000</v>
      </c>
      <c r="T29" s="218">
        <f>S29</f>
        <v>30000</v>
      </c>
      <c r="U29" s="218"/>
      <c r="V29" s="218"/>
      <c r="W29" s="900" t="s">
        <v>657</v>
      </c>
      <c r="X29" s="894"/>
      <c r="Z29" s="886"/>
    </row>
    <row r="30" spans="1:26" s="896" customFormat="1" ht="49.5" customHeight="1">
      <c r="A30" s="903" t="s">
        <v>2376</v>
      </c>
      <c r="B30" s="904" t="s">
        <v>1461</v>
      </c>
      <c r="C30" s="910">
        <v>55620</v>
      </c>
      <c r="D30" s="910"/>
      <c r="E30" s="910"/>
      <c r="F30" s="910"/>
      <c r="G30" s="910"/>
      <c r="H30" s="218">
        <f t="shared" si="24"/>
        <v>100000</v>
      </c>
      <c r="I30" s="218">
        <v>100000</v>
      </c>
      <c r="J30" s="218"/>
      <c r="K30" s="218"/>
      <c r="L30" s="218"/>
      <c r="M30" s="218">
        <f>N30+O30+P30+Q30+R30+S30+V30</f>
        <v>100000</v>
      </c>
      <c r="N30" s="217"/>
      <c r="O30" s="218">
        <f>(J30+K30)*70%</f>
        <v>0</v>
      </c>
      <c r="P30" s="218">
        <f>(I30+J30)*10%</f>
        <v>10000</v>
      </c>
      <c r="Q30" s="218">
        <f>I30*2%</f>
        <v>2000</v>
      </c>
      <c r="R30" s="218"/>
      <c r="S30" s="218">
        <f>T30+U30</f>
        <v>0</v>
      </c>
      <c r="T30" s="218">
        <f>J30*10%</f>
        <v>0</v>
      </c>
      <c r="U30" s="218"/>
      <c r="V30" s="218">
        <f>H30-N30-O30-P30-Q30-S30</f>
        <v>88000</v>
      </c>
      <c r="W30" s="900"/>
      <c r="X30" s="894"/>
      <c r="Z30" s="886"/>
    </row>
    <row r="31" spans="1:26" ht="30.75" customHeight="1">
      <c r="A31" s="906" t="s">
        <v>16</v>
      </c>
      <c r="B31" s="907" t="s">
        <v>1472</v>
      </c>
      <c r="C31" s="908"/>
      <c r="D31" s="908"/>
      <c r="E31" s="908"/>
      <c r="F31" s="908"/>
      <c r="G31" s="908"/>
      <c r="H31" s="219"/>
      <c r="I31" s="219"/>
      <c r="J31" s="219"/>
      <c r="K31" s="219"/>
      <c r="L31" s="219"/>
      <c r="M31" s="219">
        <f>N31+O31+P31+Q31+R31+S31+V31</f>
        <v>12000</v>
      </c>
      <c r="N31" s="220"/>
      <c r="O31" s="219"/>
      <c r="P31" s="219">
        <f>P30</f>
        <v>10000</v>
      </c>
      <c r="Q31" s="219">
        <f>Q30</f>
        <v>2000</v>
      </c>
      <c r="R31" s="219"/>
      <c r="S31" s="219">
        <f>S30</f>
        <v>0</v>
      </c>
      <c r="T31" s="219">
        <f>T30</f>
        <v>0</v>
      </c>
      <c r="U31" s="219"/>
      <c r="V31" s="219"/>
      <c r="W31" s="1019"/>
      <c r="X31" s="894"/>
      <c r="Z31" s="886"/>
    </row>
    <row r="32" spans="1:26" ht="37.5" customHeight="1">
      <c r="A32" s="906" t="s">
        <v>28</v>
      </c>
      <c r="B32" s="907" t="s">
        <v>1473</v>
      </c>
      <c r="C32" s="908"/>
      <c r="D32" s="908"/>
      <c r="E32" s="908"/>
      <c r="F32" s="908"/>
      <c r="G32" s="908"/>
      <c r="H32" s="219"/>
      <c r="I32" s="219"/>
      <c r="J32" s="219"/>
      <c r="K32" s="219"/>
      <c r="L32" s="219"/>
      <c r="M32" s="219">
        <v>88000</v>
      </c>
      <c r="N32" s="220"/>
      <c r="O32" s="219">
        <f>O30</f>
        <v>0</v>
      </c>
      <c r="P32" s="219"/>
      <c r="Q32" s="219"/>
      <c r="R32" s="219"/>
      <c r="S32" s="219"/>
      <c r="T32" s="219"/>
      <c r="U32" s="219"/>
      <c r="V32" s="219">
        <f>V30</f>
        <v>88000</v>
      </c>
      <c r="W32" s="1019"/>
      <c r="X32" s="894"/>
      <c r="Z32" s="886"/>
    </row>
    <row r="33" spans="1:26" s="896" customFormat="1" ht="49.5" customHeight="1">
      <c r="A33" s="914" t="s">
        <v>69</v>
      </c>
      <c r="B33" s="918" t="s">
        <v>2377</v>
      </c>
      <c r="C33" s="915">
        <v>55620</v>
      </c>
      <c r="D33" s="915"/>
      <c r="E33" s="915"/>
      <c r="F33" s="915"/>
      <c r="G33" s="915"/>
      <c r="H33" s="648">
        <f>I33+J33+K33+L33</f>
        <v>1400</v>
      </c>
      <c r="I33" s="648"/>
      <c r="J33" s="648"/>
      <c r="K33" s="648"/>
      <c r="L33" s="648">
        <v>1400</v>
      </c>
      <c r="M33" s="648">
        <f>N33+O33+P33+Q33+R33+S33+V33</f>
        <v>28</v>
      </c>
      <c r="N33" s="649">
        <f>H33*2%</f>
        <v>28</v>
      </c>
      <c r="O33" s="648"/>
      <c r="P33" s="648"/>
      <c r="Q33" s="648">
        <f>I33*2%</f>
        <v>0</v>
      </c>
      <c r="R33" s="648"/>
      <c r="S33" s="648">
        <f>T33+U33</f>
        <v>0</v>
      </c>
      <c r="T33" s="648"/>
      <c r="U33" s="648"/>
      <c r="V33" s="648">
        <v>0</v>
      </c>
      <c r="W33" s="916" t="s">
        <v>2544</v>
      </c>
      <c r="X33" s="894"/>
      <c r="Z33" s="886"/>
    </row>
    <row r="34" spans="1:26" ht="26.25" customHeight="1"/>
    <row r="35" spans="1:26" ht="43.5" customHeight="1">
      <c r="A35" s="1733" t="s">
        <v>1423</v>
      </c>
      <c r="B35" s="1733"/>
      <c r="C35" s="1733"/>
      <c r="D35" s="1733"/>
      <c r="E35" s="1733"/>
      <c r="F35" s="1733"/>
      <c r="G35" s="1733"/>
      <c r="H35" s="1733"/>
      <c r="I35" s="1733"/>
      <c r="J35" s="1733"/>
      <c r="K35" s="1733"/>
      <c r="L35" s="1733"/>
      <c r="M35" s="1733"/>
      <c r="N35" s="1733"/>
      <c r="O35" s="1733"/>
      <c r="P35" s="1733"/>
      <c r="Q35" s="1733"/>
      <c r="R35" s="1733"/>
      <c r="S35" s="1733"/>
      <c r="T35" s="1733"/>
      <c r="U35" s="1733"/>
      <c r="V35" s="1733"/>
      <c r="W35" s="1733"/>
    </row>
    <row r="36" spans="1:26">
      <c r="H36" s="917"/>
      <c r="I36" s="917"/>
      <c r="J36" s="917"/>
      <c r="K36" s="917"/>
      <c r="L36" s="917"/>
      <c r="M36" s="917"/>
      <c r="N36" s="917"/>
      <c r="O36" s="917"/>
      <c r="P36" s="917"/>
      <c r="Q36" s="917"/>
      <c r="R36" s="917"/>
      <c r="S36" s="917"/>
      <c r="T36" s="917"/>
      <c r="U36" s="917"/>
      <c r="V36" s="917"/>
      <c r="W36" s="917"/>
    </row>
    <row r="37" spans="1:26">
      <c r="H37" s="917"/>
      <c r="I37" s="917"/>
      <c r="J37" s="917"/>
      <c r="K37" s="917"/>
      <c r="L37" s="917"/>
      <c r="M37" s="917"/>
      <c r="N37" s="917"/>
      <c r="O37" s="917"/>
      <c r="P37" s="917"/>
      <c r="Q37" s="917"/>
      <c r="R37" s="917"/>
      <c r="S37" s="917"/>
      <c r="T37" s="917"/>
      <c r="U37" s="917"/>
      <c r="V37" s="917"/>
      <c r="W37" s="917"/>
    </row>
  </sheetData>
  <mergeCells count="30">
    <mergeCell ref="V6:V7"/>
    <mergeCell ref="W14:W17"/>
    <mergeCell ref="W19:W23"/>
    <mergeCell ref="W25:W28"/>
    <mergeCell ref="A35:W35"/>
    <mergeCell ref="E6:E7"/>
    <mergeCell ref="F6:F7"/>
    <mergeCell ref="G6:G7"/>
    <mergeCell ref="I6:I7"/>
    <mergeCell ref="J6:J7"/>
    <mergeCell ref="S5:S7"/>
    <mergeCell ref="K6:K7"/>
    <mergeCell ref="L6:L7"/>
    <mergeCell ref="T6:U6"/>
    <mergeCell ref="A2:W2"/>
    <mergeCell ref="A4:A7"/>
    <mergeCell ref="B4:B7"/>
    <mergeCell ref="C4:C7"/>
    <mergeCell ref="D4:D7"/>
    <mergeCell ref="E4:G4"/>
    <mergeCell ref="H4:H7"/>
    <mergeCell ref="I4:L4"/>
    <mergeCell ref="M4:M7"/>
    <mergeCell ref="N4:U4"/>
    <mergeCell ref="W4:W7"/>
    <mergeCell ref="N5:N7"/>
    <mergeCell ref="O5:O7"/>
    <mergeCell ref="P5:P7"/>
    <mergeCell ref="Q5:Q7"/>
    <mergeCell ref="R5:R7"/>
  </mergeCells>
  <printOptions horizontalCentered="1"/>
  <pageMargins left="3.937007874015748E-2" right="3.937007874015748E-2" top="0.55118110236220474" bottom="0.47244094488188981" header="0.19685039370078741" footer="0.23622047244094491"/>
  <pageSetup paperSize="8" scale="70" fitToHeight="0" orientation="landscape" r:id="rId1"/>
  <headerFooter alignWithMargins="0">
    <oddFooter>&amp;R&amp;P/&amp;N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40"/>
  <sheetViews>
    <sheetView topLeftCell="A6" zoomScale="85" zoomScaleNormal="85" workbookViewId="0">
      <pane xSplit="3" ySplit="5" topLeftCell="E202" activePane="bottomRight" state="frozen"/>
      <selection activeCell="A6" sqref="A6"/>
      <selection pane="topRight" activeCell="D6" sqref="D6"/>
      <selection pane="bottomLeft" activeCell="A11" sqref="A11"/>
      <selection pane="bottomRight" activeCell="B214" sqref="B214"/>
    </sheetView>
  </sheetViews>
  <sheetFormatPr defaultColWidth="9.109375" defaultRowHeight="15.6" outlineLevelRow="2" outlineLevelCol="1"/>
  <cols>
    <col min="1" max="1" width="5.109375" style="46" customWidth="1"/>
    <col min="2" max="2" width="40.6640625" style="47" customWidth="1"/>
    <col min="3" max="3" width="11.44140625" style="48" customWidth="1"/>
    <col min="4" max="4" width="12.109375" style="47" hidden="1" customWidth="1" outlineLevel="1"/>
    <col min="5" max="5" width="12.44140625" style="52" customWidth="1" collapsed="1"/>
    <col min="6" max="6" width="13.33203125" style="52" customWidth="1"/>
    <col min="7" max="7" width="12" style="54" customWidth="1"/>
    <col min="8" max="8" width="12.33203125" style="54" customWidth="1"/>
    <col min="9" max="9" width="11.109375" style="54" customWidth="1" collapsed="1"/>
    <col min="10" max="11" width="11.5546875" style="54" customWidth="1" collapsed="1"/>
    <col min="12" max="12" width="12.109375" style="54" customWidth="1" collapsed="1"/>
    <col min="13" max="13" width="10.88671875" style="54" customWidth="1"/>
    <col min="14" max="14" width="11.109375" style="54" customWidth="1"/>
    <col min="15" max="15" width="11.33203125" style="54" customWidth="1"/>
    <col min="16" max="16" width="10.109375" style="54" customWidth="1" collapsed="1"/>
    <col min="17" max="17" width="10.6640625" style="54" customWidth="1"/>
    <col min="18" max="18" width="11.33203125" style="51" hidden="1" customWidth="1"/>
    <col min="19" max="19" width="9.33203125" style="51" customWidth="1"/>
    <col min="20" max="20" width="12.33203125" style="51" bestFit="1" customWidth="1"/>
    <col min="21" max="39" width="9.44140625" style="51" bestFit="1" customWidth="1"/>
    <col min="40" max="41" width="9.109375" style="51"/>
    <col min="42" max="56" width="9.44140625" style="51" bestFit="1" customWidth="1"/>
    <col min="57" max="236" width="9.109375" style="51"/>
    <col min="237" max="237" width="4.88671875" style="51" customWidth="1"/>
    <col min="238" max="238" width="41.88671875" style="51" customWidth="1"/>
    <col min="239" max="239" width="10" style="51" customWidth="1"/>
    <col min="240" max="241" width="8.6640625" style="51" customWidth="1"/>
    <col min="242" max="243" width="7.6640625" style="51" customWidth="1"/>
    <col min="244" max="244" width="8.6640625" style="51" customWidth="1"/>
    <col min="245" max="248" width="7.6640625" style="51" customWidth="1"/>
    <col min="249" max="249" width="10" style="51" customWidth="1"/>
    <col min="250" max="255" width="8.5546875" style="51" customWidth="1"/>
    <col min="256" max="256" width="8" style="51" customWidth="1"/>
    <col min="257" max="257" width="9" style="51" customWidth="1"/>
    <col min="258" max="258" width="8.5546875" style="51" customWidth="1"/>
    <col min="259" max="492" width="9.109375" style="51"/>
    <col min="493" max="493" width="4.88671875" style="51" customWidth="1"/>
    <col min="494" max="494" width="41.88671875" style="51" customWidth="1"/>
    <col min="495" max="495" width="10" style="51" customWidth="1"/>
    <col min="496" max="497" width="8.6640625" style="51" customWidth="1"/>
    <col min="498" max="499" width="7.6640625" style="51" customWidth="1"/>
    <col min="500" max="500" width="8.6640625" style="51" customWidth="1"/>
    <col min="501" max="504" width="7.6640625" style="51" customWidth="1"/>
    <col min="505" max="505" width="10" style="51" customWidth="1"/>
    <col min="506" max="511" width="8.5546875" style="51" customWidth="1"/>
    <col min="512" max="512" width="8" style="51" customWidth="1"/>
    <col min="513" max="513" width="9" style="51" customWidth="1"/>
    <col min="514" max="514" width="8.5546875" style="51" customWidth="1"/>
    <col min="515" max="748" width="9.109375" style="51"/>
    <col min="749" max="749" width="4.88671875" style="51" customWidth="1"/>
    <col min="750" max="750" width="41.88671875" style="51" customWidth="1"/>
    <col min="751" max="751" width="10" style="51" customWidth="1"/>
    <col min="752" max="753" width="8.6640625" style="51" customWidth="1"/>
    <col min="754" max="755" width="7.6640625" style="51" customWidth="1"/>
    <col min="756" max="756" width="8.6640625" style="51" customWidth="1"/>
    <col min="757" max="760" width="7.6640625" style="51" customWidth="1"/>
    <col min="761" max="761" width="10" style="51" customWidth="1"/>
    <col min="762" max="767" width="8.5546875" style="51" customWidth="1"/>
    <col min="768" max="768" width="8" style="51" customWidth="1"/>
    <col min="769" max="769" width="9" style="51" customWidth="1"/>
    <col min="770" max="770" width="8.5546875" style="51" customWidth="1"/>
    <col min="771" max="1004" width="9.109375" style="51"/>
    <col min="1005" max="1005" width="4.88671875" style="51" customWidth="1"/>
    <col min="1006" max="1006" width="41.88671875" style="51" customWidth="1"/>
    <col min="1007" max="1007" width="10" style="51" customWidth="1"/>
    <col min="1008" max="1009" width="8.6640625" style="51" customWidth="1"/>
    <col min="1010" max="1011" width="7.6640625" style="51" customWidth="1"/>
    <col min="1012" max="1012" width="8.6640625" style="51" customWidth="1"/>
    <col min="1013" max="1016" width="7.6640625" style="51" customWidth="1"/>
    <col min="1017" max="1017" width="10" style="51" customWidth="1"/>
    <col min="1018" max="1023" width="8.5546875" style="51" customWidth="1"/>
    <col min="1024" max="1024" width="8" style="51" customWidth="1"/>
    <col min="1025" max="1025" width="9" style="51" customWidth="1"/>
    <col min="1026" max="1026" width="8.5546875" style="51" customWidth="1"/>
    <col min="1027" max="1260" width="9.109375" style="51"/>
    <col min="1261" max="1261" width="4.88671875" style="51" customWidth="1"/>
    <col min="1262" max="1262" width="41.88671875" style="51" customWidth="1"/>
    <col min="1263" max="1263" width="10" style="51" customWidth="1"/>
    <col min="1264" max="1265" width="8.6640625" style="51" customWidth="1"/>
    <col min="1266" max="1267" width="7.6640625" style="51" customWidth="1"/>
    <col min="1268" max="1268" width="8.6640625" style="51" customWidth="1"/>
    <col min="1269" max="1272" width="7.6640625" style="51" customWidth="1"/>
    <col min="1273" max="1273" width="10" style="51" customWidth="1"/>
    <col min="1274" max="1279" width="8.5546875" style="51" customWidth="1"/>
    <col min="1280" max="1280" width="8" style="51" customWidth="1"/>
    <col min="1281" max="1281" width="9" style="51" customWidth="1"/>
    <col min="1282" max="1282" width="8.5546875" style="51" customWidth="1"/>
    <col min="1283" max="1516" width="9.109375" style="51"/>
    <col min="1517" max="1517" width="4.88671875" style="51" customWidth="1"/>
    <col min="1518" max="1518" width="41.88671875" style="51" customWidth="1"/>
    <col min="1519" max="1519" width="10" style="51" customWidth="1"/>
    <col min="1520" max="1521" width="8.6640625" style="51" customWidth="1"/>
    <col min="1522" max="1523" width="7.6640625" style="51" customWidth="1"/>
    <col min="1524" max="1524" width="8.6640625" style="51" customWidth="1"/>
    <col min="1525" max="1528" width="7.6640625" style="51" customWidth="1"/>
    <col min="1529" max="1529" width="10" style="51" customWidth="1"/>
    <col min="1530" max="1535" width="8.5546875" style="51" customWidth="1"/>
    <col min="1536" max="1536" width="8" style="51" customWidth="1"/>
    <col min="1537" max="1537" width="9" style="51" customWidth="1"/>
    <col min="1538" max="1538" width="8.5546875" style="51" customWidth="1"/>
    <col min="1539" max="1772" width="9.109375" style="51"/>
    <col min="1773" max="1773" width="4.88671875" style="51" customWidth="1"/>
    <col min="1774" max="1774" width="41.88671875" style="51" customWidth="1"/>
    <col min="1775" max="1775" width="10" style="51" customWidth="1"/>
    <col min="1776" max="1777" width="8.6640625" style="51" customWidth="1"/>
    <col min="1778" max="1779" width="7.6640625" style="51" customWidth="1"/>
    <col min="1780" max="1780" width="8.6640625" style="51" customWidth="1"/>
    <col min="1781" max="1784" width="7.6640625" style="51" customWidth="1"/>
    <col min="1785" max="1785" width="10" style="51" customWidth="1"/>
    <col min="1786" max="1791" width="8.5546875" style="51" customWidth="1"/>
    <col min="1792" max="1792" width="8" style="51" customWidth="1"/>
    <col min="1793" max="1793" width="9" style="51" customWidth="1"/>
    <col min="1794" max="1794" width="8.5546875" style="51" customWidth="1"/>
    <col min="1795" max="2028" width="9.109375" style="51"/>
    <col min="2029" max="2029" width="4.88671875" style="51" customWidth="1"/>
    <col min="2030" max="2030" width="41.88671875" style="51" customWidth="1"/>
    <col min="2031" max="2031" width="10" style="51" customWidth="1"/>
    <col min="2032" max="2033" width="8.6640625" style="51" customWidth="1"/>
    <col min="2034" max="2035" width="7.6640625" style="51" customWidth="1"/>
    <col min="2036" max="2036" width="8.6640625" style="51" customWidth="1"/>
    <col min="2037" max="2040" width="7.6640625" style="51" customWidth="1"/>
    <col min="2041" max="2041" width="10" style="51" customWidth="1"/>
    <col min="2042" max="2047" width="8.5546875" style="51" customWidth="1"/>
    <col min="2048" max="2048" width="8" style="51" customWidth="1"/>
    <col min="2049" max="2049" width="9" style="51" customWidth="1"/>
    <col min="2050" max="2050" width="8.5546875" style="51" customWidth="1"/>
    <col min="2051" max="2284" width="9.109375" style="51"/>
    <col min="2285" max="2285" width="4.88671875" style="51" customWidth="1"/>
    <col min="2286" max="2286" width="41.88671875" style="51" customWidth="1"/>
    <col min="2287" max="2287" width="10" style="51" customWidth="1"/>
    <col min="2288" max="2289" width="8.6640625" style="51" customWidth="1"/>
    <col min="2290" max="2291" width="7.6640625" style="51" customWidth="1"/>
    <col min="2292" max="2292" width="8.6640625" style="51" customWidth="1"/>
    <col min="2293" max="2296" width="7.6640625" style="51" customWidth="1"/>
    <col min="2297" max="2297" width="10" style="51" customWidth="1"/>
    <col min="2298" max="2303" width="8.5546875" style="51" customWidth="1"/>
    <col min="2304" max="2304" width="8" style="51" customWidth="1"/>
    <col min="2305" max="2305" width="9" style="51" customWidth="1"/>
    <col min="2306" max="2306" width="8.5546875" style="51" customWidth="1"/>
    <col min="2307" max="2540" width="9.109375" style="51"/>
    <col min="2541" max="2541" width="4.88671875" style="51" customWidth="1"/>
    <col min="2542" max="2542" width="41.88671875" style="51" customWidth="1"/>
    <col min="2543" max="2543" width="10" style="51" customWidth="1"/>
    <col min="2544" max="2545" width="8.6640625" style="51" customWidth="1"/>
    <col min="2546" max="2547" width="7.6640625" style="51" customWidth="1"/>
    <col min="2548" max="2548" width="8.6640625" style="51" customWidth="1"/>
    <col min="2549" max="2552" width="7.6640625" style="51" customWidth="1"/>
    <col min="2553" max="2553" width="10" style="51" customWidth="1"/>
    <col min="2554" max="2559" width="8.5546875" style="51" customWidth="1"/>
    <col min="2560" max="2560" width="8" style="51" customWidth="1"/>
    <col min="2561" max="2561" width="9" style="51" customWidth="1"/>
    <col min="2562" max="2562" width="8.5546875" style="51" customWidth="1"/>
    <col min="2563" max="2796" width="9.109375" style="51"/>
    <col min="2797" max="2797" width="4.88671875" style="51" customWidth="1"/>
    <col min="2798" max="2798" width="41.88671875" style="51" customWidth="1"/>
    <col min="2799" max="2799" width="10" style="51" customWidth="1"/>
    <col min="2800" max="2801" width="8.6640625" style="51" customWidth="1"/>
    <col min="2802" max="2803" width="7.6640625" style="51" customWidth="1"/>
    <col min="2804" max="2804" width="8.6640625" style="51" customWidth="1"/>
    <col min="2805" max="2808" width="7.6640625" style="51" customWidth="1"/>
    <col min="2809" max="2809" width="10" style="51" customWidth="1"/>
    <col min="2810" max="2815" width="8.5546875" style="51" customWidth="1"/>
    <col min="2816" max="2816" width="8" style="51" customWidth="1"/>
    <col min="2817" max="2817" width="9" style="51" customWidth="1"/>
    <col min="2818" max="2818" width="8.5546875" style="51" customWidth="1"/>
    <col min="2819" max="3052" width="9.109375" style="51"/>
    <col min="3053" max="3053" width="4.88671875" style="51" customWidth="1"/>
    <col min="3054" max="3054" width="41.88671875" style="51" customWidth="1"/>
    <col min="3055" max="3055" width="10" style="51" customWidth="1"/>
    <col min="3056" max="3057" width="8.6640625" style="51" customWidth="1"/>
    <col min="3058" max="3059" width="7.6640625" style="51" customWidth="1"/>
    <col min="3060" max="3060" width="8.6640625" style="51" customWidth="1"/>
    <col min="3061" max="3064" width="7.6640625" style="51" customWidth="1"/>
    <col min="3065" max="3065" width="10" style="51" customWidth="1"/>
    <col min="3066" max="3071" width="8.5546875" style="51" customWidth="1"/>
    <col min="3072" max="3072" width="8" style="51" customWidth="1"/>
    <col min="3073" max="3073" width="9" style="51" customWidth="1"/>
    <col min="3074" max="3074" width="8.5546875" style="51" customWidth="1"/>
    <col min="3075" max="3308" width="9.109375" style="51"/>
    <col min="3309" max="3309" width="4.88671875" style="51" customWidth="1"/>
    <col min="3310" max="3310" width="41.88671875" style="51" customWidth="1"/>
    <col min="3311" max="3311" width="10" style="51" customWidth="1"/>
    <col min="3312" max="3313" width="8.6640625" style="51" customWidth="1"/>
    <col min="3314" max="3315" width="7.6640625" style="51" customWidth="1"/>
    <col min="3316" max="3316" width="8.6640625" style="51" customWidth="1"/>
    <col min="3317" max="3320" width="7.6640625" style="51" customWidth="1"/>
    <col min="3321" max="3321" width="10" style="51" customWidth="1"/>
    <col min="3322" max="3327" width="8.5546875" style="51" customWidth="1"/>
    <col min="3328" max="3328" width="8" style="51" customWidth="1"/>
    <col min="3329" max="3329" width="9" style="51" customWidth="1"/>
    <col min="3330" max="3330" width="8.5546875" style="51" customWidth="1"/>
    <col min="3331" max="3564" width="9.109375" style="51"/>
    <col min="3565" max="3565" width="4.88671875" style="51" customWidth="1"/>
    <col min="3566" max="3566" width="41.88671875" style="51" customWidth="1"/>
    <col min="3567" max="3567" width="10" style="51" customWidth="1"/>
    <col min="3568" max="3569" width="8.6640625" style="51" customWidth="1"/>
    <col min="3570" max="3571" width="7.6640625" style="51" customWidth="1"/>
    <col min="3572" max="3572" width="8.6640625" style="51" customWidth="1"/>
    <col min="3573" max="3576" width="7.6640625" style="51" customWidth="1"/>
    <col min="3577" max="3577" width="10" style="51" customWidth="1"/>
    <col min="3578" max="3583" width="8.5546875" style="51" customWidth="1"/>
    <col min="3584" max="3584" width="8" style="51" customWidth="1"/>
    <col min="3585" max="3585" width="9" style="51" customWidth="1"/>
    <col min="3586" max="3586" width="8.5546875" style="51" customWidth="1"/>
    <col min="3587" max="3820" width="9.109375" style="51"/>
    <col min="3821" max="3821" width="4.88671875" style="51" customWidth="1"/>
    <col min="3822" max="3822" width="41.88671875" style="51" customWidth="1"/>
    <col min="3823" max="3823" width="10" style="51" customWidth="1"/>
    <col min="3824" max="3825" width="8.6640625" style="51" customWidth="1"/>
    <col min="3826" max="3827" width="7.6640625" style="51" customWidth="1"/>
    <col min="3828" max="3828" width="8.6640625" style="51" customWidth="1"/>
    <col min="3829" max="3832" width="7.6640625" style="51" customWidth="1"/>
    <col min="3833" max="3833" width="10" style="51" customWidth="1"/>
    <col min="3834" max="3839" width="8.5546875" style="51" customWidth="1"/>
    <col min="3840" max="3840" width="8" style="51" customWidth="1"/>
    <col min="3841" max="3841" width="9" style="51" customWidth="1"/>
    <col min="3842" max="3842" width="8.5546875" style="51" customWidth="1"/>
    <col min="3843" max="4076" width="9.109375" style="51"/>
    <col min="4077" max="4077" width="4.88671875" style="51" customWidth="1"/>
    <col min="4078" max="4078" width="41.88671875" style="51" customWidth="1"/>
    <col min="4079" max="4079" width="10" style="51" customWidth="1"/>
    <col min="4080" max="4081" width="8.6640625" style="51" customWidth="1"/>
    <col min="4082" max="4083" width="7.6640625" style="51" customWidth="1"/>
    <col min="4084" max="4084" width="8.6640625" style="51" customWidth="1"/>
    <col min="4085" max="4088" width="7.6640625" style="51" customWidth="1"/>
    <col min="4089" max="4089" width="10" style="51" customWidth="1"/>
    <col min="4090" max="4095" width="8.5546875" style="51" customWidth="1"/>
    <col min="4096" max="4096" width="8" style="51" customWidth="1"/>
    <col min="4097" max="4097" width="9" style="51" customWidth="1"/>
    <col min="4098" max="4098" width="8.5546875" style="51" customWidth="1"/>
    <col min="4099" max="4332" width="9.109375" style="51"/>
    <col min="4333" max="4333" width="4.88671875" style="51" customWidth="1"/>
    <col min="4334" max="4334" width="41.88671875" style="51" customWidth="1"/>
    <col min="4335" max="4335" width="10" style="51" customWidth="1"/>
    <col min="4336" max="4337" width="8.6640625" style="51" customWidth="1"/>
    <col min="4338" max="4339" width="7.6640625" style="51" customWidth="1"/>
    <col min="4340" max="4340" width="8.6640625" style="51" customWidth="1"/>
    <col min="4341" max="4344" width="7.6640625" style="51" customWidth="1"/>
    <col min="4345" max="4345" width="10" style="51" customWidth="1"/>
    <col min="4346" max="4351" width="8.5546875" style="51" customWidth="1"/>
    <col min="4352" max="4352" width="8" style="51" customWidth="1"/>
    <col min="4353" max="4353" width="9" style="51" customWidth="1"/>
    <col min="4354" max="4354" width="8.5546875" style="51" customWidth="1"/>
    <col min="4355" max="4588" width="9.109375" style="51"/>
    <col min="4589" max="4589" width="4.88671875" style="51" customWidth="1"/>
    <col min="4590" max="4590" width="41.88671875" style="51" customWidth="1"/>
    <col min="4591" max="4591" width="10" style="51" customWidth="1"/>
    <col min="4592" max="4593" width="8.6640625" style="51" customWidth="1"/>
    <col min="4594" max="4595" width="7.6640625" style="51" customWidth="1"/>
    <col min="4596" max="4596" width="8.6640625" style="51" customWidth="1"/>
    <col min="4597" max="4600" width="7.6640625" style="51" customWidth="1"/>
    <col min="4601" max="4601" width="10" style="51" customWidth="1"/>
    <col min="4602" max="4607" width="8.5546875" style="51" customWidth="1"/>
    <col min="4608" max="4608" width="8" style="51" customWidth="1"/>
    <col min="4609" max="4609" width="9" style="51" customWidth="1"/>
    <col min="4610" max="4610" width="8.5546875" style="51" customWidth="1"/>
    <col min="4611" max="4844" width="9.109375" style="51"/>
    <col min="4845" max="4845" width="4.88671875" style="51" customWidth="1"/>
    <col min="4846" max="4846" width="41.88671875" style="51" customWidth="1"/>
    <col min="4847" max="4847" width="10" style="51" customWidth="1"/>
    <col min="4848" max="4849" width="8.6640625" style="51" customWidth="1"/>
    <col min="4850" max="4851" width="7.6640625" style="51" customWidth="1"/>
    <col min="4852" max="4852" width="8.6640625" style="51" customWidth="1"/>
    <col min="4853" max="4856" width="7.6640625" style="51" customWidth="1"/>
    <col min="4857" max="4857" width="10" style="51" customWidth="1"/>
    <col min="4858" max="4863" width="8.5546875" style="51" customWidth="1"/>
    <col min="4864" max="4864" width="8" style="51" customWidth="1"/>
    <col min="4865" max="4865" width="9" style="51" customWidth="1"/>
    <col min="4866" max="4866" width="8.5546875" style="51" customWidth="1"/>
    <col min="4867" max="5100" width="9.109375" style="51"/>
    <col min="5101" max="5101" width="4.88671875" style="51" customWidth="1"/>
    <col min="5102" max="5102" width="41.88671875" style="51" customWidth="1"/>
    <col min="5103" max="5103" width="10" style="51" customWidth="1"/>
    <col min="5104" max="5105" width="8.6640625" style="51" customWidth="1"/>
    <col min="5106" max="5107" width="7.6640625" style="51" customWidth="1"/>
    <col min="5108" max="5108" width="8.6640625" style="51" customWidth="1"/>
    <col min="5109" max="5112" width="7.6640625" style="51" customWidth="1"/>
    <col min="5113" max="5113" width="10" style="51" customWidth="1"/>
    <col min="5114" max="5119" width="8.5546875" style="51" customWidth="1"/>
    <col min="5120" max="5120" width="8" style="51" customWidth="1"/>
    <col min="5121" max="5121" width="9" style="51" customWidth="1"/>
    <col min="5122" max="5122" width="8.5546875" style="51" customWidth="1"/>
    <col min="5123" max="5356" width="9.109375" style="51"/>
    <col min="5357" max="5357" width="4.88671875" style="51" customWidth="1"/>
    <col min="5358" max="5358" width="41.88671875" style="51" customWidth="1"/>
    <col min="5359" max="5359" width="10" style="51" customWidth="1"/>
    <col min="5360" max="5361" width="8.6640625" style="51" customWidth="1"/>
    <col min="5362" max="5363" width="7.6640625" style="51" customWidth="1"/>
    <col min="5364" max="5364" width="8.6640625" style="51" customWidth="1"/>
    <col min="5365" max="5368" width="7.6640625" style="51" customWidth="1"/>
    <col min="5369" max="5369" width="10" style="51" customWidth="1"/>
    <col min="5370" max="5375" width="8.5546875" style="51" customWidth="1"/>
    <col min="5376" max="5376" width="8" style="51" customWidth="1"/>
    <col min="5377" max="5377" width="9" style="51" customWidth="1"/>
    <col min="5378" max="5378" width="8.5546875" style="51" customWidth="1"/>
    <col min="5379" max="5612" width="9.109375" style="51"/>
    <col min="5613" max="5613" width="4.88671875" style="51" customWidth="1"/>
    <col min="5614" max="5614" width="41.88671875" style="51" customWidth="1"/>
    <col min="5615" max="5615" width="10" style="51" customWidth="1"/>
    <col min="5616" max="5617" width="8.6640625" style="51" customWidth="1"/>
    <col min="5618" max="5619" width="7.6640625" style="51" customWidth="1"/>
    <col min="5620" max="5620" width="8.6640625" style="51" customWidth="1"/>
    <col min="5621" max="5624" width="7.6640625" style="51" customWidth="1"/>
    <col min="5625" max="5625" width="10" style="51" customWidth="1"/>
    <col min="5626" max="5631" width="8.5546875" style="51" customWidth="1"/>
    <col min="5632" max="5632" width="8" style="51" customWidth="1"/>
    <col min="5633" max="5633" width="9" style="51" customWidth="1"/>
    <col min="5634" max="5634" width="8.5546875" style="51" customWidth="1"/>
    <col min="5635" max="5868" width="9.109375" style="51"/>
    <col min="5869" max="5869" width="4.88671875" style="51" customWidth="1"/>
    <col min="5870" max="5870" width="41.88671875" style="51" customWidth="1"/>
    <col min="5871" max="5871" width="10" style="51" customWidth="1"/>
    <col min="5872" max="5873" width="8.6640625" style="51" customWidth="1"/>
    <col min="5874" max="5875" width="7.6640625" style="51" customWidth="1"/>
    <col min="5876" max="5876" width="8.6640625" style="51" customWidth="1"/>
    <col min="5877" max="5880" width="7.6640625" style="51" customWidth="1"/>
    <col min="5881" max="5881" width="10" style="51" customWidth="1"/>
    <col min="5882" max="5887" width="8.5546875" style="51" customWidth="1"/>
    <col min="5888" max="5888" width="8" style="51" customWidth="1"/>
    <col min="5889" max="5889" width="9" style="51" customWidth="1"/>
    <col min="5890" max="5890" width="8.5546875" style="51" customWidth="1"/>
    <col min="5891" max="6124" width="9.109375" style="51"/>
    <col min="6125" max="6125" width="4.88671875" style="51" customWidth="1"/>
    <col min="6126" max="6126" width="41.88671875" style="51" customWidth="1"/>
    <col min="6127" max="6127" width="10" style="51" customWidth="1"/>
    <col min="6128" max="6129" width="8.6640625" style="51" customWidth="1"/>
    <col min="6130" max="6131" width="7.6640625" style="51" customWidth="1"/>
    <col min="6132" max="6132" width="8.6640625" style="51" customWidth="1"/>
    <col min="6133" max="6136" width="7.6640625" style="51" customWidth="1"/>
    <col min="6137" max="6137" width="10" style="51" customWidth="1"/>
    <col min="6138" max="6143" width="8.5546875" style="51" customWidth="1"/>
    <col min="6144" max="6144" width="8" style="51" customWidth="1"/>
    <col min="6145" max="6145" width="9" style="51" customWidth="1"/>
    <col min="6146" max="6146" width="8.5546875" style="51" customWidth="1"/>
    <col min="6147" max="6380" width="9.109375" style="51"/>
    <col min="6381" max="6381" width="4.88671875" style="51" customWidth="1"/>
    <col min="6382" max="6382" width="41.88671875" style="51" customWidth="1"/>
    <col min="6383" max="6383" width="10" style="51" customWidth="1"/>
    <col min="6384" max="6385" width="8.6640625" style="51" customWidth="1"/>
    <col min="6386" max="6387" width="7.6640625" style="51" customWidth="1"/>
    <col min="6388" max="6388" width="8.6640625" style="51" customWidth="1"/>
    <col min="6389" max="6392" width="7.6640625" style="51" customWidth="1"/>
    <col min="6393" max="6393" width="10" style="51" customWidth="1"/>
    <col min="6394" max="6399" width="8.5546875" style="51" customWidth="1"/>
    <col min="6400" max="6400" width="8" style="51" customWidth="1"/>
    <col min="6401" max="6401" width="9" style="51" customWidth="1"/>
    <col min="6402" max="6402" width="8.5546875" style="51" customWidth="1"/>
    <col min="6403" max="6636" width="9.109375" style="51"/>
    <col min="6637" max="6637" width="4.88671875" style="51" customWidth="1"/>
    <col min="6638" max="6638" width="41.88671875" style="51" customWidth="1"/>
    <col min="6639" max="6639" width="10" style="51" customWidth="1"/>
    <col min="6640" max="6641" width="8.6640625" style="51" customWidth="1"/>
    <col min="6642" max="6643" width="7.6640625" style="51" customWidth="1"/>
    <col min="6644" max="6644" width="8.6640625" style="51" customWidth="1"/>
    <col min="6645" max="6648" width="7.6640625" style="51" customWidth="1"/>
    <col min="6649" max="6649" width="10" style="51" customWidth="1"/>
    <col min="6650" max="6655" width="8.5546875" style="51" customWidth="1"/>
    <col min="6656" max="6656" width="8" style="51" customWidth="1"/>
    <col min="6657" max="6657" width="9" style="51" customWidth="1"/>
    <col min="6658" max="6658" width="8.5546875" style="51" customWidth="1"/>
    <col min="6659" max="6892" width="9.109375" style="51"/>
    <col min="6893" max="6893" width="4.88671875" style="51" customWidth="1"/>
    <col min="6894" max="6894" width="41.88671875" style="51" customWidth="1"/>
    <col min="6895" max="6895" width="10" style="51" customWidth="1"/>
    <col min="6896" max="6897" width="8.6640625" style="51" customWidth="1"/>
    <col min="6898" max="6899" width="7.6640625" style="51" customWidth="1"/>
    <col min="6900" max="6900" width="8.6640625" style="51" customWidth="1"/>
    <col min="6901" max="6904" width="7.6640625" style="51" customWidth="1"/>
    <col min="6905" max="6905" width="10" style="51" customWidth="1"/>
    <col min="6906" max="6911" width="8.5546875" style="51" customWidth="1"/>
    <col min="6912" max="6912" width="8" style="51" customWidth="1"/>
    <col min="6913" max="6913" width="9" style="51" customWidth="1"/>
    <col min="6914" max="6914" width="8.5546875" style="51" customWidth="1"/>
    <col min="6915" max="7148" width="9.109375" style="51"/>
    <col min="7149" max="7149" width="4.88671875" style="51" customWidth="1"/>
    <col min="7150" max="7150" width="41.88671875" style="51" customWidth="1"/>
    <col min="7151" max="7151" width="10" style="51" customWidth="1"/>
    <col min="7152" max="7153" width="8.6640625" style="51" customWidth="1"/>
    <col min="7154" max="7155" width="7.6640625" style="51" customWidth="1"/>
    <col min="7156" max="7156" width="8.6640625" style="51" customWidth="1"/>
    <col min="7157" max="7160" width="7.6640625" style="51" customWidth="1"/>
    <col min="7161" max="7161" width="10" style="51" customWidth="1"/>
    <col min="7162" max="7167" width="8.5546875" style="51" customWidth="1"/>
    <col min="7168" max="7168" width="8" style="51" customWidth="1"/>
    <col min="7169" max="7169" width="9" style="51" customWidth="1"/>
    <col min="7170" max="7170" width="8.5546875" style="51" customWidth="1"/>
    <col min="7171" max="7404" width="9.109375" style="51"/>
    <col min="7405" max="7405" width="4.88671875" style="51" customWidth="1"/>
    <col min="7406" max="7406" width="41.88671875" style="51" customWidth="1"/>
    <col min="7407" max="7407" width="10" style="51" customWidth="1"/>
    <col min="7408" max="7409" width="8.6640625" style="51" customWidth="1"/>
    <col min="7410" max="7411" width="7.6640625" style="51" customWidth="1"/>
    <col min="7412" max="7412" width="8.6640625" style="51" customWidth="1"/>
    <col min="7413" max="7416" width="7.6640625" style="51" customWidth="1"/>
    <col min="7417" max="7417" width="10" style="51" customWidth="1"/>
    <col min="7418" max="7423" width="8.5546875" style="51" customWidth="1"/>
    <col min="7424" max="7424" width="8" style="51" customWidth="1"/>
    <col min="7425" max="7425" width="9" style="51" customWidth="1"/>
    <col min="7426" max="7426" width="8.5546875" style="51" customWidth="1"/>
    <col min="7427" max="7660" width="9.109375" style="51"/>
    <col min="7661" max="7661" width="4.88671875" style="51" customWidth="1"/>
    <col min="7662" max="7662" width="41.88671875" style="51" customWidth="1"/>
    <col min="7663" max="7663" width="10" style="51" customWidth="1"/>
    <col min="7664" max="7665" width="8.6640625" style="51" customWidth="1"/>
    <col min="7666" max="7667" width="7.6640625" style="51" customWidth="1"/>
    <col min="7668" max="7668" width="8.6640625" style="51" customWidth="1"/>
    <col min="7669" max="7672" width="7.6640625" style="51" customWidth="1"/>
    <col min="7673" max="7673" width="10" style="51" customWidth="1"/>
    <col min="7674" max="7679" width="8.5546875" style="51" customWidth="1"/>
    <col min="7680" max="7680" width="8" style="51" customWidth="1"/>
    <col min="7681" max="7681" width="9" style="51" customWidth="1"/>
    <col min="7682" max="7682" width="8.5546875" style="51" customWidth="1"/>
    <col min="7683" max="7916" width="9.109375" style="51"/>
    <col min="7917" max="7917" width="4.88671875" style="51" customWidth="1"/>
    <col min="7918" max="7918" width="41.88671875" style="51" customWidth="1"/>
    <col min="7919" max="7919" width="10" style="51" customWidth="1"/>
    <col min="7920" max="7921" width="8.6640625" style="51" customWidth="1"/>
    <col min="7922" max="7923" width="7.6640625" style="51" customWidth="1"/>
    <col min="7924" max="7924" width="8.6640625" style="51" customWidth="1"/>
    <col min="7925" max="7928" width="7.6640625" style="51" customWidth="1"/>
    <col min="7929" max="7929" width="10" style="51" customWidth="1"/>
    <col min="7930" max="7935" width="8.5546875" style="51" customWidth="1"/>
    <col min="7936" max="7936" width="8" style="51" customWidth="1"/>
    <col min="7937" max="7937" width="9" style="51" customWidth="1"/>
    <col min="7938" max="7938" width="8.5546875" style="51" customWidth="1"/>
    <col min="7939" max="8172" width="9.109375" style="51"/>
    <col min="8173" max="8173" width="4.88671875" style="51" customWidth="1"/>
    <col min="8174" max="8174" width="41.88671875" style="51" customWidth="1"/>
    <col min="8175" max="8175" width="10" style="51" customWidth="1"/>
    <col min="8176" max="8177" width="8.6640625" style="51" customWidth="1"/>
    <col min="8178" max="8179" width="7.6640625" style="51" customWidth="1"/>
    <col min="8180" max="8180" width="8.6640625" style="51" customWidth="1"/>
    <col min="8181" max="8184" width="7.6640625" style="51" customWidth="1"/>
    <col min="8185" max="8185" width="10" style="51" customWidth="1"/>
    <col min="8186" max="8191" width="8.5546875" style="51" customWidth="1"/>
    <col min="8192" max="8192" width="8" style="51" customWidth="1"/>
    <col min="8193" max="8193" width="9" style="51" customWidth="1"/>
    <col min="8194" max="8194" width="8.5546875" style="51" customWidth="1"/>
    <col min="8195" max="8428" width="9.109375" style="51"/>
    <col min="8429" max="8429" width="4.88671875" style="51" customWidth="1"/>
    <col min="8430" max="8430" width="41.88671875" style="51" customWidth="1"/>
    <col min="8431" max="8431" width="10" style="51" customWidth="1"/>
    <col min="8432" max="8433" width="8.6640625" style="51" customWidth="1"/>
    <col min="8434" max="8435" width="7.6640625" style="51" customWidth="1"/>
    <col min="8436" max="8436" width="8.6640625" style="51" customWidth="1"/>
    <col min="8437" max="8440" width="7.6640625" style="51" customWidth="1"/>
    <col min="8441" max="8441" width="10" style="51" customWidth="1"/>
    <col min="8442" max="8447" width="8.5546875" style="51" customWidth="1"/>
    <col min="8448" max="8448" width="8" style="51" customWidth="1"/>
    <col min="8449" max="8449" width="9" style="51" customWidth="1"/>
    <col min="8450" max="8450" width="8.5546875" style="51" customWidth="1"/>
    <col min="8451" max="8684" width="9.109375" style="51"/>
    <col min="8685" max="8685" width="4.88671875" style="51" customWidth="1"/>
    <col min="8686" max="8686" width="41.88671875" style="51" customWidth="1"/>
    <col min="8687" max="8687" width="10" style="51" customWidth="1"/>
    <col min="8688" max="8689" width="8.6640625" style="51" customWidth="1"/>
    <col min="8690" max="8691" width="7.6640625" style="51" customWidth="1"/>
    <col min="8692" max="8692" width="8.6640625" style="51" customWidth="1"/>
    <col min="8693" max="8696" width="7.6640625" style="51" customWidth="1"/>
    <col min="8697" max="8697" width="10" style="51" customWidth="1"/>
    <col min="8698" max="8703" width="8.5546875" style="51" customWidth="1"/>
    <col min="8704" max="8704" width="8" style="51" customWidth="1"/>
    <col min="8705" max="8705" width="9" style="51" customWidth="1"/>
    <col min="8706" max="8706" width="8.5546875" style="51" customWidth="1"/>
    <col min="8707" max="8940" width="9.109375" style="51"/>
    <col min="8941" max="8941" width="4.88671875" style="51" customWidth="1"/>
    <col min="8942" max="8942" width="41.88671875" style="51" customWidth="1"/>
    <col min="8943" max="8943" width="10" style="51" customWidth="1"/>
    <col min="8944" max="8945" width="8.6640625" style="51" customWidth="1"/>
    <col min="8946" max="8947" width="7.6640625" style="51" customWidth="1"/>
    <col min="8948" max="8948" width="8.6640625" style="51" customWidth="1"/>
    <col min="8949" max="8952" width="7.6640625" style="51" customWidth="1"/>
    <col min="8953" max="8953" width="10" style="51" customWidth="1"/>
    <col min="8954" max="8959" width="8.5546875" style="51" customWidth="1"/>
    <col min="8960" max="8960" width="8" style="51" customWidth="1"/>
    <col min="8961" max="8961" width="9" style="51" customWidth="1"/>
    <col min="8962" max="8962" width="8.5546875" style="51" customWidth="1"/>
    <col min="8963" max="9196" width="9.109375" style="51"/>
    <col min="9197" max="9197" width="4.88671875" style="51" customWidth="1"/>
    <col min="9198" max="9198" width="41.88671875" style="51" customWidth="1"/>
    <col min="9199" max="9199" width="10" style="51" customWidth="1"/>
    <col min="9200" max="9201" width="8.6640625" style="51" customWidth="1"/>
    <col min="9202" max="9203" width="7.6640625" style="51" customWidth="1"/>
    <col min="9204" max="9204" width="8.6640625" style="51" customWidth="1"/>
    <col min="9205" max="9208" width="7.6640625" style="51" customWidth="1"/>
    <col min="9209" max="9209" width="10" style="51" customWidth="1"/>
    <col min="9210" max="9215" width="8.5546875" style="51" customWidth="1"/>
    <col min="9216" max="9216" width="8" style="51" customWidth="1"/>
    <col min="9217" max="9217" width="9" style="51" customWidth="1"/>
    <col min="9218" max="9218" width="8.5546875" style="51" customWidth="1"/>
    <col min="9219" max="9452" width="9.109375" style="51"/>
    <col min="9453" max="9453" width="4.88671875" style="51" customWidth="1"/>
    <col min="9454" max="9454" width="41.88671875" style="51" customWidth="1"/>
    <col min="9455" max="9455" width="10" style="51" customWidth="1"/>
    <col min="9456" max="9457" width="8.6640625" style="51" customWidth="1"/>
    <col min="9458" max="9459" width="7.6640625" style="51" customWidth="1"/>
    <col min="9460" max="9460" width="8.6640625" style="51" customWidth="1"/>
    <col min="9461" max="9464" width="7.6640625" style="51" customWidth="1"/>
    <col min="9465" max="9465" width="10" style="51" customWidth="1"/>
    <col min="9466" max="9471" width="8.5546875" style="51" customWidth="1"/>
    <col min="9472" max="9472" width="8" style="51" customWidth="1"/>
    <col min="9473" max="9473" width="9" style="51" customWidth="1"/>
    <col min="9474" max="9474" width="8.5546875" style="51" customWidth="1"/>
    <col min="9475" max="9708" width="9.109375" style="51"/>
    <col min="9709" max="9709" width="4.88671875" style="51" customWidth="1"/>
    <col min="9710" max="9710" width="41.88671875" style="51" customWidth="1"/>
    <col min="9711" max="9711" width="10" style="51" customWidth="1"/>
    <col min="9712" max="9713" width="8.6640625" style="51" customWidth="1"/>
    <col min="9714" max="9715" width="7.6640625" style="51" customWidth="1"/>
    <col min="9716" max="9716" width="8.6640625" style="51" customWidth="1"/>
    <col min="9717" max="9720" width="7.6640625" style="51" customWidth="1"/>
    <col min="9721" max="9721" width="10" style="51" customWidth="1"/>
    <col min="9722" max="9727" width="8.5546875" style="51" customWidth="1"/>
    <col min="9728" max="9728" width="8" style="51" customWidth="1"/>
    <col min="9729" max="9729" width="9" style="51" customWidth="1"/>
    <col min="9730" max="9730" width="8.5546875" style="51" customWidth="1"/>
    <col min="9731" max="9964" width="9.109375" style="51"/>
    <col min="9965" max="9965" width="4.88671875" style="51" customWidth="1"/>
    <col min="9966" max="9966" width="41.88671875" style="51" customWidth="1"/>
    <col min="9967" max="9967" width="10" style="51" customWidth="1"/>
    <col min="9968" max="9969" width="8.6640625" style="51" customWidth="1"/>
    <col min="9970" max="9971" width="7.6640625" style="51" customWidth="1"/>
    <col min="9972" max="9972" width="8.6640625" style="51" customWidth="1"/>
    <col min="9973" max="9976" width="7.6640625" style="51" customWidth="1"/>
    <col min="9977" max="9977" width="10" style="51" customWidth="1"/>
    <col min="9978" max="9983" width="8.5546875" style="51" customWidth="1"/>
    <col min="9984" max="9984" width="8" style="51" customWidth="1"/>
    <col min="9985" max="9985" width="9" style="51" customWidth="1"/>
    <col min="9986" max="9986" width="8.5546875" style="51" customWidth="1"/>
    <col min="9987" max="10220" width="9.109375" style="51"/>
    <col min="10221" max="10221" width="4.88671875" style="51" customWidth="1"/>
    <col min="10222" max="10222" width="41.88671875" style="51" customWidth="1"/>
    <col min="10223" max="10223" width="10" style="51" customWidth="1"/>
    <col min="10224" max="10225" width="8.6640625" style="51" customWidth="1"/>
    <col min="10226" max="10227" width="7.6640625" style="51" customWidth="1"/>
    <col min="10228" max="10228" width="8.6640625" style="51" customWidth="1"/>
    <col min="10229" max="10232" width="7.6640625" style="51" customWidth="1"/>
    <col min="10233" max="10233" width="10" style="51" customWidth="1"/>
    <col min="10234" max="10239" width="8.5546875" style="51" customWidth="1"/>
    <col min="10240" max="10240" width="8" style="51" customWidth="1"/>
    <col min="10241" max="10241" width="9" style="51" customWidth="1"/>
    <col min="10242" max="10242" width="8.5546875" style="51" customWidth="1"/>
    <col min="10243" max="10476" width="9.109375" style="51"/>
    <col min="10477" max="10477" width="4.88671875" style="51" customWidth="1"/>
    <col min="10478" max="10478" width="41.88671875" style="51" customWidth="1"/>
    <col min="10479" max="10479" width="10" style="51" customWidth="1"/>
    <col min="10480" max="10481" width="8.6640625" style="51" customWidth="1"/>
    <col min="10482" max="10483" width="7.6640625" style="51" customWidth="1"/>
    <col min="10484" max="10484" width="8.6640625" style="51" customWidth="1"/>
    <col min="10485" max="10488" width="7.6640625" style="51" customWidth="1"/>
    <col min="10489" max="10489" width="10" style="51" customWidth="1"/>
    <col min="10490" max="10495" width="8.5546875" style="51" customWidth="1"/>
    <col min="10496" max="10496" width="8" style="51" customWidth="1"/>
    <col min="10497" max="10497" width="9" style="51" customWidth="1"/>
    <col min="10498" max="10498" width="8.5546875" style="51" customWidth="1"/>
    <col min="10499" max="10732" width="9.109375" style="51"/>
    <col min="10733" max="10733" width="4.88671875" style="51" customWidth="1"/>
    <col min="10734" max="10734" width="41.88671875" style="51" customWidth="1"/>
    <col min="10735" max="10735" width="10" style="51" customWidth="1"/>
    <col min="10736" max="10737" width="8.6640625" style="51" customWidth="1"/>
    <col min="10738" max="10739" width="7.6640625" style="51" customWidth="1"/>
    <col min="10740" max="10740" width="8.6640625" style="51" customWidth="1"/>
    <col min="10741" max="10744" width="7.6640625" style="51" customWidth="1"/>
    <col min="10745" max="10745" width="10" style="51" customWidth="1"/>
    <col min="10746" max="10751" width="8.5546875" style="51" customWidth="1"/>
    <col min="10752" max="10752" width="8" style="51" customWidth="1"/>
    <col min="10753" max="10753" width="9" style="51" customWidth="1"/>
    <col min="10754" max="10754" width="8.5546875" style="51" customWidth="1"/>
    <col min="10755" max="10988" width="9.109375" style="51"/>
    <col min="10989" max="10989" width="4.88671875" style="51" customWidth="1"/>
    <col min="10990" max="10990" width="41.88671875" style="51" customWidth="1"/>
    <col min="10991" max="10991" width="10" style="51" customWidth="1"/>
    <col min="10992" max="10993" width="8.6640625" style="51" customWidth="1"/>
    <col min="10994" max="10995" width="7.6640625" style="51" customWidth="1"/>
    <col min="10996" max="10996" width="8.6640625" style="51" customWidth="1"/>
    <col min="10997" max="11000" width="7.6640625" style="51" customWidth="1"/>
    <col min="11001" max="11001" width="10" style="51" customWidth="1"/>
    <col min="11002" max="11007" width="8.5546875" style="51" customWidth="1"/>
    <col min="11008" max="11008" width="8" style="51" customWidth="1"/>
    <col min="11009" max="11009" width="9" style="51" customWidth="1"/>
    <col min="11010" max="11010" width="8.5546875" style="51" customWidth="1"/>
    <col min="11011" max="11244" width="9.109375" style="51"/>
    <col min="11245" max="11245" width="4.88671875" style="51" customWidth="1"/>
    <col min="11246" max="11246" width="41.88671875" style="51" customWidth="1"/>
    <col min="11247" max="11247" width="10" style="51" customWidth="1"/>
    <col min="11248" max="11249" width="8.6640625" style="51" customWidth="1"/>
    <col min="11250" max="11251" width="7.6640625" style="51" customWidth="1"/>
    <col min="11252" max="11252" width="8.6640625" style="51" customWidth="1"/>
    <col min="11253" max="11256" width="7.6640625" style="51" customWidth="1"/>
    <col min="11257" max="11257" width="10" style="51" customWidth="1"/>
    <col min="11258" max="11263" width="8.5546875" style="51" customWidth="1"/>
    <col min="11264" max="11264" width="8" style="51" customWidth="1"/>
    <col min="11265" max="11265" width="9" style="51" customWidth="1"/>
    <col min="11266" max="11266" width="8.5546875" style="51" customWidth="1"/>
    <col min="11267" max="11500" width="9.109375" style="51"/>
    <col min="11501" max="11501" width="4.88671875" style="51" customWidth="1"/>
    <col min="11502" max="11502" width="41.88671875" style="51" customWidth="1"/>
    <col min="11503" max="11503" width="10" style="51" customWidth="1"/>
    <col min="11504" max="11505" width="8.6640625" style="51" customWidth="1"/>
    <col min="11506" max="11507" width="7.6640625" style="51" customWidth="1"/>
    <col min="11508" max="11508" width="8.6640625" style="51" customWidth="1"/>
    <col min="11509" max="11512" width="7.6640625" style="51" customWidth="1"/>
    <col min="11513" max="11513" width="10" style="51" customWidth="1"/>
    <col min="11514" max="11519" width="8.5546875" style="51" customWidth="1"/>
    <col min="11520" max="11520" width="8" style="51" customWidth="1"/>
    <col min="11521" max="11521" width="9" style="51" customWidth="1"/>
    <col min="11522" max="11522" width="8.5546875" style="51" customWidth="1"/>
    <col min="11523" max="11756" width="9.109375" style="51"/>
    <col min="11757" max="11757" width="4.88671875" style="51" customWidth="1"/>
    <col min="11758" max="11758" width="41.88671875" style="51" customWidth="1"/>
    <col min="11759" max="11759" width="10" style="51" customWidth="1"/>
    <col min="11760" max="11761" width="8.6640625" style="51" customWidth="1"/>
    <col min="11762" max="11763" width="7.6640625" style="51" customWidth="1"/>
    <col min="11764" max="11764" width="8.6640625" style="51" customWidth="1"/>
    <col min="11765" max="11768" width="7.6640625" style="51" customWidth="1"/>
    <col min="11769" max="11769" width="10" style="51" customWidth="1"/>
    <col min="11770" max="11775" width="8.5546875" style="51" customWidth="1"/>
    <col min="11776" max="11776" width="8" style="51" customWidth="1"/>
    <col min="11777" max="11777" width="9" style="51" customWidth="1"/>
    <col min="11778" max="11778" width="8.5546875" style="51" customWidth="1"/>
    <col min="11779" max="12012" width="9.109375" style="51"/>
    <col min="12013" max="12013" width="4.88671875" style="51" customWidth="1"/>
    <col min="12014" max="12014" width="41.88671875" style="51" customWidth="1"/>
    <col min="12015" max="12015" width="10" style="51" customWidth="1"/>
    <col min="12016" max="12017" width="8.6640625" style="51" customWidth="1"/>
    <col min="12018" max="12019" width="7.6640625" style="51" customWidth="1"/>
    <col min="12020" max="12020" width="8.6640625" style="51" customWidth="1"/>
    <col min="12021" max="12024" width="7.6640625" style="51" customWidth="1"/>
    <col min="12025" max="12025" width="10" style="51" customWidth="1"/>
    <col min="12026" max="12031" width="8.5546875" style="51" customWidth="1"/>
    <col min="12032" max="12032" width="8" style="51" customWidth="1"/>
    <col min="12033" max="12033" width="9" style="51" customWidth="1"/>
    <col min="12034" max="12034" width="8.5546875" style="51" customWidth="1"/>
    <col min="12035" max="12268" width="9.109375" style="51"/>
    <col min="12269" max="12269" width="4.88671875" style="51" customWidth="1"/>
    <col min="12270" max="12270" width="41.88671875" style="51" customWidth="1"/>
    <col min="12271" max="12271" width="10" style="51" customWidth="1"/>
    <col min="12272" max="12273" width="8.6640625" style="51" customWidth="1"/>
    <col min="12274" max="12275" width="7.6640625" style="51" customWidth="1"/>
    <col min="12276" max="12276" width="8.6640625" style="51" customWidth="1"/>
    <col min="12277" max="12280" width="7.6640625" style="51" customWidth="1"/>
    <col min="12281" max="12281" width="10" style="51" customWidth="1"/>
    <col min="12282" max="12287" width="8.5546875" style="51" customWidth="1"/>
    <col min="12288" max="12288" width="8" style="51" customWidth="1"/>
    <col min="12289" max="12289" width="9" style="51" customWidth="1"/>
    <col min="12290" max="12290" width="8.5546875" style="51" customWidth="1"/>
    <col min="12291" max="12524" width="9.109375" style="51"/>
    <col min="12525" max="12525" width="4.88671875" style="51" customWidth="1"/>
    <col min="12526" max="12526" width="41.88671875" style="51" customWidth="1"/>
    <col min="12527" max="12527" width="10" style="51" customWidth="1"/>
    <col min="12528" max="12529" width="8.6640625" style="51" customWidth="1"/>
    <col min="12530" max="12531" width="7.6640625" style="51" customWidth="1"/>
    <col min="12532" max="12532" width="8.6640625" style="51" customWidth="1"/>
    <col min="12533" max="12536" width="7.6640625" style="51" customWidth="1"/>
    <col min="12537" max="12537" width="10" style="51" customWidth="1"/>
    <col min="12538" max="12543" width="8.5546875" style="51" customWidth="1"/>
    <col min="12544" max="12544" width="8" style="51" customWidth="1"/>
    <col min="12545" max="12545" width="9" style="51" customWidth="1"/>
    <col min="12546" max="12546" width="8.5546875" style="51" customWidth="1"/>
    <col min="12547" max="12780" width="9.109375" style="51"/>
    <col min="12781" max="12781" width="4.88671875" style="51" customWidth="1"/>
    <col min="12782" max="12782" width="41.88671875" style="51" customWidth="1"/>
    <col min="12783" max="12783" width="10" style="51" customWidth="1"/>
    <col min="12784" max="12785" width="8.6640625" style="51" customWidth="1"/>
    <col min="12786" max="12787" width="7.6640625" style="51" customWidth="1"/>
    <col min="12788" max="12788" width="8.6640625" style="51" customWidth="1"/>
    <col min="12789" max="12792" width="7.6640625" style="51" customWidth="1"/>
    <col min="12793" max="12793" width="10" style="51" customWidth="1"/>
    <col min="12794" max="12799" width="8.5546875" style="51" customWidth="1"/>
    <col min="12800" max="12800" width="8" style="51" customWidth="1"/>
    <col min="12801" max="12801" width="9" style="51" customWidth="1"/>
    <col min="12802" max="12802" width="8.5546875" style="51" customWidth="1"/>
    <col min="12803" max="13036" width="9.109375" style="51"/>
    <col min="13037" max="13037" width="4.88671875" style="51" customWidth="1"/>
    <col min="13038" max="13038" width="41.88671875" style="51" customWidth="1"/>
    <col min="13039" max="13039" width="10" style="51" customWidth="1"/>
    <col min="13040" max="13041" width="8.6640625" style="51" customWidth="1"/>
    <col min="13042" max="13043" width="7.6640625" style="51" customWidth="1"/>
    <col min="13044" max="13044" width="8.6640625" style="51" customWidth="1"/>
    <col min="13045" max="13048" width="7.6640625" style="51" customWidth="1"/>
    <col min="13049" max="13049" width="10" style="51" customWidth="1"/>
    <col min="13050" max="13055" width="8.5546875" style="51" customWidth="1"/>
    <col min="13056" max="13056" width="8" style="51" customWidth="1"/>
    <col min="13057" max="13057" width="9" style="51" customWidth="1"/>
    <col min="13058" max="13058" width="8.5546875" style="51" customWidth="1"/>
    <col min="13059" max="13292" width="9.109375" style="51"/>
    <col min="13293" max="13293" width="4.88671875" style="51" customWidth="1"/>
    <col min="13294" max="13294" width="41.88671875" style="51" customWidth="1"/>
    <col min="13295" max="13295" width="10" style="51" customWidth="1"/>
    <col min="13296" max="13297" width="8.6640625" style="51" customWidth="1"/>
    <col min="13298" max="13299" width="7.6640625" style="51" customWidth="1"/>
    <col min="13300" max="13300" width="8.6640625" style="51" customWidth="1"/>
    <col min="13301" max="13304" width="7.6640625" style="51" customWidth="1"/>
    <col min="13305" max="13305" width="10" style="51" customWidth="1"/>
    <col min="13306" max="13311" width="8.5546875" style="51" customWidth="1"/>
    <col min="13312" max="13312" width="8" style="51" customWidth="1"/>
    <col min="13313" max="13313" width="9" style="51" customWidth="1"/>
    <col min="13314" max="13314" width="8.5546875" style="51" customWidth="1"/>
    <col min="13315" max="13548" width="9.109375" style="51"/>
    <col min="13549" max="13549" width="4.88671875" style="51" customWidth="1"/>
    <col min="13550" max="13550" width="41.88671875" style="51" customWidth="1"/>
    <col min="13551" max="13551" width="10" style="51" customWidth="1"/>
    <col min="13552" max="13553" width="8.6640625" style="51" customWidth="1"/>
    <col min="13554" max="13555" width="7.6640625" style="51" customWidth="1"/>
    <col min="13556" max="13556" width="8.6640625" style="51" customWidth="1"/>
    <col min="13557" max="13560" width="7.6640625" style="51" customWidth="1"/>
    <col min="13561" max="13561" width="10" style="51" customWidth="1"/>
    <col min="13562" max="13567" width="8.5546875" style="51" customWidth="1"/>
    <col min="13568" max="13568" width="8" style="51" customWidth="1"/>
    <col min="13569" max="13569" width="9" style="51" customWidth="1"/>
    <col min="13570" max="13570" width="8.5546875" style="51" customWidth="1"/>
    <col min="13571" max="13804" width="9.109375" style="51"/>
    <col min="13805" max="13805" width="4.88671875" style="51" customWidth="1"/>
    <col min="13806" max="13806" width="41.88671875" style="51" customWidth="1"/>
    <col min="13807" max="13807" width="10" style="51" customWidth="1"/>
    <col min="13808" max="13809" width="8.6640625" style="51" customWidth="1"/>
    <col min="13810" max="13811" width="7.6640625" style="51" customWidth="1"/>
    <col min="13812" max="13812" width="8.6640625" style="51" customWidth="1"/>
    <col min="13813" max="13816" width="7.6640625" style="51" customWidth="1"/>
    <col min="13817" max="13817" width="10" style="51" customWidth="1"/>
    <col min="13818" max="13823" width="8.5546875" style="51" customWidth="1"/>
    <col min="13824" max="13824" width="8" style="51" customWidth="1"/>
    <col min="13825" max="13825" width="9" style="51" customWidth="1"/>
    <col min="13826" max="13826" width="8.5546875" style="51" customWidth="1"/>
    <col min="13827" max="14060" width="9.109375" style="51"/>
    <col min="14061" max="14061" width="4.88671875" style="51" customWidth="1"/>
    <col min="14062" max="14062" width="41.88671875" style="51" customWidth="1"/>
    <col min="14063" max="14063" width="10" style="51" customWidth="1"/>
    <col min="14064" max="14065" width="8.6640625" style="51" customWidth="1"/>
    <col min="14066" max="14067" width="7.6640625" style="51" customWidth="1"/>
    <col min="14068" max="14068" width="8.6640625" style="51" customWidth="1"/>
    <col min="14069" max="14072" width="7.6640625" style="51" customWidth="1"/>
    <col min="14073" max="14073" width="10" style="51" customWidth="1"/>
    <col min="14074" max="14079" width="8.5546875" style="51" customWidth="1"/>
    <col min="14080" max="14080" width="8" style="51" customWidth="1"/>
    <col min="14081" max="14081" width="9" style="51" customWidth="1"/>
    <col min="14082" max="14082" width="8.5546875" style="51" customWidth="1"/>
    <col min="14083" max="14316" width="9.109375" style="51"/>
    <col min="14317" max="14317" width="4.88671875" style="51" customWidth="1"/>
    <col min="14318" max="14318" width="41.88671875" style="51" customWidth="1"/>
    <col min="14319" max="14319" width="10" style="51" customWidth="1"/>
    <col min="14320" max="14321" width="8.6640625" style="51" customWidth="1"/>
    <col min="14322" max="14323" width="7.6640625" style="51" customWidth="1"/>
    <col min="14324" max="14324" width="8.6640625" style="51" customWidth="1"/>
    <col min="14325" max="14328" width="7.6640625" style="51" customWidth="1"/>
    <col min="14329" max="14329" width="10" style="51" customWidth="1"/>
    <col min="14330" max="14335" width="8.5546875" style="51" customWidth="1"/>
    <col min="14336" max="14336" width="8" style="51" customWidth="1"/>
    <col min="14337" max="14337" width="9" style="51" customWidth="1"/>
    <col min="14338" max="14338" width="8.5546875" style="51" customWidth="1"/>
    <col min="14339" max="14572" width="9.109375" style="51"/>
    <col min="14573" max="14573" width="4.88671875" style="51" customWidth="1"/>
    <col min="14574" max="14574" width="41.88671875" style="51" customWidth="1"/>
    <col min="14575" max="14575" width="10" style="51" customWidth="1"/>
    <col min="14576" max="14577" width="8.6640625" style="51" customWidth="1"/>
    <col min="14578" max="14579" width="7.6640625" style="51" customWidth="1"/>
    <col min="14580" max="14580" width="8.6640625" style="51" customWidth="1"/>
    <col min="14581" max="14584" width="7.6640625" style="51" customWidth="1"/>
    <col min="14585" max="14585" width="10" style="51" customWidth="1"/>
    <col min="14586" max="14591" width="8.5546875" style="51" customWidth="1"/>
    <col min="14592" max="14592" width="8" style="51" customWidth="1"/>
    <col min="14593" max="14593" width="9" style="51" customWidth="1"/>
    <col min="14594" max="14594" width="8.5546875" style="51" customWidth="1"/>
    <col min="14595" max="14828" width="9.109375" style="51"/>
    <col min="14829" max="14829" width="4.88671875" style="51" customWidth="1"/>
    <col min="14830" max="14830" width="41.88671875" style="51" customWidth="1"/>
    <col min="14831" max="14831" width="10" style="51" customWidth="1"/>
    <col min="14832" max="14833" width="8.6640625" style="51" customWidth="1"/>
    <col min="14834" max="14835" width="7.6640625" style="51" customWidth="1"/>
    <col min="14836" max="14836" width="8.6640625" style="51" customWidth="1"/>
    <col min="14837" max="14840" width="7.6640625" style="51" customWidth="1"/>
    <col min="14841" max="14841" width="10" style="51" customWidth="1"/>
    <col min="14842" max="14847" width="8.5546875" style="51" customWidth="1"/>
    <col min="14848" max="14848" width="8" style="51" customWidth="1"/>
    <col min="14849" max="14849" width="9" style="51" customWidth="1"/>
    <col min="14850" max="14850" width="8.5546875" style="51" customWidth="1"/>
    <col min="14851" max="15084" width="9.109375" style="51"/>
    <col min="15085" max="15085" width="4.88671875" style="51" customWidth="1"/>
    <col min="15086" max="15086" width="41.88671875" style="51" customWidth="1"/>
    <col min="15087" max="15087" width="10" style="51" customWidth="1"/>
    <col min="15088" max="15089" width="8.6640625" style="51" customWidth="1"/>
    <col min="15090" max="15091" width="7.6640625" style="51" customWidth="1"/>
    <col min="15092" max="15092" width="8.6640625" style="51" customWidth="1"/>
    <col min="15093" max="15096" width="7.6640625" style="51" customWidth="1"/>
    <col min="15097" max="15097" width="10" style="51" customWidth="1"/>
    <col min="15098" max="15103" width="8.5546875" style="51" customWidth="1"/>
    <col min="15104" max="15104" width="8" style="51" customWidth="1"/>
    <col min="15105" max="15105" width="9" style="51" customWidth="1"/>
    <col min="15106" max="15106" width="8.5546875" style="51" customWidth="1"/>
    <col min="15107" max="15340" width="9.109375" style="51"/>
    <col min="15341" max="15341" width="4.88671875" style="51" customWidth="1"/>
    <col min="15342" max="15342" width="41.88671875" style="51" customWidth="1"/>
    <col min="15343" max="15343" width="10" style="51" customWidth="1"/>
    <col min="15344" max="15345" width="8.6640625" style="51" customWidth="1"/>
    <col min="15346" max="15347" width="7.6640625" style="51" customWidth="1"/>
    <col min="15348" max="15348" width="8.6640625" style="51" customWidth="1"/>
    <col min="15349" max="15352" width="7.6640625" style="51" customWidth="1"/>
    <col min="15353" max="15353" width="10" style="51" customWidth="1"/>
    <col min="15354" max="15359" width="8.5546875" style="51" customWidth="1"/>
    <col min="15360" max="15360" width="8" style="51" customWidth="1"/>
    <col min="15361" max="15361" width="9" style="51" customWidth="1"/>
    <col min="15362" max="15362" width="8.5546875" style="51" customWidth="1"/>
    <col min="15363" max="15596" width="9.109375" style="51"/>
    <col min="15597" max="15597" width="4.88671875" style="51" customWidth="1"/>
    <col min="15598" max="15598" width="41.88671875" style="51" customWidth="1"/>
    <col min="15599" max="15599" width="10" style="51" customWidth="1"/>
    <col min="15600" max="15601" width="8.6640625" style="51" customWidth="1"/>
    <col min="15602" max="15603" width="7.6640625" style="51" customWidth="1"/>
    <col min="15604" max="15604" width="8.6640625" style="51" customWidth="1"/>
    <col min="15605" max="15608" width="7.6640625" style="51" customWidth="1"/>
    <col min="15609" max="15609" width="10" style="51" customWidth="1"/>
    <col min="15610" max="15615" width="8.5546875" style="51" customWidth="1"/>
    <col min="15616" max="15616" width="8" style="51" customWidth="1"/>
    <col min="15617" max="15617" width="9" style="51" customWidth="1"/>
    <col min="15618" max="15618" width="8.5546875" style="51" customWidth="1"/>
    <col min="15619" max="15852" width="9.109375" style="51"/>
    <col min="15853" max="15853" width="4.88671875" style="51" customWidth="1"/>
    <col min="15854" max="15854" width="41.88671875" style="51" customWidth="1"/>
    <col min="15855" max="15855" width="10" style="51" customWidth="1"/>
    <col min="15856" max="15857" width="8.6640625" style="51" customWidth="1"/>
    <col min="15858" max="15859" width="7.6640625" style="51" customWidth="1"/>
    <col min="15860" max="15860" width="8.6640625" style="51" customWidth="1"/>
    <col min="15861" max="15864" width="7.6640625" style="51" customWidth="1"/>
    <col min="15865" max="15865" width="10" style="51" customWidth="1"/>
    <col min="15866" max="15871" width="8.5546875" style="51" customWidth="1"/>
    <col min="15872" max="15872" width="8" style="51" customWidth="1"/>
    <col min="15873" max="15873" width="9" style="51" customWidth="1"/>
    <col min="15874" max="15874" width="8.5546875" style="51" customWidth="1"/>
    <col min="15875" max="16108" width="9.109375" style="51"/>
    <col min="16109" max="16109" width="4.88671875" style="51" customWidth="1"/>
    <col min="16110" max="16110" width="41.88671875" style="51" customWidth="1"/>
    <col min="16111" max="16111" width="10" style="51" customWidth="1"/>
    <col min="16112" max="16113" width="8.6640625" style="51" customWidth="1"/>
    <col min="16114" max="16115" width="7.6640625" style="51" customWidth="1"/>
    <col min="16116" max="16116" width="8.6640625" style="51" customWidth="1"/>
    <col min="16117" max="16120" width="7.6640625" style="51" customWidth="1"/>
    <col min="16121" max="16121" width="10" style="51" customWidth="1"/>
    <col min="16122" max="16127" width="8.5546875" style="51" customWidth="1"/>
    <col min="16128" max="16128" width="8" style="51" customWidth="1"/>
    <col min="16129" max="16129" width="9" style="51" customWidth="1"/>
    <col min="16130" max="16130" width="8.5546875" style="51" customWidth="1"/>
    <col min="16131" max="16384" width="9.109375" style="51"/>
  </cols>
  <sheetData>
    <row r="1" spans="1:17" ht="15.75" hidden="1" customHeight="1"/>
    <row r="2" spans="1:17" ht="15.75" hidden="1" customHeight="1"/>
    <row r="3" spans="1:17" ht="40.5" hidden="1" customHeight="1"/>
    <row r="4" spans="1:17" ht="15.75" hidden="1" customHeight="1" outlineLevel="2">
      <c r="E4" s="49">
        <v>4959919</v>
      </c>
      <c r="F4" s="49">
        <v>1757553</v>
      </c>
      <c r="G4" s="50">
        <v>3202366</v>
      </c>
      <c r="H4" s="50">
        <v>611377</v>
      </c>
      <c r="I4" s="50">
        <v>404957</v>
      </c>
      <c r="J4" s="50">
        <v>302269</v>
      </c>
      <c r="K4" s="50">
        <v>293948</v>
      </c>
      <c r="L4" s="50">
        <v>365565</v>
      </c>
      <c r="M4" s="50">
        <v>327672</v>
      </c>
      <c r="N4" s="50">
        <v>104102</v>
      </c>
      <c r="O4" s="50">
        <v>227002</v>
      </c>
      <c r="P4" s="50">
        <v>278274</v>
      </c>
      <c r="Q4" s="50">
        <v>287200</v>
      </c>
    </row>
    <row r="5" spans="1:17" ht="15.75" hidden="1" customHeight="1" outlineLevel="2">
      <c r="E5" s="52">
        <f>E46-E4</f>
        <v>0</v>
      </c>
      <c r="F5" s="52">
        <f t="shared" ref="F5:Q5" si="0">F46-F4</f>
        <v>0</v>
      </c>
      <c r="G5" s="52">
        <f t="shared" si="0"/>
        <v>0</v>
      </c>
      <c r="H5" s="52">
        <f t="shared" si="0"/>
        <v>0</v>
      </c>
      <c r="I5" s="52">
        <f t="shared" si="0"/>
        <v>0</v>
      </c>
      <c r="J5" s="52">
        <f t="shared" si="0"/>
        <v>0</v>
      </c>
      <c r="K5" s="52">
        <f t="shared" si="0"/>
        <v>0</v>
      </c>
      <c r="L5" s="52">
        <f t="shared" si="0"/>
        <v>0</v>
      </c>
      <c r="M5" s="52">
        <f t="shared" si="0"/>
        <v>0</v>
      </c>
      <c r="N5" s="52">
        <f t="shared" si="0"/>
        <v>0</v>
      </c>
      <c r="O5" s="52">
        <f t="shared" si="0"/>
        <v>0</v>
      </c>
      <c r="P5" s="52">
        <f t="shared" si="0"/>
        <v>0</v>
      </c>
      <c r="Q5" s="52">
        <f t="shared" si="0"/>
        <v>0</v>
      </c>
    </row>
    <row r="6" spans="1:17" ht="17.399999999999999" collapsed="1">
      <c r="B6" s="53" t="s">
        <v>1424</v>
      </c>
    </row>
    <row r="7" spans="1:17">
      <c r="B7" s="55"/>
      <c r="C7" s="56"/>
      <c r="D7" s="55"/>
      <c r="H7" s="213"/>
      <c r="I7" s="52"/>
      <c r="J7" s="52"/>
      <c r="K7" s="57"/>
      <c r="L7" s="52"/>
      <c r="M7" s="213"/>
      <c r="N7" s="52"/>
      <c r="O7" s="52" t="s">
        <v>0</v>
      </c>
      <c r="P7" s="52"/>
      <c r="Q7" s="52"/>
    </row>
    <row r="8" spans="1:17" s="58" customFormat="1" ht="21" customHeight="1">
      <c r="A8" s="1744" t="s">
        <v>1</v>
      </c>
      <c r="B8" s="1745" t="s">
        <v>62</v>
      </c>
      <c r="C8" s="1737" t="s">
        <v>63</v>
      </c>
      <c r="D8" s="1737" t="s">
        <v>64</v>
      </c>
      <c r="E8" s="1737" t="s">
        <v>1353</v>
      </c>
      <c r="F8" s="1740" t="s">
        <v>65</v>
      </c>
      <c r="G8" s="1741"/>
      <c r="H8" s="1742" t="s">
        <v>4</v>
      </c>
      <c r="I8" s="1737" t="s">
        <v>5</v>
      </c>
      <c r="J8" s="1737" t="s">
        <v>6</v>
      </c>
      <c r="K8" s="1737" t="s">
        <v>7</v>
      </c>
      <c r="L8" s="1737" t="s">
        <v>8</v>
      </c>
      <c r="M8" s="1737" t="s">
        <v>9</v>
      </c>
      <c r="N8" s="1737" t="s">
        <v>66</v>
      </c>
      <c r="O8" s="1737" t="s">
        <v>11</v>
      </c>
      <c r="P8" s="1737" t="s">
        <v>12</v>
      </c>
      <c r="Q8" s="1737" t="s">
        <v>13</v>
      </c>
    </row>
    <row r="9" spans="1:17" s="58" customFormat="1" ht="87.75" customHeight="1">
      <c r="A9" s="1744"/>
      <c r="B9" s="1745"/>
      <c r="C9" s="1737"/>
      <c r="D9" s="1737"/>
      <c r="E9" s="1737"/>
      <c r="F9" s="194" t="s">
        <v>67</v>
      </c>
      <c r="G9" s="194" t="s">
        <v>68</v>
      </c>
      <c r="H9" s="1743"/>
      <c r="I9" s="1737"/>
      <c r="J9" s="1737"/>
      <c r="K9" s="1737"/>
      <c r="L9" s="1737"/>
      <c r="M9" s="1737"/>
      <c r="N9" s="1737"/>
      <c r="O9" s="1737"/>
      <c r="P9" s="1737"/>
      <c r="Q9" s="1737"/>
    </row>
    <row r="10" spans="1:17" ht="15.75" customHeight="1">
      <c r="A10" s="59" t="s">
        <v>14</v>
      </c>
      <c r="B10" s="60" t="s">
        <v>69</v>
      </c>
      <c r="C10" s="60" t="s">
        <v>70</v>
      </c>
      <c r="D10" s="60" t="s">
        <v>71</v>
      </c>
      <c r="E10" s="61" t="s">
        <v>18</v>
      </c>
      <c r="F10" s="61" t="s">
        <v>72</v>
      </c>
      <c r="G10" s="61" t="s">
        <v>59</v>
      </c>
      <c r="H10" s="61" t="s">
        <v>73</v>
      </c>
      <c r="I10" s="61" t="s">
        <v>74</v>
      </c>
      <c r="J10" s="61" t="s">
        <v>75</v>
      </c>
      <c r="K10" s="61" t="s">
        <v>76</v>
      </c>
      <c r="L10" s="61" t="s">
        <v>77</v>
      </c>
      <c r="M10" s="61" t="s">
        <v>78</v>
      </c>
      <c r="N10" s="61" t="s">
        <v>79</v>
      </c>
      <c r="O10" s="61" t="s">
        <v>80</v>
      </c>
      <c r="P10" s="61" t="s">
        <v>81</v>
      </c>
      <c r="Q10" s="61" t="s">
        <v>82</v>
      </c>
    </row>
    <row r="11" spans="1:17" s="58" customFormat="1" ht="15.75" customHeight="1">
      <c r="A11" s="62" t="s">
        <v>14</v>
      </c>
      <c r="B11" s="63" t="s">
        <v>83</v>
      </c>
      <c r="C11" s="64"/>
      <c r="D11" s="65"/>
      <c r="E11" s="65"/>
      <c r="F11" s="65"/>
      <c r="G11" s="66"/>
      <c r="H11" s="66"/>
      <c r="I11" s="66"/>
      <c r="J11" s="66"/>
      <c r="K11" s="66"/>
      <c r="L11" s="66"/>
      <c r="M11" s="66"/>
      <c r="N11" s="66"/>
      <c r="O11" s="66"/>
      <c r="P11" s="66"/>
      <c r="Q11" s="66"/>
    </row>
    <row r="12" spans="1:17" s="58" customFormat="1" ht="15.75" hidden="1" customHeight="1" outlineLevel="2">
      <c r="A12" s="67" t="s">
        <v>16</v>
      </c>
      <c r="B12" s="68" t="s">
        <v>84</v>
      </c>
      <c r="C12" s="69" t="s">
        <v>85</v>
      </c>
      <c r="D12" s="70"/>
      <c r="E12" s="71"/>
      <c r="F12" s="71"/>
      <c r="G12" s="72">
        <f t="shared" ref="G12:Q12" si="1">SUM(G13:G16)</f>
        <v>577170</v>
      </c>
      <c r="H12" s="72">
        <f t="shared" si="1"/>
        <v>176471</v>
      </c>
      <c r="I12" s="72">
        <f t="shared" si="1"/>
        <v>79119</v>
      </c>
      <c r="J12" s="72">
        <f t="shared" si="1"/>
        <v>51436</v>
      </c>
      <c r="K12" s="72">
        <f t="shared" si="1"/>
        <v>64498</v>
      </c>
      <c r="L12" s="72">
        <f t="shared" si="1"/>
        <v>51469</v>
      </c>
      <c r="M12" s="72">
        <f t="shared" si="1"/>
        <v>52735</v>
      </c>
      <c r="N12" s="72">
        <f t="shared" si="1"/>
        <v>12962</v>
      </c>
      <c r="O12" s="72">
        <f t="shared" si="1"/>
        <v>31155</v>
      </c>
      <c r="P12" s="72">
        <f t="shared" si="1"/>
        <v>27951</v>
      </c>
      <c r="Q12" s="72">
        <f t="shared" si="1"/>
        <v>29374</v>
      </c>
    </row>
    <row r="13" spans="1:17" ht="15.75" hidden="1" customHeight="1" outlineLevel="2">
      <c r="A13" s="73">
        <v>1</v>
      </c>
      <c r="B13" s="74" t="s">
        <v>86</v>
      </c>
      <c r="C13" s="69" t="s">
        <v>85</v>
      </c>
      <c r="D13" s="70"/>
      <c r="E13" s="75"/>
      <c r="F13" s="75"/>
      <c r="G13" s="70">
        <f>SUM(H13:Q13)</f>
        <v>221154</v>
      </c>
      <c r="H13" s="70">
        <v>157356</v>
      </c>
      <c r="I13" s="70">
        <v>15872</v>
      </c>
      <c r="J13" s="70">
        <v>14727</v>
      </c>
      <c r="K13" s="70">
        <v>20127</v>
      </c>
      <c r="L13" s="70"/>
      <c r="M13" s="70">
        <v>8028</v>
      </c>
      <c r="N13" s="70"/>
      <c r="O13" s="70"/>
      <c r="P13" s="70">
        <v>5044</v>
      </c>
      <c r="Q13" s="70"/>
    </row>
    <row r="14" spans="1:17" ht="15.75" hidden="1" customHeight="1" outlineLevel="2">
      <c r="A14" s="73">
        <v>2</v>
      </c>
      <c r="B14" s="74" t="s">
        <v>87</v>
      </c>
      <c r="C14" s="69" t="s">
        <v>85</v>
      </c>
      <c r="D14" s="70"/>
      <c r="E14" s="75"/>
      <c r="F14" s="75"/>
      <c r="G14" s="70">
        <f>SUM(H14:Q14)</f>
        <v>113253</v>
      </c>
      <c r="H14" s="70"/>
      <c r="I14" s="70">
        <v>24952</v>
      </c>
      <c r="J14" s="70">
        <v>17099</v>
      </c>
      <c r="K14" s="70">
        <v>39232</v>
      </c>
      <c r="L14" s="70">
        <v>15930</v>
      </c>
      <c r="M14" s="70">
        <v>7673</v>
      </c>
      <c r="N14" s="70"/>
      <c r="O14" s="70">
        <v>8367</v>
      </c>
      <c r="P14" s="70"/>
      <c r="Q14" s="70"/>
    </row>
    <row r="15" spans="1:17" ht="15.75" hidden="1" customHeight="1" outlineLevel="2">
      <c r="A15" s="73" t="s">
        <v>59</v>
      </c>
      <c r="B15" s="74" t="s">
        <v>88</v>
      </c>
      <c r="C15" s="69" t="s">
        <v>85</v>
      </c>
      <c r="D15" s="70"/>
      <c r="E15" s="75"/>
      <c r="F15" s="75"/>
      <c r="G15" s="70">
        <f>SUM(H15:Q15)</f>
        <v>228027</v>
      </c>
      <c r="H15" s="70">
        <v>9160</v>
      </c>
      <c r="I15" s="70">
        <v>35393</v>
      </c>
      <c r="J15" s="70">
        <v>19610</v>
      </c>
      <c r="K15" s="70">
        <v>5139</v>
      </c>
      <c r="L15" s="70">
        <v>35539</v>
      </c>
      <c r="M15" s="70">
        <v>37034</v>
      </c>
      <c r="N15" s="70">
        <v>12962</v>
      </c>
      <c r="O15" s="70">
        <v>22788</v>
      </c>
      <c r="P15" s="70">
        <v>21028</v>
      </c>
      <c r="Q15" s="70">
        <v>29374</v>
      </c>
    </row>
    <row r="16" spans="1:17" ht="15.75" hidden="1" customHeight="1" outlineLevel="2">
      <c r="A16" s="73" t="s">
        <v>73</v>
      </c>
      <c r="B16" s="74" t="s">
        <v>89</v>
      </c>
      <c r="C16" s="69" t="s">
        <v>85</v>
      </c>
      <c r="D16" s="70"/>
      <c r="E16" s="75"/>
      <c r="F16" s="75"/>
      <c r="G16" s="70">
        <f>SUM(H16:Q16)</f>
        <v>14736</v>
      </c>
      <c r="H16" s="70">
        <v>9955</v>
      </c>
      <c r="I16" s="70">
        <v>2902</v>
      </c>
      <c r="J16" s="70"/>
      <c r="K16" s="70"/>
      <c r="L16" s="70"/>
      <c r="M16" s="70"/>
      <c r="N16" s="70"/>
      <c r="O16" s="70"/>
      <c r="P16" s="70">
        <v>1879</v>
      </c>
      <c r="Q16" s="70"/>
    </row>
    <row r="17" spans="1:17" s="58" customFormat="1" ht="15.75" hidden="1" customHeight="1" outlineLevel="2">
      <c r="A17" s="67" t="s">
        <v>28</v>
      </c>
      <c r="B17" s="68" t="s">
        <v>90</v>
      </c>
      <c r="C17" s="69" t="s">
        <v>85</v>
      </c>
      <c r="D17" s="70"/>
      <c r="E17" s="75"/>
      <c r="F17" s="71"/>
      <c r="G17" s="72">
        <f t="shared" ref="G17:Q17" si="2">SUM(G18:G21)</f>
        <v>223139</v>
      </c>
      <c r="H17" s="72">
        <f t="shared" si="2"/>
        <v>64411</v>
      </c>
      <c r="I17" s="72">
        <f t="shared" si="2"/>
        <v>32384</v>
      </c>
      <c r="J17" s="72">
        <f t="shared" si="2"/>
        <v>21656</v>
      </c>
      <c r="K17" s="72">
        <f t="shared" si="2"/>
        <v>23601</v>
      </c>
      <c r="L17" s="72">
        <f t="shared" si="2"/>
        <v>20703</v>
      </c>
      <c r="M17" s="72">
        <f t="shared" si="2"/>
        <v>20666</v>
      </c>
      <c r="N17" s="72">
        <f t="shared" si="2"/>
        <v>3477</v>
      </c>
      <c r="O17" s="72">
        <f t="shared" si="2"/>
        <v>12403</v>
      </c>
      <c r="P17" s="72">
        <f t="shared" si="2"/>
        <v>10991</v>
      </c>
      <c r="Q17" s="72">
        <f t="shared" si="2"/>
        <v>12847</v>
      </c>
    </row>
    <row r="18" spans="1:17" ht="15.75" hidden="1" customHeight="1" outlineLevel="2">
      <c r="A18" s="73">
        <v>1</v>
      </c>
      <c r="B18" s="74" t="s">
        <v>86</v>
      </c>
      <c r="C18" s="69" t="s">
        <v>85</v>
      </c>
      <c r="D18" s="70"/>
      <c r="E18" s="75"/>
      <c r="F18" s="75"/>
      <c r="G18" s="70">
        <f>SUM(H18:Q18)</f>
        <v>82046</v>
      </c>
      <c r="H18" s="70">
        <v>57834</v>
      </c>
      <c r="I18" s="70">
        <v>5396</v>
      </c>
      <c r="J18" s="70">
        <v>5774</v>
      </c>
      <c r="K18" s="70">
        <v>7892</v>
      </c>
      <c r="L18" s="70"/>
      <c r="M18" s="70">
        <v>2988</v>
      </c>
      <c r="N18" s="70"/>
      <c r="O18" s="70"/>
      <c r="P18" s="70">
        <v>2162</v>
      </c>
      <c r="Q18" s="70"/>
    </row>
    <row r="19" spans="1:17" ht="15.75" hidden="1" customHeight="1" outlineLevel="2">
      <c r="A19" s="73">
        <v>2</v>
      </c>
      <c r="B19" s="74" t="s">
        <v>87</v>
      </c>
      <c r="C19" s="69" t="s">
        <v>85</v>
      </c>
      <c r="D19" s="70"/>
      <c r="E19" s="75"/>
      <c r="F19" s="75"/>
      <c r="G19" s="70">
        <f>SUM(H19:Q19)</f>
        <v>43212</v>
      </c>
      <c r="H19" s="70"/>
      <c r="I19" s="70">
        <v>9736</v>
      </c>
      <c r="J19" s="70">
        <v>7100</v>
      </c>
      <c r="K19" s="70">
        <v>13195</v>
      </c>
      <c r="L19" s="70">
        <v>6260</v>
      </c>
      <c r="M19" s="70">
        <v>3893</v>
      </c>
      <c r="N19" s="70"/>
      <c r="O19" s="70">
        <v>3028</v>
      </c>
      <c r="P19" s="70"/>
      <c r="Q19" s="70"/>
    </row>
    <row r="20" spans="1:17" ht="15.75" hidden="1" customHeight="1" outlineLevel="2">
      <c r="A20" s="73" t="s">
        <v>59</v>
      </c>
      <c r="B20" s="74" t="s">
        <v>88</v>
      </c>
      <c r="C20" s="69" t="s">
        <v>85</v>
      </c>
      <c r="D20" s="70"/>
      <c r="E20" s="75"/>
      <c r="F20" s="75"/>
      <c r="G20" s="70">
        <f>SUM(H20:Q20)</f>
        <v>92550</v>
      </c>
      <c r="H20" s="70">
        <v>3219</v>
      </c>
      <c r="I20" s="70">
        <v>16087</v>
      </c>
      <c r="J20" s="70">
        <v>8782</v>
      </c>
      <c r="K20" s="70">
        <v>2514</v>
      </c>
      <c r="L20" s="70">
        <v>14443</v>
      </c>
      <c r="M20" s="70">
        <v>13785</v>
      </c>
      <c r="N20" s="70">
        <v>3477</v>
      </c>
      <c r="O20" s="70">
        <v>9375</v>
      </c>
      <c r="P20" s="70">
        <v>8021</v>
      </c>
      <c r="Q20" s="70">
        <v>12847</v>
      </c>
    </row>
    <row r="21" spans="1:17" ht="15.75" hidden="1" customHeight="1" outlineLevel="2">
      <c r="A21" s="73" t="s">
        <v>73</v>
      </c>
      <c r="B21" s="74" t="s">
        <v>89</v>
      </c>
      <c r="C21" s="69" t="s">
        <v>85</v>
      </c>
      <c r="D21" s="70"/>
      <c r="E21" s="75"/>
      <c r="F21" s="75"/>
      <c r="G21" s="70">
        <f>SUM(H21:Q21)</f>
        <v>5331</v>
      </c>
      <c r="H21" s="70">
        <v>3358</v>
      </c>
      <c r="I21" s="70">
        <v>1165</v>
      </c>
      <c r="J21" s="70"/>
      <c r="K21" s="70"/>
      <c r="L21" s="70"/>
      <c r="M21" s="70"/>
      <c r="N21" s="70"/>
      <c r="O21" s="70"/>
      <c r="P21" s="70">
        <v>808</v>
      </c>
      <c r="Q21" s="70"/>
    </row>
    <row r="22" spans="1:17" ht="15.75" hidden="1" customHeight="1" outlineLevel="2">
      <c r="A22" s="67" t="s">
        <v>91</v>
      </c>
      <c r="B22" s="68" t="s">
        <v>92</v>
      </c>
      <c r="C22" s="69" t="s">
        <v>85</v>
      </c>
      <c r="D22" s="70"/>
      <c r="E22" s="75"/>
      <c r="F22" s="75"/>
      <c r="G22" s="72">
        <f t="shared" ref="G22:Q22" si="3">SUM(G23:G26)</f>
        <v>354031</v>
      </c>
      <c r="H22" s="72">
        <f t="shared" si="3"/>
        <v>112060</v>
      </c>
      <c r="I22" s="72">
        <f t="shared" si="3"/>
        <v>46735</v>
      </c>
      <c r="J22" s="72">
        <f t="shared" si="3"/>
        <v>29780</v>
      </c>
      <c r="K22" s="72">
        <f t="shared" si="3"/>
        <v>40897</v>
      </c>
      <c r="L22" s="72">
        <f t="shared" si="3"/>
        <v>30766</v>
      </c>
      <c r="M22" s="72">
        <f t="shared" si="3"/>
        <v>32069</v>
      </c>
      <c r="N22" s="72">
        <f t="shared" si="3"/>
        <v>9485</v>
      </c>
      <c r="O22" s="72">
        <f t="shared" si="3"/>
        <v>18752</v>
      </c>
      <c r="P22" s="72">
        <f t="shared" si="3"/>
        <v>16960</v>
      </c>
      <c r="Q22" s="72">
        <f t="shared" si="3"/>
        <v>16527</v>
      </c>
    </row>
    <row r="23" spans="1:17" ht="15.75" hidden="1" customHeight="1" outlineLevel="2">
      <c r="A23" s="73">
        <v>1</v>
      </c>
      <c r="B23" s="74" t="s">
        <v>86</v>
      </c>
      <c r="C23" s="69" t="s">
        <v>85</v>
      </c>
      <c r="D23" s="70"/>
      <c r="E23" s="75"/>
      <c r="F23" s="75"/>
      <c r="G23" s="70">
        <f>SUM(H23:Q23)</f>
        <v>139108</v>
      </c>
      <c r="H23" s="70">
        <f t="shared" ref="H23:Q26" si="4">H13-H18</f>
        <v>99522</v>
      </c>
      <c r="I23" s="70">
        <f t="shared" si="4"/>
        <v>10476</v>
      </c>
      <c r="J23" s="70">
        <f t="shared" si="4"/>
        <v>8953</v>
      </c>
      <c r="K23" s="70">
        <f t="shared" si="4"/>
        <v>12235</v>
      </c>
      <c r="L23" s="70">
        <f t="shared" si="4"/>
        <v>0</v>
      </c>
      <c r="M23" s="70">
        <f t="shared" si="4"/>
        <v>5040</v>
      </c>
      <c r="N23" s="70">
        <f t="shared" si="4"/>
        <v>0</v>
      </c>
      <c r="O23" s="70">
        <f t="shared" si="4"/>
        <v>0</v>
      </c>
      <c r="P23" s="70">
        <f t="shared" si="4"/>
        <v>2882</v>
      </c>
      <c r="Q23" s="70">
        <f t="shared" si="4"/>
        <v>0</v>
      </c>
    </row>
    <row r="24" spans="1:17" ht="15.75" hidden="1" customHeight="1" outlineLevel="2">
      <c r="A24" s="73">
        <v>2</v>
      </c>
      <c r="B24" s="74" t="s">
        <v>87</v>
      </c>
      <c r="C24" s="69" t="s">
        <v>85</v>
      </c>
      <c r="D24" s="70"/>
      <c r="E24" s="75"/>
      <c r="F24" s="75"/>
      <c r="G24" s="70">
        <f>SUM(H24:Q24)</f>
        <v>70041</v>
      </c>
      <c r="H24" s="70">
        <f t="shared" si="4"/>
        <v>0</v>
      </c>
      <c r="I24" s="70">
        <f t="shared" si="4"/>
        <v>15216</v>
      </c>
      <c r="J24" s="70">
        <f t="shared" si="4"/>
        <v>9999</v>
      </c>
      <c r="K24" s="70">
        <f t="shared" si="4"/>
        <v>26037</v>
      </c>
      <c r="L24" s="70">
        <f t="shared" si="4"/>
        <v>9670</v>
      </c>
      <c r="M24" s="70">
        <f t="shared" si="4"/>
        <v>3780</v>
      </c>
      <c r="N24" s="70">
        <f t="shared" si="4"/>
        <v>0</v>
      </c>
      <c r="O24" s="70">
        <f t="shared" si="4"/>
        <v>5339</v>
      </c>
      <c r="P24" s="70">
        <f t="shared" si="4"/>
        <v>0</v>
      </c>
      <c r="Q24" s="70">
        <f t="shared" si="4"/>
        <v>0</v>
      </c>
    </row>
    <row r="25" spans="1:17" ht="15.75" hidden="1" customHeight="1" outlineLevel="2">
      <c r="A25" s="73" t="s">
        <v>59</v>
      </c>
      <c r="B25" s="74" t="s">
        <v>88</v>
      </c>
      <c r="C25" s="69" t="s">
        <v>85</v>
      </c>
      <c r="D25" s="70"/>
      <c r="E25" s="75"/>
      <c r="F25" s="75"/>
      <c r="G25" s="70">
        <f>SUM(H25:Q25)</f>
        <v>135477</v>
      </c>
      <c r="H25" s="70">
        <f t="shared" si="4"/>
        <v>5941</v>
      </c>
      <c r="I25" s="70">
        <f t="shared" si="4"/>
        <v>19306</v>
      </c>
      <c r="J25" s="70">
        <f t="shared" si="4"/>
        <v>10828</v>
      </c>
      <c r="K25" s="70">
        <f t="shared" si="4"/>
        <v>2625</v>
      </c>
      <c r="L25" s="70">
        <f t="shared" si="4"/>
        <v>21096</v>
      </c>
      <c r="M25" s="70">
        <f t="shared" si="4"/>
        <v>23249</v>
      </c>
      <c r="N25" s="70">
        <f t="shared" si="4"/>
        <v>9485</v>
      </c>
      <c r="O25" s="70">
        <f t="shared" si="4"/>
        <v>13413</v>
      </c>
      <c r="P25" s="70">
        <f t="shared" si="4"/>
        <v>13007</v>
      </c>
      <c r="Q25" s="70">
        <f t="shared" si="4"/>
        <v>16527</v>
      </c>
    </row>
    <row r="26" spans="1:17" ht="15.75" hidden="1" customHeight="1" outlineLevel="2">
      <c r="A26" s="73" t="s">
        <v>73</v>
      </c>
      <c r="B26" s="74" t="s">
        <v>89</v>
      </c>
      <c r="C26" s="69" t="s">
        <v>85</v>
      </c>
      <c r="D26" s="70"/>
      <c r="E26" s="75"/>
      <c r="F26" s="75"/>
      <c r="G26" s="70">
        <f>SUM(H26:Q26)</f>
        <v>9405</v>
      </c>
      <c r="H26" s="70">
        <f t="shared" si="4"/>
        <v>6597</v>
      </c>
      <c r="I26" s="70">
        <f t="shared" si="4"/>
        <v>1737</v>
      </c>
      <c r="J26" s="70">
        <f t="shared" si="4"/>
        <v>0</v>
      </c>
      <c r="K26" s="70">
        <f t="shared" si="4"/>
        <v>0</v>
      </c>
      <c r="L26" s="70">
        <f t="shared" si="4"/>
        <v>0</v>
      </c>
      <c r="M26" s="70">
        <f t="shared" si="4"/>
        <v>0</v>
      </c>
      <c r="N26" s="70">
        <f t="shared" si="4"/>
        <v>0</v>
      </c>
      <c r="O26" s="70">
        <f t="shared" si="4"/>
        <v>0</v>
      </c>
      <c r="P26" s="70">
        <f t="shared" si="4"/>
        <v>1071</v>
      </c>
      <c r="Q26" s="70">
        <f t="shared" si="4"/>
        <v>0</v>
      </c>
    </row>
    <row r="27" spans="1:17" s="58" customFormat="1" ht="15.75" hidden="1" customHeight="1" outlineLevel="2">
      <c r="A27" s="76" t="s">
        <v>93</v>
      </c>
      <c r="B27" s="68" t="s">
        <v>94</v>
      </c>
      <c r="C27" s="77" t="s">
        <v>95</v>
      </c>
      <c r="D27" s="71"/>
      <c r="E27" s="71"/>
      <c r="F27" s="71"/>
      <c r="G27" s="72"/>
      <c r="H27" s="72">
        <f>IF(H28="x",20,IF(H29="x",15, IF(H30="x",10,IF(H31="x",5,0))))</f>
        <v>0</v>
      </c>
      <c r="I27" s="72">
        <f t="shared" ref="I27:Q27" si="5">IF(I28="x",20,IF(I29="x",15, IF(I30="x",10,IF(I31="x",5,0))))</f>
        <v>0</v>
      </c>
      <c r="J27" s="72">
        <f t="shared" si="5"/>
        <v>5</v>
      </c>
      <c r="K27" s="72">
        <f t="shared" si="5"/>
        <v>0</v>
      </c>
      <c r="L27" s="72">
        <f t="shared" si="5"/>
        <v>5</v>
      </c>
      <c r="M27" s="72">
        <f t="shared" si="5"/>
        <v>5</v>
      </c>
      <c r="N27" s="72">
        <f t="shared" si="5"/>
        <v>20</v>
      </c>
      <c r="O27" s="72">
        <f t="shared" si="5"/>
        <v>15</v>
      </c>
      <c r="P27" s="72">
        <f t="shared" si="5"/>
        <v>20</v>
      </c>
      <c r="Q27" s="72">
        <f t="shared" si="5"/>
        <v>20</v>
      </c>
    </row>
    <row r="28" spans="1:17" ht="15.75" hidden="1" customHeight="1" outlineLevel="2">
      <c r="A28" s="73" t="s">
        <v>18</v>
      </c>
      <c r="B28" s="78" t="s">
        <v>96</v>
      </c>
      <c r="C28" s="79" t="s">
        <v>97</v>
      </c>
      <c r="D28" s="80"/>
      <c r="E28" s="75"/>
      <c r="F28" s="75"/>
      <c r="G28" s="70"/>
      <c r="H28" s="70" t="str">
        <f t="shared" ref="H28:Q28" si="6">IF(H12&lt;30000,"x","")</f>
        <v/>
      </c>
      <c r="I28" s="70" t="str">
        <f t="shared" si="6"/>
        <v/>
      </c>
      <c r="J28" s="70" t="str">
        <f t="shared" si="6"/>
        <v/>
      </c>
      <c r="K28" s="70" t="str">
        <f t="shared" si="6"/>
        <v/>
      </c>
      <c r="L28" s="70" t="str">
        <f t="shared" si="6"/>
        <v/>
      </c>
      <c r="M28" s="70" t="str">
        <f t="shared" si="6"/>
        <v/>
      </c>
      <c r="N28" s="70" t="str">
        <f t="shared" si="6"/>
        <v>x</v>
      </c>
      <c r="O28" s="70" t="str">
        <f t="shared" si="6"/>
        <v/>
      </c>
      <c r="P28" s="70" t="str">
        <f t="shared" si="6"/>
        <v>x</v>
      </c>
      <c r="Q28" s="70" t="str">
        <f t="shared" si="6"/>
        <v>x</v>
      </c>
    </row>
    <row r="29" spans="1:17" ht="15.75" hidden="1" customHeight="1" outlineLevel="2">
      <c r="A29" s="73" t="s">
        <v>26</v>
      </c>
      <c r="B29" s="78" t="s">
        <v>98</v>
      </c>
      <c r="C29" s="79" t="s">
        <v>97</v>
      </c>
      <c r="D29" s="80"/>
      <c r="E29" s="75"/>
      <c r="F29" s="75"/>
      <c r="G29" s="70"/>
      <c r="H29" s="70" t="str">
        <f t="shared" ref="H29:Q29" si="7">IF(AND(H12&gt;=30000,H12&lt;40000),"x","")</f>
        <v/>
      </c>
      <c r="I29" s="70" t="str">
        <f t="shared" si="7"/>
        <v/>
      </c>
      <c r="J29" s="70" t="str">
        <f t="shared" si="7"/>
        <v/>
      </c>
      <c r="K29" s="70" t="str">
        <f t="shared" si="7"/>
        <v/>
      </c>
      <c r="L29" s="70" t="str">
        <f t="shared" si="7"/>
        <v/>
      </c>
      <c r="M29" s="70" t="str">
        <f t="shared" si="7"/>
        <v/>
      </c>
      <c r="N29" s="70" t="str">
        <f t="shared" si="7"/>
        <v/>
      </c>
      <c r="O29" s="70" t="str">
        <f t="shared" si="7"/>
        <v>x</v>
      </c>
      <c r="P29" s="70" t="str">
        <f t="shared" si="7"/>
        <v/>
      </c>
      <c r="Q29" s="70" t="str">
        <f t="shared" si="7"/>
        <v/>
      </c>
    </row>
    <row r="30" spans="1:17" ht="15.75" hidden="1" customHeight="1" outlineLevel="2">
      <c r="A30" s="73" t="s">
        <v>59</v>
      </c>
      <c r="B30" s="78" t="s">
        <v>99</v>
      </c>
      <c r="C30" s="79" t="s">
        <v>97</v>
      </c>
      <c r="D30" s="80"/>
      <c r="E30" s="75"/>
      <c r="F30" s="75"/>
      <c r="G30" s="70"/>
      <c r="H30" s="70" t="str">
        <f t="shared" ref="H30:Q30" si="8">IF(AND(H12&gt;=40000,H12&lt;50000),"x","")</f>
        <v/>
      </c>
      <c r="I30" s="70" t="str">
        <f t="shared" si="8"/>
        <v/>
      </c>
      <c r="J30" s="70" t="str">
        <f t="shared" si="8"/>
        <v/>
      </c>
      <c r="K30" s="70" t="str">
        <f t="shared" si="8"/>
        <v/>
      </c>
      <c r="L30" s="70" t="str">
        <f t="shared" si="8"/>
        <v/>
      </c>
      <c r="M30" s="70" t="str">
        <f t="shared" si="8"/>
        <v/>
      </c>
      <c r="N30" s="70" t="str">
        <f t="shared" si="8"/>
        <v/>
      </c>
      <c r="O30" s="70" t="str">
        <f t="shared" si="8"/>
        <v/>
      </c>
      <c r="P30" s="70" t="str">
        <f t="shared" si="8"/>
        <v/>
      </c>
      <c r="Q30" s="70" t="str">
        <f t="shared" si="8"/>
        <v/>
      </c>
    </row>
    <row r="31" spans="1:17" ht="15.75" hidden="1" customHeight="1" outlineLevel="2">
      <c r="A31" s="73" t="s">
        <v>73</v>
      </c>
      <c r="B31" s="78" t="s">
        <v>100</v>
      </c>
      <c r="C31" s="79" t="s">
        <v>97</v>
      </c>
      <c r="D31" s="80"/>
      <c r="E31" s="75"/>
      <c r="F31" s="75"/>
      <c r="G31" s="70"/>
      <c r="H31" s="70" t="str">
        <f t="shared" ref="H31:Q31" si="9">IF(AND(H12&gt;=50000,H12&lt;60000),"x","")</f>
        <v/>
      </c>
      <c r="I31" s="70" t="str">
        <f t="shared" si="9"/>
        <v/>
      </c>
      <c r="J31" s="70" t="str">
        <f t="shared" si="9"/>
        <v>x</v>
      </c>
      <c r="K31" s="70" t="str">
        <f t="shared" si="9"/>
        <v/>
      </c>
      <c r="L31" s="70" t="str">
        <f t="shared" si="9"/>
        <v>x</v>
      </c>
      <c r="M31" s="70" t="str">
        <f t="shared" si="9"/>
        <v>x</v>
      </c>
      <c r="N31" s="70" t="str">
        <f t="shared" si="9"/>
        <v/>
      </c>
      <c r="O31" s="70" t="str">
        <f t="shared" si="9"/>
        <v/>
      </c>
      <c r="P31" s="70" t="str">
        <f t="shared" si="9"/>
        <v/>
      </c>
      <c r="Q31" s="70" t="str">
        <f t="shared" si="9"/>
        <v/>
      </c>
    </row>
    <row r="32" spans="1:17" s="58" customFormat="1" ht="15.75" hidden="1" customHeight="1" outlineLevel="2">
      <c r="A32" s="67" t="s">
        <v>101</v>
      </c>
      <c r="B32" s="68" t="s">
        <v>102</v>
      </c>
      <c r="C32" s="77"/>
      <c r="D32" s="71"/>
      <c r="E32" s="71"/>
      <c r="F32" s="71"/>
      <c r="G32" s="72"/>
      <c r="H32" s="72"/>
      <c r="I32" s="72"/>
      <c r="J32" s="72"/>
      <c r="K32" s="72"/>
      <c r="L32" s="72"/>
      <c r="M32" s="72"/>
      <c r="N32" s="72"/>
      <c r="O32" s="72"/>
      <c r="P32" s="72"/>
      <c r="Q32" s="72"/>
    </row>
    <row r="33" spans="1:18" ht="15.75" hidden="1" customHeight="1" outlineLevel="2">
      <c r="A33" s="73" t="s">
        <v>18</v>
      </c>
      <c r="B33" s="78" t="s">
        <v>103</v>
      </c>
      <c r="C33" s="79" t="s">
        <v>104</v>
      </c>
      <c r="D33" s="81"/>
      <c r="E33" s="75"/>
      <c r="F33" s="75"/>
      <c r="G33" s="70">
        <f t="shared" ref="G33:G45" si="10">SUM(H33:Q33)</f>
        <v>92</v>
      </c>
      <c r="H33" s="70">
        <v>14</v>
      </c>
      <c r="I33" s="70">
        <v>9</v>
      </c>
      <c r="J33" s="70">
        <v>9</v>
      </c>
      <c r="K33" s="70">
        <v>8</v>
      </c>
      <c r="L33" s="70">
        <v>12</v>
      </c>
      <c r="M33" s="70">
        <v>10</v>
      </c>
      <c r="N33" s="70">
        <v>3</v>
      </c>
      <c r="O33" s="70">
        <v>7</v>
      </c>
      <c r="P33" s="70">
        <v>9</v>
      </c>
      <c r="Q33" s="70">
        <v>11</v>
      </c>
    </row>
    <row r="34" spans="1:18" ht="15.75" hidden="1" customHeight="1" outlineLevel="2">
      <c r="A34" s="73" t="s">
        <v>26</v>
      </c>
      <c r="B34" s="78" t="s">
        <v>105</v>
      </c>
      <c r="C34" s="79" t="s">
        <v>104</v>
      </c>
      <c r="D34" s="81"/>
      <c r="E34" s="75"/>
      <c r="F34" s="75"/>
      <c r="G34" s="70">
        <f t="shared" si="10"/>
        <v>10</v>
      </c>
      <c r="H34" s="70">
        <v>7</v>
      </c>
      <c r="I34" s="70">
        <v>2</v>
      </c>
      <c r="J34" s="70"/>
      <c r="K34" s="70"/>
      <c r="L34" s="70"/>
      <c r="M34" s="70">
        <v>1</v>
      </c>
      <c r="N34" s="70"/>
      <c r="O34" s="70"/>
      <c r="P34" s="70"/>
      <c r="Q34" s="70"/>
    </row>
    <row r="35" spans="1:18" ht="15.75" hidden="1" customHeight="1" outlineLevel="2">
      <c r="A35" s="73" t="s">
        <v>59</v>
      </c>
      <c r="B35" s="78" t="s">
        <v>106</v>
      </c>
      <c r="C35" s="79" t="s">
        <v>107</v>
      </c>
      <c r="D35" s="81"/>
      <c r="E35" s="75"/>
      <c r="F35" s="75"/>
      <c r="G35" s="70">
        <f t="shared" si="10"/>
        <v>0</v>
      </c>
      <c r="H35" s="70"/>
      <c r="I35" s="70"/>
      <c r="J35" s="70"/>
      <c r="K35" s="70"/>
      <c r="L35" s="70"/>
      <c r="M35" s="70"/>
      <c r="N35" s="70"/>
      <c r="O35" s="70"/>
      <c r="P35" s="70"/>
      <c r="Q35" s="70"/>
    </row>
    <row r="36" spans="1:18" ht="15.75" hidden="1" customHeight="1" outlineLevel="2">
      <c r="A36" s="73" t="s">
        <v>73</v>
      </c>
      <c r="B36" s="78" t="s">
        <v>108</v>
      </c>
      <c r="C36" s="79" t="s">
        <v>107</v>
      </c>
      <c r="D36" s="81"/>
      <c r="E36" s="75"/>
      <c r="F36" s="75"/>
      <c r="G36" s="70">
        <f t="shared" si="10"/>
        <v>10</v>
      </c>
      <c r="H36" s="70">
        <v>1</v>
      </c>
      <c r="I36" s="70">
        <v>1</v>
      </c>
      <c r="J36" s="70">
        <v>1</v>
      </c>
      <c r="K36" s="70">
        <v>1</v>
      </c>
      <c r="L36" s="70">
        <v>1</v>
      </c>
      <c r="M36" s="70">
        <v>1</v>
      </c>
      <c r="N36" s="70">
        <v>1</v>
      </c>
      <c r="O36" s="70">
        <v>1</v>
      </c>
      <c r="P36" s="70">
        <v>1</v>
      </c>
      <c r="Q36" s="70">
        <v>1</v>
      </c>
    </row>
    <row r="37" spans="1:18" ht="15.75" hidden="1" customHeight="1" outlineLevel="2">
      <c r="A37" s="73" t="s">
        <v>74</v>
      </c>
      <c r="B37" s="78" t="s">
        <v>109</v>
      </c>
      <c r="C37" s="79" t="s">
        <v>104</v>
      </c>
      <c r="D37" s="81"/>
      <c r="E37" s="75"/>
      <c r="F37" s="75"/>
      <c r="G37" s="70">
        <f t="shared" si="10"/>
        <v>0</v>
      </c>
      <c r="H37" s="70"/>
      <c r="I37" s="70"/>
      <c r="J37" s="70"/>
      <c r="K37" s="70"/>
      <c r="L37" s="70"/>
      <c r="M37" s="70"/>
      <c r="N37" s="70"/>
      <c r="O37" s="70"/>
      <c r="P37" s="70"/>
      <c r="Q37" s="70"/>
    </row>
    <row r="38" spans="1:18" ht="15.75" hidden="1" customHeight="1" outlineLevel="2">
      <c r="A38" s="73" t="s">
        <v>74</v>
      </c>
      <c r="B38" s="78" t="s">
        <v>1490</v>
      </c>
      <c r="C38" s="79" t="s">
        <v>104</v>
      </c>
      <c r="D38" s="81"/>
      <c r="E38" s="75"/>
      <c r="F38" s="75"/>
      <c r="G38" s="70">
        <f t="shared" si="10"/>
        <v>13</v>
      </c>
      <c r="H38" s="70"/>
      <c r="I38" s="70"/>
      <c r="J38" s="70"/>
      <c r="K38" s="70">
        <v>5</v>
      </c>
      <c r="L38" s="70">
        <v>3</v>
      </c>
      <c r="M38" s="70">
        <v>2</v>
      </c>
      <c r="N38" s="70">
        <v>3</v>
      </c>
      <c r="O38" s="70"/>
      <c r="P38" s="70"/>
      <c r="Q38" s="70"/>
    </row>
    <row r="39" spans="1:18" ht="15.75" hidden="1" customHeight="1" outlineLevel="2">
      <c r="A39" s="73" t="s">
        <v>23</v>
      </c>
      <c r="B39" s="78" t="s">
        <v>110</v>
      </c>
      <c r="C39" s="79" t="s">
        <v>104</v>
      </c>
      <c r="D39" s="81"/>
      <c r="E39" s="75"/>
      <c r="F39" s="75"/>
      <c r="G39" s="70">
        <f t="shared" si="10"/>
        <v>12</v>
      </c>
      <c r="H39" s="70"/>
      <c r="I39" s="70"/>
      <c r="J39" s="70"/>
      <c r="K39" s="70">
        <v>4</v>
      </c>
      <c r="L39" s="70">
        <v>3</v>
      </c>
      <c r="M39" s="70">
        <v>2</v>
      </c>
      <c r="N39" s="70">
        <v>3</v>
      </c>
      <c r="O39" s="70"/>
      <c r="P39" s="70"/>
      <c r="Q39" s="70"/>
    </row>
    <row r="40" spans="1:18" ht="15.75" hidden="1" customHeight="1" outlineLevel="2">
      <c r="A40" s="73" t="s">
        <v>23</v>
      </c>
      <c r="B40" s="78" t="s">
        <v>111</v>
      </c>
      <c r="C40" s="79" t="s">
        <v>104</v>
      </c>
      <c r="D40" s="81"/>
      <c r="E40" s="75"/>
      <c r="F40" s="75"/>
      <c r="G40" s="70">
        <f t="shared" si="10"/>
        <v>1</v>
      </c>
      <c r="H40" s="70"/>
      <c r="I40" s="70"/>
      <c r="J40" s="70"/>
      <c r="K40" s="70">
        <v>1</v>
      </c>
      <c r="L40" s="70"/>
      <c r="M40" s="70"/>
      <c r="N40" s="70"/>
      <c r="O40" s="70"/>
      <c r="P40" s="70"/>
      <c r="Q40" s="70"/>
    </row>
    <row r="41" spans="1:18" s="58" customFormat="1" ht="15.75" hidden="1" customHeight="1" outlineLevel="2">
      <c r="A41" s="67" t="s">
        <v>112</v>
      </c>
      <c r="B41" s="68" t="s">
        <v>113</v>
      </c>
      <c r="C41" s="77"/>
      <c r="D41" s="71"/>
      <c r="E41" s="71"/>
      <c r="F41" s="71"/>
      <c r="G41" s="72"/>
      <c r="H41" s="72"/>
      <c r="I41" s="72"/>
      <c r="J41" s="72"/>
      <c r="K41" s="72"/>
      <c r="L41" s="72"/>
      <c r="M41" s="72"/>
      <c r="N41" s="72"/>
      <c r="O41" s="72"/>
      <c r="P41" s="72"/>
      <c r="Q41" s="72"/>
    </row>
    <row r="42" spans="1:18" ht="15.75" hidden="1" customHeight="1" outlineLevel="2">
      <c r="A42" s="73" t="s">
        <v>18</v>
      </c>
      <c r="B42" s="78" t="s">
        <v>114</v>
      </c>
      <c r="C42" s="79" t="s">
        <v>113</v>
      </c>
      <c r="D42" s="81"/>
      <c r="E42" s="75"/>
      <c r="F42" s="75"/>
      <c r="G42" s="70"/>
      <c r="H42" s="70"/>
      <c r="I42" s="70"/>
      <c r="J42" s="70"/>
      <c r="K42" s="70"/>
      <c r="L42" s="70"/>
      <c r="M42" s="70"/>
      <c r="N42" s="70"/>
      <c r="O42" s="70"/>
      <c r="P42" s="70"/>
      <c r="Q42" s="70"/>
    </row>
    <row r="43" spans="1:18" ht="15.75" hidden="1" customHeight="1" outlineLevel="2">
      <c r="A43" s="73" t="s">
        <v>26</v>
      </c>
      <c r="B43" s="78" t="s">
        <v>115</v>
      </c>
      <c r="C43" s="79" t="s">
        <v>113</v>
      </c>
      <c r="D43" s="81"/>
      <c r="E43" s="75"/>
      <c r="F43" s="75"/>
      <c r="G43" s="70">
        <f t="shared" si="10"/>
        <v>1</v>
      </c>
      <c r="H43" s="70">
        <v>1</v>
      </c>
      <c r="I43" s="70"/>
      <c r="J43" s="70"/>
      <c r="K43" s="70"/>
      <c r="L43" s="70"/>
      <c r="M43" s="70"/>
      <c r="N43" s="70"/>
      <c r="O43" s="70"/>
      <c r="P43" s="70"/>
      <c r="Q43" s="70"/>
    </row>
    <row r="44" spans="1:18" ht="15.75" hidden="1" customHeight="1" outlineLevel="2">
      <c r="A44" s="73" t="s">
        <v>59</v>
      </c>
      <c r="B44" s="78" t="s">
        <v>116</v>
      </c>
      <c r="C44" s="79" t="s">
        <v>113</v>
      </c>
      <c r="D44" s="81"/>
      <c r="E44" s="75"/>
      <c r="F44" s="75"/>
      <c r="G44" s="70">
        <f t="shared" si="10"/>
        <v>1</v>
      </c>
      <c r="H44" s="70"/>
      <c r="I44" s="70"/>
      <c r="J44" s="70"/>
      <c r="K44" s="70">
        <v>1</v>
      </c>
      <c r="L44" s="70"/>
      <c r="M44" s="70"/>
      <c r="N44" s="70"/>
      <c r="O44" s="70"/>
      <c r="P44" s="70"/>
      <c r="Q44" s="70"/>
    </row>
    <row r="45" spans="1:18" ht="15.75" hidden="1" customHeight="1" outlineLevel="2">
      <c r="A45" s="73" t="s">
        <v>73</v>
      </c>
      <c r="B45" s="78" t="s">
        <v>117</v>
      </c>
      <c r="C45" s="79" t="s">
        <v>113</v>
      </c>
      <c r="D45" s="81"/>
      <c r="E45" s="75"/>
      <c r="F45" s="75"/>
      <c r="G45" s="70">
        <f t="shared" si="10"/>
        <v>6</v>
      </c>
      <c r="H45" s="70"/>
      <c r="I45" s="70">
        <v>1</v>
      </c>
      <c r="J45" s="70">
        <v>1</v>
      </c>
      <c r="K45" s="70"/>
      <c r="L45" s="70">
        <v>1</v>
      </c>
      <c r="M45" s="70">
        <v>1</v>
      </c>
      <c r="N45" s="70"/>
      <c r="O45" s="70">
        <v>1</v>
      </c>
      <c r="P45" s="70">
        <v>1</v>
      </c>
      <c r="Q45" s="70"/>
    </row>
    <row r="46" spans="1:18" s="58" customFormat="1" ht="31.2" collapsed="1">
      <c r="A46" s="67" t="s">
        <v>69</v>
      </c>
      <c r="B46" s="68" t="s">
        <v>118</v>
      </c>
      <c r="C46" s="77" t="s">
        <v>119</v>
      </c>
      <c r="D46" s="71"/>
      <c r="E46" s="72">
        <f t="shared" ref="E46:Q47" si="11">E49+E52+E55</f>
        <v>4959919</v>
      </c>
      <c r="F46" s="72">
        <f t="shared" si="11"/>
        <v>1757553</v>
      </c>
      <c r="G46" s="72">
        <f t="shared" si="11"/>
        <v>3202366</v>
      </c>
      <c r="H46" s="72">
        <f t="shared" si="11"/>
        <v>611377</v>
      </c>
      <c r="I46" s="72">
        <f t="shared" si="11"/>
        <v>404957</v>
      </c>
      <c r="J46" s="72">
        <f t="shared" si="11"/>
        <v>302269</v>
      </c>
      <c r="K46" s="72">
        <f t="shared" si="11"/>
        <v>293948</v>
      </c>
      <c r="L46" s="72">
        <f t="shared" si="11"/>
        <v>365565</v>
      </c>
      <c r="M46" s="72">
        <f t="shared" si="11"/>
        <v>327672</v>
      </c>
      <c r="N46" s="72">
        <f t="shared" si="11"/>
        <v>104102</v>
      </c>
      <c r="O46" s="72">
        <f t="shared" si="11"/>
        <v>227002</v>
      </c>
      <c r="P46" s="72">
        <f t="shared" si="11"/>
        <v>278274</v>
      </c>
      <c r="Q46" s="72">
        <f t="shared" si="11"/>
        <v>287200</v>
      </c>
      <c r="R46" s="58">
        <f>G46-SUM(H46:Q46)</f>
        <v>0</v>
      </c>
    </row>
    <row r="47" spans="1:18" ht="31.2">
      <c r="A47" s="82"/>
      <c r="B47" s="83" t="s">
        <v>120</v>
      </c>
      <c r="C47" s="77" t="s">
        <v>119</v>
      </c>
      <c r="D47" s="75"/>
      <c r="E47" s="70">
        <f>E50+E53+E56</f>
        <v>4801569.2748400001</v>
      </c>
      <c r="F47" s="70">
        <f t="shared" si="11"/>
        <v>1866148.34084</v>
      </c>
      <c r="G47" s="70">
        <f t="shared" si="11"/>
        <v>2935420.9339999999</v>
      </c>
      <c r="H47" s="70">
        <f t="shared" si="11"/>
        <v>570771</v>
      </c>
      <c r="I47" s="70">
        <f t="shared" si="11"/>
        <v>348847.4</v>
      </c>
      <c r="J47" s="70">
        <f t="shared" si="11"/>
        <v>264968.25400000002</v>
      </c>
      <c r="K47" s="70">
        <f t="shared" si="11"/>
        <v>261615</v>
      </c>
      <c r="L47" s="70">
        <f t="shared" si="11"/>
        <v>337851.28</v>
      </c>
      <c r="M47" s="70">
        <f t="shared" si="11"/>
        <v>300806</v>
      </c>
      <c r="N47" s="70">
        <f t="shared" si="11"/>
        <v>82496</v>
      </c>
      <c r="O47" s="70">
        <f t="shared" si="11"/>
        <v>213476</v>
      </c>
      <c r="P47" s="70">
        <f t="shared" si="11"/>
        <v>278274</v>
      </c>
      <c r="Q47" s="70">
        <f t="shared" si="11"/>
        <v>276316</v>
      </c>
    </row>
    <row r="48" spans="1:18" s="90" customFormat="1" ht="16.2">
      <c r="A48" s="84"/>
      <c r="B48" s="85" t="s">
        <v>121</v>
      </c>
      <c r="C48" s="86" t="s">
        <v>95</v>
      </c>
      <c r="D48" s="87"/>
      <c r="E48" s="88">
        <f>E46/E47%</f>
        <v>103.29787442596621</v>
      </c>
      <c r="F48" s="88">
        <f>F46/F47%</f>
        <v>94.180776604762386</v>
      </c>
      <c r="G48" s="88">
        <f>G46/G47%</f>
        <v>109.09392799199817</v>
      </c>
      <c r="H48" s="88">
        <f t="shared" ref="H48:P48" si="12">H46/H47%</f>
        <v>107.11423670789161</v>
      </c>
      <c r="I48" s="88">
        <f t="shared" si="12"/>
        <v>116.08428212450487</v>
      </c>
      <c r="J48" s="88">
        <f t="shared" si="12"/>
        <v>114.07743963169263</v>
      </c>
      <c r="K48" s="88">
        <f t="shared" si="12"/>
        <v>112.35900082181831</v>
      </c>
      <c r="L48" s="88">
        <f t="shared" si="12"/>
        <v>108.2029347350704</v>
      </c>
      <c r="M48" s="88">
        <f t="shared" si="12"/>
        <v>108.93133780576186</v>
      </c>
      <c r="N48" s="88">
        <f t="shared" si="12"/>
        <v>126.19036074476338</v>
      </c>
      <c r="O48" s="88">
        <f t="shared" si="12"/>
        <v>106.33607524967677</v>
      </c>
      <c r="P48" s="88">
        <f t="shared" si="12"/>
        <v>100.00000000000001</v>
      </c>
      <c r="Q48" s="88">
        <f>Q46/Q47%</f>
        <v>103.93896842745264</v>
      </c>
      <c r="R48" s="89"/>
    </row>
    <row r="49" spans="1:20" s="58" customFormat="1" ht="31.2">
      <c r="A49" s="67" t="s">
        <v>16</v>
      </c>
      <c r="B49" s="68" t="s">
        <v>122</v>
      </c>
      <c r="C49" s="77" t="s">
        <v>119</v>
      </c>
      <c r="D49" s="71"/>
      <c r="E49" s="72">
        <f t="shared" ref="E49:Q50" si="13">E59+E101</f>
        <v>2271049</v>
      </c>
      <c r="F49" s="72">
        <f t="shared" si="13"/>
        <v>406451</v>
      </c>
      <c r="G49" s="72">
        <f t="shared" si="13"/>
        <v>1864598</v>
      </c>
      <c r="H49" s="72">
        <f t="shared" si="13"/>
        <v>348627</v>
      </c>
      <c r="I49" s="72">
        <f t="shared" si="13"/>
        <v>256832</v>
      </c>
      <c r="J49" s="72">
        <f t="shared" si="13"/>
        <v>190771</v>
      </c>
      <c r="K49" s="72">
        <f t="shared" si="13"/>
        <v>159980</v>
      </c>
      <c r="L49" s="72">
        <f t="shared" si="13"/>
        <v>210320</v>
      </c>
      <c r="M49" s="72">
        <f t="shared" si="13"/>
        <v>196950</v>
      </c>
      <c r="N49" s="72">
        <f t="shared" si="13"/>
        <v>41409</v>
      </c>
      <c r="O49" s="72">
        <f t="shared" si="13"/>
        <v>132479</v>
      </c>
      <c r="P49" s="72">
        <f t="shared" si="13"/>
        <v>155662</v>
      </c>
      <c r="Q49" s="72">
        <f t="shared" si="13"/>
        <v>171568</v>
      </c>
      <c r="R49" s="58">
        <f>G49-SUM(H49:Q49)</f>
        <v>0</v>
      </c>
    </row>
    <row r="50" spans="1:20" ht="31.2">
      <c r="A50" s="82"/>
      <c r="B50" s="83" t="s">
        <v>120</v>
      </c>
      <c r="C50" s="69" t="s">
        <v>119</v>
      </c>
      <c r="D50" s="75"/>
      <c r="E50" s="70">
        <f t="shared" si="13"/>
        <v>2055538.075648221</v>
      </c>
      <c r="F50" s="70">
        <f t="shared" si="13"/>
        <v>395079.19999999995</v>
      </c>
      <c r="G50" s="70">
        <f t="shared" si="13"/>
        <v>1660458.875648221</v>
      </c>
      <c r="H50" s="70">
        <f t="shared" si="13"/>
        <v>307939.36298254447</v>
      </c>
      <c r="I50" s="70">
        <f t="shared" si="13"/>
        <v>221347.8616673635</v>
      </c>
      <c r="J50" s="70">
        <f t="shared" si="13"/>
        <v>163835.92574976571</v>
      </c>
      <c r="K50" s="70">
        <f t="shared" si="13"/>
        <v>137779.7611159292</v>
      </c>
      <c r="L50" s="70">
        <f t="shared" si="13"/>
        <v>189175.87644444444</v>
      </c>
      <c r="M50" s="70">
        <f t="shared" si="13"/>
        <v>178917.19154921826</v>
      </c>
      <c r="N50" s="70">
        <f t="shared" si="13"/>
        <v>34373.470153415954</v>
      </c>
      <c r="O50" s="70">
        <f t="shared" si="13"/>
        <v>122739.88256906596</v>
      </c>
      <c r="P50" s="70">
        <f t="shared" si="13"/>
        <v>139190.05971084337</v>
      </c>
      <c r="Q50" s="70">
        <f t="shared" si="13"/>
        <v>165159.48370563015</v>
      </c>
      <c r="T50" s="91"/>
    </row>
    <row r="51" spans="1:20" s="58" customFormat="1">
      <c r="A51" s="67"/>
      <c r="B51" s="85" t="s">
        <v>121</v>
      </c>
      <c r="C51" s="86" t="s">
        <v>95</v>
      </c>
      <c r="D51" s="87"/>
      <c r="E51" s="88">
        <f t="shared" ref="E51:Q51" si="14">E49/E50%</f>
        <v>110.48440439537063</v>
      </c>
      <c r="F51" s="88">
        <f t="shared" si="14"/>
        <v>102.87835957954761</v>
      </c>
      <c r="G51" s="88">
        <f t="shared" si="14"/>
        <v>112.29413912898539</v>
      </c>
      <c r="H51" s="88">
        <f t="shared" si="14"/>
        <v>113.2128730225898</v>
      </c>
      <c r="I51" s="88">
        <f t="shared" si="14"/>
        <v>116.03093793874606</v>
      </c>
      <c r="J51" s="88">
        <f t="shared" si="14"/>
        <v>116.44027347907411</v>
      </c>
      <c r="K51" s="88">
        <f t="shared" si="14"/>
        <v>116.112844661845</v>
      </c>
      <c r="L51" s="88">
        <f t="shared" si="14"/>
        <v>111.17696608730395</v>
      </c>
      <c r="M51" s="88">
        <f t="shared" si="14"/>
        <v>110.07885731641451</v>
      </c>
      <c r="N51" s="88">
        <f t="shared" si="14"/>
        <v>120.46790683391295</v>
      </c>
      <c r="O51" s="88">
        <f t="shared" si="14"/>
        <v>107.93476189408429</v>
      </c>
      <c r="P51" s="88">
        <f t="shared" si="14"/>
        <v>111.8341355146882</v>
      </c>
      <c r="Q51" s="88">
        <f t="shared" si="14"/>
        <v>103.8801987936654</v>
      </c>
    </row>
    <row r="52" spans="1:20" s="58" customFormat="1" ht="31.2">
      <c r="A52" s="67" t="s">
        <v>28</v>
      </c>
      <c r="B52" s="68" t="s">
        <v>123</v>
      </c>
      <c r="C52" s="77" t="s">
        <v>119</v>
      </c>
      <c r="D52" s="71"/>
      <c r="E52" s="72">
        <f t="shared" ref="E52:Q53" si="15">E287</f>
        <v>16388</v>
      </c>
      <c r="F52" s="72">
        <f t="shared" si="15"/>
        <v>14888</v>
      </c>
      <c r="G52" s="72">
        <f t="shared" si="15"/>
        <v>1500</v>
      </c>
      <c r="H52" s="72">
        <f t="shared" si="15"/>
        <v>150</v>
      </c>
      <c r="I52" s="72">
        <f t="shared" si="15"/>
        <v>150</v>
      </c>
      <c r="J52" s="72">
        <f t="shared" si="15"/>
        <v>150</v>
      </c>
      <c r="K52" s="72">
        <f t="shared" si="15"/>
        <v>150</v>
      </c>
      <c r="L52" s="72">
        <f t="shared" si="15"/>
        <v>150</v>
      </c>
      <c r="M52" s="72">
        <f t="shared" si="15"/>
        <v>150</v>
      </c>
      <c r="N52" s="72">
        <f t="shared" si="15"/>
        <v>150</v>
      </c>
      <c r="O52" s="72">
        <f t="shared" si="15"/>
        <v>150</v>
      </c>
      <c r="P52" s="72">
        <f t="shared" si="15"/>
        <v>150</v>
      </c>
      <c r="Q52" s="72">
        <f t="shared" si="15"/>
        <v>150</v>
      </c>
      <c r="R52" s="58">
        <f>G52-SUM(H52:Q52)</f>
        <v>0</v>
      </c>
    </row>
    <row r="53" spans="1:20" ht="31.2">
      <c r="A53" s="82"/>
      <c r="B53" s="83" t="s">
        <v>120</v>
      </c>
      <c r="C53" s="69" t="s">
        <v>119</v>
      </c>
      <c r="D53" s="75"/>
      <c r="E53" s="70">
        <f t="shared" si="15"/>
        <v>17922</v>
      </c>
      <c r="F53" s="70">
        <f t="shared" si="15"/>
        <v>16422</v>
      </c>
      <c r="G53" s="70">
        <f t="shared" si="15"/>
        <v>1500</v>
      </c>
      <c r="H53" s="70">
        <f t="shared" si="15"/>
        <v>150</v>
      </c>
      <c r="I53" s="70">
        <f t="shared" si="15"/>
        <v>150</v>
      </c>
      <c r="J53" s="70">
        <f t="shared" si="15"/>
        <v>150</v>
      </c>
      <c r="K53" s="70">
        <f t="shared" si="15"/>
        <v>150</v>
      </c>
      <c r="L53" s="70">
        <f t="shared" si="15"/>
        <v>150</v>
      </c>
      <c r="M53" s="70">
        <f t="shared" si="15"/>
        <v>150</v>
      </c>
      <c r="N53" s="70">
        <f t="shared" si="15"/>
        <v>150</v>
      </c>
      <c r="O53" s="70">
        <f t="shared" si="15"/>
        <v>150</v>
      </c>
      <c r="P53" s="70">
        <f t="shared" si="15"/>
        <v>150</v>
      </c>
      <c r="Q53" s="70">
        <f t="shared" si="15"/>
        <v>150</v>
      </c>
    </row>
    <row r="54" spans="1:20" s="90" customFormat="1">
      <c r="A54" s="84"/>
      <c r="B54" s="85" t="s">
        <v>121</v>
      </c>
      <c r="C54" s="86" t="s">
        <v>95</v>
      </c>
      <c r="D54" s="87"/>
      <c r="E54" s="88">
        <f t="shared" ref="E54:Q54" si="16">E52/E53%</f>
        <v>91.440687423278646</v>
      </c>
      <c r="F54" s="88">
        <f t="shared" si="16"/>
        <v>90.658872244549997</v>
      </c>
      <c r="G54" s="88">
        <f t="shared" si="16"/>
        <v>100</v>
      </c>
      <c r="H54" s="88">
        <f t="shared" si="16"/>
        <v>100</v>
      </c>
      <c r="I54" s="88">
        <f t="shared" si="16"/>
        <v>100</v>
      </c>
      <c r="J54" s="88">
        <f t="shared" si="16"/>
        <v>100</v>
      </c>
      <c r="K54" s="88">
        <f t="shared" si="16"/>
        <v>100</v>
      </c>
      <c r="L54" s="88">
        <f t="shared" si="16"/>
        <v>100</v>
      </c>
      <c r="M54" s="88">
        <f t="shared" si="16"/>
        <v>100</v>
      </c>
      <c r="N54" s="88">
        <f t="shared" si="16"/>
        <v>100</v>
      </c>
      <c r="O54" s="88">
        <f t="shared" si="16"/>
        <v>100</v>
      </c>
      <c r="P54" s="88">
        <f t="shared" si="16"/>
        <v>100</v>
      </c>
      <c r="Q54" s="88">
        <f t="shared" si="16"/>
        <v>100</v>
      </c>
    </row>
    <row r="55" spans="1:20" s="58" customFormat="1" ht="31.2">
      <c r="A55" s="67" t="s">
        <v>93</v>
      </c>
      <c r="B55" s="68" t="s">
        <v>124</v>
      </c>
      <c r="C55" s="77" t="s">
        <v>119</v>
      </c>
      <c r="D55" s="71"/>
      <c r="E55" s="72">
        <f>F55+G55</f>
        <v>2672482</v>
      </c>
      <c r="F55" s="72">
        <f t="shared" ref="F55:Q55" si="17">F135+F224+F242+F235+F249+F265+F276+F291+F122+F319+F326+F309</f>
        <v>1336214</v>
      </c>
      <c r="G55" s="72">
        <f t="shared" si="17"/>
        <v>1336268</v>
      </c>
      <c r="H55" s="72">
        <f t="shared" si="17"/>
        <v>262600</v>
      </c>
      <c r="I55" s="72">
        <f t="shared" si="17"/>
        <v>147975</v>
      </c>
      <c r="J55" s="72">
        <f t="shared" si="17"/>
        <v>111348</v>
      </c>
      <c r="K55" s="72">
        <f t="shared" si="17"/>
        <v>133818</v>
      </c>
      <c r="L55" s="72">
        <f t="shared" si="17"/>
        <v>155095</v>
      </c>
      <c r="M55" s="72">
        <f t="shared" si="17"/>
        <v>130572</v>
      </c>
      <c r="N55" s="72">
        <f t="shared" si="17"/>
        <v>62543</v>
      </c>
      <c r="O55" s="72">
        <f t="shared" si="17"/>
        <v>94373</v>
      </c>
      <c r="P55" s="72">
        <f t="shared" si="17"/>
        <v>122462</v>
      </c>
      <c r="Q55" s="72">
        <f t="shared" si="17"/>
        <v>115482</v>
      </c>
      <c r="R55" s="58">
        <f>G55-SUM(H55:Q55)</f>
        <v>0</v>
      </c>
    </row>
    <row r="56" spans="1:20" s="58" customFormat="1" ht="31.2">
      <c r="A56" s="67"/>
      <c r="B56" s="83" t="s">
        <v>120</v>
      </c>
      <c r="C56" s="69" t="s">
        <v>119</v>
      </c>
      <c r="D56" s="75"/>
      <c r="E56" s="70">
        <f t="shared" ref="E56:Q56" si="18">E136+E225+E243+E236+E250+E266+E277+E292+E123+E320+E328+E310</f>
        <v>2728109.1991917794</v>
      </c>
      <c r="F56" s="70">
        <f>F136+F225+F243+F236+F250+F266+F277+F292+F123+F320+F328+F310</f>
        <v>1454647.14084</v>
      </c>
      <c r="G56" s="70">
        <f t="shared" si="18"/>
        <v>1273462.0583517789</v>
      </c>
      <c r="H56" s="70">
        <f t="shared" si="18"/>
        <v>262681.63701745553</v>
      </c>
      <c r="I56" s="70">
        <f t="shared" si="18"/>
        <v>127349.5383326365</v>
      </c>
      <c r="J56" s="70">
        <f t="shared" si="18"/>
        <v>100982.32825023429</v>
      </c>
      <c r="K56" s="70">
        <f t="shared" si="18"/>
        <v>123685.2388840708</v>
      </c>
      <c r="L56" s="70">
        <f t="shared" si="18"/>
        <v>148525.40355555556</v>
      </c>
      <c r="M56" s="70">
        <f t="shared" si="18"/>
        <v>121738.80845078177</v>
      </c>
      <c r="N56" s="70">
        <f t="shared" si="18"/>
        <v>47972.529846584053</v>
      </c>
      <c r="O56" s="70">
        <f t="shared" si="18"/>
        <v>90586.117430934042</v>
      </c>
      <c r="P56" s="70">
        <f t="shared" si="18"/>
        <v>138933.94028915663</v>
      </c>
      <c r="Q56" s="70">
        <f t="shared" si="18"/>
        <v>111006.51629436985</v>
      </c>
    </row>
    <row r="57" spans="1:20" s="58" customFormat="1">
      <c r="A57" s="67"/>
      <c r="B57" s="85" t="s">
        <v>121</v>
      </c>
      <c r="C57" s="86" t="s">
        <v>95</v>
      </c>
      <c r="D57" s="87"/>
      <c r="E57" s="88">
        <f t="shared" ref="E57:Q57" si="19">E55/E56%</f>
        <v>97.960961415757865</v>
      </c>
      <c r="F57" s="88">
        <f t="shared" si="19"/>
        <v>91.858290748668452</v>
      </c>
      <c r="G57" s="88">
        <f t="shared" si="19"/>
        <v>104.9319052135334</v>
      </c>
      <c r="H57" s="88">
        <f t="shared" si="19"/>
        <v>99.968921688480989</v>
      </c>
      <c r="I57" s="88">
        <f t="shared" si="19"/>
        <v>116.19594537790147</v>
      </c>
      <c r="J57" s="88">
        <f t="shared" si="19"/>
        <v>110.26483735261041</v>
      </c>
      <c r="K57" s="88">
        <f t="shared" si="19"/>
        <v>108.19237704300879</v>
      </c>
      <c r="L57" s="88">
        <f t="shared" si="19"/>
        <v>104.42321400055116</v>
      </c>
      <c r="M57" s="88">
        <f t="shared" si="19"/>
        <v>107.25585510621244</v>
      </c>
      <c r="N57" s="88">
        <f t="shared" si="19"/>
        <v>130.37252819480702</v>
      </c>
      <c r="O57" s="88">
        <f t="shared" si="19"/>
        <v>104.1804226480434</v>
      </c>
      <c r="P57" s="88">
        <f t="shared" si="19"/>
        <v>88.144048707699241</v>
      </c>
      <c r="Q57" s="88">
        <f t="shared" si="19"/>
        <v>104.03173061819356</v>
      </c>
      <c r="R57" s="93"/>
      <c r="T57" s="92"/>
    </row>
    <row r="58" spans="1:20" s="96" customFormat="1" ht="31.2">
      <c r="A58" s="76" t="s">
        <v>70</v>
      </c>
      <c r="B58" s="94" t="s">
        <v>125</v>
      </c>
      <c r="C58" s="95" t="s">
        <v>119</v>
      </c>
      <c r="D58" s="71"/>
      <c r="E58" s="72">
        <f t="shared" ref="E58:Q58" si="20">E59+E101+E135+E224+E242+E235+E249+E265+E276+E287+E291+E309+E122+E319+E326</f>
        <v>4948024</v>
      </c>
      <c r="F58" s="72">
        <f t="shared" si="20"/>
        <v>1757553</v>
      </c>
      <c r="G58" s="72">
        <f t="shared" si="20"/>
        <v>3202366</v>
      </c>
      <c r="H58" s="72">
        <f t="shared" si="20"/>
        <v>611377</v>
      </c>
      <c r="I58" s="72">
        <f t="shared" si="20"/>
        <v>404957</v>
      </c>
      <c r="J58" s="72">
        <f t="shared" si="20"/>
        <v>302269</v>
      </c>
      <c r="K58" s="72">
        <f t="shared" si="20"/>
        <v>293948</v>
      </c>
      <c r="L58" s="72">
        <f t="shared" si="20"/>
        <v>365565</v>
      </c>
      <c r="M58" s="72">
        <f t="shared" si="20"/>
        <v>327672</v>
      </c>
      <c r="N58" s="72">
        <f t="shared" si="20"/>
        <v>104102</v>
      </c>
      <c r="O58" s="72">
        <f t="shared" si="20"/>
        <v>227002</v>
      </c>
      <c r="P58" s="72">
        <f t="shared" si="20"/>
        <v>278274</v>
      </c>
      <c r="Q58" s="72">
        <f t="shared" si="20"/>
        <v>287200</v>
      </c>
      <c r="R58" s="58">
        <f>G58-SUM(H58:Q58)</f>
        <v>0</v>
      </c>
    </row>
    <row r="59" spans="1:20" s="58" customFormat="1" ht="31.2">
      <c r="A59" s="76" t="s">
        <v>16</v>
      </c>
      <c r="B59" s="68" t="s">
        <v>126</v>
      </c>
      <c r="C59" s="77" t="s">
        <v>119</v>
      </c>
      <c r="D59" s="71"/>
      <c r="E59" s="71">
        <f>F59+G59</f>
        <v>2192378</v>
      </c>
      <c r="F59" s="71">
        <v>334138</v>
      </c>
      <c r="G59" s="72">
        <f>SUM(H59:Q59)</f>
        <v>1858240</v>
      </c>
      <c r="H59" s="72">
        <f t="shared" ref="H59:Q59" si="21">H62+H67+H96</f>
        <v>348155</v>
      </c>
      <c r="I59" s="72">
        <f t="shared" si="21"/>
        <v>256054</v>
      </c>
      <c r="J59" s="72">
        <f t="shared" si="21"/>
        <v>190293</v>
      </c>
      <c r="K59" s="72">
        <f t="shared" si="21"/>
        <v>159687</v>
      </c>
      <c r="L59" s="72">
        <f t="shared" si="21"/>
        <v>209473</v>
      </c>
      <c r="M59" s="72">
        <f t="shared" si="21"/>
        <v>196053</v>
      </c>
      <c r="N59" s="72">
        <f t="shared" si="21"/>
        <v>40991</v>
      </c>
      <c r="O59" s="72">
        <f t="shared" si="21"/>
        <v>131689</v>
      </c>
      <c r="P59" s="72">
        <f t="shared" si="21"/>
        <v>154992</v>
      </c>
      <c r="Q59" s="72">
        <f t="shared" si="21"/>
        <v>170853</v>
      </c>
      <c r="R59" s="58">
        <f>G59-SUM(H59:Q59)</f>
        <v>0</v>
      </c>
    </row>
    <row r="60" spans="1:20" s="58" customFormat="1" ht="31.2">
      <c r="A60" s="67"/>
      <c r="B60" s="83" t="s">
        <v>120</v>
      </c>
      <c r="C60" s="69" t="s">
        <v>119</v>
      </c>
      <c r="D60" s="75"/>
      <c r="E60" s="70">
        <v>1960190.875648221</v>
      </c>
      <c r="F60" s="70">
        <v>322179.09999999998</v>
      </c>
      <c r="G60" s="70">
        <f>SUM(H60:Q60)</f>
        <v>1638011.7756482209</v>
      </c>
      <c r="H60" s="70">
        <v>305977.66298254445</v>
      </c>
      <c r="I60" s="70">
        <v>217862.56166736351</v>
      </c>
      <c r="J60" s="70">
        <v>160069.8257497657</v>
      </c>
      <c r="K60" s="70">
        <v>135459.2611159292</v>
      </c>
      <c r="L60" s="70">
        <v>187116.67644444443</v>
      </c>
      <c r="M60" s="70">
        <v>177303.89154921827</v>
      </c>
      <c r="N60" s="70">
        <v>34144.670153415951</v>
      </c>
      <c r="O60" s="70">
        <v>118504.48256906596</v>
      </c>
      <c r="P60" s="70">
        <v>137727.55971084337</v>
      </c>
      <c r="Q60" s="70">
        <v>163845.18370563016</v>
      </c>
    </row>
    <row r="61" spans="1:20" s="58" customFormat="1">
      <c r="A61" s="67"/>
      <c r="B61" s="85" t="s">
        <v>121</v>
      </c>
      <c r="C61" s="86" t="s">
        <v>95</v>
      </c>
      <c r="D61" s="87"/>
      <c r="E61" s="88">
        <f>E59/E60%</f>
        <v>111.84512831052722</v>
      </c>
      <c r="F61" s="88">
        <f>F59/F60%</f>
        <v>103.71187951049588</v>
      </c>
      <c r="G61" s="88">
        <f>G59/G60%</f>
        <v>113.44484988605328</v>
      </c>
      <c r="H61" s="88">
        <f t="shared" ref="H61:Q61" si="22">H59/H60%</f>
        <v>113.78444969032321</v>
      </c>
      <c r="I61" s="88">
        <f t="shared" si="22"/>
        <v>117.53006025466085</v>
      </c>
      <c r="J61" s="88">
        <f t="shared" si="22"/>
        <v>118.88124392506158</v>
      </c>
      <c r="K61" s="88">
        <f t="shared" si="22"/>
        <v>117.88562751965415</v>
      </c>
      <c r="L61" s="88">
        <f t="shared" si="22"/>
        <v>111.94779855027686</v>
      </c>
      <c r="M61" s="88">
        <f t="shared" si="22"/>
        <v>110.57456115991516</v>
      </c>
      <c r="N61" s="88">
        <f t="shared" si="22"/>
        <v>120.05094738306944</v>
      </c>
      <c r="O61" s="88">
        <f t="shared" si="22"/>
        <v>111.12575418676668</v>
      </c>
      <c r="P61" s="88">
        <f t="shared" si="22"/>
        <v>112.53521105391182</v>
      </c>
      <c r="Q61" s="88">
        <f t="shared" si="22"/>
        <v>104.27709630266601</v>
      </c>
    </row>
    <row r="62" spans="1:20" s="99" customFormat="1" ht="15.75" hidden="1" customHeight="1" outlineLevel="1">
      <c r="A62" s="76" t="s">
        <v>18</v>
      </c>
      <c r="B62" s="97" t="s">
        <v>127</v>
      </c>
      <c r="C62" s="98" t="s">
        <v>119</v>
      </c>
      <c r="D62" s="71"/>
      <c r="E62" s="71"/>
      <c r="F62" s="71"/>
      <c r="G62" s="72">
        <f t="shared" ref="G62:Q62" si="23">SUM(G63:G66)</f>
        <v>902323</v>
      </c>
      <c r="H62" s="72">
        <f t="shared" si="23"/>
        <v>138055</v>
      </c>
      <c r="I62" s="72">
        <f t="shared" si="23"/>
        <v>136169</v>
      </c>
      <c r="J62" s="72">
        <f t="shared" si="23"/>
        <v>85558</v>
      </c>
      <c r="K62" s="72">
        <f t="shared" si="23"/>
        <v>59085</v>
      </c>
      <c r="L62" s="72">
        <f t="shared" si="23"/>
        <v>109883</v>
      </c>
      <c r="M62" s="72">
        <f t="shared" si="23"/>
        <v>105966</v>
      </c>
      <c r="N62" s="72">
        <f t="shared" si="23"/>
        <v>26315</v>
      </c>
      <c r="O62" s="72">
        <f t="shared" si="23"/>
        <v>75539</v>
      </c>
      <c r="P62" s="72">
        <f t="shared" si="23"/>
        <v>68522</v>
      </c>
      <c r="Q62" s="72">
        <f t="shared" si="23"/>
        <v>97231</v>
      </c>
      <c r="R62" s="58"/>
    </row>
    <row r="63" spans="1:20" s="54" customFormat="1" ht="31.5" hidden="1" customHeight="1" outlineLevel="1">
      <c r="A63" s="73"/>
      <c r="B63" s="74" t="s">
        <v>128</v>
      </c>
      <c r="C63" s="100" t="s">
        <v>129</v>
      </c>
      <c r="D63" s="70">
        <v>1856400</v>
      </c>
      <c r="E63" s="70"/>
      <c r="F63" s="70"/>
      <c r="G63" s="70">
        <f>SUM(H63:Q63)</f>
        <v>153926</v>
      </c>
      <c r="H63" s="70">
        <f t="shared" ref="H63:Q66" si="24">IF(H$27=0,ROUND(H18*$D63/1000000,0),ROUND(H18*$D63/1000000*(1+H$27/100),0))</f>
        <v>107363</v>
      </c>
      <c r="I63" s="70">
        <f t="shared" si="24"/>
        <v>10017</v>
      </c>
      <c r="J63" s="70">
        <f t="shared" si="24"/>
        <v>11255</v>
      </c>
      <c r="K63" s="70">
        <f t="shared" si="24"/>
        <v>14651</v>
      </c>
      <c r="L63" s="70">
        <f t="shared" si="24"/>
        <v>0</v>
      </c>
      <c r="M63" s="70">
        <f t="shared" si="24"/>
        <v>5824</v>
      </c>
      <c r="N63" s="70">
        <f t="shared" si="24"/>
        <v>0</v>
      </c>
      <c r="O63" s="70">
        <f t="shared" si="24"/>
        <v>0</v>
      </c>
      <c r="P63" s="70">
        <f t="shared" si="24"/>
        <v>4816</v>
      </c>
      <c r="Q63" s="70">
        <f t="shared" si="24"/>
        <v>0</v>
      </c>
      <c r="R63" s="58"/>
    </row>
    <row r="64" spans="1:20" s="54" customFormat="1" ht="31.5" hidden="1" customHeight="1" outlineLevel="1">
      <c r="A64" s="73"/>
      <c r="B64" s="74" t="s">
        <v>130</v>
      </c>
      <c r="C64" s="100" t="s">
        <v>129</v>
      </c>
      <c r="D64" s="70">
        <v>2165800</v>
      </c>
      <c r="E64" s="70"/>
      <c r="F64" s="70"/>
      <c r="G64" s="70">
        <f t="shared" ref="G64:G66" si="25">SUM(H64:Q64)</f>
        <v>96441</v>
      </c>
      <c r="H64" s="70">
        <f t="shared" si="24"/>
        <v>0</v>
      </c>
      <c r="I64" s="70">
        <f t="shared" si="24"/>
        <v>21086</v>
      </c>
      <c r="J64" s="70">
        <f t="shared" si="24"/>
        <v>16146</v>
      </c>
      <c r="K64" s="70">
        <f t="shared" si="24"/>
        <v>28578</v>
      </c>
      <c r="L64" s="70">
        <f t="shared" si="24"/>
        <v>14236</v>
      </c>
      <c r="M64" s="70">
        <f t="shared" si="24"/>
        <v>8853</v>
      </c>
      <c r="N64" s="70">
        <f t="shared" si="24"/>
        <v>0</v>
      </c>
      <c r="O64" s="70">
        <f t="shared" si="24"/>
        <v>7542</v>
      </c>
      <c r="P64" s="70">
        <f t="shared" si="24"/>
        <v>0</v>
      </c>
      <c r="Q64" s="70">
        <f t="shared" si="24"/>
        <v>0</v>
      </c>
      <c r="R64" s="58"/>
    </row>
    <row r="65" spans="1:18" s="54" customFormat="1" ht="31.5" hidden="1" customHeight="1" outlineLevel="1">
      <c r="A65" s="73"/>
      <c r="B65" s="74" t="s">
        <v>131</v>
      </c>
      <c r="C65" s="100" t="s">
        <v>129</v>
      </c>
      <c r="D65" s="70">
        <v>6307000</v>
      </c>
      <c r="E65" s="70"/>
      <c r="F65" s="70"/>
      <c r="G65" s="70">
        <f t="shared" si="25"/>
        <v>634961</v>
      </c>
      <c r="H65" s="70">
        <f t="shared" si="24"/>
        <v>20302</v>
      </c>
      <c r="I65" s="70">
        <f t="shared" si="24"/>
        <v>101461</v>
      </c>
      <c r="J65" s="70">
        <f t="shared" si="24"/>
        <v>58157</v>
      </c>
      <c r="K65" s="70">
        <f t="shared" si="24"/>
        <v>15856</v>
      </c>
      <c r="L65" s="70">
        <f t="shared" si="24"/>
        <v>95647</v>
      </c>
      <c r="M65" s="70">
        <f t="shared" si="24"/>
        <v>91289</v>
      </c>
      <c r="N65" s="70">
        <f t="shared" si="24"/>
        <v>26315</v>
      </c>
      <c r="O65" s="70">
        <f t="shared" si="24"/>
        <v>67997</v>
      </c>
      <c r="P65" s="70">
        <f t="shared" si="24"/>
        <v>60706</v>
      </c>
      <c r="Q65" s="70">
        <f t="shared" si="24"/>
        <v>97231</v>
      </c>
      <c r="R65" s="58"/>
    </row>
    <row r="66" spans="1:18" s="54" customFormat="1" ht="31.5" hidden="1" customHeight="1" outlineLevel="1">
      <c r="A66" s="73"/>
      <c r="B66" s="74" t="s">
        <v>132</v>
      </c>
      <c r="C66" s="100" t="s">
        <v>129</v>
      </c>
      <c r="D66" s="70">
        <v>3094000</v>
      </c>
      <c r="E66" s="70"/>
      <c r="F66" s="70"/>
      <c r="G66" s="70">
        <f t="shared" si="25"/>
        <v>16995</v>
      </c>
      <c r="H66" s="70">
        <f t="shared" si="24"/>
        <v>10390</v>
      </c>
      <c r="I66" s="70">
        <f t="shared" si="24"/>
        <v>3605</v>
      </c>
      <c r="J66" s="70">
        <f t="shared" si="24"/>
        <v>0</v>
      </c>
      <c r="K66" s="70">
        <f t="shared" si="24"/>
        <v>0</v>
      </c>
      <c r="L66" s="70">
        <f t="shared" si="24"/>
        <v>0</v>
      </c>
      <c r="M66" s="70">
        <f t="shared" si="24"/>
        <v>0</v>
      </c>
      <c r="N66" s="70">
        <f t="shared" si="24"/>
        <v>0</v>
      </c>
      <c r="O66" s="70">
        <f t="shared" si="24"/>
        <v>0</v>
      </c>
      <c r="P66" s="70">
        <f t="shared" si="24"/>
        <v>3000</v>
      </c>
      <c r="Q66" s="70">
        <f t="shared" si="24"/>
        <v>0</v>
      </c>
      <c r="R66" s="92"/>
    </row>
    <row r="67" spans="1:18" s="99" customFormat="1" ht="15.75" hidden="1" customHeight="1" outlineLevel="1">
      <c r="A67" s="101" t="s">
        <v>26</v>
      </c>
      <c r="B67" s="102" t="s">
        <v>48</v>
      </c>
      <c r="C67" s="103" t="s">
        <v>119</v>
      </c>
      <c r="D67" s="104"/>
      <c r="E67" s="105"/>
      <c r="F67" s="72"/>
      <c r="G67" s="72">
        <f>G82</f>
        <v>807006</v>
      </c>
      <c r="H67" s="72">
        <f t="shared" ref="H67:Q67" si="26">H82</f>
        <v>204208</v>
      </c>
      <c r="I67" s="72">
        <f t="shared" si="26"/>
        <v>102484</v>
      </c>
      <c r="J67" s="72">
        <f t="shared" si="26"/>
        <v>93725</v>
      </c>
      <c r="K67" s="72">
        <f t="shared" si="26"/>
        <v>93077</v>
      </c>
      <c r="L67" s="72">
        <f t="shared" si="26"/>
        <v>71047</v>
      </c>
      <c r="M67" s="72">
        <f t="shared" si="26"/>
        <v>75294</v>
      </c>
      <c r="N67" s="72">
        <f t="shared" si="26"/>
        <v>8258</v>
      </c>
      <c r="O67" s="72">
        <f t="shared" si="26"/>
        <v>42415</v>
      </c>
      <c r="P67" s="72">
        <f t="shared" si="26"/>
        <v>69111</v>
      </c>
      <c r="Q67" s="72">
        <f t="shared" si="26"/>
        <v>47387</v>
      </c>
      <c r="R67" s="58"/>
    </row>
    <row r="68" spans="1:18" s="99" customFormat="1" ht="15.75" hidden="1" customHeight="1" outlineLevel="1">
      <c r="A68" s="101" t="s">
        <v>42</v>
      </c>
      <c r="B68" s="106" t="s">
        <v>133</v>
      </c>
      <c r="C68" s="103" t="s">
        <v>119</v>
      </c>
      <c r="D68" s="107"/>
      <c r="E68" s="72"/>
      <c r="F68" s="72">
        <f>F69+F80</f>
        <v>255926.74400000001</v>
      </c>
      <c r="G68" s="72">
        <f>G69+G75</f>
        <v>1367464.0572152783</v>
      </c>
      <c r="H68" s="72">
        <f t="shared" ref="H68:Q68" si="27">H69+H75</f>
        <v>273810.77003530983</v>
      </c>
      <c r="I68" s="72">
        <f t="shared" si="27"/>
        <v>190922.4122023824</v>
      </c>
      <c r="J68" s="72">
        <f t="shared" si="27"/>
        <v>143426.34574222224</v>
      </c>
      <c r="K68" s="72">
        <f t="shared" si="27"/>
        <v>121729.23944906582</v>
      </c>
      <c r="L68" s="72">
        <f t="shared" si="27"/>
        <v>144743.6804335491</v>
      </c>
      <c r="M68" s="72">
        <f t="shared" si="27"/>
        <v>145008.23052725353</v>
      </c>
      <c r="N68" s="72">
        <f t="shared" si="27"/>
        <v>27658.694048267618</v>
      </c>
      <c r="O68" s="72">
        <f t="shared" si="27"/>
        <v>94363.460877258098</v>
      </c>
      <c r="P68" s="72">
        <f t="shared" si="27"/>
        <v>110106.72040425244</v>
      </c>
      <c r="Q68" s="72">
        <f t="shared" si="27"/>
        <v>115694.50349571712</v>
      </c>
      <c r="R68" s="58"/>
    </row>
    <row r="69" spans="1:18" s="99" customFormat="1" ht="31.5" hidden="1" customHeight="1" outlineLevel="1">
      <c r="A69" s="101" t="s">
        <v>45</v>
      </c>
      <c r="B69" s="106" t="s">
        <v>134</v>
      </c>
      <c r="C69" s="103" t="s">
        <v>119</v>
      </c>
      <c r="D69" s="107"/>
      <c r="E69" s="105"/>
      <c r="F69" s="105">
        <v>220367</v>
      </c>
      <c r="G69" s="72">
        <f>SUM(H69:Q69)</f>
        <v>1336801.6942221087</v>
      </c>
      <c r="H69" s="72">
        <f>(H71*(H72+H73)*1.49*12)+(H71*(H72+H73)*1.49*12*H74)</f>
        <v>271238.33266520192</v>
      </c>
      <c r="I69" s="72">
        <f t="shared" ref="I69:Q69" si="28">(I71*(I72+I73)*1.49*12)+(I71*(I72+I73)*1.49*12*I74)</f>
        <v>182932.61985185181</v>
      </c>
      <c r="J69" s="72">
        <f t="shared" si="28"/>
        <v>142046.80440888889</v>
      </c>
      <c r="K69" s="72">
        <f t="shared" si="28"/>
        <v>117731.41521779493</v>
      </c>
      <c r="L69" s="72">
        <f t="shared" si="28"/>
        <v>139088.00564696713</v>
      </c>
      <c r="M69" s="72">
        <f t="shared" si="28"/>
        <v>143158.48190517141</v>
      </c>
      <c r="N69" s="72">
        <f t="shared" si="28"/>
        <v>24203.780740740738</v>
      </c>
      <c r="O69" s="72">
        <f t="shared" si="28"/>
        <v>93229.77283143466</v>
      </c>
      <c r="P69" s="72">
        <f t="shared" si="28"/>
        <v>110106.72040425244</v>
      </c>
      <c r="Q69" s="72">
        <f t="shared" si="28"/>
        <v>113065.76054980482</v>
      </c>
      <c r="R69" s="58"/>
    </row>
    <row r="70" spans="1:18" s="99" customFormat="1" ht="15.75" hidden="1" customHeight="1" outlineLevel="1">
      <c r="A70" s="101" t="s">
        <v>23</v>
      </c>
      <c r="B70" s="108" t="s">
        <v>135</v>
      </c>
      <c r="C70" s="100" t="s">
        <v>85</v>
      </c>
      <c r="D70" s="109"/>
      <c r="E70" s="105"/>
      <c r="F70" s="105"/>
      <c r="G70" s="70">
        <f>SUM(H70:Q70)</f>
        <v>9543</v>
      </c>
      <c r="H70" s="110">
        <v>1955</v>
      </c>
      <c r="I70" s="110">
        <v>1292</v>
      </c>
      <c r="J70" s="110">
        <f>312+388+279+22</f>
        <v>1001</v>
      </c>
      <c r="K70" s="110">
        <v>904</v>
      </c>
      <c r="L70" s="110">
        <f>260+383+335+14</f>
        <v>992</v>
      </c>
      <c r="M70" s="110">
        <v>1015</v>
      </c>
      <c r="N70" s="110">
        <f>59+77+48</f>
        <v>184</v>
      </c>
      <c r="O70" s="110">
        <f>193+252+178+24</f>
        <v>647</v>
      </c>
      <c r="P70" s="110">
        <v>738</v>
      </c>
      <c r="Q70" s="110">
        <f>230+185+373+27</f>
        <v>815</v>
      </c>
      <c r="R70" s="58"/>
    </row>
    <row r="71" spans="1:18" s="54" customFormat="1" ht="15.75" hidden="1" customHeight="1" outlineLevel="1">
      <c r="A71" s="111" t="s">
        <v>23</v>
      </c>
      <c r="B71" s="108" t="s">
        <v>136</v>
      </c>
      <c r="C71" s="100" t="s">
        <v>85</v>
      </c>
      <c r="D71" s="109"/>
      <c r="E71" s="75"/>
      <c r="F71" s="75"/>
      <c r="G71" s="70">
        <f>SUM(H71:Q71)</f>
        <v>9240</v>
      </c>
      <c r="H71" s="110">
        <v>1926</v>
      </c>
      <c r="I71" s="110">
        <v>1213</v>
      </c>
      <c r="J71" s="110">
        <v>987</v>
      </c>
      <c r="K71" s="110">
        <v>861</v>
      </c>
      <c r="L71" s="110">
        <v>938</v>
      </c>
      <c r="M71" s="110">
        <v>997</v>
      </c>
      <c r="N71" s="110">
        <v>154</v>
      </c>
      <c r="O71" s="110">
        <v>636</v>
      </c>
      <c r="P71" s="110">
        <v>738</v>
      </c>
      <c r="Q71" s="110">
        <v>790</v>
      </c>
      <c r="R71" s="51"/>
    </row>
    <row r="72" spans="1:18" s="116" customFormat="1" ht="15.75" hidden="1" customHeight="1" outlineLevel="1">
      <c r="A72" s="73" t="s">
        <v>23</v>
      </c>
      <c r="B72" s="112" t="s">
        <v>137</v>
      </c>
      <c r="C72" s="113" t="s">
        <v>138</v>
      </c>
      <c r="D72" s="75"/>
      <c r="E72" s="75"/>
      <c r="F72" s="75"/>
      <c r="G72" s="114">
        <v>3.4822394123334757</v>
      </c>
      <c r="H72" s="114">
        <v>3.7845826442572714</v>
      </c>
      <c r="I72" s="114">
        <v>3.6148148148148143</v>
      </c>
      <c r="J72" s="114">
        <v>3.525633532215092</v>
      </c>
      <c r="K72" s="115">
        <v>3.4450667469637648</v>
      </c>
      <c r="L72" s="114">
        <v>3.1619574087235782</v>
      </c>
      <c r="M72" s="114">
        <v>3.2691358024691359</v>
      </c>
      <c r="N72" s="114">
        <v>2.5975308641975312</v>
      </c>
      <c r="O72" s="114">
        <v>3.4223309263141544</v>
      </c>
      <c r="P72" s="114">
        <v>3.0617283950617287</v>
      </c>
      <c r="Q72" s="114">
        <v>2.9962681669010784</v>
      </c>
      <c r="R72" s="96"/>
    </row>
    <row r="73" spans="1:18" s="116" customFormat="1" ht="15.75" hidden="1" customHeight="1" outlineLevel="1">
      <c r="A73" s="73" t="s">
        <v>23</v>
      </c>
      <c r="B73" s="112" t="s">
        <v>139</v>
      </c>
      <c r="C73" s="113" t="s">
        <v>138</v>
      </c>
      <c r="D73" s="75"/>
      <c r="E73" s="75"/>
      <c r="F73" s="75"/>
      <c r="G73" s="114">
        <v>3.7474469609869634</v>
      </c>
      <c r="H73" s="114">
        <v>3.0024691358024684</v>
      </c>
      <c r="I73" s="114">
        <v>3.8024691358024687</v>
      </c>
      <c r="J73" s="114">
        <v>3.5555555555555549</v>
      </c>
      <c r="K73" s="115">
        <v>3.2505619856325536</v>
      </c>
      <c r="L73" s="114">
        <v>4.2659593345442106</v>
      </c>
      <c r="M73" s="114">
        <v>3.8716049382716049</v>
      </c>
      <c r="N73" s="114">
        <v>5.4913580246913583</v>
      </c>
      <c r="O73" s="114">
        <v>3.8433870362605793</v>
      </c>
      <c r="P73" s="114">
        <v>4.3736848900933456</v>
      </c>
      <c r="Q73" s="114">
        <v>4.2394228206490583</v>
      </c>
      <c r="R73" s="96"/>
    </row>
    <row r="74" spans="1:18" s="116" customFormat="1" ht="15.75" hidden="1" customHeight="1" outlineLevel="1">
      <c r="A74" s="73" t="s">
        <v>23</v>
      </c>
      <c r="B74" s="117" t="s">
        <v>140</v>
      </c>
      <c r="C74" s="113" t="s">
        <v>138</v>
      </c>
      <c r="D74" s="110"/>
      <c r="E74" s="110"/>
      <c r="F74" s="110"/>
      <c r="G74" s="114">
        <f>0.96311139268425/(G73+G72)</f>
        <v>0.1332162064786655</v>
      </c>
      <c r="H74" s="114">
        <v>0.1605025691960309</v>
      </c>
      <c r="I74" s="114">
        <v>0.13715046604527287</v>
      </c>
      <c r="J74" s="114">
        <v>0.13668625743090035</v>
      </c>
      <c r="K74" s="115">
        <v>0.14216890968469367</v>
      </c>
      <c r="L74" s="114">
        <v>0.11648347585608504</v>
      </c>
      <c r="M74" s="114">
        <v>0.12463383734509832</v>
      </c>
      <c r="N74" s="114">
        <v>8.6691086691086619E-2</v>
      </c>
      <c r="O74" s="114">
        <v>0.1283698161721249</v>
      </c>
      <c r="P74" s="114">
        <v>0.12223765768866243</v>
      </c>
      <c r="Q74" s="114">
        <v>0.10625817068011192</v>
      </c>
      <c r="R74" s="96"/>
    </row>
    <row r="75" spans="1:18" s="99" customFormat="1" ht="15.75" hidden="1" customHeight="1" outlineLevel="1">
      <c r="A75" s="118" t="s">
        <v>47</v>
      </c>
      <c r="B75" s="106" t="s">
        <v>141</v>
      </c>
      <c r="C75" s="103" t="s">
        <v>119</v>
      </c>
      <c r="D75" s="107"/>
      <c r="E75" s="71"/>
      <c r="F75" s="105"/>
      <c r="G75" s="72">
        <f>SUM(H75:Q75)</f>
        <v>30662.362993169463</v>
      </c>
      <c r="H75" s="72">
        <f>(H76*(H77+H78)*1.49*12)+(H76*(H77+H78)*1.49*12*H79)</f>
        <v>2572.4373701079166</v>
      </c>
      <c r="I75" s="72">
        <f t="shared" ref="I75:Q75" si="29">(I76*(I77+I78)*1.49*12)+(I76*(I77+I78)*1.49*12*I79)</f>
        <v>7989.7923505305935</v>
      </c>
      <c r="J75" s="72">
        <f t="shared" si="29"/>
        <v>1379.5413333333565</v>
      </c>
      <c r="K75" s="72">
        <f t="shared" si="29"/>
        <v>3997.8242312708899</v>
      </c>
      <c r="L75" s="72">
        <f t="shared" si="29"/>
        <v>5655.674786581978</v>
      </c>
      <c r="M75" s="72">
        <f t="shared" si="29"/>
        <v>1849.7486220821158</v>
      </c>
      <c r="N75" s="72">
        <f t="shared" si="29"/>
        <v>3454.9133075268796</v>
      </c>
      <c r="O75" s="72">
        <f t="shared" si="29"/>
        <v>1133.6880458234373</v>
      </c>
      <c r="P75" s="72">
        <f t="shared" si="29"/>
        <v>0</v>
      </c>
      <c r="Q75" s="72">
        <f t="shared" si="29"/>
        <v>2628.7429459122941</v>
      </c>
      <c r="R75" s="58"/>
    </row>
    <row r="76" spans="1:18" s="54" customFormat="1" ht="15.75" hidden="1" customHeight="1" outlineLevel="1">
      <c r="A76" s="111" t="s">
        <v>23</v>
      </c>
      <c r="B76" s="74" t="s">
        <v>142</v>
      </c>
      <c r="C76" s="100" t="s">
        <v>85</v>
      </c>
      <c r="D76" s="119"/>
      <c r="E76" s="110"/>
      <c r="F76" s="75"/>
      <c r="G76" s="70">
        <f>G70-G71</f>
        <v>303</v>
      </c>
      <c r="H76" s="70">
        <f t="shared" ref="H76:Q76" si="30">H70-H71</f>
        <v>29</v>
      </c>
      <c r="I76" s="70">
        <f t="shared" si="30"/>
        <v>79</v>
      </c>
      <c r="J76" s="70">
        <f t="shared" si="30"/>
        <v>14</v>
      </c>
      <c r="K76" s="70">
        <f t="shared" si="30"/>
        <v>43</v>
      </c>
      <c r="L76" s="70">
        <f t="shared" si="30"/>
        <v>54</v>
      </c>
      <c r="M76" s="70">
        <f t="shared" si="30"/>
        <v>18</v>
      </c>
      <c r="N76" s="70">
        <f t="shared" si="30"/>
        <v>30</v>
      </c>
      <c r="O76" s="70">
        <f t="shared" si="30"/>
        <v>11</v>
      </c>
      <c r="P76" s="70">
        <f t="shared" si="30"/>
        <v>0</v>
      </c>
      <c r="Q76" s="70">
        <f t="shared" si="30"/>
        <v>25</v>
      </c>
      <c r="R76" s="51"/>
    </row>
    <row r="77" spans="1:18" s="116" customFormat="1" ht="15.75" hidden="1" customHeight="1" outlineLevel="1">
      <c r="A77" s="73" t="s">
        <v>23</v>
      </c>
      <c r="B77" s="112" t="s">
        <v>143</v>
      </c>
      <c r="C77" s="100" t="s">
        <v>85</v>
      </c>
      <c r="D77" s="75"/>
      <c r="E77" s="75"/>
      <c r="F77" s="75"/>
      <c r="G77" s="114">
        <v>2.34</v>
      </c>
      <c r="H77" s="114">
        <v>2.34</v>
      </c>
      <c r="I77" s="114">
        <v>2.34</v>
      </c>
      <c r="J77" s="114">
        <v>2.34</v>
      </c>
      <c r="K77" s="114">
        <v>2.34</v>
      </c>
      <c r="L77" s="114">
        <v>2.34</v>
      </c>
      <c r="M77" s="114">
        <v>2.34</v>
      </c>
      <c r="N77" s="114">
        <v>2.34</v>
      </c>
      <c r="O77" s="114">
        <v>2.34</v>
      </c>
      <c r="P77" s="114"/>
      <c r="Q77" s="114">
        <v>2.34</v>
      </c>
    </row>
    <row r="78" spans="1:18" s="116" customFormat="1" ht="15.75" hidden="1" customHeight="1" outlineLevel="1">
      <c r="A78" s="73" t="s">
        <v>23</v>
      </c>
      <c r="B78" s="112" t="s">
        <v>139</v>
      </c>
      <c r="C78" s="113" t="s">
        <v>138</v>
      </c>
      <c r="D78" s="75"/>
      <c r="E78" s="75"/>
      <c r="F78" s="75"/>
      <c r="G78" s="114">
        <v>2.6893596603279892</v>
      </c>
      <c r="H78" s="114">
        <v>2.083826938661852</v>
      </c>
      <c r="I78" s="114">
        <v>2.7778911721417541</v>
      </c>
      <c r="J78" s="114">
        <v>2.6523799725652348</v>
      </c>
      <c r="K78" s="114">
        <v>2.3220355795173062</v>
      </c>
      <c r="L78" s="114">
        <v>2.9780120278595392</v>
      </c>
      <c r="M78" s="114">
        <v>2.8687736652832148</v>
      </c>
      <c r="N78" s="114">
        <v>3.5615171058461925</v>
      </c>
      <c r="O78" s="114">
        <v>2.8854594701363392</v>
      </c>
      <c r="P78" s="114"/>
      <c r="Q78" s="114">
        <v>3.0020428616198118</v>
      </c>
    </row>
    <row r="79" spans="1:18" s="116" customFormat="1" ht="15.75" hidden="1" customHeight="1" outlineLevel="1">
      <c r="A79" s="73" t="s">
        <v>23</v>
      </c>
      <c r="B79" s="117" t="s">
        <v>140</v>
      </c>
      <c r="C79" s="113" t="s">
        <v>138</v>
      </c>
      <c r="D79" s="110"/>
      <c r="E79" s="110"/>
      <c r="F79" s="110"/>
      <c r="G79" s="114">
        <f>0.55/(G77+G78)</f>
        <v>0.10935785808647693</v>
      </c>
      <c r="H79" s="114">
        <v>0.12145323674570027</v>
      </c>
      <c r="I79" s="114">
        <v>0.10522281124210089</v>
      </c>
      <c r="J79" s="114">
        <v>0.10390457885749206</v>
      </c>
      <c r="K79" s="114">
        <v>0.11535249291199201</v>
      </c>
      <c r="L79" s="114">
        <v>0.10147295737539631</v>
      </c>
      <c r="M79" s="114">
        <v>0.10341073864051956</v>
      </c>
      <c r="N79" s="114">
        <v>9.1401923462783377E-2</v>
      </c>
      <c r="O79" s="114">
        <v>0.10308475877858604</v>
      </c>
      <c r="P79" s="114"/>
      <c r="Q79" s="114">
        <v>0.10086288234711936</v>
      </c>
    </row>
    <row r="80" spans="1:18" s="99" customFormat="1" ht="15.75" hidden="1" customHeight="1" outlineLevel="1">
      <c r="A80" s="118" t="s">
        <v>49</v>
      </c>
      <c r="B80" s="102" t="s">
        <v>144</v>
      </c>
      <c r="C80" s="113" t="s">
        <v>119</v>
      </c>
      <c r="D80" s="104"/>
      <c r="E80" s="105"/>
      <c r="F80" s="71">
        <f>F81*1.49*80%*12</f>
        <v>35559.743999999999</v>
      </c>
      <c r="G80" s="72"/>
      <c r="H80" s="105"/>
      <c r="I80" s="105"/>
      <c r="J80" s="105"/>
      <c r="K80" s="105"/>
      <c r="L80" s="105"/>
      <c r="M80" s="105"/>
      <c r="N80" s="105"/>
      <c r="O80" s="105"/>
      <c r="P80" s="105"/>
      <c r="Q80" s="105"/>
      <c r="R80" s="58"/>
    </row>
    <row r="81" spans="1:19" s="54" customFormat="1" ht="15.75" hidden="1" customHeight="1" outlineLevel="1">
      <c r="A81" s="120"/>
      <c r="B81" s="74" t="s">
        <v>145</v>
      </c>
      <c r="C81" s="100" t="s">
        <v>146</v>
      </c>
      <c r="D81" s="119"/>
      <c r="E81" s="75"/>
      <c r="F81" s="75">
        <v>2486</v>
      </c>
      <c r="G81" s="110"/>
      <c r="H81" s="110"/>
      <c r="I81" s="110"/>
      <c r="J81" s="110"/>
      <c r="K81" s="110"/>
      <c r="L81" s="110"/>
      <c r="M81" s="110"/>
      <c r="N81" s="110"/>
      <c r="O81" s="110"/>
      <c r="P81" s="110"/>
      <c r="Q81" s="110"/>
      <c r="R81" s="58"/>
    </row>
    <row r="82" spans="1:19" s="99" customFormat="1" ht="15.75" hidden="1" customHeight="1" outlineLevel="1">
      <c r="A82" s="101" t="s">
        <v>52</v>
      </c>
      <c r="B82" s="102" t="s">
        <v>1354</v>
      </c>
      <c r="C82" s="103" t="s">
        <v>119</v>
      </c>
      <c r="D82" s="104"/>
      <c r="E82" s="72"/>
      <c r="F82" s="72">
        <f t="shared" ref="F82" si="31">F85</f>
        <v>63981.685999999987</v>
      </c>
      <c r="G82" s="72">
        <f>G85</f>
        <v>807006</v>
      </c>
      <c r="H82" s="72">
        <f t="shared" ref="H82:Q82" si="32">H85</f>
        <v>204208</v>
      </c>
      <c r="I82" s="72">
        <f t="shared" si="32"/>
        <v>102484</v>
      </c>
      <c r="J82" s="72">
        <f t="shared" si="32"/>
        <v>93725</v>
      </c>
      <c r="K82" s="72">
        <f t="shared" si="32"/>
        <v>93077</v>
      </c>
      <c r="L82" s="72">
        <f t="shared" si="32"/>
        <v>71047</v>
      </c>
      <c r="M82" s="72">
        <f t="shared" si="32"/>
        <v>75294</v>
      </c>
      <c r="N82" s="72">
        <f t="shared" si="32"/>
        <v>8258</v>
      </c>
      <c r="O82" s="72">
        <f t="shared" si="32"/>
        <v>42415</v>
      </c>
      <c r="P82" s="72">
        <f t="shared" si="32"/>
        <v>69111</v>
      </c>
      <c r="Q82" s="72">
        <f t="shared" si="32"/>
        <v>47387</v>
      </c>
      <c r="R82" s="58"/>
      <c r="S82" s="99" t="s">
        <v>147</v>
      </c>
    </row>
    <row r="83" spans="1:19" s="116" customFormat="1" ht="15.75" hidden="1" customHeight="1" outlineLevel="1">
      <c r="A83" s="73"/>
      <c r="B83" s="74" t="s">
        <v>148</v>
      </c>
      <c r="C83" s="100" t="s">
        <v>119</v>
      </c>
      <c r="D83" s="119"/>
      <c r="E83" s="110">
        <f>F83+G83</f>
        <v>1623390.8012152782</v>
      </c>
      <c r="F83" s="70">
        <f t="shared" ref="F83" si="33">F68</f>
        <v>255926.74400000001</v>
      </c>
      <c r="G83" s="70">
        <f>SUM(H83:Q83)</f>
        <v>1367464.0572152783</v>
      </c>
      <c r="H83" s="70">
        <f t="shared" ref="H83:Q83" si="34">H68</f>
        <v>273810.77003530983</v>
      </c>
      <c r="I83" s="70">
        <f t="shared" si="34"/>
        <v>190922.4122023824</v>
      </c>
      <c r="J83" s="70">
        <f t="shared" si="34"/>
        <v>143426.34574222224</v>
      </c>
      <c r="K83" s="70">
        <f t="shared" si="34"/>
        <v>121729.23944906582</v>
      </c>
      <c r="L83" s="70">
        <f t="shared" si="34"/>
        <v>144743.6804335491</v>
      </c>
      <c r="M83" s="70">
        <f t="shared" si="34"/>
        <v>145008.23052725353</v>
      </c>
      <c r="N83" s="70">
        <f t="shared" si="34"/>
        <v>27658.694048267618</v>
      </c>
      <c r="O83" s="70">
        <f t="shared" si="34"/>
        <v>94363.460877258098</v>
      </c>
      <c r="P83" s="70">
        <f t="shared" si="34"/>
        <v>110106.72040425244</v>
      </c>
      <c r="Q83" s="70">
        <f t="shared" si="34"/>
        <v>115694.50349571712</v>
      </c>
      <c r="R83" s="96"/>
    </row>
    <row r="84" spans="1:19" s="116" customFormat="1" ht="15.75" hidden="1" customHeight="1" outlineLevel="1">
      <c r="A84" s="73"/>
      <c r="B84" s="74" t="s">
        <v>1355</v>
      </c>
      <c r="C84" s="100" t="s">
        <v>119</v>
      </c>
      <c r="D84" s="119"/>
      <c r="E84" s="70">
        <f>E83/81%</f>
        <v>2004186.1743398495</v>
      </c>
      <c r="F84" s="70">
        <f>F83/80%</f>
        <v>319908.43</v>
      </c>
      <c r="G84" s="70">
        <f>SUM(H84:Q84)</f>
        <v>1709330.0715190975</v>
      </c>
      <c r="H84" s="70">
        <f>H83/80%</f>
        <v>342263.46254413726</v>
      </c>
      <c r="I84" s="70">
        <f t="shared" ref="I84:Q84" si="35">I83/80%</f>
        <v>238653.01525297799</v>
      </c>
      <c r="J84" s="70">
        <f t="shared" si="35"/>
        <v>179282.93217777778</v>
      </c>
      <c r="K84" s="70">
        <f t="shared" si="35"/>
        <v>152161.54931133226</v>
      </c>
      <c r="L84" s="70">
        <f t="shared" si="35"/>
        <v>180929.60054193638</v>
      </c>
      <c r="M84" s="70">
        <f t="shared" si="35"/>
        <v>181260.2881590669</v>
      </c>
      <c r="N84" s="70">
        <f t="shared" si="35"/>
        <v>34573.367560334518</v>
      </c>
      <c r="O84" s="70">
        <f t="shared" si="35"/>
        <v>117954.32609657262</v>
      </c>
      <c r="P84" s="70">
        <f t="shared" si="35"/>
        <v>137633.40050531554</v>
      </c>
      <c r="Q84" s="70">
        <f t="shared" si="35"/>
        <v>144618.1293696464</v>
      </c>
      <c r="R84" s="96"/>
    </row>
    <row r="85" spans="1:19" s="116" customFormat="1" ht="15.75" hidden="1" customHeight="1" outlineLevel="1">
      <c r="A85" s="73"/>
      <c r="B85" s="74" t="s">
        <v>1356</v>
      </c>
      <c r="C85" s="100" t="s">
        <v>119</v>
      </c>
      <c r="D85" s="119"/>
      <c r="E85" s="110"/>
      <c r="F85" s="70">
        <f>F84-F83</f>
        <v>63981.685999999987</v>
      </c>
      <c r="G85" s="70">
        <f>SUM(H85:Q85)</f>
        <v>807006</v>
      </c>
      <c r="H85" s="70">
        <f>IF(H68&lt;H62*80%,0,ROUND(H68/80%-H62,0))</f>
        <v>204208</v>
      </c>
      <c r="I85" s="70">
        <f t="shared" ref="I85:Q85" si="36">IF(I68&lt;I62*80%,0,ROUND(I68/80%-I62,0))</f>
        <v>102484</v>
      </c>
      <c r="J85" s="70">
        <f t="shared" si="36"/>
        <v>93725</v>
      </c>
      <c r="K85" s="70">
        <f t="shared" si="36"/>
        <v>93077</v>
      </c>
      <c r="L85" s="70">
        <f t="shared" si="36"/>
        <v>71047</v>
      </c>
      <c r="M85" s="70">
        <f t="shared" si="36"/>
        <v>75294</v>
      </c>
      <c r="N85" s="70">
        <f t="shared" si="36"/>
        <v>8258</v>
      </c>
      <c r="O85" s="70">
        <f t="shared" si="36"/>
        <v>42415</v>
      </c>
      <c r="P85" s="70">
        <f t="shared" si="36"/>
        <v>69111</v>
      </c>
      <c r="Q85" s="70">
        <f t="shared" si="36"/>
        <v>47387</v>
      </c>
      <c r="R85" s="96"/>
    </row>
    <row r="86" spans="1:19" s="96" customFormat="1" ht="15.75" hidden="1" customHeight="1" outlineLevel="1">
      <c r="A86" s="76" t="s">
        <v>59</v>
      </c>
      <c r="B86" s="102" t="s">
        <v>1393</v>
      </c>
      <c r="C86" s="103"/>
      <c r="D86" s="104"/>
      <c r="E86" s="105">
        <f>E84-E83</f>
        <v>380795.37312457128</v>
      </c>
      <c r="F86" s="72">
        <f>F85</f>
        <v>63981.685999999987</v>
      </c>
      <c r="G86" s="72">
        <f>SUM(H86:Q86)</f>
        <v>341866.01430381945</v>
      </c>
      <c r="H86" s="72">
        <f>H84-H83</f>
        <v>68452.692508827429</v>
      </c>
      <c r="I86" s="72">
        <f t="shared" ref="I86:Q86" si="37">I84-I83</f>
        <v>47730.603050595586</v>
      </c>
      <c r="J86" s="72">
        <f t="shared" si="37"/>
        <v>35856.586435555539</v>
      </c>
      <c r="K86" s="72">
        <f t="shared" si="37"/>
        <v>30432.30986226644</v>
      </c>
      <c r="L86" s="72">
        <f t="shared" si="37"/>
        <v>36185.920108387276</v>
      </c>
      <c r="M86" s="72">
        <f t="shared" si="37"/>
        <v>36252.057631813368</v>
      </c>
      <c r="N86" s="72">
        <f t="shared" si="37"/>
        <v>6914.6735120669</v>
      </c>
      <c r="O86" s="72">
        <f t="shared" si="37"/>
        <v>23590.865219314524</v>
      </c>
      <c r="P86" s="72">
        <f t="shared" si="37"/>
        <v>27526.680101063102</v>
      </c>
      <c r="Q86" s="72">
        <f t="shared" si="37"/>
        <v>28923.625873929283</v>
      </c>
    </row>
    <row r="87" spans="1:19" s="116" customFormat="1" ht="15.75" hidden="1" customHeight="1" outlineLevel="1">
      <c r="A87" s="73"/>
      <c r="B87" s="74" t="s">
        <v>704</v>
      </c>
      <c r="C87" s="100"/>
      <c r="D87" s="119"/>
      <c r="E87" s="110"/>
      <c r="F87" s="70"/>
      <c r="G87" s="70"/>
      <c r="H87" s="70"/>
      <c r="I87" s="70"/>
      <c r="J87" s="70"/>
      <c r="K87" s="70"/>
      <c r="L87" s="70"/>
      <c r="M87" s="70"/>
      <c r="N87" s="70"/>
      <c r="O87" s="70"/>
      <c r="P87" s="70"/>
      <c r="Q87" s="70"/>
    </row>
    <row r="88" spans="1:19" s="99" customFormat="1" ht="15.75" hidden="1" customHeight="1" outlineLevel="1">
      <c r="A88" s="101" t="s">
        <v>45</v>
      </c>
      <c r="B88" s="121" t="s">
        <v>149</v>
      </c>
      <c r="C88" s="98" t="s">
        <v>119</v>
      </c>
      <c r="D88" s="105"/>
      <c r="E88" s="72">
        <f>E89+E90+E91+E92</f>
        <v>60249</v>
      </c>
      <c r="F88" s="72">
        <f>F89+F90+F91+F92</f>
        <v>9907</v>
      </c>
      <c r="G88" s="72">
        <f>G89+G90</f>
        <v>50342</v>
      </c>
      <c r="H88" s="72">
        <f>H89+H90</f>
        <v>10632</v>
      </c>
      <c r="I88" s="72">
        <f t="shared" ref="I88:Q88" si="38">I89+I90</f>
        <v>6891</v>
      </c>
      <c r="J88" s="72">
        <f t="shared" si="38"/>
        <v>5023</v>
      </c>
      <c r="K88" s="72">
        <f t="shared" si="38"/>
        <v>5044</v>
      </c>
      <c r="L88" s="72">
        <f t="shared" si="38"/>
        <v>5787</v>
      </c>
      <c r="M88" s="72">
        <f t="shared" si="38"/>
        <v>5000</v>
      </c>
      <c r="N88" s="72">
        <f t="shared" si="38"/>
        <v>1160</v>
      </c>
      <c r="O88" s="72">
        <f t="shared" si="38"/>
        <v>3259</v>
      </c>
      <c r="P88" s="72">
        <f t="shared" si="38"/>
        <v>3850</v>
      </c>
      <c r="Q88" s="72">
        <f t="shared" si="38"/>
        <v>3696</v>
      </c>
      <c r="R88" s="58"/>
    </row>
    <row r="89" spans="1:19" s="54" customFormat="1" ht="15.75" hidden="1" customHeight="1" outlineLevel="1">
      <c r="A89" s="111" t="s">
        <v>23</v>
      </c>
      <c r="B89" s="122" t="s">
        <v>150</v>
      </c>
      <c r="C89" s="123" t="s">
        <v>119</v>
      </c>
      <c r="D89" s="110"/>
      <c r="E89" s="110">
        <f>F89+G89</f>
        <v>28419</v>
      </c>
      <c r="F89" s="75">
        <v>2986</v>
      </c>
      <c r="G89" s="70">
        <f>SUM(H89:Q89)</f>
        <v>25433</v>
      </c>
      <c r="H89" s="70">
        <v>4520</v>
      </c>
      <c r="I89" s="70">
        <v>3102</v>
      </c>
      <c r="J89" s="70">
        <v>2367</v>
      </c>
      <c r="K89" s="70">
        <v>2312</v>
      </c>
      <c r="L89" s="70">
        <v>3322</v>
      </c>
      <c r="M89" s="70">
        <v>2524</v>
      </c>
      <c r="N89" s="70">
        <v>677</v>
      </c>
      <c r="O89" s="70">
        <v>1782</v>
      </c>
      <c r="P89" s="70">
        <v>2580</v>
      </c>
      <c r="Q89" s="70">
        <v>2247</v>
      </c>
      <c r="R89" s="58"/>
    </row>
    <row r="90" spans="1:19" s="116" customFormat="1" ht="15.75" hidden="1" customHeight="1" outlineLevel="1" collapsed="1">
      <c r="A90" s="111" t="s">
        <v>23</v>
      </c>
      <c r="B90" s="224" t="s">
        <v>268</v>
      </c>
      <c r="C90" s="225"/>
      <c r="D90" s="211"/>
      <c r="E90" s="110">
        <f>F90+G90</f>
        <v>29909</v>
      </c>
      <c r="F90" s="211">
        <v>5000</v>
      </c>
      <c r="G90" s="70">
        <f>SUM(H90:Q90)</f>
        <v>24909</v>
      </c>
      <c r="H90" s="211">
        <v>6112</v>
      </c>
      <c r="I90" s="211">
        <v>3789</v>
      </c>
      <c r="J90" s="211">
        <v>2656</v>
      </c>
      <c r="K90" s="211">
        <v>2732</v>
      </c>
      <c r="L90" s="211">
        <v>2465</v>
      </c>
      <c r="M90" s="211">
        <v>2476</v>
      </c>
      <c r="N90" s="211">
        <v>483</v>
      </c>
      <c r="O90" s="211">
        <v>1477</v>
      </c>
      <c r="P90" s="211">
        <v>1270</v>
      </c>
      <c r="Q90" s="211">
        <v>1449</v>
      </c>
      <c r="R90" s="177"/>
    </row>
    <row r="91" spans="1:19" s="116" customFormat="1" ht="15.75" hidden="1" customHeight="1" outlineLevel="1">
      <c r="A91" s="111" t="s">
        <v>23</v>
      </c>
      <c r="B91" s="224" t="s">
        <v>705</v>
      </c>
      <c r="C91" s="225"/>
      <c r="D91" s="211"/>
      <c r="E91" s="110">
        <f t="shared" ref="E91:E92" si="39">F91+G91</f>
        <v>1500</v>
      </c>
      <c r="F91" s="211">
        <v>1500</v>
      </c>
      <c r="G91" s="70"/>
      <c r="H91" s="211"/>
      <c r="I91" s="211"/>
      <c r="J91" s="211"/>
      <c r="K91" s="211"/>
      <c r="L91" s="211"/>
      <c r="M91" s="211"/>
      <c r="N91" s="211"/>
      <c r="O91" s="211"/>
      <c r="P91" s="211"/>
      <c r="Q91" s="211"/>
      <c r="R91" s="177"/>
    </row>
    <row r="92" spans="1:19" s="116" customFormat="1" ht="31.5" hidden="1" customHeight="1" outlineLevel="1">
      <c r="A92" s="111" t="s">
        <v>23</v>
      </c>
      <c r="B92" s="224" t="s">
        <v>706</v>
      </c>
      <c r="C92" s="225"/>
      <c r="D92" s="211"/>
      <c r="E92" s="110">
        <f t="shared" si="39"/>
        <v>421</v>
      </c>
      <c r="F92" s="211">
        <v>421</v>
      </c>
      <c r="G92" s="70"/>
      <c r="H92" s="211"/>
      <c r="I92" s="211"/>
      <c r="J92" s="211"/>
      <c r="K92" s="211"/>
      <c r="L92" s="211"/>
      <c r="M92" s="211"/>
      <c r="N92" s="211"/>
      <c r="O92" s="211"/>
      <c r="P92" s="211"/>
      <c r="Q92" s="211"/>
      <c r="R92" s="177"/>
    </row>
    <row r="93" spans="1:19" s="99" customFormat="1" ht="15.75" hidden="1" customHeight="1" outlineLevel="1">
      <c r="A93" s="101" t="s">
        <v>47</v>
      </c>
      <c r="B93" s="121" t="s">
        <v>707</v>
      </c>
      <c r="C93" s="98"/>
      <c r="D93" s="105"/>
      <c r="E93" s="72">
        <f>F93+G93</f>
        <v>345598.70030381944</v>
      </c>
      <c r="F93" s="72">
        <f>F86-F88</f>
        <v>54074.685999999987</v>
      </c>
      <c r="G93" s="72">
        <f>SUM(H93:Q93)</f>
        <v>291524.01430381945</v>
      </c>
      <c r="H93" s="72">
        <f>H86-H88</f>
        <v>57820.692508827429</v>
      </c>
      <c r="I93" s="72">
        <f t="shared" ref="I93:Q93" si="40">I86-I88</f>
        <v>40839.603050595586</v>
      </c>
      <c r="J93" s="72">
        <f t="shared" si="40"/>
        <v>30833.586435555539</v>
      </c>
      <c r="K93" s="72">
        <f t="shared" si="40"/>
        <v>25388.30986226644</v>
      </c>
      <c r="L93" s="72">
        <f t="shared" si="40"/>
        <v>30398.920108387276</v>
      </c>
      <c r="M93" s="72">
        <f t="shared" si="40"/>
        <v>31252.057631813368</v>
      </c>
      <c r="N93" s="72">
        <f t="shared" si="40"/>
        <v>5754.6735120669</v>
      </c>
      <c r="O93" s="72">
        <f t="shared" si="40"/>
        <v>20331.865219314524</v>
      </c>
      <c r="P93" s="72">
        <f t="shared" si="40"/>
        <v>23676.680101063102</v>
      </c>
      <c r="Q93" s="72">
        <f t="shared" si="40"/>
        <v>25227.625873929283</v>
      </c>
      <c r="R93" s="58"/>
    </row>
    <row r="94" spans="1:19" s="58" customFormat="1" ht="15.75" hidden="1" customHeight="1" outlineLevel="1" collapsed="1">
      <c r="A94" s="67"/>
      <c r="B94" s="85" t="s">
        <v>708</v>
      </c>
      <c r="C94" s="86" t="s">
        <v>95</v>
      </c>
      <c r="D94" s="87"/>
      <c r="E94" s="88"/>
      <c r="F94" s="88">
        <f t="shared" ref="F94:Q94" si="41">F93/F84%</f>
        <v>16.903176324550117</v>
      </c>
      <c r="G94" s="88">
        <f t="shared" si="41"/>
        <v>17.054869574999014</v>
      </c>
      <c r="H94" s="88">
        <f t="shared" si="41"/>
        <v>16.893621094998142</v>
      </c>
      <c r="I94" s="88">
        <f t="shared" si="41"/>
        <v>17.112544338610018</v>
      </c>
      <c r="J94" s="88">
        <f t="shared" si="41"/>
        <v>17.198283216932673</v>
      </c>
      <c r="K94" s="88">
        <f t="shared" si="41"/>
        <v>16.685102101793362</v>
      </c>
      <c r="L94" s="88">
        <f t="shared" si="41"/>
        <v>16.801518390210191</v>
      </c>
      <c r="M94" s="88">
        <f t="shared" si="41"/>
        <v>17.24153588699351</v>
      </c>
      <c r="N94" s="88">
        <f t="shared" si="41"/>
        <v>16.644816279537508</v>
      </c>
      <c r="O94" s="88">
        <f t="shared" si="41"/>
        <v>17.237066152765131</v>
      </c>
      <c r="P94" s="88">
        <f t="shared" si="41"/>
        <v>17.202713886407743</v>
      </c>
      <c r="Q94" s="88">
        <f t="shared" si="41"/>
        <v>17.444303825454028</v>
      </c>
    </row>
    <row r="95" spans="1:19" s="54" customFormat="1" ht="47.25" hidden="1" customHeight="1" outlineLevel="1">
      <c r="A95" s="111"/>
      <c r="B95" s="122"/>
      <c r="C95" s="123"/>
      <c r="D95" s="110"/>
      <c r="E95" s="110"/>
      <c r="F95" s="75"/>
      <c r="G95" s="70"/>
      <c r="H95" s="70"/>
      <c r="I95" s="70"/>
      <c r="J95" s="70"/>
      <c r="K95" s="70"/>
      <c r="L95" s="70"/>
      <c r="M95" s="70"/>
      <c r="N95" s="70"/>
      <c r="O95" s="70"/>
      <c r="P95" s="70"/>
      <c r="Q95" s="70"/>
      <c r="R95" s="58"/>
    </row>
    <row r="96" spans="1:19" s="99" customFormat="1" ht="15.75" hidden="1" customHeight="1" outlineLevel="1">
      <c r="A96" s="76">
        <v>4</v>
      </c>
      <c r="B96" s="121" t="s">
        <v>151</v>
      </c>
      <c r="C96" s="123" t="s">
        <v>119</v>
      </c>
      <c r="D96" s="105"/>
      <c r="E96" s="71">
        <f t="shared" ref="E96:Q96" si="42">E97+E98+E99+E100</f>
        <v>161191</v>
      </c>
      <c r="F96" s="71">
        <f t="shared" si="42"/>
        <v>12280</v>
      </c>
      <c r="G96" s="71">
        <f t="shared" si="42"/>
        <v>148911</v>
      </c>
      <c r="H96" s="71">
        <f t="shared" si="42"/>
        <v>5892</v>
      </c>
      <c r="I96" s="71">
        <f t="shared" si="42"/>
        <v>17401</v>
      </c>
      <c r="J96" s="71">
        <f t="shared" si="42"/>
        <v>11010</v>
      </c>
      <c r="K96" s="71">
        <f t="shared" si="42"/>
        <v>7525</v>
      </c>
      <c r="L96" s="71">
        <f t="shared" si="42"/>
        <v>28543</v>
      </c>
      <c r="M96" s="71">
        <f t="shared" si="42"/>
        <v>14793</v>
      </c>
      <c r="N96" s="71">
        <f t="shared" si="42"/>
        <v>6418</v>
      </c>
      <c r="O96" s="71">
        <f t="shared" si="42"/>
        <v>13735</v>
      </c>
      <c r="P96" s="71">
        <f t="shared" si="42"/>
        <v>17359</v>
      </c>
      <c r="Q96" s="71">
        <f t="shared" si="42"/>
        <v>26235</v>
      </c>
      <c r="R96" s="58"/>
    </row>
    <row r="97" spans="1:56" s="116" customFormat="1" ht="31.5" hidden="1" customHeight="1" outlineLevel="1">
      <c r="A97" s="111" t="s">
        <v>23</v>
      </c>
      <c r="B97" s="124" t="s">
        <v>152</v>
      </c>
      <c r="C97" s="123" t="s">
        <v>119</v>
      </c>
      <c r="D97" s="125"/>
      <c r="E97" s="110">
        <f>F97+G97</f>
        <v>28004</v>
      </c>
      <c r="F97" s="75">
        <v>10</v>
      </c>
      <c r="G97" s="70">
        <f>SUM(H97:Q97)</f>
        <v>27994</v>
      </c>
      <c r="H97" s="70">
        <v>1466</v>
      </c>
      <c r="I97" s="70">
        <v>3563</v>
      </c>
      <c r="J97" s="70">
        <v>3230</v>
      </c>
      <c r="K97" s="70">
        <v>1045</v>
      </c>
      <c r="L97" s="70">
        <v>4626</v>
      </c>
      <c r="M97" s="70">
        <v>3890</v>
      </c>
      <c r="N97" s="70">
        <v>874</v>
      </c>
      <c r="O97" s="70">
        <v>2755</v>
      </c>
      <c r="P97" s="70">
        <v>2897</v>
      </c>
      <c r="Q97" s="70">
        <v>3648</v>
      </c>
      <c r="R97" s="58"/>
      <c r="S97" s="126"/>
    </row>
    <row r="98" spans="1:56" s="116" customFormat="1" ht="31.5" hidden="1" customHeight="1" outlineLevel="1">
      <c r="A98" s="111" t="s">
        <v>23</v>
      </c>
      <c r="B98" s="124" t="s">
        <v>153</v>
      </c>
      <c r="C98" s="123" t="s">
        <v>119</v>
      </c>
      <c r="D98" s="125"/>
      <c r="E98" s="110">
        <f t="shared" ref="E98:E100" si="43">F98+G98</f>
        <v>7519</v>
      </c>
      <c r="F98" s="75">
        <v>1263</v>
      </c>
      <c r="G98" s="70">
        <f t="shared" ref="G98:G103" si="44">SUM(H98:Q98)</f>
        <v>6256</v>
      </c>
      <c r="H98" s="70">
        <v>573</v>
      </c>
      <c r="I98" s="70">
        <v>700</v>
      </c>
      <c r="J98" s="70">
        <v>192</v>
      </c>
      <c r="K98" s="70">
        <v>486</v>
      </c>
      <c r="L98" s="70">
        <v>1440</v>
      </c>
      <c r="M98" s="70">
        <v>790</v>
      </c>
      <c r="N98" s="70">
        <v>184</v>
      </c>
      <c r="O98" s="70">
        <v>1054</v>
      </c>
      <c r="P98" s="70">
        <v>503</v>
      </c>
      <c r="Q98" s="70">
        <v>334</v>
      </c>
      <c r="R98" s="58"/>
      <c r="S98" s="126"/>
    </row>
    <row r="99" spans="1:56" s="54" customFormat="1" ht="42.6" hidden="1" customHeight="1" outlineLevel="1">
      <c r="A99" s="111" t="s">
        <v>23</v>
      </c>
      <c r="B99" s="124" t="s">
        <v>154</v>
      </c>
      <c r="C99" s="123" t="s">
        <v>119</v>
      </c>
      <c r="D99" s="125"/>
      <c r="E99" s="110">
        <f t="shared" si="43"/>
        <v>95741</v>
      </c>
      <c r="F99" s="75">
        <v>8256</v>
      </c>
      <c r="G99" s="70">
        <f t="shared" si="44"/>
        <v>87485</v>
      </c>
      <c r="H99" s="70">
        <v>2200</v>
      </c>
      <c r="I99" s="70">
        <v>8500</v>
      </c>
      <c r="J99" s="70">
        <v>5200</v>
      </c>
      <c r="K99" s="70">
        <v>5000</v>
      </c>
      <c r="L99" s="70">
        <v>18200</v>
      </c>
      <c r="M99" s="70">
        <v>6100</v>
      </c>
      <c r="N99" s="70">
        <v>4300</v>
      </c>
      <c r="O99" s="70">
        <v>7200</v>
      </c>
      <c r="P99" s="70">
        <v>11950</v>
      </c>
      <c r="Q99" s="70">
        <v>18835</v>
      </c>
      <c r="R99" s="51"/>
      <c r="S99" s="126"/>
    </row>
    <row r="100" spans="1:56" s="54" customFormat="1" ht="42.6" hidden="1" customHeight="1" outlineLevel="1">
      <c r="A100" s="111" t="s">
        <v>23</v>
      </c>
      <c r="B100" s="124" t="s">
        <v>155</v>
      </c>
      <c r="C100" s="123" t="s">
        <v>119</v>
      </c>
      <c r="D100" s="125"/>
      <c r="E100" s="110">
        <f t="shared" si="43"/>
        <v>29927</v>
      </c>
      <c r="F100" s="75">
        <v>2751</v>
      </c>
      <c r="G100" s="70">
        <f t="shared" si="44"/>
        <v>27176</v>
      </c>
      <c r="H100" s="70">
        <v>1653</v>
      </c>
      <c r="I100" s="70">
        <v>4638</v>
      </c>
      <c r="J100" s="70">
        <v>2388</v>
      </c>
      <c r="K100" s="70">
        <v>994</v>
      </c>
      <c r="L100" s="70">
        <v>4277</v>
      </c>
      <c r="M100" s="70">
        <v>4013</v>
      </c>
      <c r="N100" s="70">
        <v>1060</v>
      </c>
      <c r="O100" s="70">
        <v>2726</v>
      </c>
      <c r="P100" s="70">
        <v>2009</v>
      </c>
      <c r="Q100" s="70">
        <v>3418</v>
      </c>
      <c r="R100" s="51"/>
      <c r="S100" s="126"/>
    </row>
    <row r="101" spans="1:56" s="58" customFormat="1" ht="31.2" collapsed="1">
      <c r="A101" s="76" t="s">
        <v>28</v>
      </c>
      <c r="B101" s="68" t="s">
        <v>156</v>
      </c>
      <c r="C101" s="98" t="s">
        <v>119</v>
      </c>
      <c r="D101" s="71"/>
      <c r="E101" s="72">
        <f>F101+G101</f>
        <v>78671</v>
      </c>
      <c r="F101" s="71">
        <v>72313</v>
      </c>
      <c r="G101" s="72">
        <f>SUM(H101:Q101)</f>
        <v>6358</v>
      </c>
      <c r="H101" s="72">
        <f>H105+H116+H120</f>
        <v>472</v>
      </c>
      <c r="I101" s="72">
        <f t="shared" ref="I101:Q101" si="45">I105+I116+I120</f>
        <v>778</v>
      </c>
      <c r="J101" s="72">
        <f t="shared" si="45"/>
        <v>478</v>
      </c>
      <c r="K101" s="72">
        <f t="shared" si="45"/>
        <v>293</v>
      </c>
      <c r="L101" s="72">
        <f t="shared" si="45"/>
        <v>847</v>
      </c>
      <c r="M101" s="72">
        <f t="shared" si="45"/>
        <v>897</v>
      </c>
      <c r="N101" s="72">
        <f t="shared" si="45"/>
        <v>418</v>
      </c>
      <c r="O101" s="72">
        <f t="shared" si="45"/>
        <v>790</v>
      </c>
      <c r="P101" s="72">
        <f t="shared" si="45"/>
        <v>670</v>
      </c>
      <c r="Q101" s="72">
        <f t="shared" si="45"/>
        <v>715</v>
      </c>
      <c r="R101" s="58">
        <f>G101-SUM(H101:Q101)</f>
        <v>0</v>
      </c>
      <c r="S101" s="127"/>
    </row>
    <row r="102" spans="1:56" ht="31.2">
      <c r="A102" s="73"/>
      <c r="B102" s="83" t="s">
        <v>120</v>
      </c>
      <c r="C102" s="69" t="s">
        <v>119</v>
      </c>
      <c r="D102" s="75"/>
      <c r="E102" s="110">
        <f>E103*1.3</f>
        <v>95347.199999999997</v>
      </c>
      <c r="F102" s="110">
        <f>F103*1.3</f>
        <v>72900.100000000006</v>
      </c>
      <c r="G102" s="70">
        <f t="shared" si="44"/>
        <v>22447.1</v>
      </c>
      <c r="H102" s="110">
        <f>H103*1.3</f>
        <v>1961.7</v>
      </c>
      <c r="I102" s="110">
        <f t="shared" ref="I102:Q102" si="46">I103*1.3</f>
        <v>3485.3</v>
      </c>
      <c r="J102" s="110">
        <f t="shared" si="46"/>
        <v>3766.1</v>
      </c>
      <c r="K102" s="110">
        <f t="shared" si="46"/>
        <v>2320.5</v>
      </c>
      <c r="L102" s="110">
        <f t="shared" si="46"/>
        <v>2059.2000000000003</v>
      </c>
      <c r="M102" s="110">
        <f t="shared" si="46"/>
        <v>1613.3</v>
      </c>
      <c r="N102" s="110">
        <f t="shared" si="46"/>
        <v>228.8</v>
      </c>
      <c r="O102" s="110">
        <f t="shared" si="46"/>
        <v>4235.4000000000005</v>
      </c>
      <c r="P102" s="110">
        <f t="shared" si="46"/>
        <v>1462.5</v>
      </c>
      <c r="Q102" s="110">
        <f t="shared" si="46"/>
        <v>1314.3</v>
      </c>
    </row>
    <row r="103" spans="1:56" s="132" customFormat="1" ht="15.75" customHeight="1">
      <c r="A103" s="128"/>
      <c r="B103" s="129" t="s">
        <v>157</v>
      </c>
      <c r="C103" s="130"/>
      <c r="D103" s="87"/>
      <c r="E103" s="87">
        <v>73344</v>
      </c>
      <c r="F103" s="87">
        <f>E103-G103</f>
        <v>56077</v>
      </c>
      <c r="G103" s="70">
        <f t="shared" si="44"/>
        <v>17267</v>
      </c>
      <c r="H103" s="131">
        <v>1509</v>
      </c>
      <c r="I103" s="131">
        <v>2681</v>
      </c>
      <c r="J103" s="131">
        <v>2897</v>
      </c>
      <c r="K103" s="131">
        <v>1785</v>
      </c>
      <c r="L103" s="131">
        <v>1584</v>
      </c>
      <c r="M103" s="131">
        <v>1241</v>
      </c>
      <c r="N103" s="131">
        <v>176</v>
      </c>
      <c r="O103" s="131">
        <v>3258</v>
      </c>
      <c r="P103" s="131">
        <v>1125</v>
      </c>
      <c r="Q103" s="131">
        <v>1011</v>
      </c>
    </row>
    <row r="104" spans="1:56" collapsed="1">
      <c r="A104" s="73"/>
      <c r="B104" s="85" t="s">
        <v>121</v>
      </c>
      <c r="C104" s="86" t="s">
        <v>95</v>
      </c>
      <c r="D104" s="87"/>
      <c r="E104" s="88">
        <f>E101/E102%</f>
        <v>82.510026513625988</v>
      </c>
      <c r="F104" s="88">
        <f>F101/F102%</f>
        <v>99.19465131049202</v>
      </c>
      <c r="G104" s="88">
        <f>G101/G102%</f>
        <v>28.324371522379288</v>
      </c>
      <c r="H104" s="88">
        <f t="shared" ref="H104:Q104" si="47">H101/H102%</f>
        <v>24.060763623387878</v>
      </c>
      <c r="I104" s="88">
        <f t="shared" si="47"/>
        <v>22.322325194387858</v>
      </c>
      <c r="J104" s="88">
        <f t="shared" si="47"/>
        <v>12.692174928971614</v>
      </c>
      <c r="K104" s="88">
        <f t="shared" si="47"/>
        <v>12.626589097177334</v>
      </c>
      <c r="L104" s="88">
        <f t="shared" si="47"/>
        <v>41.13247863247863</v>
      </c>
      <c r="M104" s="88">
        <f t="shared" si="47"/>
        <v>55.600322320709111</v>
      </c>
      <c r="N104" s="88">
        <f t="shared" si="47"/>
        <v>182.69230769230768</v>
      </c>
      <c r="O104" s="88">
        <f t="shared" si="47"/>
        <v>18.652311469991027</v>
      </c>
      <c r="P104" s="88">
        <f t="shared" si="47"/>
        <v>45.811965811965813</v>
      </c>
      <c r="Q104" s="88">
        <f t="shared" si="47"/>
        <v>54.401582591493572</v>
      </c>
      <c r="S104" s="51">
        <v>0</v>
      </c>
      <c r="T104" s="51">
        <v>0</v>
      </c>
      <c r="V104" s="51">
        <v>1060</v>
      </c>
      <c r="W104" s="51">
        <v>100</v>
      </c>
      <c r="X104" s="51">
        <v>1060</v>
      </c>
      <c r="Y104" s="51">
        <v>100</v>
      </c>
      <c r="Z104" s="51">
        <v>0</v>
      </c>
      <c r="AA104" s="51">
        <v>0</v>
      </c>
      <c r="AB104" s="51">
        <v>1071</v>
      </c>
      <c r="AC104" s="51">
        <v>1071</v>
      </c>
      <c r="AD104" s="51">
        <v>101.0377358490566</v>
      </c>
      <c r="AE104" s="51">
        <v>1071</v>
      </c>
      <c r="AF104" s="51">
        <v>101.0377358490566</v>
      </c>
      <c r="AG104" s="51">
        <v>0</v>
      </c>
      <c r="AH104" s="51">
        <v>0</v>
      </c>
      <c r="AI104" s="51">
        <v>0</v>
      </c>
      <c r="AJ104" s="51">
        <v>0</v>
      </c>
      <c r="AK104" s="51">
        <v>0</v>
      </c>
      <c r="AL104" s="51">
        <v>0</v>
      </c>
      <c r="AM104" s="51">
        <v>0</v>
      </c>
      <c r="AP104" s="51">
        <v>0</v>
      </c>
      <c r="AQ104" s="51">
        <v>0</v>
      </c>
      <c r="AR104" s="51">
        <v>0</v>
      </c>
      <c r="AS104" s="51">
        <v>0</v>
      </c>
      <c r="AT104" s="51">
        <v>0</v>
      </c>
      <c r="AU104" s="51">
        <v>0</v>
      </c>
      <c r="AV104" s="51">
        <v>0</v>
      </c>
      <c r="AW104" s="51">
        <v>2821</v>
      </c>
      <c r="AX104" s="51">
        <v>250</v>
      </c>
      <c r="AY104" s="51">
        <v>100</v>
      </c>
      <c r="AZ104" s="51">
        <v>250</v>
      </c>
      <c r="BA104" s="51">
        <v>100</v>
      </c>
      <c r="BB104" s="51">
        <v>0</v>
      </c>
      <c r="BC104" s="51">
        <v>0</v>
      </c>
      <c r="BD104" s="51">
        <v>0</v>
      </c>
    </row>
    <row r="105" spans="1:56" ht="31.5" hidden="1" customHeight="1" outlineLevel="1">
      <c r="A105" s="76" t="s">
        <v>18</v>
      </c>
      <c r="B105" s="97" t="s">
        <v>158</v>
      </c>
      <c r="C105" s="98" t="s">
        <v>119</v>
      </c>
      <c r="D105" s="71"/>
      <c r="E105" s="133"/>
      <c r="F105" s="75"/>
      <c r="G105" s="72">
        <f t="shared" ref="G105:Q105" si="48">SUM(G106:G109)</f>
        <v>5468</v>
      </c>
      <c r="H105" s="72">
        <f t="shared" si="48"/>
        <v>370</v>
      </c>
      <c r="I105" s="72">
        <f t="shared" si="48"/>
        <v>713</v>
      </c>
      <c r="J105" s="72">
        <f t="shared" si="48"/>
        <v>424</v>
      </c>
      <c r="K105" s="72">
        <f t="shared" si="48"/>
        <v>155</v>
      </c>
      <c r="L105" s="72">
        <f t="shared" si="48"/>
        <v>782</v>
      </c>
      <c r="M105" s="72">
        <f t="shared" si="48"/>
        <v>857</v>
      </c>
      <c r="N105" s="72">
        <f t="shared" si="48"/>
        <v>393</v>
      </c>
      <c r="O105" s="72">
        <f t="shared" si="48"/>
        <v>543</v>
      </c>
      <c r="P105" s="72">
        <f t="shared" si="48"/>
        <v>547</v>
      </c>
      <c r="Q105" s="72">
        <f t="shared" si="48"/>
        <v>684</v>
      </c>
      <c r="R105" s="58">
        <f>G105-SUM(H105:Q105)</f>
        <v>0</v>
      </c>
    </row>
    <row r="106" spans="1:56" s="116" customFormat="1" ht="31.5" hidden="1" customHeight="1" outlineLevel="1">
      <c r="A106" s="73"/>
      <c r="B106" s="74" t="s">
        <v>128</v>
      </c>
      <c r="C106" s="100" t="s">
        <v>129</v>
      </c>
      <c r="D106" s="70">
        <v>1499</v>
      </c>
      <c r="E106" s="70"/>
      <c r="F106" s="70"/>
      <c r="G106" s="70">
        <f t="shared" ref="G106" si="49">SUM(H106:Q106)</f>
        <v>210</v>
      </c>
      <c r="H106" s="70">
        <f t="shared" ref="H106:Q109" si="50">IF(H$27=0,ROUND(H23*$D106/1000000,0),ROUND(H23*$D106/1000000*(1+H$27/100),0))</f>
        <v>149</v>
      </c>
      <c r="I106" s="70">
        <f t="shared" si="50"/>
        <v>16</v>
      </c>
      <c r="J106" s="70">
        <f t="shared" si="50"/>
        <v>14</v>
      </c>
      <c r="K106" s="70">
        <f t="shared" si="50"/>
        <v>18</v>
      </c>
      <c r="L106" s="70">
        <f t="shared" si="50"/>
        <v>0</v>
      </c>
      <c r="M106" s="70">
        <f t="shared" si="50"/>
        <v>8</v>
      </c>
      <c r="N106" s="70">
        <f t="shared" si="50"/>
        <v>0</v>
      </c>
      <c r="O106" s="70">
        <f t="shared" si="50"/>
        <v>0</v>
      </c>
      <c r="P106" s="70">
        <f t="shared" si="50"/>
        <v>5</v>
      </c>
      <c r="Q106" s="70">
        <f t="shared" si="50"/>
        <v>0</v>
      </c>
      <c r="R106" s="51"/>
    </row>
    <row r="107" spans="1:56" s="116" customFormat="1" ht="31.5" hidden="1" customHeight="1" outlineLevel="1">
      <c r="A107" s="73"/>
      <c r="B107" s="74" t="s">
        <v>130</v>
      </c>
      <c r="C107" s="100" t="s">
        <v>129</v>
      </c>
      <c r="D107" s="70">
        <v>1749</v>
      </c>
      <c r="E107" s="70"/>
      <c r="F107" s="70"/>
      <c r="G107" s="70">
        <f t="shared" ref="G107:G116" si="51">SUM(H107:Q107)</f>
        <v>127</v>
      </c>
      <c r="H107" s="70">
        <f t="shared" si="50"/>
        <v>0</v>
      </c>
      <c r="I107" s="70">
        <f t="shared" si="50"/>
        <v>27</v>
      </c>
      <c r="J107" s="70">
        <f t="shared" si="50"/>
        <v>18</v>
      </c>
      <c r="K107" s="70">
        <f t="shared" si="50"/>
        <v>46</v>
      </c>
      <c r="L107" s="70">
        <f t="shared" si="50"/>
        <v>18</v>
      </c>
      <c r="M107" s="70">
        <f t="shared" si="50"/>
        <v>7</v>
      </c>
      <c r="N107" s="70">
        <f t="shared" si="50"/>
        <v>0</v>
      </c>
      <c r="O107" s="70">
        <f t="shared" si="50"/>
        <v>11</v>
      </c>
      <c r="P107" s="70">
        <f t="shared" si="50"/>
        <v>0</v>
      </c>
      <c r="Q107" s="70">
        <f t="shared" si="50"/>
        <v>0</v>
      </c>
      <c r="R107" s="51"/>
    </row>
    <row r="108" spans="1:56" s="116" customFormat="1" ht="31.5" hidden="1" customHeight="1" outlineLevel="1">
      <c r="A108" s="73"/>
      <c r="B108" s="74" t="s">
        <v>131</v>
      </c>
      <c r="C108" s="100" t="s">
        <v>129</v>
      </c>
      <c r="D108" s="70">
        <v>34510</v>
      </c>
      <c r="E108" s="70"/>
      <c r="F108" s="70"/>
      <c r="G108" s="70">
        <f t="shared" si="51"/>
        <v>5108</v>
      </c>
      <c r="H108" s="70">
        <f t="shared" si="50"/>
        <v>205</v>
      </c>
      <c r="I108" s="70">
        <f t="shared" si="50"/>
        <v>666</v>
      </c>
      <c r="J108" s="70">
        <f t="shared" si="50"/>
        <v>392</v>
      </c>
      <c r="K108" s="70">
        <f t="shared" si="50"/>
        <v>91</v>
      </c>
      <c r="L108" s="70">
        <f t="shared" si="50"/>
        <v>764</v>
      </c>
      <c r="M108" s="70">
        <f t="shared" si="50"/>
        <v>842</v>
      </c>
      <c r="N108" s="70">
        <f t="shared" si="50"/>
        <v>393</v>
      </c>
      <c r="O108" s="70">
        <f t="shared" si="50"/>
        <v>532</v>
      </c>
      <c r="P108" s="70">
        <f t="shared" si="50"/>
        <v>539</v>
      </c>
      <c r="Q108" s="70">
        <f t="shared" si="50"/>
        <v>684</v>
      </c>
      <c r="R108" s="51"/>
    </row>
    <row r="109" spans="1:56" s="116" customFormat="1" ht="31.5" hidden="1" customHeight="1" outlineLevel="1">
      <c r="A109" s="73"/>
      <c r="B109" s="74" t="s">
        <v>132</v>
      </c>
      <c r="C109" s="100" t="s">
        <v>129</v>
      </c>
      <c r="D109" s="70">
        <v>2499</v>
      </c>
      <c r="E109" s="70"/>
      <c r="F109" s="70"/>
      <c r="G109" s="70">
        <f t="shared" si="51"/>
        <v>23</v>
      </c>
      <c r="H109" s="70">
        <f t="shared" si="50"/>
        <v>16</v>
      </c>
      <c r="I109" s="70">
        <f t="shared" si="50"/>
        <v>4</v>
      </c>
      <c r="J109" s="70">
        <f t="shared" si="50"/>
        <v>0</v>
      </c>
      <c r="K109" s="70">
        <f t="shared" si="50"/>
        <v>0</v>
      </c>
      <c r="L109" s="70">
        <f t="shared" si="50"/>
        <v>0</v>
      </c>
      <c r="M109" s="70">
        <f t="shared" si="50"/>
        <v>0</v>
      </c>
      <c r="N109" s="70">
        <f t="shared" si="50"/>
        <v>0</v>
      </c>
      <c r="O109" s="70">
        <f t="shared" si="50"/>
        <v>0</v>
      </c>
      <c r="P109" s="70">
        <f t="shared" si="50"/>
        <v>3</v>
      </c>
      <c r="Q109" s="70">
        <f t="shared" si="50"/>
        <v>0</v>
      </c>
      <c r="R109" s="51"/>
    </row>
    <row r="110" spans="1:56" s="96" customFormat="1" ht="15.75" hidden="1" customHeight="1" outlineLevel="1">
      <c r="A110" s="76" t="s">
        <v>26</v>
      </c>
      <c r="B110" s="97" t="s">
        <v>159</v>
      </c>
      <c r="C110" s="98" t="s">
        <v>119</v>
      </c>
      <c r="D110" s="71"/>
      <c r="E110" s="71"/>
      <c r="F110" s="71"/>
      <c r="G110" s="70">
        <f t="shared" si="51"/>
        <v>2949.9415648639997</v>
      </c>
      <c r="H110" s="71">
        <f>(H112+H113+H114)*1.49*12*H111</f>
        <v>234.379086</v>
      </c>
      <c r="I110" s="71">
        <f t="shared" ref="I110:Q110" si="52">(I112+I113+I114)*1.49*12*I111</f>
        <v>225.28800000000001</v>
      </c>
      <c r="J110" s="71">
        <f t="shared" si="52"/>
        <v>343.08703286399998</v>
      </c>
      <c r="K110" s="71">
        <f t="shared" si="52"/>
        <v>207.58679999999998</v>
      </c>
      <c r="L110" s="71">
        <f t="shared" si="52"/>
        <v>394.02787760000001</v>
      </c>
      <c r="M110" s="71">
        <f t="shared" si="52"/>
        <v>207.42588000000001</v>
      </c>
      <c r="N110" s="71">
        <f t="shared" si="52"/>
        <v>0</v>
      </c>
      <c r="O110" s="71">
        <f t="shared" si="52"/>
        <v>627.23039999999992</v>
      </c>
      <c r="P110" s="71">
        <f t="shared" si="52"/>
        <v>519.24735839999994</v>
      </c>
      <c r="Q110" s="71">
        <f t="shared" si="52"/>
        <v>191.66913</v>
      </c>
      <c r="R110" s="58">
        <f>G110-SUM(H110:Q110)</f>
        <v>0</v>
      </c>
    </row>
    <row r="111" spans="1:56" s="116" customFormat="1" ht="15.75" hidden="1" customHeight="1" outlineLevel="1">
      <c r="A111" s="73" t="s">
        <v>23</v>
      </c>
      <c r="B111" s="134" t="s">
        <v>160</v>
      </c>
      <c r="C111" s="123" t="s">
        <v>85</v>
      </c>
      <c r="D111" s="75"/>
      <c r="E111" s="75"/>
      <c r="F111" s="75"/>
      <c r="G111" s="70">
        <f t="shared" si="51"/>
        <v>27</v>
      </c>
      <c r="H111" s="75">
        <v>2</v>
      </c>
      <c r="I111" s="75">
        <v>3</v>
      </c>
      <c r="J111" s="75">
        <v>2</v>
      </c>
      <c r="K111" s="75">
        <v>2</v>
      </c>
      <c r="L111" s="75">
        <v>4</v>
      </c>
      <c r="M111" s="75">
        <v>3</v>
      </c>
      <c r="N111" s="75"/>
      <c r="O111" s="75">
        <v>4</v>
      </c>
      <c r="P111" s="75">
        <v>4</v>
      </c>
      <c r="Q111" s="75">
        <v>3</v>
      </c>
      <c r="R111" s="58"/>
    </row>
    <row r="112" spans="1:56" s="116" customFormat="1" ht="15.75" hidden="1" customHeight="1" outlineLevel="1">
      <c r="A112" s="73" t="s">
        <v>23</v>
      </c>
      <c r="B112" s="112" t="s">
        <v>161</v>
      </c>
      <c r="C112" s="113" t="s">
        <v>138</v>
      </c>
      <c r="D112" s="75"/>
      <c r="E112" s="75"/>
      <c r="F112" s="75"/>
      <c r="G112" s="70">
        <f t="shared" si="51"/>
        <v>30.577499999999997</v>
      </c>
      <c r="H112" s="135">
        <v>4.21</v>
      </c>
      <c r="I112" s="135">
        <v>3.03</v>
      </c>
      <c r="J112" s="135">
        <v>4.6500000000000004</v>
      </c>
      <c r="K112" s="135">
        <v>3.3650000000000002</v>
      </c>
      <c r="L112" s="135">
        <v>3.54</v>
      </c>
      <c r="M112" s="135">
        <v>2.4</v>
      </c>
      <c r="N112" s="135"/>
      <c r="O112" s="135">
        <v>3.51</v>
      </c>
      <c r="P112" s="135">
        <v>4.0724999999999998</v>
      </c>
      <c r="Q112" s="135">
        <v>1.8</v>
      </c>
      <c r="R112" s="96"/>
    </row>
    <row r="113" spans="1:18" s="116" customFormat="1" ht="15.75" hidden="1" customHeight="1" outlineLevel="1">
      <c r="A113" s="73" t="s">
        <v>23</v>
      </c>
      <c r="B113" s="112" t="s">
        <v>162</v>
      </c>
      <c r="C113" s="113" t="s">
        <v>138</v>
      </c>
      <c r="D113" s="75"/>
      <c r="E113" s="75"/>
      <c r="F113" s="75"/>
      <c r="G113" s="70">
        <f t="shared" si="51"/>
        <v>16.829684</v>
      </c>
      <c r="H113" s="135">
        <v>1.3255000000000001</v>
      </c>
      <c r="I113" s="135">
        <v>0.43</v>
      </c>
      <c r="J113" s="135">
        <v>3.5611839999999999</v>
      </c>
      <c r="K113" s="135">
        <v>1.64</v>
      </c>
      <c r="L113" s="135">
        <v>1.0533333333333335</v>
      </c>
      <c r="M113" s="135">
        <v>0.88700000000000001</v>
      </c>
      <c r="N113" s="135"/>
      <c r="O113" s="135">
        <v>4.43</v>
      </c>
      <c r="P113" s="135">
        <v>2.1719999999999997</v>
      </c>
      <c r="Q113" s="135">
        <v>1.3306666666666667</v>
      </c>
      <c r="R113" s="96"/>
    </row>
    <row r="114" spans="1:18" s="116" customFormat="1" ht="15.75" hidden="1" customHeight="1" outlineLevel="1">
      <c r="A114" s="73" t="s">
        <v>23</v>
      </c>
      <c r="B114" s="112" t="s">
        <v>163</v>
      </c>
      <c r="C114" s="113" t="s">
        <v>138</v>
      </c>
      <c r="D114" s="75"/>
      <c r="E114" s="75"/>
      <c r="F114" s="75"/>
      <c r="G114" s="70">
        <f t="shared" si="51"/>
        <v>7.7259557333333335</v>
      </c>
      <c r="H114" s="135">
        <v>1.0187249999999999</v>
      </c>
      <c r="I114" s="135">
        <v>0.74</v>
      </c>
      <c r="J114" s="135">
        <v>1.3829724000000001</v>
      </c>
      <c r="K114" s="135">
        <v>0.8</v>
      </c>
      <c r="L114" s="135">
        <v>0.91600500000000007</v>
      </c>
      <c r="M114" s="135">
        <v>0.57999999999999996</v>
      </c>
      <c r="N114" s="135"/>
      <c r="O114" s="135">
        <v>0.83</v>
      </c>
      <c r="P114" s="135">
        <v>1.0156699999999999</v>
      </c>
      <c r="Q114" s="135">
        <v>0.44258333333333333</v>
      </c>
      <c r="R114" s="96"/>
    </row>
    <row r="115" spans="1:18" s="116" customFormat="1" ht="15.75" hidden="1" customHeight="1" outlineLevel="1">
      <c r="A115" s="73" t="s">
        <v>23</v>
      </c>
      <c r="B115" s="112" t="s">
        <v>164</v>
      </c>
      <c r="C115" s="113" t="s">
        <v>119</v>
      </c>
      <c r="D115" s="75"/>
      <c r="E115" s="75"/>
      <c r="F115" s="75"/>
      <c r="G115" s="70">
        <f t="shared" si="51"/>
        <v>0</v>
      </c>
      <c r="H115" s="75"/>
      <c r="I115" s="75"/>
      <c r="J115" s="75"/>
      <c r="K115" s="75"/>
      <c r="L115" s="75"/>
      <c r="M115" s="75"/>
      <c r="N115" s="75"/>
      <c r="O115" s="75"/>
      <c r="P115" s="75"/>
      <c r="Q115" s="75"/>
      <c r="R115" s="96"/>
    </row>
    <row r="116" spans="1:18" s="99" customFormat="1" ht="15.75" hidden="1" customHeight="1" outlineLevel="1">
      <c r="A116" s="101">
        <v>3</v>
      </c>
      <c r="B116" s="102" t="s">
        <v>348</v>
      </c>
      <c r="C116" s="103" t="s">
        <v>119</v>
      </c>
      <c r="D116" s="104"/>
      <c r="E116" s="72"/>
      <c r="F116" s="72"/>
      <c r="G116" s="72">
        <f t="shared" si="51"/>
        <v>367</v>
      </c>
      <c r="H116" s="72">
        <f t="shared" ref="H116:Q116" si="53">H119</f>
        <v>0</v>
      </c>
      <c r="I116" s="72">
        <f t="shared" si="53"/>
        <v>0</v>
      </c>
      <c r="J116" s="72">
        <f t="shared" si="53"/>
        <v>0</v>
      </c>
      <c r="K116" s="72">
        <f t="shared" si="53"/>
        <v>92</v>
      </c>
      <c r="L116" s="72">
        <f t="shared" si="53"/>
        <v>0</v>
      </c>
      <c r="M116" s="72">
        <f t="shared" si="53"/>
        <v>0</v>
      </c>
      <c r="N116" s="72">
        <f t="shared" si="53"/>
        <v>0</v>
      </c>
      <c r="O116" s="72">
        <f t="shared" si="53"/>
        <v>204</v>
      </c>
      <c r="P116" s="72">
        <f t="shared" si="53"/>
        <v>71</v>
      </c>
      <c r="Q116" s="72">
        <f t="shared" si="53"/>
        <v>0</v>
      </c>
      <c r="R116" s="58">
        <f>G116-SUM(H116:Q116)</f>
        <v>0</v>
      </c>
    </row>
    <row r="117" spans="1:18" s="116" customFormat="1" ht="15.75" hidden="1" customHeight="1" outlineLevel="1">
      <c r="A117" s="73"/>
      <c r="B117" s="74" t="s">
        <v>165</v>
      </c>
      <c r="C117" s="100" t="s">
        <v>119</v>
      </c>
      <c r="D117" s="119"/>
      <c r="E117" s="110"/>
      <c r="F117" s="70"/>
      <c r="G117" s="70">
        <f>G110</f>
        <v>2949.9415648639997</v>
      </c>
      <c r="H117" s="70">
        <f t="shared" ref="H117:Q117" si="54">H110</f>
        <v>234.379086</v>
      </c>
      <c r="I117" s="70">
        <f t="shared" si="54"/>
        <v>225.28800000000001</v>
      </c>
      <c r="J117" s="70">
        <f t="shared" si="54"/>
        <v>343.08703286399998</v>
      </c>
      <c r="K117" s="70">
        <f t="shared" si="54"/>
        <v>207.58679999999998</v>
      </c>
      <c r="L117" s="70">
        <f t="shared" si="54"/>
        <v>394.02787760000001</v>
      </c>
      <c r="M117" s="70">
        <f t="shared" si="54"/>
        <v>207.42588000000001</v>
      </c>
      <c r="N117" s="70">
        <f t="shared" si="54"/>
        <v>0</v>
      </c>
      <c r="O117" s="70">
        <f t="shared" si="54"/>
        <v>627.23039999999992</v>
      </c>
      <c r="P117" s="70">
        <f t="shared" si="54"/>
        <v>519.24735839999994</v>
      </c>
      <c r="Q117" s="70">
        <f t="shared" si="54"/>
        <v>191.66913</v>
      </c>
      <c r="R117" s="96"/>
    </row>
    <row r="118" spans="1:18" s="116" customFormat="1" ht="15.75" hidden="1" customHeight="1" outlineLevel="1">
      <c r="A118" s="73"/>
      <c r="B118" s="74" t="s">
        <v>351</v>
      </c>
      <c r="C118" s="100" t="s">
        <v>119</v>
      </c>
      <c r="D118" s="119"/>
      <c r="E118" s="110"/>
      <c r="F118" s="70"/>
      <c r="G118" s="70">
        <f>SUM(H118:Q118)</f>
        <v>3430.1646103069766</v>
      </c>
      <c r="H118" s="70">
        <f>H117/86%</f>
        <v>272.53382093023254</v>
      </c>
      <c r="I118" s="70">
        <f t="shared" ref="I118:Q118" si="55">I117/86%</f>
        <v>261.96279069767445</v>
      </c>
      <c r="J118" s="70">
        <f t="shared" si="55"/>
        <v>398.93841030697672</v>
      </c>
      <c r="K118" s="70">
        <f t="shared" si="55"/>
        <v>241.38</v>
      </c>
      <c r="L118" s="70">
        <f t="shared" si="55"/>
        <v>458.17195069767445</v>
      </c>
      <c r="M118" s="70">
        <f t="shared" si="55"/>
        <v>241.19288372093024</v>
      </c>
      <c r="N118" s="70">
        <f t="shared" si="55"/>
        <v>0</v>
      </c>
      <c r="O118" s="70">
        <f t="shared" si="55"/>
        <v>729.33767441860459</v>
      </c>
      <c r="P118" s="70">
        <f t="shared" si="55"/>
        <v>603.77599813953486</v>
      </c>
      <c r="Q118" s="70">
        <f t="shared" si="55"/>
        <v>222.87108139534882</v>
      </c>
      <c r="R118" s="96"/>
    </row>
    <row r="119" spans="1:18" s="116" customFormat="1" ht="15.75" hidden="1" customHeight="1" outlineLevel="1">
      <c r="A119" s="73"/>
      <c r="B119" s="74" t="s">
        <v>349</v>
      </c>
      <c r="C119" s="100" t="s">
        <v>119</v>
      </c>
      <c r="D119" s="119"/>
      <c r="E119" s="110"/>
      <c r="F119" s="70"/>
      <c r="G119" s="70">
        <f>SUM(H119:Q119)</f>
        <v>367</v>
      </c>
      <c r="H119" s="70">
        <f>IF(H110&lt;H105*84%,0,ROUND(H110/84%-H105,0))</f>
        <v>0</v>
      </c>
      <c r="I119" s="70">
        <f t="shared" ref="I119:Q119" si="56">IF(I110&lt;I105*84%,0,ROUND(I110/84%-I105,0))</f>
        <v>0</v>
      </c>
      <c r="J119" s="70">
        <f t="shared" si="56"/>
        <v>0</v>
      </c>
      <c r="K119" s="70">
        <f t="shared" si="56"/>
        <v>92</v>
      </c>
      <c r="L119" s="70">
        <f t="shared" si="56"/>
        <v>0</v>
      </c>
      <c r="M119" s="70">
        <f t="shared" si="56"/>
        <v>0</v>
      </c>
      <c r="N119" s="70">
        <f t="shared" si="56"/>
        <v>0</v>
      </c>
      <c r="O119" s="70">
        <f t="shared" si="56"/>
        <v>204</v>
      </c>
      <c r="P119" s="70">
        <f t="shared" si="56"/>
        <v>71</v>
      </c>
      <c r="Q119" s="70">
        <f t="shared" si="56"/>
        <v>0</v>
      </c>
      <c r="R119" s="96"/>
    </row>
    <row r="120" spans="1:18" s="58" customFormat="1" ht="15.75" hidden="1" customHeight="1" outlineLevel="1" collapsed="1">
      <c r="A120" s="76" t="s">
        <v>73</v>
      </c>
      <c r="B120" s="68" t="s">
        <v>709</v>
      </c>
      <c r="C120" s="77"/>
      <c r="D120" s="71"/>
      <c r="E120" s="71"/>
      <c r="F120" s="71"/>
      <c r="G120" s="72">
        <f>G121</f>
        <v>523</v>
      </c>
      <c r="H120" s="72">
        <f t="shared" ref="H120:Q120" si="57">H121</f>
        <v>102</v>
      </c>
      <c r="I120" s="72">
        <f t="shared" si="57"/>
        <v>65</v>
      </c>
      <c r="J120" s="72">
        <f t="shared" si="57"/>
        <v>54</v>
      </c>
      <c r="K120" s="72">
        <f t="shared" si="57"/>
        <v>46</v>
      </c>
      <c r="L120" s="72">
        <f t="shared" si="57"/>
        <v>65</v>
      </c>
      <c r="M120" s="72">
        <f t="shared" si="57"/>
        <v>40</v>
      </c>
      <c r="N120" s="72">
        <f t="shared" si="57"/>
        <v>25</v>
      </c>
      <c r="O120" s="72">
        <f t="shared" si="57"/>
        <v>43</v>
      </c>
      <c r="P120" s="72">
        <f t="shared" si="57"/>
        <v>52</v>
      </c>
      <c r="Q120" s="72">
        <f t="shared" si="57"/>
        <v>31</v>
      </c>
    </row>
    <row r="121" spans="1:18" s="116" customFormat="1" ht="47.25" hidden="1" customHeight="1" outlineLevel="1">
      <c r="A121" s="208" t="s">
        <v>26</v>
      </c>
      <c r="B121" s="224" t="s">
        <v>710</v>
      </c>
      <c r="C121" s="225"/>
      <c r="D121" s="211"/>
      <c r="E121" s="211"/>
      <c r="F121" s="211"/>
      <c r="G121" s="212">
        <f>SUM(H121:Q121)</f>
        <v>523</v>
      </c>
      <c r="H121" s="211">
        <v>102</v>
      </c>
      <c r="I121" s="211">
        <v>65</v>
      </c>
      <c r="J121" s="211">
        <v>54</v>
      </c>
      <c r="K121" s="211">
        <v>46</v>
      </c>
      <c r="L121" s="211">
        <v>65</v>
      </c>
      <c r="M121" s="211">
        <v>40</v>
      </c>
      <c r="N121" s="211">
        <v>25</v>
      </c>
      <c r="O121" s="211">
        <v>43</v>
      </c>
      <c r="P121" s="211">
        <v>52</v>
      </c>
      <c r="Q121" s="211">
        <v>31</v>
      </c>
      <c r="R121" s="177"/>
    </row>
    <row r="122" spans="1:18" s="58" customFormat="1" ht="31.2" collapsed="1">
      <c r="A122" s="76" t="s">
        <v>91</v>
      </c>
      <c r="B122" s="68" t="s">
        <v>166</v>
      </c>
      <c r="C122" s="77" t="s">
        <v>119</v>
      </c>
      <c r="D122" s="71"/>
      <c r="E122" s="71">
        <f>F122+G122</f>
        <v>513115</v>
      </c>
      <c r="F122" s="71">
        <v>504764</v>
      </c>
      <c r="G122" s="72">
        <f t="shared" ref="G122:Q122" si="58">G127+G128</f>
        <v>8351</v>
      </c>
      <c r="H122" s="72">
        <f t="shared" si="58"/>
        <v>3207</v>
      </c>
      <c r="I122" s="72">
        <f t="shared" si="58"/>
        <v>1285</v>
      </c>
      <c r="J122" s="72">
        <f t="shared" si="58"/>
        <v>865</v>
      </c>
      <c r="K122" s="72">
        <f t="shared" si="58"/>
        <v>934</v>
      </c>
      <c r="L122" s="72">
        <f t="shared" si="58"/>
        <v>507</v>
      </c>
      <c r="M122" s="72">
        <f t="shared" si="58"/>
        <v>941</v>
      </c>
      <c r="N122" s="72">
        <f t="shared" si="58"/>
        <v>10</v>
      </c>
      <c r="O122" s="72">
        <f t="shared" si="58"/>
        <v>187</v>
      </c>
      <c r="P122" s="72">
        <f t="shared" si="58"/>
        <v>405</v>
      </c>
      <c r="Q122" s="72">
        <f t="shared" si="58"/>
        <v>10</v>
      </c>
      <c r="R122" s="58">
        <f>G122-SUM(H122:Q122)</f>
        <v>0</v>
      </c>
    </row>
    <row r="123" spans="1:18" ht="31.2">
      <c r="A123" s="73"/>
      <c r="B123" s="83" t="s">
        <v>120</v>
      </c>
      <c r="C123" s="69" t="s">
        <v>119</v>
      </c>
      <c r="D123" s="75"/>
      <c r="E123" s="75">
        <v>555020.4</v>
      </c>
      <c r="F123" s="75">
        <v>545483</v>
      </c>
      <c r="G123" s="70">
        <f>SUM(H123:Q123)</f>
        <v>9537.4</v>
      </c>
      <c r="H123" s="70">
        <v>3191</v>
      </c>
      <c r="I123" s="70">
        <v>1589</v>
      </c>
      <c r="J123" s="70">
        <v>1403.4</v>
      </c>
      <c r="K123" s="70">
        <v>935</v>
      </c>
      <c r="L123" s="70">
        <v>849</v>
      </c>
      <c r="M123" s="70">
        <v>942</v>
      </c>
      <c r="N123" s="70">
        <v>10</v>
      </c>
      <c r="O123" s="70">
        <v>187</v>
      </c>
      <c r="P123" s="70">
        <v>426</v>
      </c>
      <c r="Q123" s="70">
        <v>5</v>
      </c>
      <c r="R123" s="58"/>
    </row>
    <row r="124" spans="1:18">
      <c r="A124" s="73"/>
      <c r="B124" s="85" t="s">
        <v>121</v>
      </c>
      <c r="C124" s="86" t="s">
        <v>95</v>
      </c>
      <c r="D124" s="87"/>
      <c r="E124" s="88">
        <f>E122/E123%</f>
        <v>92.449754999996387</v>
      </c>
      <c r="F124" s="88">
        <f>F122/F123%</f>
        <v>92.535239411677352</v>
      </c>
      <c r="G124" s="88">
        <f>G122/G123%</f>
        <v>87.560551093589453</v>
      </c>
      <c r="H124" s="88">
        <f t="shared" ref="H124:Q124" si="59">H122/H123%</f>
        <v>100.50141021623315</v>
      </c>
      <c r="I124" s="88">
        <f t="shared" si="59"/>
        <v>80.868470736312148</v>
      </c>
      <c r="J124" s="88">
        <f t="shared" si="59"/>
        <v>61.636026792076386</v>
      </c>
      <c r="K124" s="88">
        <f t="shared" si="59"/>
        <v>99.893048128342244</v>
      </c>
      <c r="L124" s="88">
        <f t="shared" si="59"/>
        <v>59.717314487632507</v>
      </c>
      <c r="M124" s="88">
        <f t="shared" si="59"/>
        <v>99.893842887473468</v>
      </c>
      <c r="N124" s="88">
        <f t="shared" si="59"/>
        <v>100</v>
      </c>
      <c r="O124" s="88">
        <f t="shared" si="59"/>
        <v>100</v>
      </c>
      <c r="P124" s="88">
        <f t="shared" si="59"/>
        <v>95.070422535211279</v>
      </c>
      <c r="Q124" s="88">
        <f t="shared" si="59"/>
        <v>200</v>
      </c>
      <c r="R124" s="58"/>
    </row>
    <row r="125" spans="1:18" s="58" customFormat="1" ht="15.75" hidden="1" customHeight="1" outlineLevel="1">
      <c r="A125" s="76" t="s">
        <v>18</v>
      </c>
      <c r="B125" s="226" t="s">
        <v>352</v>
      </c>
      <c r="C125" s="227"/>
      <c r="D125" s="71"/>
      <c r="E125" s="72">
        <f>E122-E126</f>
        <v>250537.10159999999</v>
      </c>
      <c r="F125" s="72">
        <f>F122-F126</f>
        <v>250537.10159999997</v>
      </c>
      <c r="G125" s="228"/>
      <c r="H125" s="228"/>
      <c r="I125" s="228"/>
      <c r="J125" s="228"/>
      <c r="K125" s="228"/>
      <c r="L125" s="228"/>
      <c r="M125" s="228"/>
      <c r="N125" s="228"/>
      <c r="O125" s="228"/>
      <c r="P125" s="228"/>
      <c r="Q125" s="228"/>
    </row>
    <row r="126" spans="1:18" s="58" customFormat="1" ht="15.75" hidden="1" customHeight="1" outlineLevel="1">
      <c r="A126" s="76" t="s">
        <v>26</v>
      </c>
      <c r="B126" s="226" t="s">
        <v>353</v>
      </c>
      <c r="C126" s="227"/>
      <c r="D126" s="71"/>
      <c r="E126" s="72">
        <f t="shared" ref="E126:Q126" si="60">SUM(E127:E134)</f>
        <v>262577.89840000001</v>
      </c>
      <c r="F126" s="72">
        <f t="shared" si="60"/>
        <v>254226.89840000003</v>
      </c>
      <c r="G126" s="72">
        <f t="shared" si="60"/>
        <v>8351</v>
      </c>
      <c r="H126" s="72">
        <f t="shared" si="60"/>
        <v>3207</v>
      </c>
      <c r="I126" s="72">
        <f t="shared" si="60"/>
        <v>1285</v>
      </c>
      <c r="J126" s="72">
        <f t="shared" si="60"/>
        <v>865</v>
      </c>
      <c r="K126" s="72">
        <f t="shared" si="60"/>
        <v>934</v>
      </c>
      <c r="L126" s="72">
        <f t="shared" si="60"/>
        <v>507</v>
      </c>
      <c r="M126" s="72">
        <f t="shared" si="60"/>
        <v>941</v>
      </c>
      <c r="N126" s="72">
        <f t="shared" si="60"/>
        <v>10</v>
      </c>
      <c r="O126" s="72">
        <f t="shared" si="60"/>
        <v>187</v>
      </c>
      <c r="P126" s="72">
        <f t="shared" si="60"/>
        <v>405</v>
      </c>
      <c r="Q126" s="72">
        <f t="shared" si="60"/>
        <v>10</v>
      </c>
    </row>
    <row r="127" spans="1:18" ht="15.75" hidden="1" customHeight="1" outlineLevel="1">
      <c r="A127" s="73" t="s">
        <v>23</v>
      </c>
      <c r="B127" s="198" t="s">
        <v>167</v>
      </c>
      <c r="C127" s="229"/>
      <c r="D127" s="75"/>
      <c r="E127" s="75">
        <f>F127+G127</f>
        <v>5074</v>
      </c>
      <c r="F127" s="110">
        <v>131</v>
      </c>
      <c r="G127" s="70">
        <f>SUM(H127:Q127)</f>
        <v>4943</v>
      </c>
      <c r="H127" s="70">
        <v>1918</v>
      </c>
      <c r="I127" s="70">
        <v>846</v>
      </c>
      <c r="J127" s="70">
        <v>570</v>
      </c>
      <c r="K127" s="70">
        <v>520</v>
      </c>
      <c r="L127" s="70">
        <v>472</v>
      </c>
      <c r="M127" s="70">
        <v>255</v>
      </c>
      <c r="N127" s="70">
        <v>0</v>
      </c>
      <c r="O127" s="70">
        <v>61</v>
      </c>
      <c r="P127" s="70">
        <v>296</v>
      </c>
      <c r="Q127" s="70">
        <v>5</v>
      </c>
      <c r="R127" s="58"/>
    </row>
    <row r="128" spans="1:18" ht="47.25" hidden="1" customHeight="1" outlineLevel="1">
      <c r="A128" s="73" t="s">
        <v>23</v>
      </c>
      <c r="B128" s="198" t="s">
        <v>168</v>
      </c>
      <c r="C128" s="229"/>
      <c r="D128" s="75"/>
      <c r="E128" s="75">
        <f t="shared" ref="E128:E134" si="61">F128+G128</f>
        <v>3408</v>
      </c>
      <c r="F128" s="110"/>
      <c r="G128" s="70">
        <f t="shared" ref="G128" si="62">SUM(H128:Q128)</f>
        <v>3408</v>
      </c>
      <c r="H128" s="70">
        <v>1289</v>
      </c>
      <c r="I128" s="70">
        <v>439</v>
      </c>
      <c r="J128" s="70">
        <v>295</v>
      </c>
      <c r="K128" s="70">
        <v>414</v>
      </c>
      <c r="L128" s="70">
        <v>35</v>
      </c>
      <c r="M128" s="70">
        <v>686</v>
      </c>
      <c r="N128" s="70">
        <v>10</v>
      </c>
      <c r="O128" s="70">
        <v>126</v>
      </c>
      <c r="P128" s="70">
        <v>109</v>
      </c>
      <c r="Q128" s="70">
        <v>5</v>
      </c>
      <c r="R128" s="58"/>
    </row>
    <row r="129" spans="1:18" ht="15.75" hidden="1" customHeight="1" outlineLevel="1">
      <c r="A129" s="73" t="s">
        <v>23</v>
      </c>
      <c r="B129" s="198" t="s">
        <v>354</v>
      </c>
      <c r="C129" s="229"/>
      <c r="D129" s="75"/>
      <c r="E129" s="75">
        <f t="shared" si="61"/>
        <v>61363.623600000006</v>
      </c>
      <c r="F129" s="110">
        <v>61363.623600000006</v>
      </c>
      <c r="G129" s="70"/>
      <c r="H129" s="70"/>
      <c r="I129" s="70"/>
      <c r="J129" s="70"/>
      <c r="K129" s="70"/>
      <c r="L129" s="70"/>
      <c r="M129" s="70"/>
      <c r="N129" s="70"/>
      <c r="O129" s="70"/>
      <c r="P129" s="70"/>
      <c r="Q129" s="70"/>
      <c r="R129" s="58"/>
    </row>
    <row r="130" spans="1:18" ht="47.25" hidden="1" customHeight="1" outlineLevel="1">
      <c r="A130" s="73" t="s">
        <v>23</v>
      </c>
      <c r="B130" s="198" t="s">
        <v>355</v>
      </c>
      <c r="C130" s="229"/>
      <c r="D130" s="75"/>
      <c r="E130" s="75">
        <f t="shared" si="61"/>
        <v>177831.08280000003</v>
      </c>
      <c r="F130" s="110">
        <v>177831.08280000003</v>
      </c>
      <c r="G130" s="70"/>
      <c r="H130" s="70"/>
      <c r="I130" s="70"/>
      <c r="J130" s="70"/>
      <c r="K130" s="70"/>
      <c r="L130" s="70"/>
      <c r="M130" s="70"/>
      <c r="N130" s="70"/>
      <c r="O130" s="70"/>
      <c r="P130" s="70"/>
      <c r="Q130" s="70"/>
      <c r="R130" s="58"/>
    </row>
    <row r="131" spans="1:18" ht="15.75" hidden="1" customHeight="1" outlineLevel="1">
      <c r="A131" s="73" t="s">
        <v>23</v>
      </c>
      <c r="B131" s="198" t="s">
        <v>356</v>
      </c>
      <c r="C131" s="229"/>
      <c r="D131" s="75"/>
      <c r="E131" s="75">
        <f t="shared" si="61"/>
        <v>11.264400000000002</v>
      </c>
      <c r="F131" s="110">
        <v>11.264400000000002</v>
      </c>
      <c r="G131" s="70"/>
      <c r="H131" s="70"/>
      <c r="I131" s="70"/>
      <c r="J131" s="70"/>
      <c r="K131" s="70"/>
      <c r="L131" s="70"/>
      <c r="M131" s="70"/>
      <c r="N131" s="70"/>
      <c r="O131" s="70"/>
      <c r="P131" s="70"/>
      <c r="Q131" s="70"/>
      <c r="R131" s="58"/>
    </row>
    <row r="132" spans="1:18" ht="15.75" hidden="1" customHeight="1" outlineLevel="1">
      <c r="A132" s="73" t="s">
        <v>23</v>
      </c>
      <c r="B132" s="198" t="s">
        <v>357</v>
      </c>
      <c r="C132" s="229"/>
      <c r="D132" s="75"/>
      <c r="E132" s="75">
        <f t="shared" si="61"/>
        <v>11575.86066</v>
      </c>
      <c r="F132" s="110">
        <v>11575.86066</v>
      </c>
      <c r="G132" s="70"/>
      <c r="H132" s="70"/>
      <c r="I132" s="70"/>
      <c r="J132" s="70"/>
      <c r="K132" s="70"/>
      <c r="L132" s="70"/>
      <c r="M132" s="70"/>
      <c r="N132" s="70"/>
      <c r="O132" s="70"/>
      <c r="P132" s="70"/>
      <c r="Q132" s="70"/>
      <c r="R132" s="58"/>
    </row>
    <row r="133" spans="1:18" ht="15.75" hidden="1" customHeight="1" outlineLevel="1">
      <c r="A133" s="73" t="s">
        <v>23</v>
      </c>
      <c r="B133" s="198" t="s">
        <v>358</v>
      </c>
      <c r="C133" s="229"/>
      <c r="D133" s="75"/>
      <c r="E133" s="75">
        <f t="shared" si="61"/>
        <v>3236.8253400000003</v>
      </c>
      <c r="F133" s="110">
        <v>3236.8253400000003</v>
      </c>
      <c r="G133" s="70"/>
      <c r="H133" s="70"/>
      <c r="I133" s="70"/>
      <c r="J133" s="70"/>
      <c r="K133" s="70"/>
      <c r="L133" s="70"/>
      <c r="M133" s="70"/>
      <c r="N133" s="70"/>
      <c r="O133" s="70"/>
      <c r="P133" s="70"/>
      <c r="Q133" s="70"/>
      <c r="R133" s="58"/>
    </row>
    <row r="134" spans="1:18" ht="31.5" hidden="1" customHeight="1" outlineLevel="1">
      <c r="A134" s="73" t="s">
        <v>23</v>
      </c>
      <c r="B134" s="198" t="s">
        <v>359</v>
      </c>
      <c r="C134" s="229"/>
      <c r="D134" s="75"/>
      <c r="E134" s="75">
        <f t="shared" si="61"/>
        <v>77.241600000000005</v>
      </c>
      <c r="F134" s="110">
        <v>77.241600000000005</v>
      </c>
      <c r="G134" s="70"/>
      <c r="H134" s="70"/>
      <c r="I134" s="70"/>
      <c r="J134" s="70"/>
      <c r="K134" s="70"/>
      <c r="L134" s="70"/>
      <c r="M134" s="70"/>
      <c r="N134" s="70"/>
      <c r="O134" s="70"/>
      <c r="P134" s="70"/>
      <c r="Q134" s="70"/>
      <c r="R134" s="58"/>
    </row>
    <row r="135" spans="1:18" s="58" customFormat="1" ht="29.25" customHeight="1" collapsed="1">
      <c r="A135" s="76" t="s">
        <v>93</v>
      </c>
      <c r="B135" s="68" t="s">
        <v>169</v>
      </c>
      <c r="C135" s="77" t="s">
        <v>119</v>
      </c>
      <c r="D135" s="71"/>
      <c r="E135" s="105">
        <f>F135+G135</f>
        <v>1021072</v>
      </c>
      <c r="F135" s="105">
        <v>334709</v>
      </c>
      <c r="G135" s="72">
        <f>SUM(H135:Q135)</f>
        <v>686363</v>
      </c>
      <c r="H135" s="72">
        <f>H138+H206+H210+H222+H223+H216+H218+H147</f>
        <v>109405</v>
      </c>
      <c r="I135" s="72">
        <f t="shared" ref="I135:Q135" si="63">I138+I206+I210+I222+I223+I216+I218+I147</f>
        <v>74005</v>
      </c>
      <c r="J135" s="72">
        <f t="shared" si="63"/>
        <v>60192</v>
      </c>
      <c r="K135" s="72">
        <f t="shared" si="63"/>
        <v>61033</v>
      </c>
      <c r="L135" s="72">
        <f t="shared" si="63"/>
        <v>85581</v>
      </c>
      <c r="M135" s="72">
        <f t="shared" si="63"/>
        <v>66344</v>
      </c>
      <c r="N135" s="72">
        <f t="shared" si="63"/>
        <v>37769</v>
      </c>
      <c r="O135" s="72">
        <f t="shared" si="63"/>
        <v>55619</v>
      </c>
      <c r="P135" s="72">
        <f t="shared" si="63"/>
        <v>63190</v>
      </c>
      <c r="Q135" s="72">
        <f t="shared" si="63"/>
        <v>73225</v>
      </c>
      <c r="R135" s="58">
        <f>G135-SUM(H135:Q135)</f>
        <v>0</v>
      </c>
    </row>
    <row r="136" spans="1:18" ht="31.2">
      <c r="A136" s="73"/>
      <c r="B136" s="83" t="s">
        <v>120</v>
      </c>
      <c r="C136" s="69" t="s">
        <v>119</v>
      </c>
      <c r="D136" s="75"/>
      <c r="E136" s="75">
        <v>1177636.8527899242</v>
      </c>
      <c r="F136" s="75">
        <v>412595.7356186845</v>
      </c>
      <c r="G136" s="70">
        <f>SUM(H136:Q136)</f>
        <v>765041.11717123957</v>
      </c>
      <c r="H136" s="110">
        <v>112957.10059061293</v>
      </c>
      <c r="I136" s="110">
        <v>77786.185495135636</v>
      </c>
      <c r="J136" s="110">
        <v>65438.641652365572</v>
      </c>
      <c r="K136" s="110">
        <v>69243.983445684571</v>
      </c>
      <c r="L136" s="110">
        <v>102747.86912514611</v>
      </c>
      <c r="M136" s="110">
        <v>71169.969628062245</v>
      </c>
      <c r="N136" s="110">
        <v>34010.4282048678</v>
      </c>
      <c r="O136" s="110">
        <v>67284.106970505018</v>
      </c>
      <c r="P136" s="110">
        <v>84034.468230614002</v>
      </c>
      <c r="Q136" s="110">
        <v>80368.363828245827</v>
      </c>
      <c r="R136" s="58"/>
    </row>
    <row r="137" spans="1:18">
      <c r="A137" s="73"/>
      <c r="B137" s="85" t="s">
        <v>121</v>
      </c>
      <c r="C137" s="86" t="s">
        <v>95</v>
      </c>
      <c r="D137" s="87"/>
      <c r="E137" s="88">
        <f t="shared" ref="E137:Q137" si="64">E135/E136%</f>
        <v>86.705167011459565</v>
      </c>
      <c r="F137" s="88">
        <f t="shared" si="64"/>
        <v>81.122748275162408</v>
      </c>
      <c r="G137" s="88">
        <f t="shared" si="64"/>
        <v>89.715831553975278</v>
      </c>
      <c r="H137" s="88">
        <f t="shared" si="64"/>
        <v>96.855354314124341</v>
      </c>
      <c r="I137" s="88">
        <f t="shared" si="64"/>
        <v>95.139001262155872</v>
      </c>
      <c r="J137" s="88">
        <f t="shared" si="64"/>
        <v>91.982349388855468</v>
      </c>
      <c r="K137" s="88">
        <f t="shared" si="64"/>
        <v>88.141953947341406</v>
      </c>
      <c r="L137" s="88">
        <f t="shared" si="64"/>
        <v>83.292238300108195</v>
      </c>
      <c r="M137" s="88">
        <f t="shared" si="64"/>
        <v>93.219092753189301</v>
      </c>
      <c r="N137" s="88">
        <f t="shared" si="64"/>
        <v>111.05123338198445</v>
      </c>
      <c r="O137" s="88">
        <f t="shared" si="64"/>
        <v>82.662908826866669</v>
      </c>
      <c r="P137" s="88">
        <f t="shared" si="64"/>
        <v>75.195335117239068</v>
      </c>
      <c r="Q137" s="88">
        <f t="shared" si="64"/>
        <v>91.111721717376497</v>
      </c>
      <c r="R137" s="58"/>
    </row>
    <row r="138" spans="1:18" s="58" customFormat="1" ht="15.75" customHeight="1" outlineLevel="1">
      <c r="A138" s="118">
        <v>1</v>
      </c>
      <c r="B138" s="102" t="s">
        <v>170</v>
      </c>
      <c r="C138" s="103" t="s">
        <v>119</v>
      </c>
      <c r="D138" s="104"/>
      <c r="E138" s="72"/>
      <c r="F138" s="72"/>
      <c r="G138" s="72">
        <f>G139+G144</f>
        <v>151509</v>
      </c>
      <c r="H138" s="72">
        <f t="shared" ref="H138:Q138" si="65">H139+H144</f>
        <v>26516</v>
      </c>
      <c r="I138" s="72">
        <f t="shared" si="65"/>
        <v>16946</v>
      </c>
      <c r="J138" s="72">
        <f t="shared" si="65"/>
        <v>13726</v>
      </c>
      <c r="K138" s="72">
        <f t="shared" si="65"/>
        <v>11596</v>
      </c>
      <c r="L138" s="72">
        <f t="shared" si="65"/>
        <v>18667</v>
      </c>
      <c r="M138" s="72">
        <f t="shared" si="65"/>
        <v>17090</v>
      </c>
      <c r="N138" s="72">
        <f t="shared" si="65"/>
        <v>5197</v>
      </c>
      <c r="O138" s="72">
        <f t="shared" si="65"/>
        <v>11341</v>
      </c>
      <c r="P138" s="72">
        <f t="shared" si="65"/>
        <v>13610</v>
      </c>
      <c r="Q138" s="72">
        <f t="shared" si="65"/>
        <v>16820</v>
      </c>
    </row>
    <row r="139" spans="1:18" s="99" customFormat="1" ht="15.75" customHeight="1" outlineLevel="1">
      <c r="A139" s="76" t="s">
        <v>34</v>
      </c>
      <c r="B139" s="97" t="s">
        <v>171</v>
      </c>
      <c r="C139" s="98" t="s">
        <v>119</v>
      </c>
      <c r="D139" s="71"/>
      <c r="E139" s="133"/>
      <c r="F139" s="75"/>
      <c r="G139" s="72">
        <f t="shared" ref="G139:Q139" si="66">SUM(G140:G143)</f>
        <v>34109</v>
      </c>
      <c r="H139" s="72">
        <f t="shared" si="66"/>
        <v>4816</v>
      </c>
      <c r="I139" s="72">
        <f t="shared" si="66"/>
        <v>4746</v>
      </c>
      <c r="J139" s="72">
        <f t="shared" si="66"/>
        <v>2926</v>
      </c>
      <c r="K139" s="72">
        <f t="shared" si="66"/>
        <v>1996</v>
      </c>
      <c r="L139" s="72">
        <f t="shared" si="66"/>
        <v>4267</v>
      </c>
      <c r="M139" s="72">
        <f t="shared" si="66"/>
        <v>4390</v>
      </c>
      <c r="N139" s="72">
        <f t="shared" si="66"/>
        <v>1597</v>
      </c>
      <c r="O139" s="72">
        <f t="shared" si="66"/>
        <v>2941</v>
      </c>
      <c r="P139" s="72">
        <f t="shared" si="66"/>
        <v>2810</v>
      </c>
      <c r="Q139" s="72">
        <f t="shared" si="66"/>
        <v>3620</v>
      </c>
    </row>
    <row r="140" spans="1:18" s="58" customFormat="1" ht="31.5" customHeight="1" outlineLevel="1">
      <c r="A140" s="73"/>
      <c r="B140" s="74" t="s">
        <v>128</v>
      </c>
      <c r="C140" s="100" t="s">
        <v>129</v>
      </c>
      <c r="D140" s="70">
        <v>22277</v>
      </c>
      <c r="E140" s="70"/>
      <c r="F140" s="70"/>
      <c r="G140" s="70">
        <f>SUM(H140:Q140)</f>
        <v>4974</v>
      </c>
      <c r="H140" s="70">
        <f t="shared" ref="H140:Q143" si="67">IF(H$27=0,ROUND(H13*$D140/1000000,0),ROUND(H13*$D140/1000000*(1+H$27/100),0))</f>
        <v>3505</v>
      </c>
      <c r="I140" s="70">
        <f t="shared" si="67"/>
        <v>354</v>
      </c>
      <c r="J140" s="70">
        <f t="shared" si="67"/>
        <v>344</v>
      </c>
      <c r="K140" s="70">
        <f t="shared" si="67"/>
        <v>448</v>
      </c>
      <c r="L140" s="70">
        <f t="shared" si="67"/>
        <v>0</v>
      </c>
      <c r="M140" s="70">
        <f t="shared" si="67"/>
        <v>188</v>
      </c>
      <c r="N140" s="70">
        <f t="shared" si="67"/>
        <v>0</v>
      </c>
      <c r="O140" s="70">
        <f t="shared" si="67"/>
        <v>0</v>
      </c>
      <c r="P140" s="70">
        <f t="shared" si="67"/>
        <v>135</v>
      </c>
      <c r="Q140" s="70">
        <f t="shared" si="67"/>
        <v>0</v>
      </c>
    </row>
    <row r="141" spans="1:18" s="58" customFormat="1" ht="31.5" customHeight="1" outlineLevel="1">
      <c r="A141" s="73"/>
      <c r="B141" s="74" t="s">
        <v>130</v>
      </c>
      <c r="C141" s="100" t="s">
        <v>129</v>
      </c>
      <c r="D141" s="70">
        <v>25990</v>
      </c>
      <c r="E141" s="70"/>
      <c r="F141" s="70"/>
      <c r="G141" s="70">
        <f t="shared" ref="G141:G143" si="68">SUM(H141:Q141)</f>
        <v>3030</v>
      </c>
      <c r="H141" s="70">
        <f t="shared" si="67"/>
        <v>0</v>
      </c>
      <c r="I141" s="70">
        <f t="shared" si="67"/>
        <v>649</v>
      </c>
      <c r="J141" s="70">
        <f t="shared" si="67"/>
        <v>467</v>
      </c>
      <c r="K141" s="70">
        <f t="shared" si="67"/>
        <v>1020</v>
      </c>
      <c r="L141" s="70">
        <f t="shared" si="67"/>
        <v>435</v>
      </c>
      <c r="M141" s="70">
        <f t="shared" si="67"/>
        <v>209</v>
      </c>
      <c r="N141" s="70">
        <f t="shared" si="67"/>
        <v>0</v>
      </c>
      <c r="O141" s="70">
        <f t="shared" si="67"/>
        <v>250</v>
      </c>
      <c r="P141" s="70">
        <f t="shared" si="67"/>
        <v>0</v>
      </c>
      <c r="Q141" s="70">
        <f t="shared" si="67"/>
        <v>0</v>
      </c>
    </row>
    <row r="142" spans="1:18" s="58" customFormat="1" ht="31.5" customHeight="1" outlineLevel="1">
      <c r="A142" s="73"/>
      <c r="B142" s="74" t="s">
        <v>131</v>
      </c>
      <c r="C142" s="100" t="s">
        <v>129</v>
      </c>
      <c r="D142" s="70">
        <v>102697</v>
      </c>
      <c r="E142" s="70"/>
      <c r="F142" s="70"/>
      <c r="G142" s="70">
        <f t="shared" si="68"/>
        <v>25543</v>
      </c>
      <c r="H142" s="70">
        <f t="shared" si="67"/>
        <v>941</v>
      </c>
      <c r="I142" s="70">
        <f t="shared" si="67"/>
        <v>3635</v>
      </c>
      <c r="J142" s="70">
        <f t="shared" si="67"/>
        <v>2115</v>
      </c>
      <c r="K142" s="70">
        <f t="shared" si="67"/>
        <v>528</v>
      </c>
      <c r="L142" s="70">
        <f t="shared" si="67"/>
        <v>3832</v>
      </c>
      <c r="M142" s="70">
        <f t="shared" si="67"/>
        <v>3993</v>
      </c>
      <c r="N142" s="70">
        <f t="shared" si="67"/>
        <v>1597</v>
      </c>
      <c r="O142" s="70">
        <f t="shared" si="67"/>
        <v>2691</v>
      </c>
      <c r="P142" s="70">
        <f t="shared" si="67"/>
        <v>2591</v>
      </c>
      <c r="Q142" s="70">
        <f t="shared" si="67"/>
        <v>3620</v>
      </c>
    </row>
    <row r="143" spans="1:18" s="58" customFormat="1" ht="31.5" customHeight="1" outlineLevel="1">
      <c r="A143" s="73"/>
      <c r="B143" s="74" t="s">
        <v>132</v>
      </c>
      <c r="C143" s="100" t="s">
        <v>129</v>
      </c>
      <c r="D143" s="70">
        <v>37128</v>
      </c>
      <c r="E143" s="70"/>
      <c r="F143" s="70"/>
      <c r="G143" s="70">
        <f t="shared" si="68"/>
        <v>562</v>
      </c>
      <c r="H143" s="70">
        <f t="shared" si="67"/>
        <v>370</v>
      </c>
      <c r="I143" s="70">
        <f t="shared" si="67"/>
        <v>108</v>
      </c>
      <c r="J143" s="70">
        <f t="shared" si="67"/>
        <v>0</v>
      </c>
      <c r="K143" s="70">
        <f t="shared" si="67"/>
        <v>0</v>
      </c>
      <c r="L143" s="70">
        <f t="shared" si="67"/>
        <v>0</v>
      </c>
      <c r="M143" s="70">
        <f t="shared" si="67"/>
        <v>0</v>
      </c>
      <c r="N143" s="70">
        <f t="shared" si="67"/>
        <v>0</v>
      </c>
      <c r="O143" s="70">
        <f t="shared" si="67"/>
        <v>0</v>
      </c>
      <c r="P143" s="70">
        <f t="shared" si="67"/>
        <v>84</v>
      </c>
      <c r="Q143" s="70">
        <f t="shared" si="67"/>
        <v>0</v>
      </c>
    </row>
    <row r="144" spans="1:18" s="58" customFormat="1" ht="15.75" customHeight="1" outlineLevel="1">
      <c r="A144" s="76" t="s">
        <v>36</v>
      </c>
      <c r="B144" s="68" t="s">
        <v>172</v>
      </c>
      <c r="C144" s="77" t="s">
        <v>119</v>
      </c>
      <c r="D144" s="71"/>
      <c r="E144" s="71"/>
      <c r="F144" s="71"/>
      <c r="G144" s="136">
        <f>G145+G146</f>
        <v>117400</v>
      </c>
      <c r="H144" s="136">
        <f t="shared" ref="H144:Q144" si="69">H145+H146</f>
        <v>21700</v>
      </c>
      <c r="I144" s="136">
        <f t="shared" si="69"/>
        <v>12200</v>
      </c>
      <c r="J144" s="136">
        <f t="shared" si="69"/>
        <v>10800</v>
      </c>
      <c r="K144" s="136">
        <f t="shared" si="69"/>
        <v>9600</v>
      </c>
      <c r="L144" s="136">
        <f t="shared" si="69"/>
        <v>14400</v>
      </c>
      <c r="M144" s="136">
        <f t="shared" si="69"/>
        <v>12700</v>
      </c>
      <c r="N144" s="136">
        <f t="shared" si="69"/>
        <v>3600</v>
      </c>
      <c r="O144" s="136">
        <f t="shared" si="69"/>
        <v>8400</v>
      </c>
      <c r="P144" s="136">
        <f t="shared" si="69"/>
        <v>10800</v>
      </c>
      <c r="Q144" s="136">
        <f t="shared" si="69"/>
        <v>13200</v>
      </c>
    </row>
    <row r="145" spans="1:18" ht="15.75" customHeight="1" outlineLevel="1">
      <c r="A145" s="73"/>
      <c r="B145" s="78" t="s">
        <v>103</v>
      </c>
      <c r="C145" s="79" t="s">
        <v>173</v>
      </c>
      <c r="D145" s="70">
        <v>1200</v>
      </c>
      <c r="E145" s="75"/>
      <c r="F145" s="71"/>
      <c r="G145" s="137">
        <f>SUM(H145:Q145)</f>
        <v>110400</v>
      </c>
      <c r="H145" s="137">
        <f t="shared" ref="H145:Q145" si="70">$D$145*H33</f>
        <v>16800</v>
      </c>
      <c r="I145" s="137">
        <f t="shared" si="70"/>
        <v>10800</v>
      </c>
      <c r="J145" s="137">
        <f t="shared" si="70"/>
        <v>10800</v>
      </c>
      <c r="K145" s="137">
        <f t="shared" si="70"/>
        <v>9600</v>
      </c>
      <c r="L145" s="137">
        <f t="shared" si="70"/>
        <v>14400</v>
      </c>
      <c r="M145" s="137">
        <f t="shared" si="70"/>
        <v>12000</v>
      </c>
      <c r="N145" s="137">
        <f t="shared" si="70"/>
        <v>3600</v>
      </c>
      <c r="O145" s="137">
        <f t="shared" si="70"/>
        <v>8400</v>
      </c>
      <c r="P145" s="137">
        <f t="shared" si="70"/>
        <v>10800</v>
      </c>
      <c r="Q145" s="137">
        <f t="shared" si="70"/>
        <v>13200</v>
      </c>
      <c r="R145" s="58"/>
    </row>
    <row r="146" spans="1:18" ht="15.75" customHeight="1" outlineLevel="1">
      <c r="A146" s="73"/>
      <c r="B146" s="78" t="s">
        <v>105</v>
      </c>
      <c r="C146" s="79" t="s">
        <v>173</v>
      </c>
      <c r="D146" s="70">
        <v>700</v>
      </c>
      <c r="E146" s="75"/>
      <c r="F146" s="71"/>
      <c r="G146" s="137">
        <f>SUM(H146:Q146)</f>
        <v>7000</v>
      </c>
      <c r="H146" s="137">
        <f t="shared" ref="H146:Q146" si="71">$D$146*H34</f>
        <v>4900</v>
      </c>
      <c r="I146" s="137">
        <f t="shared" si="71"/>
        <v>1400</v>
      </c>
      <c r="J146" s="137">
        <f t="shared" si="71"/>
        <v>0</v>
      </c>
      <c r="K146" s="137">
        <f t="shared" si="71"/>
        <v>0</v>
      </c>
      <c r="L146" s="137">
        <f t="shared" si="71"/>
        <v>0</v>
      </c>
      <c r="M146" s="137">
        <f t="shared" si="71"/>
        <v>700</v>
      </c>
      <c r="N146" s="137">
        <f t="shared" si="71"/>
        <v>0</v>
      </c>
      <c r="O146" s="137">
        <f t="shared" si="71"/>
        <v>0</v>
      </c>
      <c r="P146" s="137">
        <f t="shared" si="71"/>
        <v>0</v>
      </c>
      <c r="Q146" s="137">
        <f t="shared" si="71"/>
        <v>0</v>
      </c>
      <c r="R146" s="58"/>
    </row>
    <row r="147" spans="1:18" s="58" customFormat="1" ht="15.75" customHeight="1" outlineLevel="1">
      <c r="A147" s="118">
        <v>2</v>
      </c>
      <c r="B147" s="106" t="s">
        <v>174</v>
      </c>
      <c r="C147" s="103" t="s">
        <v>119</v>
      </c>
      <c r="D147" s="107"/>
      <c r="E147" s="105"/>
      <c r="F147" s="105"/>
      <c r="G147" s="136">
        <f t="shared" ref="G147" si="72">G148+G166+G178+G185+G200+G205</f>
        <v>501242.25349731708</v>
      </c>
      <c r="H147" s="136">
        <f>ROUND(H148+H166+H178+H185+H200+H205,0)</f>
        <v>79471</v>
      </c>
      <c r="I147" s="136">
        <f t="shared" ref="I147:Q147" si="73">ROUND(I148+I166+I178+I185+I200+I205,0)</f>
        <v>54090</v>
      </c>
      <c r="J147" s="136">
        <f t="shared" si="73"/>
        <v>44129</v>
      </c>
      <c r="K147" s="136">
        <f t="shared" si="73"/>
        <v>44616</v>
      </c>
      <c r="L147" s="136">
        <f t="shared" si="73"/>
        <v>62617</v>
      </c>
      <c r="M147" s="136">
        <f t="shared" si="73"/>
        <v>47818</v>
      </c>
      <c r="N147" s="136">
        <f t="shared" si="73"/>
        <v>27966</v>
      </c>
      <c r="O147" s="136">
        <f t="shared" si="73"/>
        <v>40905</v>
      </c>
      <c r="P147" s="136">
        <f t="shared" si="73"/>
        <v>46130</v>
      </c>
      <c r="Q147" s="136">
        <f t="shared" si="73"/>
        <v>53500</v>
      </c>
    </row>
    <row r="148" spans="1:18" ht="15.75" customHeight="1" outlineLevel="1">
      <c r="A148" s="118" t="s">
        <v>42</v>
      </c>
      <c r="B148" s="102" t="s">
        <v>175</v>
      </c>
      <c r="C148" s="103" t="s">
        <v>119</v>
      </c>
      <c r="D148" s="104"/>
      <c r="E148" s="105"/>
      <c r="F148" s="71"/>
      <c r="G148" s="136">
        <f>G149+G159</f>
        <v>180651.11033653154</v>
      </c>
      <c r="H148" s="136">
        <f t="shared" ref="H148:Q148" si="74">H149+H159</f>
        <v>22940.562990000002</v>
      </c>
      <c r="I148" s="136">
        <f t="shared" si="74"/>
        <v>17120.409096064122</v>
      </c>
      <c r="J148" s="136">
        <f t="shared" si="74"/>
        <v>16713.597741325066</v>
      </c>
      <c r="K148" s="136">
        <f t="shared" si="74"/>
        <v>17635.183943557615</v>
      </c>
      <c r="L148" s="136">
        <f t="shared" si="74"/>
        <v>22212.957375473685</v>
      </c>
      <c r="M148" s="136">
        <f t="shared" si="74"/>
        <v>14947.134068892534</v>
      </c>
      <c r="N148" s="136">
        <f t="shared" si="74"/>
        <v>15688.241914838711</v>
      </c>
      <c r="O148" s="136">
        <f t="shared" si="74"/>
        <v>17005.395131130044</v>
      </c>
      <c r="P148" s="136">
        <f t="shared" si="74"/>
        <v>17767.414760417392</v>
      </c>
      <c r="Q148" s="136">
        <f t="shared" si="74"/>
        <v>18620.213314832381</v>
      </c>
      <c r="R148" s="58"/>
    </row>
    <row r="149" spans="1:18" ht="15.75" customHeight="1" outlineLevel="1">
      <c r="A149" s="67" t="s">
        <v>45</v>
      </c>
      <c r="B149" s="138" t="s">
        <v>176</v>
      </c>
      <c r="C149" s="103" t="s">
        <v>119</v>
      </c>
      <c r="D149" s="105"/>
      <c r="E149" s="105"/>
      <c r="F149" s="71"/>
      <c r="G149" s="136">
        <f>SUM(H149:Q149)</f>
        <v>167200.18638223148</v>
      </c>
      <c r="H149" s="136">
        <f>H153*(H156+H157+H158)*1.49*12</f>
        <v>21676.089390000001</v>
      </c>
      <c r="I149" s="136">
        <f t="shared" ref="I149:Q149" si="75">I153*(I156+I157+I158)*1.49*12</f>
        <v>16355.908800000001</v>
      </c>
      <c r="J149" s="136">
        <f t="shared" si="75"/>
        <v>15630.948251598749</v>
      </c>
      <c r="K149" s="136">
        <f t="shared" si="75"/>
        <v>16687.427753580003</v>
      </c>
      <c r="L149" s="136">
        <f t="shared" si="75"/>
        <v>18330.08665263158</v>
      </c>
      <c r="M149" s="136">
        <f t="shared" si="75"/>
        <v>13669.552300638803</v>
      </c>
      <c r="N149" s="136">
        <f t="shared" si="75"/>
        <v>12540.138000000001</v>
      </c>
      <c r="O149" s="136">
        <f t="shared" si="75"/>
        <v>16105.779200543999</v>
      </c>
      <c r="P149" s="136">
        <f t="shared" si="75"/>
        <v>17767.414760417392</v>
      </c>
      <c r="Q149" s="136">
        <f t="shared" si="75"/>
        <v>18436.841272820951</v>
      </c>
      <c r="R149" s="58"/>
    </row>
    <row r="150" spans="1:18" ht="15.75" customHeight="1" outlineLevel="1">
      <c r="A150" s="67" t="s">
        <v>23</v>
      </c>
      <c r="B150" s="74" t="s">
        <v>177</v>
      </c>
      <c r="C150" s="100" t="s">
        <v>85</v>
      </c>
      <c r="D150" s="119"/>
      <c r="E150" s="105"/>
      <c r="F150" s="71"/>
      <c r="G150" s="137">
        <f>G151+G152</f>
        <v>1371</v>
      </c>
      <c r="H150" s="137">
        <f t="shared" ref="H150:Q150" si="76">H151+H152</f>
        <v>169</v>
      </c>
      <c r="I150" s="137">
        <f t="shared" si="76"/>
        <v>141</v>
      </c>
      <c r="J150" s="137">
        <f t="shared" si="76"/>
        <v>146</v>
      </c>
      <c r="K150" s="137">
        <f t="shared" si="76"/>
        <v>143</v>
      </c>
      <c r="L150" s="137">
        <f t="shared" si="76"/>
        <v>141</v>
      </c>
      <c r="M150" s="137">
        <f t="shared" si="76"/>
        <v>131</v>
      </c>
      <c r="N150" s="137">
        <f t="shared" si="76"/>
        <v>89</v>
      </c>
      <c r="O150" s="137">
        <f t="shared" si="76"/>
        <v>139</v>
      </c>
      <c r="P150" s="137">
        <f t="shared" si="76"/>
        <v>136</v>
      </c>
      <c r="Q150" s="137">
        <f t="shared" si="76"/>
        <v>136</v>
      </c>
      <c r="R150" s="58"/>
    </row>
    <row r="151" spans="1:18" ht="15.75" customHeight="1" outlineLevel="1">
      <c r="A151" s="67"/>
      <c r="B151" s="74" t="s">
        <v>178</v>
      </c>
      <c r="C151" s="100" t="s">
        <v>85</v>
      </c>
      <c r="D151" s="119"/>
      <c r="E151" s="105"/>
      <c r="F151" s="71"/>
      <c r="G151" s="137">
        <f>SUM(H151:Q151)</f>
        <v>783</v>
      </c>
      <c r="H151" s="137">
        <v>104</v>
      </c>
      <c r="I151" s="137">
        <v>81</v>
      </c>
      <c r="J151" s="137">
        <v>80</v>
      </c>
      <c r="K151" s="137">
        <v>80</v>
      </c>
      <c r="L151" s="137">
        <v>81</v>
      </c>
      <c r="M151" s="137">
        <v>80</v>
      </c>
      <c r="N151" s="137">
        <v>41</v>
      </c>
      <c r="O151" s="137">
        <v>78</v>
      </c>
      <c r="P151" s="137">
        <v>78</v>
      </c>
      <c r="Q151" s="137">
        <v>80</v>
      </c>
      <c r="R151" s="58"/>
    </row>
    <row r="152" spans="1:18" ht="31.5" customHeight="1" outlineLevel="1">
      <c r="A152" s="67"/>
      <c r="B152" s="74" t="s">
        <v>179</v>
      </c>
      <c r="C152" s="100" t="s">
        <v>85</v>
      </c>
      <c r="D152" s="119"/>
      <c r="E152" s="105"/>
      <c r="F152" s="71"/>
      <c r="G152" s="137">
        <f>SUM(H152:Q152)</f>
        <v>588</v>
      </c>
      <c r="H152" s="137">
        <v>65</v>
      </c>
      <c r="I152" s="137">
        <v>60</v>
      </c>
      <c r="J152" s="137">
        <v>66</v>
      </c>
      <c r="K152" s="137">
        <v>63</v>
      </c>
      <c r="L152" s="137">
        <v>60</v>
      </c>
      <c r="M152" s="137">
        <v>51</v>
      </c>
      <c r="N152" s="137">
        <v>48</v>
      </c>
      <c r="O152" s="137">
        <v>61</v>
      </c>
      <c r="P152" s="137">
        <f>64-4-2</f>
        <v>58</v>
      </c>
      <c r="Q152" s="137">
        <v>56</v>
      </c>
      <c r="R152" s="58"/>
    </row>
    <row r="153" spans="1:18" ht="15.75" customHeight="1" outlineLevel="1">
      <c r="A153" s="111" t="s">
        <v>23</v>
      </c>
      <c r="B153" s="74" t="s">
        <v>180</v>
      </c>
      <c r="C153" s="100" t="s">
        <v>85</v>
      </c>
      <c r="D153" s="119"/>
      <c r="E153" s="110"/>
      <c r="F153" s="71"/>
      <c r="G153" s="137">
        <f>G154+G155</f>
        <v>1240</v>
      </c>
      <c r="H153" s="137">
        <f t="shared" ref="H153:Q153" si="77">H154+H155</f>
        <v>152</v>
      </c>
      <c r="I153" s="137">
        <f t="shared" si="77"/>
        <v>132</v>
      </c>
      <c r="J153" s="137">
        <f t="shared" si="77"/>
        <v>133</v>
      </c>
      <c r="K153" s="137">
        <f t="shared" si="77"/>
        <v>132</v>
      </c>
      <c r="L153" s="137">
        <f t="shared" si="77"/>
        <v>111</v>
      </c>
      <c r="M153" s="137">
        <f t="shared" si="77"/>
        <v>116</v>
      </c>
      <c r="N153" s="137">
        <f t="shared" si="77"/>
        <v>65</v>
      </c>
      <c r="O153" s="137">
        <f t="shared" si="77"/>
        <v>129</v>
      </c>
      <c r="P153" s="137">
        <f t="shared" si="77"/>
        <v>136</v>
      </c>
      <c r="Q153" s="137">
        <f t="shared" si="77"/>
        <v>134</v>
      </c>
      <c r="R153" s="58"/>
    </row>
    <row r="154" spans="1:18" ht="15.75" customHeight="1" outlineLevel="1">
      <c r="A154" s="111"/>
      <c r="B154" s="74" t="s">
        <v>178</v>
      </c>
      <c r="C154" s="100" t="s">
        <v>85</v>
      </c>
      <c r="D154" s="119"/>
      <c r="E154" s="110"/>
      <c r="F154" s="71"/>
      <c r="G154" s="137">
        <f>SUM(H154:Q154)</f>
        <v>721</v>
      </c>
      <c r="H154" s="137">
        <v>96</v>
      </c>
      <c r="I154" s="137">
        <v>80</v>
      </c>
      <c r="J154" s="137">
        <v>75</v>
      </c>
      <c r="K154" s="137">
        <v>79</v>
      </c>
      <c r="L154" s="137">
        <v>66</v>
      </c>
      <c r="M154" s="137">
        <v>69</v>
      </c>
      <c r="N154" s="137">
        <v>30</v>
      </c>
      <c r="O154" s="137">
        <v>68</v>
      </c>
      <c r="P154" s="137">
        <v>78</v>
      </c>
      <c r="Q154" s="137">
        <v>80</v>
      </c>
      <c r="R154" s="58"/>
    </row>
    <row r="155" spans="1:18" ht="31.5" customHeight="1" outlineLevel="1">
      <c r="A155" s="111"/>
      <c r="B155" s="74" t="s">
        <v>179</v>
      </c>
      <c r="C155" s="100" t="s">
        <v>85</v>
      </c>
      <c r="D155" s="119"/>
      <c r="E155" s="110"/>
      <c r="F155" s="71"/>
      <c r="G155" s="137">
        <f>SUM(H155:Q155)</f>
        <v>519</v>
      </c>
      <c r="H155" s="137">
        <v>56</v>
      </c>
      <c r="I155" s="137">
        <v>52</v>
      </c>
      <c r="J155" s="137">
        <v>58</v>
      </c>
      <c r="K155" s="137">
        <v>53</v>
      </c>
      <c r="L155" s="137">
        <v>45</v>
      </c>
      <c r="M155" s="137">
        <v>47</v>
      </c>
      <c r="N155" s="137">
        <v>35</v>
      </c>
      <c r="O155" s="137">
        <v>61</v>
      </c>
      <c r="P155" s="137">
        <v>58</v>
      </c>
      <c r="Q155" s="137">
        <v>54</v>
      </c>
      <c r="R155" s="58"/>
    </row>
    <row r="156" spans="1:18" s="96" customFormat="1" ht="15.75" customHeight="1" outlineLevel="1">
      <c r="A156" s="73" t="s">
        <v>23</v>
      </c>
      <c r="B156" s="112" t="s">
        <v>143</v>
      </c>
      <c r="C156" s="113" t="s">
        <v>138</v>
      </c>
      <c r="D156" s="75"/>
      <c r="E156" s="110"/>
      <c r="F156" s="71"/>
      <c r="G156" s="114">
        <v>3.7781891356066608</v>
      </c>
      <c r="H156" s="115">
        <v>4.5840789473684209</v>
      </c>
      <c r="I156" s="115">
        <v>3.85</v>
      </c>
      <c r="J156" s="115">
        <v>3.55</v>
      </c>
      <c r="K156" s="115">
        <v>3.8522727272727275</v>
      </c>
      <c r="L156" s="115">
        <v>3.7357894736842105</v>
      </c>
      <c r="M156" s="115">
        <v>3.4867910447761195</v>
      </c>
      <c r="N156" s="115">
        <v>3.48</v>
      </c>
      <c r="O156" s="115">
        <v>3.6307480620155035</v>
      </c>
      <c r="P156" s="115">
        <v>3.9048550724637683</v>
      </c>
      <c r="Q156" s="115">
        <v>3.6145714285714279</v>
      </c>
    </row>
    <row r="157" spans="1:18" s="96" customFormat="1" ht="15.75" customHeight="1" outlineLevel="1">
      <c r="A157" s="73" t="s">
        <v>23</v>
      </c>
      <c r="B157" s="112" t="s">
        <v>139</v>
      </c>
      <c r="C157" s="113" t="s">
        <v>138</v>
      </c>
      <c r="D157" s="75"/>
      <c r="E157" s="110"/>
      <c r="F157" s="71"/>
      <c r="G157" s="114">
        <v>2.7821904760771878</v>
      </c>
      <c r="H157" s="115">
        <v>2.2956529605263158</v>
      </c>
      <c r="I157" s="115">
        <v>2.17</v>
      </c>
      <c r="J157" s="115">
        <v>2.2000000000000002</v>
      </c>
      <c r="K157" s="115">
        <v>2.2896957954545458</v>
      </c>
      <c r="L157" s="115">
        <v>4.6100000000000003</v>
      </c>
      <c r="M157" s="115">
        <v>2.2753644029850744</v>
      </c>
      <c r="N157" s="115">
        <v>6.48</v>
      </c>
      <c r="O157" s="115">
        <v>2.4818503100775193</v>
      </c>
      <c r="P157" s="115">
        <v>2.445844202898551</v>
      </c>
      <c r="Q157" s="115">
        <v>3.2243747936507936</v>
      </c>
    </row>
    <row r="158" spans="1:18" s="96" customFormat="1" ht="15.75" customHeight="1" outlineLevel="1">
      <c r="A158" s="73" t="s">
        <v>23</v>
      </c>
      <c r="B158" s="117" t="s">
        <v>181</v>
      </c>
      <c r="C158" s="113" t="s">
        <v>138</v>
      </c>
      <c r="D158" s="110"/>
      <c r="E158" s="110"/>
      <c r="F158" s="71"/>
      <c r="G158" s="114">
        <v>0.89693946827914361</v>
      </c>
      <c r="H158" s="115">
        <v>1.0959868421052632</v>
      </c>
      <c r="I158" s="115">
        <v>0.91</v>
      </c>
      <c r="J158" s="115">
        <v>0.8230384062499998</v>
      </c>
      <c r="K158" s="115">
        <v>0.92849608712121234</v>
      </c>
      <c r="L158" s="115">
        <v>0.89</v>
      </c>
      <c r="M158" s="115">
        <v>0.82850272388059698</v>
      </c>
      <c r="N158" s="115">
        <v>0.83</v>
      </c>
      <c r="O158" s="115">
        <v>0.8701198356589146</v>
      </c>
      <c r="P158" s="115">
        <v>0.95594253623188408</v>
      </c>
      <c r="Q158" s="115">
        <v>0.85615264285714288</v>
      </c>
    </row>
    <row r="159" spans="1:18" ht="15.75" customHeight="1" outlineLevel="1">
      <c r="A159" s="118" t="s">
        <v>47</v>
      </c>
      <c r="B159" s="102" t="s">
        <v>182</v>
      </c>
      <c r="C159" s="103" t="s">
        <v>119</v>
      </c>
      <c r="D159" s="104"/>
      <c r="E159" s="105"/>
      <c r="F159" s="71"/>
      <c r="G159" s="72">
        <f>SUM(H159:Q159)</f>
        <v>13450.923954300071</v>
      </c>
      <c r="H159" s="72">
        <f>H160*(H163+H164+H165)*1.49*12</f>
        <v>1264.4736</v>
      </c>
      <c r="I159" s="72">
        <f t="shared" ref="I159:Q159" si="78">I160*(I163+I164+I165)*1.49*12</f>
        <v>764.50029606412204</v>
      </c>
      <c r="J159" s="72">
        <f t="shared" si="78"/>
        <v>1082.649489726316</v>
      </c>
      <c r="K159" s="72">
        <f t="shared" si="78"/>
        <v>947.75618997761205</v>
      </c>
      <c r="L159" s="72">
        <f t="shared" si="78"/>
        <v>3882.8707228421054</v>
      </c>
      <c r="M159" s="72">
        <f t="shared" si="78"/>
        <v>1277.5817682537313</v>
      </c>
      <c r="N159" s="72">
        <f t="shared" si="78"/>
        <v>3148.1039148387094</v>
      </c>
      <c r="O159" s="72">
        <f t="shared" si="78"/>
        <v>899.61593058604649</v>
      </c>
      <c r="P159" s="72">
        <f t="shared" si="78"/>
        <v>0</v>
      </c>
      <c r="Q159" s="72">
        <f t="shared" si="78"/>
        <v>183.37204201142856</v>
      </c>
      <c r="R159" s="58"/>
    </row>
    <row r="160" spans="1:18" ht="15.75" customHeight="1" outlineLevel="1">
      <c r="A160" s="111" t="s">
        <v>23</v>
      </c>
      <c r="B160" s="74" t="s">
        <v>142</v>
      </c>
      <c r="C160" s="100" t="s">
        <v>85</v>
      </c>
      <c r="D160" s="119"/>
      <c r="E160" s="110"/>
      <c r="F160" s="71"/>
      <c r="G160" s="137">
        <f t="shared" ref="G160:Q162" si="79">G150-G153</f>
        <v>131</v>
      </c>
      <c r="H160" s="137">
        <f t="shared" si="79"/>
        <v>17</v>
      </c>
      <c r="I160" s="137">
        <f t="shared" si="79"/>
        <v>9</v>
      </c>
      <c r="J160" s="137">
        <f t="shared" si="79"/>
        <v>13</v>
      </c>
      <c r="K160" s="137">
        <f t="shared" si="79"/>
        <v>11</v>
      </c>
      <c r="L160" s="137">
        <f t="shared" si="79"/>
        <v>30</v>
      </c>
      <c r="M160" s="137">
        <f t="shared" si="79"/>
        <v>15</v>
      </c>
      <c r="N160" s="137">
        <f t="shared" si="79"/>
        <v>24</v>
      </c>
      <c r="O160" s="137">
        <f t="shared" si="79"/>
        <v>10</v>
      </c>
      <c r="P160" s="137">
        <f t="shared" si="79"/>
        <v>0</v>
      </c>
      <c r="Q160" s="137">
        <f t="shared" si="79"/>
        <v>2</v>
      </c>
      <c r="R160" s="58"/>
    </row>
    <row r="161" spans="1:18" s="58" customFormat="1" ht="15.75" customHeight="1" outlineLevel="1">
      <c r="A161" s="120"/>
      <c r="B161" s="74" t="s">
        <v>178</v>
      </c>
      <c r="C161" s="100" t="s">
        <v>85</v>
      </c>
      <c r="D161" s="119"/>
      <c r="E161" s="110"/>
      <c r="F161" s="71"/>
      <c r="G161" s="137">
        <f t="shared" si="79"/>
        <v>62</v>
      </c>
      <c r="H161" s="137">
        <f t="shared" si="79"/>
        <v>8</v>
      </c>
      <c r="I161" s="137">
        <f t="shared" si="79"/>
        <v>1</v>
      </c>
      <c r="J161" s="137">
        <f t="shared" si="79"/>
        <v>5</v>
      </c>
      <c r="K161" s="137">
        <f t="shared" si="79"/>
        <v>1</v>
      </c>
      <c r="L161" s="137">
        <f t="shared" si="79"/>
        <v>15</v>
      </c>
      <c r="M161" s="137">
        <f t="shared" si="79"/>
        <v>11</v>
      </c>
      <c r="N161" s="137">
        <f t="shared" si="79"/>
        <v>11</v>
      </c>
      <c r="O161" s="137">
        <f t="shared" si="79"/>
        <v>10</v>
      </c>
      <c r="P161" s="137">
        <f t="shared" si="79"/>
        <v>0</v>
      </c>
      <c r="Q161" s="137">
        <f t="shared" si="79"/>
        <v>0</v>
      </c>
    </row>
    <row r="162" spans="1:18" s="58" customFormat="1" ht="31.5" customHeight="1" outlineLevel="1">
      <c r="A162" s="120"/>
      <c r="B162" s="74" t="s">
        <v>179</v>
      </c>
      <c r="C162" s="100" t="s">
        <v>85</v>
      </c>
      <c r="D162" s="119"/>
      <c r="E162" s="110"/>
      <c r="F162" s="71"/>
      <c r="G162" s="137">
        <f t="shared" si="79"/>
        <v>69</v>
      </c>
      <c r="H162" s="137">
        <f t="shared" si="79"/>
        <v>9</v>
      </c>
      <c r="I162" s="137">
        <f t="shared" si="79"/>
        <v>8</v>
      </c>
      <c r="J162" s="137">
        <f t="shared" si="79"/>
        <v>8</v>
      </c>
      <c r="K162" s="137">
        <f t="shared" si="79"/>
        <v>10</v>
      </c>
      <c r="L162" s="137">
        <f t="shared" si="79"/>
        <v>15</v>
      </c>
      <c r="M162" s="137">
        <f t="shared" si="79"/>
        <v>4</v>
      </c>
      <c r="N162" s="137">
        <f t="shared" si="79"/>
        <v>13</v>
      </c>
      <c r="O162" s="137">
        <f t="shared" si="79"/>
        <v>0</v>
      </c>
      <c r="P162" s="137">
        <f t="shared" si="79"/>
        <v>0</v>
      </c>
      <c r="Q162" s="137">
        <f t="shared" si="79"/>
        <v>2</v>
      </c>
    </row>
    <row r="163" spans="1:18" s="116" customFormat="1" ht="15.75" customHeight="1" outlineLevel="1">
      <c r="A163" s="73" t="s">
        <v>23</v>
      </c>
      <c r="B163" s="112" t="s">
        <v>143</v>
      </c>
      <c r="C163" s="113" t="s">
        <v>138</v>
      </c>
      <c r="D163" s="75"/>
      <c r="E163" s="110"/>
      <c r="F163" s="71"/>
      <c r="G163" s="139">
        <v>2.34</v>
      </c>
      <c r="H163" s="140">
        <v>2.34</v>
      </c>
      <c r="I163" s="140">
        <v>2.34</v>
      </c>
      <c r="J163" s="140">
        <v>2.34</v>
      </c>
      <c r="K163" s="140">
        <v>2.34</v>
      </c>
      <c r="L163" s="140">
        <v>2.34</v>
      </c>
      <c r="M163" s="140">
        <v>2.34</v>
      </c>
      <c r="N163" s="140">
        <v>2.34</v>
      </c>
      <c r="O163" s="140">
        <v>2.34</v>
      </c>
      <c r="P163" s="140">
        <v>2.34</v>
      </c>
      <c r="Q163" s="140">
        <v>2.34</v>
      </c>
      <c r="R163" s="96"/>
    </row>
    <row r="164" spans="1:18" s="96" customFormat="1" ht="15.75" customHeight="1" outlineLevel="1">
      <c r="A164" s="73" t="s">
        <v>23</v>
      </c>
      <c r="B164" s="112" t="s">
        <v>139</v>
      </c>
      <c r="C164" s="113" t="s">
        <v>138</v>
      </c>
      <c r="D164" s="75"/>
      <c r="E164" s="110"/>
      <c r="F164" s="71"/>
      <c r="G164" s="139">
        <v>2.2893952553528942</v>
      </c>
      <c r="H164" s="140">
        <v>1.29</v>
      </c>
      <c r="I164" s="140">
        <v>1.8808096946564885</v>
      </c>
      <c r="J164" s="140">
        <v>1.7877589473684212</v>
      </c>
      <c r="K164" s="140">
        <v>1.9487725746268658</v>
      </c>
      <c r="L164" s="140">
        <v>4.3687597368421045</v>
      </c>
      <c r="M164" s="140">
        <v>1.8935412686567163</v>
      </c>
      <c r="N164" s="140">
        <v>4.4661854838709676</v>
      </c>
      <c r="O164" s="140">
        <v>2.1614090077519377</v>
      </c>
      <c r="P164" s="140">
        <v>1.9947922535211269</v>
      </c>
      <c r="Q164" s="140">
        <v>2.2578535238095236</v>
      </c>
    </row>
    <row r="165" spans="1:18" s="96" customFormat="1" ht="15.75" customHeight="1" outlineLevel="1">
      <c r="A165" s="73" t="s">
        <v>23</v>
      </c>
      <c r="B165" s="117" t="s">
        <v>181</v>
      </c>
      <c r="C165" s="113" t="s">
        <v>138</v>
      </c>
      <c r="D165" s="110"/>
      <c r="E165" s="110"/>
      <c r="F165" s="71"/>
      <c r="G165" s="141">
        <v>0.53</v>
      </c>
      <c r="H165" s="142">
        <v>0.53</v>
      </c>
      <c r="I165" s="142">
        <v>0.53</v>
      </c>
      <c r="J165" s="142">
        <v>0.53</v>
      </c>
      <c r="K165" s="142">
        <v>0.53</v>
      </c>
      <c r="L165" s="142">
        <v>0.53</v>
      </c>
      <c r="M165" s="142">
        <v>0.53</v>
      </c>
      <c r="N165" s="142">
        <v>0.53</v>
      </c>
      <c r="O165" s="142">
        <v>0.53</v>
      </c>
      <c r="P165" s="142">
        <v>0.53</v>
      </c>
      <c r="Q165" s="142">
        <v>0.53</v>
      </c>
    </row>
    <row r="166" spans="1:18" s="58" customFormat="1" ht="15.75" customHeight="1" outlineLevel="1">
      <c r="A166" s="118" t="s">
        <v>52</v>
      </c>
      <c r="B166" s="102" t="s">
        <v>183</v>
      </c>
      <c r="C166" s="103" t="s">
        <v>119</v>
      </c>
      <c r="D166" s="104"/>
      <c r="E166" s="105"/>
      <c r="F166" s="71"/>
      <c r="G166" s="136">
        <f>G167+G173</f>
        <v>215985.99116078555</v>
      </c>
      <c r="H166" s="136">
        <f t="shared" ref="H166:Q166" si="80">H167+H173</f>
        <v>36333.378522000006</v>
      </c>
      <c r="I166" s="136">
        <f t="shared" si="80"/>
        <v>24834.489458243675</v>
      </c>
      <c r="J166" s="136">
        <f t="shared" si="80"/>
        <v>18658.140623284915</v>
      </c>
      <c r="K166" s="136">
        <f t="shared" si="80"/>
        <v>16795.903253553661</v>
      </c>
      <c r="L166" s="136">
        <f t="shared" si="80"/>
        <v>27344.203537272722</v>
      </c>
      <c r="M166" s="136">
        <f t="shared" si="80"/>
        <v>22807.728000000006</v>
      </c>
      <c r="N166" s="136">
        <f t="shared" si="80"/>
        <v>8594.670755612904</v>
      </c>
      <c r="O166" s="136">
        <f t="shared" si="80"/>
        <v>17330.990130000002</v>
      </c>
      <c r="P166" s="136">
        <f t="shared" si="80"/>
        <v>18973.827774000005</v>
      </c>
      <c r="Q166" s="136">
        <f t="shared" si="80"/>
        <v>24312.659106817653</v>
      </c>
    </row>
    <row r="167" spans="1:18" s="58" customFormat="1" ht="15.75" customHeight="1" outlineLevel="1">
      <c r="A167" s="118" t="s">
        <v>45</v>
      </c>
      <c r="B167" s="138" t="s">
        <v>184</v>
      </c>
      <c r="C167" s="103" t="s">
        <v>119</v>
      </c>
      <c r="D167" s="105"/>
      <c r="E167" s="105"/>
      <c r="F167" s="71"/>
      <c r="G167" s="136">
        <f>SUM(H167:Q167)</f>
        <v>203241.94850630258</v>
      </c>
      <c r="H167" s="136">
        <f>H169*(H170+H171+H172)*1.49*12</f>
        <v>32053.621722000007</v>
      </c>
      <c r="I167" s="136">
        <f t="shared" ref="I167:Q167" si="81">I169*(I170+I171+I172)*1.49*12</f>
        <v>22537.024799999999</v>
      </c>
      <c r="J167" s="136">
        <f t="shared" si="81"/>
        <v>17706.400143284915</v>
      </c>
      <c r="K167" s="136">
        <f t="shared" si="81"/>
        <v>15855.219227700003</v>
      </c>
      <c r="L167" s="136">
        <f t="shared" si="81"/>
        <v>25832.612759999996</v>
      </c>
      <c r="M167" s="136">
        <f t="shared" si="81"/>
        <v>21567.571200000006</v>
      </c>
      <c r="N167" s="136">
        <f t="shared" si="81"/>
        <v>8236.6008000000002</v>
      </c>
      <c r="O167" s="136">
        <f t="shared" si="81"/>
        <v>17330.990130000002</v>
      </c>
      <c r="P167" s="136">
        <f t="shared" si="81"/>
        <v>18973.827774000005</v>
      </c>
      <c r="Q167" s="136">
        <f t="shared" si="81"/>
        <v>23148.079949317653</v>
      </c>
    </row>
    <row r="168" spans="1:18" s="58" customFormat="1" ht="15.75" customHeight="1" outlineLevel="1">
      <c r="A168" s="101" t="s">
        <v>23</v>
      </c>
      <c r="B168" s="74" t="s">
        <v>185</v>
      </c>
      <c r="C168" s="100" t="s">
        <v>85</v>
      </c>
      <c r="D168" s="119"/>
      <c r="E168" s="110"/>
      <c r="F168" s="71"/>
      <c r="G168" s="137">
        <f>SUM(H168:Q168)</f>
        <v>2160</v>
      </c>
      <c r="H168" s="137">
        <v>442</v>
      </c>
      <c r="I168" s="137">
        <v>242</v>
      </c>
      <c r="J168" s="137">
        <v>192</v>
      </c>
      <c r="K168" s="137">
        <v>176</v>
      </c>
      <c r="L168" s="137">
        <v>256</v>
      </c>
      <c r="M168" s="137">
        <v>226</v>
      </c>
      <c r="N168" s="137">
        <v>66</v>
      </c>
      <c r="O168" s="137">
        <v>146</v>
      </c>
      <c r="P168" s="137">
        <v>188</v>
      </c>
      <c r="Q168" s="137">
        <v>226</v>
      </c>
    </row>
    <row r="169" spans="1:18" ht="15.75" customHeight="1" outlineLevel="1">
      <c r="A169" s="101" t="s">
        <v>23</v>
      </c>
      <c r="B169" s="74" t="s">
        <v>180</v>
      </c>
      <c r="C169" s="100" t="s">
        <v>85</v>
      </c>
      <c r="D169" s="119"/>
      <c r="E169" s="110"/>
      <c r="F169" s="75"/>
      <c r="G169" s="137">
        <f>SUM(H169:Q169)</f>
        <v>1993</v>
      </c>
      <c r="H169" s="137">
        <v>378</v>
      </c>
      <c r="I169" s="137">
        <v>214</v>
      </c>
      <c r="J169" s="137">
        <v>180</v>
      </c>
      <c r="K169" s="137">
        <v>164</v>
      </c>
      <c r="L169" s="137">
        <v>239</v>
      </c>
      <c r="M169" s="137">
        <v>210</v>
      </c>
      <c r="N169" s="137">
        <v>62</v>
      </c>
      <c r="O169" s="137">
        <v>146</v>
      </c>
      <c r="P169" s="137">
        <v>188</v>
      </c>
      <c r="Q169" s="137">
        <v>212</v>
      </c>
      <c r="R169" s="58"/>
    </row>
    <row r="170" spans="1:18" s="96" customFormat="1" ht="15.75" customHeight="1" outlineLevel="1">
      <c r="A170" s="73" t="s">
        <v>23</v>
      </c>
      <c r="B170" s="112" t="s">
        <v>143</v>
      </c>
      <c r="C170" s="113" t="s">
        <v>138</v>
      </c>
      <c r="D170" s="75"/>
      <c r="E170" s="110"/>
      <c r="F170" s="71"/>
      <c r="G170" s="141">
        <v>2.8679135243841127</v>
      </c>
      <c r="H170" s="143">
        <v>2.8062433862433869</v>
      </c>
      <c r="I170" s="141">
        <v>2.99</v>
      </c>
      <c r="J170" s="141">
        <v>2.86</v>
      </c>
      <c r="K170" s="143">
        <v>2.8753658536585371</v>
      </c>
      <c r="L170" s="143">
        <v>2.8370920502092054</v>
      </c>
      <c r="M170" s="143">
        <v>2.879</v>
      </c>
      <c r="N170" s="141">
        <v>2.7</v>
      </c>
      <c r="O170" s="143">
        <v>3.0500684931506847</v>
      </c>
      <c r="P170" s="143">
        <v>2.8852659574468089</v>
      </c>
      <c r="Q170" s="143">
        <v>3.0201960784313733</v>
      </c>
    </row>
    <row r="171" spans="1:18" s="96" customFormat="1" ht="15.75" customHeight="1" outlineLevel="1">
      <c r="A171" s="73" t="s">
        <v>23</v>
      </c>
      <c r="B171" s="112" t="s">
        <v>139</v>
      </c>
      <c r="C171" s="113" t="s">
        <v>138</v>
      </c>
      <c r="D171" s="75"/>
      <c r="E171" s="110"/>
      <c r="F171" s="71"/>
      <c r="G171" s="141">
        <v>2.0912140221216693</v>
      </c>
      <c r="H171" s="143">
        <v>1.2825291005291004</v>
      </c>
      <c r="I171" s="141">
        <v>2.2000000000000002</v>
      </c>
      <c r="J171" s="141">
        <v>1.951505810055866</v>
      </c>
      <c r="K171" s="143">
        <v>1.8598926829268292</v>
      </c>
      <c r="L171" s="143">
        <v>2.52</v>
      </c>
      <c r="M171" s="143">
        <v>2.2000000000000002</v>
      </c>
      <c r="N171" s="141">
        <v>4.0999999999999996</v>
      </c>
      <c r="O171" s="143">
        <v>2.8790924657534247</v>
      </c>
      <c r="P171" s="143">
        <v>2.0550000000000002</v>
      </c>
      <c r="Q171" s="143">
        <v>2.386821323529412</v>
      </c>
    </row>
    <row r="172" spans="1:18" s="116" customFormat="1" ht="15.75" customHeight="1" outlineLevel="1">
      <c r="A172" s="73" t="s">
        <v>23</v>
      </c>
      <c r="B172" s="117" t="s">
        <v>181</v>
      </c>
      <c r="C172" s="113" t="s">
        <v>138</v>
      </c>
      <c r="D172" s="110"/>
      <c r="E172" s="110"/>
      <c r="F172" s="71"/>
      <c r="G172" s="141">
        <v>0.66871402337858221</v>
      </c>
      <c r="H172" s="143">
        <v>0.65384166666666665</v>
      </c>
      <c r="I172" s="141">
        <v>0.7</v>
      </c>
      <c r="J172" s="141">
        <v>0.69010994413407822</v>
      </c>
      <c r="K172" s="143">
        <v>0.67179772865853671</v>
      </c>
      <c r="L172" s="143">
        <v>0.68799999999999994</v>
      </c>
      <c r="M172" s="143">
        <v>0.66500000000000004</v>
      </c>
      <c r="N172" s="141">
        <v>0.63</v>
      </c>
      <c r="O172" s="143">
        <v>0.70984417808219169</v>
      </c>
      <c r="P172" s="143">
        <v>0.70428749999999996</v>
      </c>
      <c r="Q172" s="143">
        <v>0.69975308823529425</v>
      </c>
      <c r="R172" s="96"/>
    </row>
    <row r="173" spans="1:18" ht="15.75" customHeight="1" outlineLevel="1">
      <c r="A173" s="118" t="s">
        <v>47</v>
      </c>
      <c r="B173" s="102" t="s">
        <v>186</v>
      </c>
      <c r="C173" s="103" t="s">
        <v>119</v>
      </c>
      <c r="D173" s="104"/>
      <c r="E173" s="105"/>
      <c r="F173" s="71"/>
      <c r="G173" s="72">
        <f>SUM(H173:Q173)</f>
        <v>12744.04265448297</v>
      </c>
      <c r="H173" s="72">
        <f>H174*(H175+H176+H177)*1.49*12</f>
        <v>4279.7568000000001</v>
      </c>
      <c r="I173" s="72">
        <f t="shared" ref="I173:Q173" si="82">I174*(I175+I176+I177)*1.49*12</f>
        <v>2297.4646582436781</v>
      </c>
      <c r="J173" s="72">
        <f t="shared" si="82"/>
        <v>951.74047999999993</v>
      </c>
      <c r="K173" s="72">
        <f t="shared" si="82"/>
        <v>940.68402585365857</v>
      </c>
      <c r="L173" s="72">
        <f t="shared" si="82"/>
        <v>1511.5907772727273</v>
      </c>
      <c r="M173" s="72">
        <f t="shared" si="82"/>
        <v>1240.1568</v>
      </c>
      <c r="N173" s="72">
        <f t="shared" si="82"/>
        <v>358.06995561290319</v>
      </c>
      <c r="O173" s="72">
        <f t="shared" si="82"/>
        <v>0</v>
      </c>
      <c r="P173" s="72">
        <f t="shared" si="82"/>
        <v>0</v>
      </c>
      <c r="Q173" s="72">
        <f t="shared" si="82"/>
        <v>1164.5791574999998</v>
      </c>
      <c r="R173" s="58"/>
    </row>
    <row r="174" spans="1:18" ht="15.75" customHeight="1" outlineLevel="1">
      <c r="A174" s="111" t="s">
        <v>23</v>
      </c>
      <c r="B174" s="74" t="s">
        <v>187</v>
      </c>
      <c r="C174" s="100" t="s">
        <v>85</v>
      </c>
      <c r="D174" s="119"/>
      <c r="E174" s="110"/>
      <c r="F174" s="71"/>
      <c r="G174" s="137">
        <f>G168-G169</f>
        <v>167</v>
      </c>
      <c r="H174" s="137">
        <f t="shared" ref="H174:Q174" si="83">H168-H169</f>
        <v>64</v>
      </c>
      <c r="I174" s="137">
        <f t="shared" si="83"/>
        <v>28</v>
      </c>
      <c r="J174" s="137">
        <f t="shared" si="83"/>
        <v>12</v>
      </c>
      <c r="K174" s="137">
        <f t="shared" si="83"/>
        <v>12</v>
      </c>
      <c r="L174" s="137">
        <f t="shared" si="83"/>
        <v>17</v>
      </c>
      <c r="M174" s="137">
        <f t="shared" si="83"/>
        <v>16</v>
      </c>
      <c r="N174" s="137">
        <f t="shared" si="83"/>
        <v>4</v>
      </c>
      <c r="O174" s="137">
        <f t="shared" si="83"/>
        <v>0</v>
      </c>
      <c r="P174" s="137">
        <f t="shared" si="83"/>
        <v>0</v>
      </c>
      <c r="Q174" s="137">
        <f t="shared" si="83"/>
        <v>14</v>
      </c>
      <c r="R174" s="58"/>
    </row>
    <row r="175" spans="1:18" s="116" customFormat="1" ht="15.75" customHeight="1" outlineLevel="1">
      <c r="A175" s="73" t="s">
        <v>23</v>
      </c>
      <c r="B175" s="112" t="s">
        <v>143</v>
      </c>
      <c r="C175" s="113" t="s">
        <v>138</v>
      </c>
      <c r="D175" s="75"/>
      <c r="E175" s="110"/>
      <c r="F175" s="71"/>
      <c r="G175" s="139">
        <v>2.34</v>
      </c>
      <c r="H175" s="139">
        <v>2.34</v>
      </c>
      <c r="I175" s="139">
        <v>2.34</v>
      </c>
      <c r="J175" s="139">
        <v>2.34</v>
      </c>
      <c r="K175" s="139">
        <v>2.34</v>
      </c>
      <c r="L175" s="139">
        <v>2.34</v>
      </c>
      <c r="M175" s="139">
        <v>2.34</v>
      </c>
      <c r="N175" s="139">
        <v>2.34</v>
      </c>
      <c r="O175" s="139">
        <v>2.34</v>
      </c>
      <c r="P175" s="139">
        <v>2.34</v>
      </c>
      <c r="Q175" s="139">
        <v>2.34</v>
      </c>
      <c r="R175" s="96"/>
    </row>
    <row r="176" spans="1:18" s="116" customFormat="1" ht="15.75" customHeight="1" outlineLevel="1">
      <c r="A176" s="73" t="s">
        <v>23</v>
      </c>
      <c r="B176" s="112" t="s">
        <v>139</v>
      </c>
      <c r="C176" s="113" t="s">
        <v>138</v>
      </c>
      <c r="D176" s="75"/>
      <c r="E176" s="110"/>
      <c r="F176" s="71"/>
      <c r="G176" s="139">
        <v>1.5902898893916539</v>
      </c>
      <c r="H176" s="139">
        <v>0.87</v>
      </c>
      <c r="I176" s="139">
        <v>1.7190553256704981</v>
      </c>
      <c r="J176" s="139">
        <v>1.5657777777777779</v>
      </c>
      <c r="K176" s="139">
        <v>1.5142469512195122</v>
      </c>
      <c r="L176" s="139">
        <v>2.1029924242424243</v>
      </c>
      <c r="M176" s="139">
        <v>1.466</v>
      </c>
      <c r="N176" s="139">
        <v>2.1365709677419353</v>
      </c>
      <c r="O176" s="139">
        <v>1.5127241379310346</v>
      </c>
      <c r="P176" s="139">
        <v>1.3801310483870968</v>
      </c>
      <c r="Q176" s="139">
        <v>1.7823616071428572</v>
      </c>
      <c r="R176" s="96"/>
    </row>
    <row r="177" spans="1:18" s="116" customFormat="1" ht="15.75" customHeight="1" outlineLevel="1">
      <c r="A177" s="73" t="s">
        <v>23</v>
      </c>
      <c r="B177" s="117" t="s">
        <v>181</v>
      </c>
      <c r="C177" s="113" t="s">
        <v>138</v>
      </c>
      <c r="D177" s="110"/>
      <c r="E177" s="110"/>
      <c r="F177" s="71"/>
      <c r="G177" s="139">
        <v>0.53</v>
      </c>
      <c r="H177" s="139">
        <v>0.53</v>
      </c>
      <c r="I177" s="139">
        <v>0.53</v>
      </c>
      <c r="J177" s="139">
        <v>0.53</v>
      </c>
      <c r="K177" s="139">
        <v>0.53</v>
      </c>
      <c r="L177" s="139">
        <v>0.53</v>
      </c>
      <c r="M177" s="139">
        <v>0.52900000000000003</v>
      </c>
      <c r="N177" s="139">
        <v>0.53</v>
      </c>
      <c r="O177" s="139">
        <v>0.53</v>
      </c>
      <c r="P177" s="139">
        <v>0.53</v>
      </c>
      <c r="Q177" s="139">
        <v>0.53</v>
      </c>
      <c r="R177" s="96"/>
    </row>
    <row r="178" spans="1:18" ht="15.75" customHeight="1" outlineLevel="1">
      <c r="A178" s="118" t="s">
        <v>53</v>
      </c>
      <c r="B178" s="102" t="s">
        <v>188</v>
      </c>
      <c r="C178" s="103" t="s">
        <v>119</v>
      </c>
      <c r="D178" s="104"/>
      <c r="E178" s="105"/>
      <c r="F178" s="71"/>
      <c r="G178" s="105">
        <f>G179+G182</f>
        <v>13967.856</v>
      </c>
      <c r="H178" s="105">
        <f t="shared" ref="H178:Q178" si="84">H179+H182</f>
        <v>2723.1239999999998</v>
      </c>
      <c r="I178" s="105">
        <f t="shared" si="84"/>
        <v>1612.7759999999998</v>
      </c>
      <c r="J178" s="105">
        <f t="shared" si="84"/>
        <v>1337.424</v>
      </c>
      <c r="K178" s="105">
        <f t="shared" si="84"/>
        <v>1244.4480000000001</v>
      </c>
      <c r="L178" s="105">
        <f t="shared" si="84"/>
        <v>1464.3719999999998</v>
      </c>
      <c r="M178" s="105">
        <f t="shared" si="84"/>
        <v>1460.7959999999998</v>
      </c>
      <c r="N178" s="105">
        <f t="shared" si="84"/>
        <v>557.85599999999999</v>
      </c>
      <c r="O178" s="105">
        <f t="shared" si="84"/>
        <v>997.70399999999995</v>
      </c>
      <c r="P178" s="105">
        <f t="shared" si="84"/>
        <v>1137.1679999999999</v>
      </c>
      <c r="Q178" s="105">
        <f t="shared" si="84"/>
        <v>1432.1880000000001</v>
      </c>
      <c r="R178" s="58"/>
    </row>
    <row r="179" spans="1:18" s="145" customFormat="1" ht="23.1" customHeight="1" outlineLevel="1">
      <c r="A179" s="118"/>
      <c r="B179" s="102" t="s">
        <v>189</v>
      </c>
      <c r="C179" s="103"/>
      <c r="D179" s="102"/>
      <c r="E179" s="121"/>
      <c r="F179" s="97"/>
      <c r="G179" s="121">
        <f>G181</f>
        <v>2252.8799999999997</v>
      </c>
      <c r="H179" s="121">
        <f t="shared" ref="H179:Q179" si="85">H181</f>
        <v>250.32</v>
      </c>
      <c r="I179" s="121">
        <f t="shared" si="85"/>
        <v>250.32</v>
      </c>
      <c r="J179" s="121">
        <f t="shared" si="85"/>
        <v>221.71200000000002</v>
      </c>
      <c r="K179" s="121">
        <f t="shared" si="85"/>
        <v>236.01600000000002</v>
      </c>
      <c r="L179" s="121">
        <f t="shared" si="85"/>
        <v>214.56</v>
      </c>
      <c r="M179" s="121">
        <f t="shared" si="85"/>
        <v>221.71200000000002</v>
      </c>
      <c r="N179" s="121">
        <f t="shared" si="85"/>
        <v>214.56</v>
      </c>
      <c r="O179" s="121">
        <f t="shared" si="85"/>
        <v>214.56</v>
      </c>
      <c r="P179" s="121">
        <f t="shared" si="85"/>
        <v>214.56</v>
      </c>
      <c r="Q179" s="121">
        <f t="shared" si="85"/>
        <v>214.56</v>
      </c>
      <c r="R179" s="144"/>
    </row>
    <row r="180" spans="1:18" s="147" customFormat="1" ht="23.1" customHeight="1" outlineLevel="1">
      <c r="A180" s="120"/>
      <c r="B180" s="74" t="s">
        <v>190</v>
      </c>
      <c r="C180" s="100"/>
      <c r="D180" s="74"/>
      <c r="E180" s="122"/>
      <c r="F180" s="134"/>
      <c r="G180" s="122">
        <f>H180+I180+J180+K180+L180+M180+N180+O180+P180+Q180</f>
        <v>315</v>
      </c>
      <c r="H180" s="122">
        <v>35</v>
      </c>
      <c r="I180" s="122">
        <v>35</v>
      </c>
      <c r="J180" s="122">
        <v>31</v>
      </c>
      <c r="K180" s="122">
        <v>33</v>
      </c>
      <c r="L180" s="122">
        <v>30</v>
      </c>
      <c r="M180" s="122">
        <v>31</v>
      </c>
      <c r="N180" s="122">
        <v>30</v>
      </c>
      <c r="O180" s="122">
        <v>30</v>
      </c>
      <c r="P180" s="122">
        <v>30</v>
      </c>
      <c r="Q180" s="122">
        <v>30</v>
      </c>
      <c r="R180" s="146"/>
    </row>
    <row r="181" spans="1:18" s="147" customFormat="1" ht="23.1" customHeight="1" outlineLevel="1">
      <c r="A181" s="120"/>
      <c r="B181" s="74" t="s">
        <v>191</v>
      </c>
      <c r="C181" s="100"/>
      <c r="D181" s="74"/>
      <c r="E181" s="122"/>
      <c r="F181" s="134"/>
      <c r="G181" s="122">
        <f>H181+I181+J181+K181+L181+M181+N181+O181+P181+Q181</f>
        <v>2252.8799999999997</v>
      </c>
      <c r="H181" s="122">
        <f>H180*12*0.4*1.49</f>
        <v>250.32</v>
      </c>
      <c r="I181" s="122">
        <f t="shared" ref="I181:Q181" si="86">I180*12*0.4*1.49</f>
        <v>250.32</v>
      </c>
      <c r="J181" s="122">
        <f t="shared" si="86"/>
        <v>221.71200000000002</v>
      </c>
      <c r="K181" s="122">
        <f t="shared" si="86"/>
        <v>236.01600000000002</v>
      </c>
      <c r="L181" s="122">
        <f t="shared" si="86"/>
        <v>214.56</v>
      </c>
      <c r="M181" s="122">
        <f t="shared" si="86"/>
        <v>221.71200000000002</v>
      </c>
      <c r="N181" s="122">
        <f t="shared" si="86"/>
        <v>214.56</v>
      </c>
      <c r="O181" s="122">
        <f t="shared" si="86"/>
        <v>214.56</v>
      </c>
      <c r="P181" s="122">
        <f t="shared" si="86"/>
        <v>214.56</v>
      </c>
      <c r="Q181" s="122">
        <f t="shared" si="86"/>
        <v>214.56</v>
      </c>
      <c r="R181" s="146"/>
    </row>
    <row r="182" spans="1:18" s="145" customFormat="1" ht="23.1" customHeight="1" outlineLevel="1">
      <c r="A182" s="118"/>
      <c r="B182" s="102" t="s">
        <v>192</v>
      </c>
      <c r="C182" s="103"/>
      <c r="D182" s="102"/>
      <c r="E182" s="121"/>
      <c r="F182" s="97"/>
      <c r="G182" s="121">
        <f>G184</f>
        <v>11714.976000000001</v>
      </c>
      <c r="H182" s="121">
        <f t="shared" ref="H182:Q182" si="87">H184</f>
        <v>2472.8039999999996</v>
      </c>
      <c r="I182" s="121">
        <f t="shared" si="87"/>
        <v>1362.4559999999999</v>
      </c>
      <c r="J182" s="121">
        <f t="shared" si="87"/>
        <v>1115.712</v>
      </c>
      <c r="K182" s="121">
        <f t="shared" si="87"/>
        <v>1008.432</v>
      </c>
      <c r="L182" s="121">
        <f t="shared" si="87"/>
        <v>1249.8119999999999</v>
      </c>
      <c r="M182" s="121">
        <f t="shared" si="87"/>
        <v>1239.0839999999998</v>
      </c>
      <c r="N182" s="121">
        <f t="shared" si="87"/>
        <v>343.29599999999999</v>
      </c>
      <c r="O182" s="121">
        <f t="shared" si="87"/>
        <v>783.14400000000001</v>
      </c>
      <c r="P182" s="121">
        <f t="shared" si="87"/>
        <v>922.60799999999983</v>
      </c>
      <c r="Q182" s="121">
        <f t="shared" si="87"/>
        <v>1217.6280000000002</v>
      </c>
      <c r="R182" s="144"/>
    </row>
    <row r="183" spans="1:18" s="147" customFormat="1" ht="23.1" customHeight="1" outlineLevel="1">
      <c r="A183" s="120"/>
      <c r="B183" s="74" t="s">
        <v>190</v>
      </c>
      <c r="C183" s="100"/>
      <c r="D183" s="74"/>
      <c r="E183" s="122"/>
      <c r="F183" s="134"/>
      <c r="G183" s="122">
        <f>H183+I183+J183+K183+L183+M183+N183+O183+P183+Q183</f>
        <v>2184</v>
      </c>
      <c r="H183" s="122">
        <v>461</v>
      </c>
      <c r="I183" s="122">
        <v>254</v>
      </c>
      <c r="J183" s="122">
        <v>208</v>
      </c>
      <c r="K183" s="122">
        <v>188</v>
      </c>
      <c r="L183" s="122">
        <v>233</v>
      </c>
      <c r="M183" s="122">
        <v>231</v>
      </c>
      <c r="N183" s="122">
        <v>64</v>
      </c>
      <c r="O183" s="122">
        <v>146</v>
      </c>
      <c r="P183" s="122">
        <v>172</v>
      </c>
      <c r="Q183" s="122">
        <v>227</v>
      </c>
      <c r="R183" s="146"/>
    </row>
    <row r="184" spans="1:18" s="147" customFormat="1" ht="23.1" customHeight="1" outlineLevel="1">
      <c r="A184" s="120"/>
      <c r="B184" s="74" t="s">
        <v>191</v>
      </c>
      <c r="C184" s="100"/>
      <c r="D184" s="74"/>
      <c r="E184" s="122"/>
      <c r="F184" s="134"/>
      <c r="G184" s="122">
        <f>H184+I184+J184+K184+L184+M184+N184+O184+P184+Q184</f>
        <v>11714.976000000001</v>
      </c>
      <c r="H184" s="122">
        <f>H183*1.49*0.3*12</f>
        <v>2472.8039999999996</v>
      </c>
      <c r="I184" s="122">
        <f t="shared" ref="I184:O184" si="88">I183*1.49*0.3*12</f>
        <v>1362.4559999999999</v>
      </c>
      <c r="J184" s="122">
        <f t="shared" si="88"/>
        <v>1115.712</v>
      </c>
      <c r="K184" s="122">
        <f t="shared" si="88"/>
        <v>1008.432</v>
      </c>
      <c r="L184" s="122">
        <f t="shared" si="88"/>
        <v>1249.8119999999999</v>
      </c>
      <c r="M184" s="122">
        <f t="shared" si="88"/>
        <v>1239.0839999999998</v>
      </c>
      <c r="N184" s="122">
        <f t="shared" si="88"/>
        <v>343.29599999999999</v>
      </c>
      <c r="O184" s="122">
        <f t="shared" si="88"/>
        <v>783.14400000000001</v>
      </c>
      <c r="P184" s="122">
        <f>P183*1.49*0.3*12</f>
        <v>922.60799999999983</v>
      </c>
      <c r="Q184" s="122">
        <f>Q183*1.49*0.3*12</f>
        <v>1217.6280000000002</v>
      </c>
      <c r="R184" s="146"/>
    </row>
    <row r="185" spans="1:18" ht="31.5" customHeight="1" outlineLevel="1">
      <c r="A185" s="118" t="s">
        <v>56</v>
      </c>
      <c r="B185" s="102" t="s">
        <v>193</v>
      </c>
      <c r="C185" s="103" t="s">
        <v>119</v>
      </c>
      <c r="D185" s="104"/>
      <c r="E185" s="105"/>
      <c r="F185" s="71"/>
      <c r="G185" s="105">
        <f>G186+G193</f>
        <v>80238.288</v>
      </c>
      <c r="H185" s="105">
        <f t="shared" ref="H185:Q185" si="89">H186+H193</f>
        <v>15618.18</v>
      </c>
      <c r="I185" s="105">
        <f t="shared" si="89"/>
        <v>9440.64</v>
      </c>
      <c r="J185" s="105">
        <f t="shared" si="89"/>
        <v>6438.5879999999997</v>
      </c>
      <c r="K185" s="105">
        <f t="shared" si="89"/>
        <v>8046</v>
      </c>
      <c r="L185" s="105">
        <f t="shared" si="89"/>
        <v>10402.583999999999</v>
      </c>
      <c r="M185" s="105">
        <f t="shared" si="89"/>
        <v>7466.6880000000001</v>
      </c>
      <c r="N185" s="105">
        <f t="shared" si="89"/>
        <v>2735.6400000000003</v>
      </c>
      <c r="O185" s="105">
        <f t="shared" si="89"/>
        <v>4747.1399999999994</v>
      </c>
      <c r="P185" s="105">
        <f t="shared" si="89"/>
        <v>7339.74</v>
      </c>
      <c r="Q185" s="105">
        <f t="shared" si="89"/>
        <v>8003.0880000000006</v>
      </c>
      <c r="R185" s="58"/>
    </row>
    <row r="186" spans="1:18" ht="31.5" customHeight="1" outlineLevel="1">
      <c r="A186" s="101" t="s">
        <v>45</v>
      </c>
      <c r="B186" s="102" t="s">
        <v>194</v>
      </c>
      <c r="C186" s="103" t="s">
        <v>119</v>
      </c>
      <c r="D186" s="104"/>
      <c r="E186" s="105"/>
      <c r="F186" s="71"/>
      <c r="G186" s="105">
        <f>G187+G190</f>
        <v>27206.207999999999</v>
      </c>
      <c r="H186" s="105">
        <f t="shared" ref="H186:Q186" si="90">H187+H190</f>
        <v>5390.82</v>
      </c>
      <c r="I186" s="105">
        <f t="shared" si="90"/>
        <v>3146.88</v>
      </c>
      <c r="J186" s="105">
        <f t="shared" si="90"/>
        <v>2451.348</v>
      </c>
      <c r="K186" s="105">
        <f t="shared" si="90"/>
        <v>2288.64</v>
      </c>
      <c r="L186" s="105">
        <f t="shared" si="90"/>
        <v>3268.4639999999999</v>
      </c>
      <c r="M186" s="105">
        <f t="shared" si="90"/>
        <v>2817.8879999999999</v>
      </c>
      <c r="N186" s="105">
        <f t="shared" si="90"/>
        <v>858.24</v>
      </c>
      <c r="O186" s="105">
        <f t="shared" si="90"/>
        <v>1796.94</v>
      </c>
      <c r="P186" s="105">
        <f t="shared" si="90"/>
        <v>2369.1</v>
      </c>
      <c r="Q186" s="105">
        <f t="shared" si="90"/>
        <v>2817.8879999999999</v>
      </c>
      <c r="R186" s="58"/>
    </row>
    <row r="187" spans="1:18" s="147" customFormat="1" ht="15.75" customHeight="1" outlineLevel="1">
      <c r="A187" s="118"/>
      <c r="B187" s="148" t="s">
        <v>195</v>
      </c>
      <c r="C187" s="103"/>
      <c r="D187" s="148"/>
      <c r="E187" s="122"/>
      <c r="F187" s="97"/>
      <c r="G187" s="122">
        <f>G189</f>
        <v>15448.319999999998</v>
      </c>
      <c r="H187" s="122">
        <f t="shared" ref="H187:Q187" si="91">H189</f>
        <v>1716.48</v>
      </c>
      <c r="I187" s="122">
        <f t="shared" si="91"/>
        <v>3146.88</v>
      </c>
      <c r="J187" s="122">
        <f t="shared" si="91"/>
        <v>1716.48</v>
      </c>
      <c r="K187" s="122">
        <f t="shared" si="91"/>
        <v>2288.64</v>
      </c>
      <c r="L187" s="122">
        <f t="shared" si="91"/>
        <v>2288.64</v>
      </c>
      <c r="M187" s="122">
        <f t="shared" si="91"/>
        <v>858.24</v>
      </c>
      <c r="N187" s="122">
        <f t="shared" si="91"/>
        <v>858.24</v>
      </c>
      <c r="O187" s="122">
        <f t="shared" si="91"/>
        <v>572.16</v>
      </c>
      <c r="P187" s="122">
        <f t="shared" si="91"/>
        <v>1144.32</v>
      </c>
      <c r="Q187" s="122">
        <f t="shared" si="91"/>
        <v>858.24</v>
      </c>
      <c r="R187" s="144"/>
    </row>
    <row r="188" spans="1:18" s="147" customFormat="1" ht="15.75" customHeight="1" outlineLevel="1">
      <c r="A188" s="118"/>
      <c r="B188" s="148" t="s">
        <v>196</v>
      </c>
      <c r="C188" s="103"/>
      <c r="D188" s="148"/>
      <c r="E188" s="122"/>
      <c r="F188" s="97"/>
      <c r="G188" s="122">
        <f>SUM(H188:Q188)</f>
        <v>54</v>
      </c>
      <c r="H188" s="122">
        <v>6</v>
      </c>
      <c r="I188" s="122">
        <v>11</v>
      </c>
      <c r="J188" s="122">
        <v>6</v>
      </c>
      <c r="K188" s="122">
        <v>8</v>
      </c>
      <c r="L188" s="122">
        <v>8</v>
      </c>
      <c r="M188" s="122">
        <v>3</v>
      </c>
      <c r="N188" s="122">
        <v>3</v>
      </c>
      <c r="O188" s="122">
        <v>2</v>
      </c>
      <c r="P188" s="122">
        <v>4</v>
      </c>
      <c r="Q188" s="122">
        <v>3</v>
      </c>
      <c r="R188" s="144"/>
    </row>
    <row r="189" spans="1:18" s="147" customFormat="1" ht="15.75" customHeight="1" outlineLevel="1">
      <c r="A189" s="118"/>
      <c r="B189" s="148" t="s">
        <v>197</v>
      </c>
      <c r="C189" s="103"/>
      <c r="D189" s="148"/>
      <c r="E189" s="122"/>
      <c r="F189" s="97"/>
      <c r="G189" s="122">
        <f>SUM(H189:Q189)</f>
        <v>15448.319999999998</v>
      </c>
      <c r="H189" s="122">
        <f>H188*16*1.49*12</f>
        <v>1716.48</v>
      </c>
      <c r="I189" s="122">
        <f t="shared" ref="I189:Q189" si="92">I188*16*1.49*12</f>
        <v>3146.88</v>
      </c>
      <c r="J189" s="122">
        <f t="shared" si="92"/>
        <v>1716.48</v>
      </c>
      <c r="K189" s="122">
        <f t="shared" si="92"/>
        <v>2288.64</v>
      </c>
      <c r="L189" s="122">
        <f t="shared" si="92"/>
        <v>2288.64</v>
      </c>
      <c r="M189" s="122">
        <f t="shared" si="92"/>
        <v>858.24</v>
      </c>
      <c r="N189" s="122">
        <f t="shared" si="92"/>
        <v>858.24</v>
      </c>
      <c r="O189" s="122">
        <f t="shared" si="92"/>
        <v>572.16</v>
      </c>
      <c r="P189" s="122">
        <f t="shared" si="92"/>
        <v>1144.32</v>
      </c>
      <c r="Q189" s="122">
        <f t="shared" si="92"/>
        <v>858.24</v>
      </c>
      <c r="R189" s="144"/>
    </row>
    <row r="190" spans="1:18" s="147" customFormat="1" ht="15.75" customHeight="1" outlineLevel="1">
      <c r="A190" s="118"/>
      <c r="B190" s="148" t="s">
        <v>198</v>
      </c>
      <c r="C190" s="103"/>
      <c r="D190" s="148"/>
      <c r="E190" s="122"/>
      <c r="F190" s="97"/>
      <c r="G190" s="122">
        <f>G192</f>
        <v>11757.888000000003</v>
      </c>
      <c r="H190" s="122">
        <f t="shared" ref="H190:Q190" si="93">H192</f>
        <v>3674.34</v>
      </c>
      <c r="I190" s="122">
        <f t="shared" si="93"/>
        <v>0</v>
      </c>
      <c r="J190" s="122">
        <f t="shared" si="93"/>
        <v>734.86799999999994</v>
      </c>
      <c r="K190" s="122">
        <f t="shared" si="93"/>
        <v>0</v>
      </c>
      <c r="L190" s="122">
        <f t="shared" si="93"/>
        <v>979.82400000000007</v>
      </c>
      <c r="M190" s="122">
        <f t="shared" si="93"/>
        <v>1959.6480000000001</v>
      </c>
      <c r="N190" s="122">
        <f t="shared" si="93"/>
        <v>0</v>
      </c>
      <c r="O190" s="122">
        <f t="shared" si="93"/>
        <v>1224.78</v>
      </c>
      <c r="P190" s="122">
        <f t="shared" si="93"/>
        <v>1224.78</v>
      </c>
      <c r="Q190" s="122">
        <f t="shared" si="93"/>
        <v>1959.6480000000001</v>
      </c>
      <c r="R190" s="144"/>
    </row>
    <row r="191" spans="1:18" s="147" customFormat="1" ht="15.75" customHeight="1" outlineLevel="1">
      <c r="A191" s="118"/>
      <c r="B191" s="148" t="s">
        <v>196</v>
      </c>
      <c r="C191" s="103"/>
      <c r="D191" s="148"/>
      <c r="E191" s="122"/>
      <c r="F191" s="97"/>
      <c r="G191" s="122">
        <f>SUM(H191:Q191)</f>
        <v>48</v>
      </c>
      <c r="H191" s="122">
        <v>15</v>
      </c>
      <c r="I191" s="122">
        <v>0</v>
      </c>
      <c r="J191" s="122">
        <v>3</v>
      </c>
      <c r="K191" s="122"/>
      <c r="L191" s="122">
        <v>4</v>
      </c>
      <c r="M191" s="122">
        <v>8</v>
      </c>
      <c r="N191" s="122">
        <v>0</v>
      </c>
      <c r="O191" s="122">
        <v>5</v>
      </c>
      <c r="P191" s="122">
        <v>5</v>
      </c>
      <c r="Q191" s="122">
        <v>8</v>
      </c>
      <c r="R191" s="144"/>
    </row>
    <row r="192" spans="1:18" s="147" customFormat="1" ht="15.75" customHeight="1" outlineLevel="1">
      <c r="A192" s="118"/>
      <c r="B192" s="148" t="s">
        <v>197</v>
      </c>
      <c r="C192" s="103"/>
      <c r="D192" s="148"/>
      <c r="E192" s="122"/>
      <c r="F192" s="97"/>
      <c r="G192" s="122">
        <f>SUM(H192:Q192)</f>
        <v>11757.888000000003</v>
      </c>
      <c r="H192" s="122">
        <f>H191*13.7*1.49*12</f>
        <v>3674.34</v>
      </c>
      <c r="I192" s="122">
        <f t="shared" ref="I192:Q192" si="94">I191*13.7*1.49*12</f>
        <v>0</v>
      </c>
      <c r="J192" s="122">
        <f t="shared" si="94"/>
        <v>734.86799999999994</v>
      </c>
      <c r="K192" s="122">
        <f t="shared" si="94"/>
        <v>0</v>
      </c>
      <c r="L192" s="122">
        <f t="shared" si="94"/>
        <v>979.82400000000007</v>
      </c>
      <c r="M192" s="122">
        <f t="shared" si="94"/>
        <v>1959.6480000000001</v>
      </c>
      <c r="N192" s="122">
        <f t="shared" si="94"/>
        <v>0</v>
      </c>
      <c r="O192" s="122">
        <f t="shared" si="94"/>
        <v>1224.78</v>
      </c>
      <c r="P192" s="122">
        <f t="shared" si="94"/>
        <v>1224.78</v>
      </c>
      <c r="Q192" s="122">
        <f t="shared" si="94"/>
        <v>1959.6480000000001</v>
      </c>
      <c r="R192" s="144"/>
    </row>
    <row r="193" spans="1:18" ht="15.75" customHeight="1" outlineLevel="1">
      <c r="A193" s="101" t="s">
        <v>47</v>
      </c>
      <c r="B193" s="149" t="s">
        <v>199</v>
      </c>
      <c r="C193" s="103" t="s">
        <v>119</v>
      </c>
      <c r="D193" s="150"/>
      <c r="E193" s="105"/>
      <c r="F193" s="71"/>
      <c r="G193" s="105">
        <f>G194+G197</f>
        <v>53032.08</v>
      </c>
      <c r="H193" s="105">
        <f t="shared" ref="H193:Q193" si="95">H194+H197</f>
        <v>10227.36</v>
      </c>
      <c r="I193" s="105">
        <f t="shared" si="95"/>
        <v>6293.76</v>
      </c>
      <c r="J193" s="105">
        <f t="shared" si="95"/>
        <v>3987.24</v>
      </c>
      <c r="K193" s="105">
        <f t="shared" si="95"/>
        <v>5757.3600000000006</v>
      </c>
      <c r="L193" s="105">
        <f t="shared" si="95"/>
        <v>7134.12</v>
      </c>
      <c r="M193" s="105">
        <f t="shared" si="95"/>
        <v>4648.8</v>
      </c>
      <c r="N193" s="105">
        <f t="shared" si="95"/>
        <v>1877.4</v>
      </c>
      <c r="O193" s="105">
        <f t="shared" si="95"/>
        <v>2950.2</v>
      </c>
      <c r="P193" s="105">
        <f t="shared" si="95"/>
        <v>4970.6399999999994</v>
      </c>
      <c r="Q193" s="105">
        <f t="shared" si="95"/>
        <v>5185.2000000000007</v>
      </c>
      <c r="R193" s="58"/>
    </row>
    <row r="194" spans="1:18" s="147" customFormat="1" ht="73.5" customHeight="1" outlineLevel="1">
      <c r="A194" s="111" t="s">
        <v>200</v>
      </c>
      <c r="B194" s="148" t="s">
        <v>201</v>
      </c>
      <c r="C194" s="151"/>
      <c r="D194" s="148"/>
      <c r="E194" s="122"/>
      <c r="F194" s="134"/>
      <c r="G194" s="122">
        <f>G196</f>
        <v>31200.6</v>
      </c>
      <c r="H194" s="122">
        <f t="shared" ref="H194:Q194" si="96">H196</f>
        <v>4917</v>
      </c>
      <c r="I194" s="122">
        <f t="shared" si="96"/>
        <v>4470</v>
      </c>
      <c r="J194" s="122">
        <f t="shared" si="96"/>
        <v>1788</v>
      </c>
      <c r="K194" s="122">
        <f t="shared" si="96"/>
        <v>5274.6</v>
      </c>
      <c r="L194" s="122">
        <f t="shared" si="96"/>
        <v>5364</v>
      </c>
      <c r="M194" s="122">
        <f t="shared" si="96"/>
        <v>3039.6</v>
      </c>
      <c r="N194" s="122">
        <f t="shared" si="96"/>
        <v>1877.4</v>
      </c>
      <c r="O194" s="122">
        <f t="shared" si="96"/>
        <v>804.6</v>
      </c>
      <c r="P194" s="122">
        <f t="shared" si="96"/>
        <v>2235</v>
      </c>
      <c r="Q194" s="122">
        <f t="shared" si="96"/>
        <v>1430.4</v>
      </c>
      <c r="R194" s="146"/>
    </row>
    <row r="195" spans="1:18" s="147" customFormat="1" ht="23.1" customHeight="1" outlineLevel="1">
      <c r="A195" s="101"/>
      <c r="B195" s="148" t="s">
        <v>190</v>
      </c>
      <c r="C195" s="151"/>
      <c r="D195" s="148"/>
      <c r="E195" s="121"/>
      <c r="F195" s="97"/>
      <c r="G195" s="122">
        <f>H195+I195+J195+K195+L195+M195+N195+O195+P195+Q195</f>
        <v>349</v>
      </c>
      <c r="H195" s="122">
        <v>55</v>
      </c>
      <c r="I195" s="122">
        <v>50</v>
      </c>
      <c r="J195" s="122">
        <v>20</v>
      </c>
      <c r="K195" s="122">
        <v>59</v>
      </c>
      <c r="L195" s="122">
        <v>60</v>
      </c>
      <c r="M195" s="122">
        <v>34</v>
      </c>
      <c r="N195" s="122">
        <v>21</v>
      </c>
      <c r="O195" s="122">
        <v>9</v>
      </c>
      <c r="P195" s="122">
        <v>25</v>
      </c>
      <c r="Q195" s="122">
        <v>16</v>
      </c>
      <c r="R195" s="144"/>
    </row>
    <row r="196" spans="1:18" s="147" customFormat="1" ht="23.1" customHeight="1" outlineLevel="1">
      <c r="A196" s="101"/>
      <c r="B196" s="148" t="s">
        <v>202</v>
      </c>
      <c r="C196" s="151"/>
      <c r="D196" s="98">
        <v>5</v>
      </c>
      <c r="E196" s="121"/>
      <c r="F196" s="97"/>
      <c r="G196" s="122">
        <f>H196+I196+J196+K196+L196+M196+N196+O196+P196+Q196</f>
        <v>31200.6</v>
      </c>
      <c r="H196" s="122">
        <f>H195*5*12*1.49</f>
        <v>4917</v>
      </c>
      <c r="I196" s="122">
        <f t="shared" ref="I196:Q196" si="97">I195*5*12*1.49</f>
        <v>4470</v>
      </c>
      <c r="J196" s="122">
        <f t="shared" si="97"/>
        <v>1788</v>
      </c>
      <c r="K196" s="122">
        <f t="shared" si="97"/>
        <v>5274.6</v>
      </c>
      <c r="L196" s="122">
        <f t="shared" si="97"/>
        <v>5364</v>
      </c>
      <c r="M196" s="122">
        <f t="shared" si="97"/>
        <v>3039.6</v>
      </c>
      <c r="N196" s="122">
        <f t="shared" si="97"/>
        <v>1877.4</v>
      </c>
      <c r="O196" s="122">
        <f t="shared" si="97"/>
        <v>804.6</v>
      </c>
      <c r="P196" s="122">
        <f t="shared" si="97"/>
        <v>2235</v>
      </c>
      <c r="Q196" s="122">
        <f t="shared" si="97"/>
        <v>1430.4</v>
      </c>
      <c r="R196" s="144"/>
    </row>
    <row r="197" spans="1:18" s="147" customFormat="1" ht="23.1" customHeight="1" outlineLevel="1">
      <c r="A197" s="101" t="s">
        <v>200</v>
      </c>
      <c r="B197" s="148" t="s">
        <v>203</v>
      </c>
      <c r="C197" s="151"/>
      <c r="D197" s="148"/>
      <c r="E197" s="121"/>
      <c r="F197" s="97"/>
      <c r="G197" s="122">
        <f>G199</f>
        <v>21831.480000000003</v>
      </c>
      <c r="H197" s="122">
        <f t="shared" ref="H197:Q197" si="98">H199</f>
        <v>5310.36</v>
      </c>
      <c r="I197" s="122">
        <f t="shared" si="98"/>
        <v>1823.76</v>
      </c>
      <c r="J197" s="122">
        <f t="shared" si="98"/>
        <v>2199.2399999999998</v>
      </c>
      <c r="K197" s="122">
        <f t="shared" si="98"/>
        <v>482.76</v>
      </c>
      <c r="L197" s="122">
        <f t="shared" si="98"/>
        <v>1770.12</v>
      </c>
      <c r="M197" s="122">
        <f t="shared" si="98"/>
        <v>1609.2</v>
      </c>
      <c r="N197" s="122">
        <f t="shared" si="98"/>
        <v>0</v>
      </c>
      <c r="O197" s="122">
        <f t="shared" si="98"/>
        <v>2145.6</v>
      </c>
      <c r="P197" s="122">
        <f t="shared" si="98"/>
        <v>2735.64</v>
      </c>
      <c r="Q197" s="122">
        <f t="shared" si="98"/>
        <v>3754.8</v>
      </c>
      <c r="R197" s="144"/>
    </row>
    <row r="198" spans="1:18" s="147" customFormat="1" ht="23.1" customHeight="1" outlineLevel="1">
      <c r="A198" s="101"/>
      <c r="B198" s="148" t="s">
        <v>190</v>
      </c>
      <c r="C198" s="151"/>
      <c r="D198" s="148"/>
      <c r="E198" s="121"/>
      <c r="F198" s="97"/>
      <c r="G198" s="122">
        <f>H198+I198+J198+K198+L198+M198+N198+O198+P198+Q198</f>
        <v>407</v>
      </c>
      <c r="H198" s="122">
        <v>99</v>
      </c>
      <c r="I198" s="122">
        <f>84-50</f>
        <v>34</v>
      </c>
      <c r="J198" s="122">
        <f>61-20</f>
        <v>41</v>
      </c>
      <c r="K198" s="122">
        <v>9</v>
      </c>
      <c r="L198" s="122">
        <v>33</v>
      </c>
      <c r="M198" s="122">
        <v>30</v>
      </c>
      <c r="N198" s="122"/>
      <c r="O198" s="122">
        <v>40</v>
      </c>
      <c r="P198" s="122">
        <f>76-25</f>
        <v>51</v>
      </c>
      <c r="Q198" s="122">
        <f>86-16</f>
        <v>70</v>
      </c>
      <c r="R198" s="144"/>
    </row>
    <row r="199" spans="1:18" s="147" customFormat="1" ht="23.1" customHeight="1" outlineLevel="1">
      <c r="A199" s="101"/>
      <c r="B199" s="148" t="s">
        <v>202</v>
      </c>
      <c r="C199" s="151"/>
      <c r="D199" s="98">
        <v>3</v>
      </c>
      <c r="E199" s="121"/>
      <c r="F199" s="97"/>
      <c r="G199" s="122">
        <f>H199+I199+J199+K199+L199+M199+N199+O199+P199+Q199</f>
        <v>21831.480000000003</v>
      </c>
      <c r="H199" s="122">
        <f>H198*3*12*1.49</f>
        <v>5310.36</v>
      </c>
      <c r="I199" s="122">
        <f t="shared" ref="I199:Q199" si="99">I198*3*12*1.49</f>
        <v>1823.76</v>
      </c>
      <c r="J199" s="122">
        <f t="shared" si="99"/>
        <v>2199.2399999999998</v>
      </c>
      <c r="K199" s="122">
        <f t="shared" si="99"/>
        <v>482.76</v>
      </c>
      <c r="L199" s="122">
        <f t="shared" si="99"/>
        <v>1770.12</v>
      </c>
      <c r="M199" s="122">
        <f t="shared" si="99"/>
        <v>1609.2</v>
      </c>
      <c r="N199" s="122">
        <f t="shared" si="99"/>
        <v>0</v>
      </c>
      <c r="O199" s="122">
        <f t="shared" si="99"/>
        <v>2145.6</v>
      </c>
      <c r="P199" s="122">
        <f t="shared" si="99"/>
        <v>2735.64</v>
      </c>
      <c r="Q199" s="122">
        <f t="shared" si="99"/>
        <v>3754.8</v>
      </c>
      <c r="R199" s="144"/>
    </row>
    <row r="200" spans="1:18" ht="15.75" customHeight="1" outlineLevel="1">
      <c r="A200" s="118" t="s">
        <v>204</v>
      </c>
      <c r="B200" s="102" t="s">
        <v>205</v>
      </c>
      <c r="C200" s="103" t="s">
        <v>119</v>
      </c>
      <c r="D200" s="104"/>
      <c r="E200" s="105"/>
      <c r="F200" s="71"/>
      <c r="G200" s="105">
        <f t="shared" ref="G200:Q200" si="100">G201+G203</f>
        <v>10399.008000000002</v>
      </c>
      <c r="H200" s="105">
        <f t="shared" si="100"/>
        <v>1855.9440000000002</v>
      </c>
      <c r="I200" s="105">
        <f t="shared" si="100"/>
        <v>1081.74</v>
      </c>
      <c r="J200" s="105">
        <f t="shared" si="100"/>
        <v>981.61200000000008</v>
      </c>
      <c r="K200" s="105">
        <f t="shared" si="100"/>
        <v>894</v>
      </c>
      <c r="L200" s="105">
        <f t="shared" si="100"/>
        <v>1192.596</v>
      </c>
      <c r="M200" s="105">
        <f t="shared" si="100"/>
        <v>1135.3800000000001</v>
      </c>
      <c r="N200" s="105">
        <f t="shared" si="100"/>
        <v>389.78399999999999</v>
      </c>
      <c r="O200" s="105">
        <f t="shared" si="100"/>
        <v>824.26800000000003</v>
      </c>
      <c r="P200" s="105">
        <f t="shared" si="100"/>
        <v>911.88000000000011</v>
      </c>
      <c r="Q200" s="105">
        <f t="shared" si="100"/>
        <v>1131.8040000000001</v>
      </c>
      <c r="R200" s="58"/>
    </row>
    <row r="201" spans="1:18" ht="15.75" customHeight="1" outlineLevel="1">
      <c r="A201" s="120"/>
      <c r="B201" s="74" t="s">
        <v>206</v>
      </c>
      <c r="C201" s="100"/>
      <c r="D201" s="119">
        <v>7.152000000000001</v>
      </c>
      <c r="E201" s="110"/>
      <c r="F201" s="75"/>
      <c r="G201" s="122">
        <f>H201+I201+J201+K201+L201+M201+N201+O201+P201+Q201</f>
        <v>2739.2159999999999</v>
      </c>
      <c r="H201" s="110">
        <f>$D$201*H202</f>
        <v>278.92800000000005</v>
      </c>
      <c r="I201" s="110">
        <f t="shared" ref="I201:Q201" si="101">$D$201*I202</f>
        <v>271.77600000000007</v>
      </c>
      <c r="J201" s="110">
        <f t="shared" si="101"/>
        <v>278.928</v>
      </c>
      <c r="K201" s="110">
        <f t="shared" si="101"/>
        <v>293.23200000000003</v>
      </c>
      <c r="L201" s="110">
        <f t="shared" si="101"/>
        <v>286.08</v>
      </c>
      <c r="M201" s="110">
        <f t="shared" si="101"/>
        <v>293.23200000000008</v>
      </c>
      <c r="N201" s="110">
        <f t="shared" si="101"/>
        <v>207.40800000000002</v>
      </c>
      <c r="O201" s="110">
        <f t="shared" si="101"/>
        <v>271.77600000000001</v>
      </c>
      <c r="P201" s="110">
        <f t="shared" si="101"/>
        <v>278.92800000000005</v>
      </c>
      <c r="Q201" s="110">
        <f t="shared" si="101"/>
        <v>278.92800000000005</v>
      </c>
    </row>
    <row r="202" spans="1:18" s="147" customFormat="1" ht="23.1" customHeight="1" outlineLevel="1">
      <c r="A202" s="120"/>
      <c r="B202" s="74" t="s">
        <v>190</v>
      </c>
      <c r="C202" s="100"/>
      <c r="D202" s="74"/>
      <c r="E202" s="122"/>
      <c r="F202" s="134"/>
      <c r="G202" s="122">
        <f>H202+I202+J202+K202+L202+M202+N202+O202+P202+Q202</f>
        <v>383</v>
      </c>
      <c r="H202" s="122">
        <v>39</v>
      </c>
      <c r="I202" s="122">
        <v>38</v>
      </c>
      <c r="J202" s="122">
        <v>38.999999999999993</v>
      </c>
      <c r="K202" s="122">
        <v>41</v>
      </c>
      <c r="L202" s="122">
        <v>39.999999999999993</v>
      </c>
      <c r="M202" s="122">
        <v>41.000000000000007</v>
      </c>
      <c r="N202" s="122">
        <v>29</v>
      </c>
      <c r="O202" s="122">
        <v>37.999999999999993</v>
      </c>
      <c r="P202" s="122">
        <v>39</v>
      </c>
      <c r="Q202" s="122">
        <v>39</v>
      </c>
      <c r="R202" s="146"/>
    </row>
    <row r="203" spans="1:18" ht="15.75" customHeight="1" outlineLevel="1">
      <c r="A203" s="120"/>
      <c r="B203" s="74" t="s">
        <v>207</v>
      </c>
      <c r="C203" s="100"/>
      <c r="D203" s="119">
        <v>5.3639999999999999</v>
      </c>
      <c r="E203" s="110"/>
      <c r="F203" s="75"/>
      <c r="G203" s="122">
        <f>H203+I203+J203+K203+L203+M203+N203+O203+P203+Q203</f>
        <v>7659.7920000000013</v>
      </c>
      <c r="H203" s="110">
        <f>H204*$D$203</f>
        <v>1577.0160000000001</v>
      </c>
      <c r="I203" s="110">
        <f t="shared" ref="I203:Q203" si="102">I204*$D$203</f>
        <v>809.96399999999994</v>
      </c>
      <c r="J203" s="110">
        <f t="shared" si="102"/>
        <v>702.68400000000008</v>
      </c>
      <c r="K203" s="110">
        <f t="shared" si="102"/>
        <v>600.76800000000003</v>
      </c>
      <c r="L203" s="110">
        <f t="shared" si="102"/>
        <v>906.51600000000008</v>
      </c>
      <c r="M203" s="110">
        <f t="shared" si="102"/>
        <v>842.14800000000002</v>
      </c>
      <c r="N203" s="110">
        <f t="shared" si="102"/>
        <v>182.376</v>
      </c>
      <c r="O203" s="110">
        <f t="shared" si="102"/>
        <v>552.49199999999996</v>
      </c>
      <c r="P203" s="110">
        <f t="shared" si="102"/>
        <v>632.952</v>
      </c>
      <c r="Q203" s="110">
        <f t="shared" si="102"/>
        <v>852.87599999999998</v>
      </c>
    </row>
    <row r="204" spans="1:18" s="147" customFormat="1" ht="23.1" customHeight="1" outlineLevel="1">
      <c r="A204" s="120"/>
      <c r="B204" s="74" t="s">
        <v>190</v>
      </c>
      <c r="C204" s="100"/>
      <c r="D204" s="74"/>
      <c r="E204" s="122"/>
      <c r="F204" s="134"/>
      <c r="G204" s="122">
        <f>H204+I204+J204+K204+L204+M204+N204+O204+P204+Q204</f>
        <v>1428</v>
      </c>
      <c r="H204" s="122">
        <v>294</v>
      </c>
      <c r="I204" s="122">
        <v>151</v>
      </c>
      <c r="J204" s="122">
        <v>131.00000000000003</v>
      </c>
      <c r="K204" s="122">
        <v>112.00000000000001</v>
      </c>
      <c r="L204" s="122">
        <v>169.00000000000003</v>
      </c>
      <c r="M204" s="122">
        <v>157</v>
      </c>
      <c r="N204" s="122">
        <v>34</v>
      </c>
      <c r="O204" s="122">
        <v>103</v>
      </c>
      <c r="P204" s="122">
        <v>118</v>
      </c>
      <c r="Q204" s="122">
        <v>159</v>
      </c>
      <c r="R204" s="146"/>
    </row>
    <row r="205" spans="1:18" s="58" customFormat="1" ht="47.25" customHeight="1" outlineLevel="1">
      <c r="A205" s="101" t="s">
        <v>208</v>
      </c>
      <c r="B205" s="106" t="s">
        <v>209</v>
      </c>
      <c r="C205" s="103" t="s">
        <v>119</v>
      </c>
      <c r="D205" s="107"/>
      <c r="E205" s="105"/>
      <c r="F205" s="71"/>
      <c r="G205" s="105"/>
      <c r="H205" s="105"/>
      <c r="I205" s="105"/>
      <c r="J205" s="105"/>
      <c r="K205" s="105"/>
      <c r="L205" s="105"/>
      <c r="M205" s="105"/>
      <c r="N205" s="105"/>
      <c r="O205" s="105"/>
      <c r="P205" s="105"/>
      <c r="Q205" s="105"/>
    </row>
    <row r="206" spans="1:18" s="58" customFormat="1" ht="15.75" customHeight="1" outlineLevel="1">
      <c r="A206" s="76" t="s">
        <v>59</v>
      </c>
      <c r="B206" s="102" t="s">
        <v>210</v>
      </c>
      <c r="C206" s="103" t="s">
        <v>119</v>
      </c>
      <c r="D206" s="104"/>
      <c r="E206" s="105"/>
      <c r="F206" s="71"/>
      <c r="G206" s="72">
        <f>G208</f>
        <v>16748</v>
      </c>
      <c r="H206" s="72">
        <f t="shared" ref="H206:Q206" si="103">H208</f>
        <v>0</v>
      </c>
      <c r="I206" s="72">
        <f t="shared" si="103"/>
        <v>1084</v>
      </c>
      <c r="J206" s="72">
        <f t="shared" si="103"/>
        <v>984</v>
      </c>
      <c r="K206" s="72">
        <f t="shared" si="103"/>
        <v>3276</v>
      </c>
      <c r="L206" s="72">
        <f t="shared" si="103"/>
        <v>2205</v>
      </c>
      <c r="M206" s="72">
        <f t="shared" si="103"/>
        <v>0</v>
      </c>
      <c r="N206" s="72">
        <f t="shared" si="103"/>
        <v>4125</v>
      </c>
      <c r="O206" s="72">
        <f t="shared" si="103"/>
        <v>2294</v>
      </c>
      <c r="P206" s="72">
        <f t="shared" si="103"/>
        <v>1767</v>
      </c>
      <c r="Q206" s="72">
        <f t="shared" si="103"/>
        <v>1013</v>
      </c>
    </row>
    <row r="207" spans="1:18" ht="15.75" customHeight="1" outlineLevel="1">
      <c r="A207" s="120"/>
      <c r="B207" s="74" t="s">
        <v>211</v>
      </c>
      <c r="C207" s="100" t="s">
        <v>119</v>
      </c>
      <c r="D207" s="119"/>
      <c r="E207" s="70"/>
      <c r="F207" s="75"/>
      <c r="G207" s="152">
        <f>SUM(H207:Q207)</f>
        <v>652751</v>
      </c>
      <c r="H207" s="137">
        <f>H138+H147</f>
        <v>105987</v>
      </c>
      <c r="I207" s="137">
        <f t="shared" ref="I207:Q207" si="104">I138+I147</f>
        <v>71036</v>
      </c>
      <c r="J207" s="137">
        <f t="shared" si="104"/>
        <v>57855</v>
      </c>
      <c r="K207" s="137">
        <f t="shared" si="104"/>
        <v>56212</v>
      </c>
      <c r="L207" s="137">
        <f t="shared" si="104"/>
        <v>81284</v>
      </c>
      <c r="M207" s="137">
        <f t="shared" si="104"/>
        <v>64908</v>
      </c>
      <c r="N207" s="137">
        <f t="shared" si="104"/>
        <v>33163</v>
      </c>
      <c r="O207" s="137">
        <f t="shared" si="104"/>
        <v>52246</v>
      </c>
      <c r="P207" s="137">
        <f t="shared" si="104"/>
        <v>59740</v>
      </c>
      <c r="Q207" s="137">
        <f t="shared" si="104"/>
        <v>70320</v>
      </c>
    </row>
    <row r="208" spans="1:18" ht="15.75" customHeight="1" outlineLevel="1">
      <c r="A208" s="73"/>
      <c r="B208" s="74" t="s">
        <v>212</v>
      </c>
      <c r="C208" s="100" t="s">
        <v>119</v>
      </c>
      <c r="D208" s="119"/>
      <c r="E208" s="110"/>
      <c r="F208" s="75"/>
      <c r="G208" s="152">
        <f>SUM(H208:Q208)</f>
        <v>16748</v>
      </c>
      <c r="H208" s="137">
        <f>+IF(H138&gt;H207*0.25,0,ROUND((H147/0.75-H207),0))</f>
        <v>0</v>
      </c>
      <c r="I208" s="137">
        <f t="shared" ref="I208:Q208" si="105">+IF(I138&gt;I207*0.25,0,ROUND((I147/0.75-I207),0))</f>
        <v>1084</v>
      </c>
      <c r="J208" s="137">
        <f t="shared" si="105"/>
        <v>984</v>
      </c>
      <c r="K208" s="137">
        <f t="shared" si="105"/>
        <v>3276</v>
      </c>
      <c r="L208" s="137">
        <f t="shared" si="105"/>
        <v>2205</v>
      </c>
      <c r="M208" s="137">
        <f t="shared" si="105"/>
        <v>0</v>
      </c>
      <c r="N208" s="137">
        <f t="shared" si="105"/>
        <v>4125</v>
      </c>
      <c r="O208" s="137">
        <f t="shared" si="105"/>
        <v>2294</v>
      </c>
      <c r="P208" s="137">
        <f t="shared" si="105"/>
        <v>1767</v>
      </c>
      <c r="Q208" s="137">
        <f t="shared" si="105"/>
        <v>1013</v>
      </c>
    </row>
    <row r="209" spans="1:18" s="158" customFormat="1" ht="15.75" customHeight="1" outlineLevel="1">
      <c r="A209" s="128"/>
      <c r="B209" s="153" t="s">
        <v>213</v>
      </c>
      <c r="C209" s="154" t="s">
        <v>95</v>
      </c>
      <c r="D209" s="87"/>
      <c r="E209" s="87"/>
      <c r="F209" s="155"/>
      <c r="G209" s="156">
        <f>G147/(G138+G147+G206)%</f>
        <v>74.868231873140644</v>
      </c>
      <c r="H209" s="214">
        <f>H147/(H138+H147+H206)%</f>
        <v>74.98183739515224</v>
      </c>
      <c r="I209" s="156">
        <f t="shared" ref="I209:Q209" si="106">I147/(I138+I147+I206)%</f>
        <v>75</v>
      </c>
      <c r="J209" s="156">
        <f t="shared" si="106"/>
        <v>74.999575111745614</v>
      </c>
      <c r="K209" s="156">
        <f t="shared" si="106"/>
        <v>75</v>
      </c>
      <c r="L209" s="156">
        <f t="shared" si="106"/>
        <v>75.000299440644881</v>
      </c>
      <c r="M209" s="156">
        <f t="shared" si="106"/>
        <v>73.6704258334874</v>
      </c>
      <c r="N209" s="156">
        <f t="shared" si="106"/>
        <v>75</v>
      </c>
      <c r="O209" s="156">
        <f t="shared" si="106"/>
        <v>75</v>
      </c>
      <c r="P209" s="156">
        <f t="shared" si="106"/>
        <v>74.99959354219844</v>
      </c>
      <c r="Q209" s="156">
        <f t="shared" si="106"/>
        <v>75.000350468927422</v>
      </c>
      <c r="R209" s="157"/>
    </row>
    <row r="210" spans="1:18" s="58" customFormat="1" ht="15.75" customHeight="1" outlineLevel="1">
      <c r="A210" s="76" t="s">
        <v>73</v>
      </c>
      <c r="B210" s="102" t="s">
        <v>214</v>
      </c>
      <c r="C210" s="103" t="s">
        <v>119</v>
      </c>
      <c r="D210" s="72"/>
      <c r="E210" s="105"/>
      <c r="F210" s="71"/>
      <c r="G210" s="72">
        <f>G211+G213+G215</f>
        <v>16863.9624</v>
      </c>
      <c r="H210" s="72">
        <f>ROUND(H211+H213+H215,0)</f>
        <v>3418</v>
      </c>
      <c r="I210" s="72">
        <f t="shared" ref="I210:Q210" si="107">ROUND(I211+I213+I215,0)</f>
        <v>1885</v>
      </c>
      <c r="J210" s="72">
        <f t="shared" si="107"/>
        <v>1353</v>
      </c>
      <c r="K210" s="72">
        <f t="shared" si="107"/>
        <v>1545</v>
      </c>
      <c r="L210" s="72">
        <f t="shared" si="107"/>
        <v>2092</v>
      </c>
      <c r="M210" s="72">
        <f t="shared" si="107"/>
        <v>1436</v>
      </c>
      <c r="N210" s="72">
        <f t="shared" si="107"/>
        <v>481</v>
      </c>
      <c r="O210" s="72">
        <f t="shared" si="107"/>
        <v>1079</v>
      </c>
      <c r="P210" s="72">
        <f t="shared" si="107"/>
        <v>1683</v>
      </c>
      <c r="Q210" s="72">
        <f t="shared" si="107"/>
        <v>1892</v>
      </c>
    </row>
    <row r="211" spans="1:18" ht="31.5" customHeight="1" outlineLevel="1">
      <c r="A211" s="73" t="s">
        <v>23</v>
      </c>
      <c r="B211" s="74" t="s">
        <v>215</v>
      </c>
      <c r="C211" s="100"/>
      <c r="D211" s="70">
        <v>20</v>
      </c>
      <c r="E211" s="110"/>
      <c r="F211" s="75"/>
      <c r="G211" s="152">
        <f t="shared" ref="G211:G216" si="108">SUM(H211:Q211)</f>
        <v>15120</v>
      </c>
      <c r="H211" s="70">
        <f>$D$211*H212</f>
        <v>3080</v>
      </c>
      <c r="I211" s="70">
        <f t="shared" ref="I211:Q211" si="109">$D$211*I212</f>
        <v>1680</v>
      </c>
      <c r="J211" s="70">
        <f t="shared" si="109"/>
        <v>1220</v>
      </c>
      <c r="K211" s="70">
        <f t="shared" si="109"/>
        <v>1360</v>
      </c>
      <c r="L211" s="70">
        <f t="shared" si="109"/>
        <v>1860</v>
      </c>
      <c r="M211" s="70">
        <f t="shared" si="109"/>
        <v>1280</v>
      </c>
      <c r="N211" s="70">
        <f t="shared" si="109"/>
        <v>420</v>
      </c>
      <c r="O211" s="70">
        <f t="shared" si="109"/>
        <v>980</v>
      </c>
      <c r="P211" s="70">
        <f t="shared" si="109"/>
        <v>1520</v>
      </c>
      <c r="Q211" s="70">
        <f t="shared" si="109"/>
        <v>1720</v>
      </c>
    </row>
    <row r="212" spans="1:18" s="132" customFormat="1" ht="15.75" customHeight="1" outlineLevel="1">
      <c r="A212" s="128"/>
      <c r="B212" s="159" t="s">
        <v>216</v>
      </c>
      <c r="C212" s="154"/>
      <c r="D212" s="152"/>
      <c r="E212" s="131"/>
      <c r="F212" s="87"/>
      <c r="G212" s="152">
        <f t="shared" si="108"/>
        <v>756</v>
      </c>
      <c r="H212" s="152">
        <v>154</v>
      </c>
      <c r="I212" s="152">
        <v>84</v>
      </c>
      <c r="J212" s="152">
        <v>61</v>
      </c>
      <c r="K212" s="152">
        <v>68</v>
      </c>
      <c r="L212" s="152">
        <v>93</v>
      </c>
      <c r="M212" s="152">
        <v>64</v>
      </c>
      <c r="N212" s="152">
        <v>21</v>
      </c>
      <c r="O212" s="152">
        <v>49</v>
      </c>
      <c r="P212" s="152">
        <v>76</v>
      </c>
      <c r="Q212" s="152">
        <v>86</v>
      </c>
    </row>
    <row r="213" spans="1:18" s="147" customFormat="1" ht="31.5" customHeight="1" outlineLevel="1">
      <c r="A213" s="73" t="s">
        <v>200</v>
      </c>
      <c r="B213" s="74" t="s">
        <v>217</v>
      </c>
      <c r="C213" s="100"/>
      <c r="D213" s="160">
        <v>1.5</v>
      </c>
      <c r="E213" s="122"/>
      <c r="F213" s="134"/>
      <c r="G213" s="123">
        <f t="shared" si="108"/>
        <v>153</v>
      </c>
      <c r="H213" s="123">
        <f>H214*1.5</f>
        <v>31.5</v>
      </c>
      <c r="I213" s="123">
        <f t="shared" ref="I213:Q213" si="110">I214*1.5</f>
        <v>16.5</v>
      </c>
      <c r="J213" s="123">
        <f t="shared" si="110"/>
        <v>13.5</v>
      </c>
      <c r="K213" s="123">
        <f t="shared" si="110"/>
        <v>12</v>
      </c>
      <c r="L213" s="123">
        <f t="shared" si="110"/>
        <v>18</v>
      </c>
      <c r="M213" s="123">
        <f t="shared" si="110"/>
        <v>16.5</v>
      </c>
      <c r="N213" s="123">
        <f t="shared" si="110"/>
        <v>4.5</v>
      </c>
      <c r="O213" s="123">
        <f t="shared" si="110"/>
        <v>10.5</v>
      </c>
      <c r="P213" s="123">
        <f t="shared" si="110"/>
        <v>13.5</v>
      </c>
      <c r="Q213" s="123">
        <f t="shared" si="110"/>
        <v>16.5</v>
      </c>
      <c r="R213" s="146"/>
    </row>
    <row r="214" spans="1:18" s="165" customFormat="1" ht="25.5" customHeight="1" outlineLevel="1">
      <c r="A214" s="128"/>
      <c r="B214" s="159" t="s">
        <v>218</v>
      </c>
      <c r="C214" s="154"/>
      <c r="D214" s="159"/>
      <c r="E214" s="161"/>
      <c r="F214" s="162"/>
      <c r="G214" s="163">
        <f t="shared" si="108"/>
        <v>102</v>
      </c>
      <c r="H214" s="161">
        <v>21</v>
      </c>
      <c r="I214" s="161">
        <v>11</v>
      </c>
      <c r="J214" s="161">
        <v>9</v>
      </c>
      <c r="K214" s="161">
        <v>8</v>
      </c>
      <c r="L214" s="161">
        <v>12</v>
      </c>
      <c r="M214" s="161">
        <v>11</v>
      </c>
      <c r="N214" s="161">
        <v>3</v>
      </c>
      <c r="O214" s="161">
        <v>7</v>
      </c>
      <c r="P214" s="161">
        <v>9</v>
      </c>
      <c r="Q214" s="161">
        <v>11</v>
      </c>
      <c r="R214" s="164"/>
    </row>
    <row r="215" spans="1:18" s="147" customFormat="1" ht="51" customHeight="1" outlineLevel="1">
      <c r="A215" s="73" t="s">
        <v>200</v>
      </c>
      <c r="B215" s="74" t="s">
        <v>219</v>
      </c>
      <c r="C215" s="100"/>
      <c r="D215" s="166">
        <v>0.03</v>
      </c>
      <c r="E215" s="122"/>
      <c r="F215" s="134"/>
      <c r="G215" s="123">
        <f t="shared" si="108"/>
        <v>1590.9623999999999</v>
      </c>
      <c r="H215" s="122">
        <f>H193*3%</f>
        <v>306.82080000000002</v>
      </c>
      <c r="I215" s="122">
        <f t="shared" ref="I215:Q215" si="111">I193*3%</f>
        <v>188.81280000000001</v>
      </c>
      <c r="J215" s="122">
        <f t="shared" si="111"/>
        <v>119.61719999999998</v>
      </c>
      <c r="K215" s="122">
        <f t="shared" si="111"/>
        <v>172.7208</v>
      </c>
      <c r="L215" s="122">
        <f t="shared" si="111"/>
        <v>214.02359999999999</v>
      </c>
      <c r="M215" s="122">
        <f t="shared" si="111"/>
        <v>139.464</v>
      </c>
      <c r="N215" s="122">
        <f t="shared" si="111"/>
        <v>56.322000000000003</v>
      </c>
      <c r="O215" s="122">
        <f t="shared" si="111"/>
        <v>88.505999999999986</v>
      </c>
      <c r="P215" s="122">
        <f t="shared" si="111"/>
        <v>149.11919999999998</v>
      </c>
      <c r="Q215" s="122">
        <f t="shared" si="111"/>
        <v>155.55600000000001</v>
      </c>
      <c r="R215" s="146"/>
    </row>
    <row r="216" spans="1:18" ht="31.5" customHeight="1" outlineLevel="1">
      <c r="A216" s="101" t="s">
        <v>74</v>
      </c>
      <c r="B216" s="102" t="s">
        <v>360</v>
      </c>
      <c r="C216" s="103" t="s">
        <v>119</v>
      </c>
      <c r="D216" s="104"/>
      <c r="E216" s="110"/>
      <c r="F216" s="71"/>
      <c r="G216" s="105">
        <f t="shared" si="108"/>
        <v>0</v>
      </c>
      <c r="H216" s="105"/>
      <c r="I216" s="105"/>
      <c r="J216" s="105"/>
      <c r="K216" s="105"/>
      <c r="L216" s="105"/>
      <c r="M216" s="105"/>
      <c r="N216" s="105"/>
      <c r="O216" s="105"/>
      <c r="P216" s="105"/>
      <c r="Q216" s="105"/>
      <c r="R216" s="58"/>
    </row>
    <row r="217" spans="1:18" s="132" customFormat="1" ht="15.75" customHeight="1" outlineLevel="1">
      <c r="A217" s="167"/>
      <c r="B217" s="159" t="s">
        <v>218</v>
      </c>
      <c r="C217" s="154"/>
      <c r="D217" s="168"/>
      <c r="E217" s="131"/>
      <c r="F217" s="87"/>
      <c r="G217" s="131"/>
      <c r="H217" s="131"/>
      <c r="I217" s="131"/>
      <c r="J217" s="131"/>
      <c r="K217" s="131"/>
      <c r="L217" s="131"/>
      <c r="M217" s="131"/>
      <c r="N217" s="131"/>
      <c r="O217" s="131"/>
      <c r="P217" s="131"/>
      <c r="Q217" s="131"/>
    </row>
    <row r="218" spans="1:18" s="58" customFormat="1" ht="45.75" customHeight="1" outlineLevel="1" collapsed="1">
      <c r="A218" s="101" t="s">
        <v>75</v>
      </c>
      <c r="B218" s="102" t="s">
        <v>220</v>
      </c>
      <c r="C218" s="103" t="s">
        <v>119</v>
      </c>
      <c r="D218" s="104"/>
      <c r="E218" s="105"/>
      <c r="F218" s="71"/>
      <c r="G218" s="105">
        <f>G220+G221</f>
        <v>0</v>
      </c>
      <c r="H218" s="105"/>
      <c r="I218" s="105"/>
      <c r="J218" s="105"/>
      <c r="K218" s="105"/>
      <c r="L218" s="105"/>
      <c r="M218" s="105"/>
      <c r="N218" s="105"/>
      <c r="O218" s="105"/>
      <c r="P218" s="105"/>
      <c r="Q218" s="105"/>
    </row>
    <row r="219" spans="1:18" ht="15.75" customHeight="1" outlineLevel="1">
      <c r="A219" s="118"/>
      <c r="B219" s="148" t="s">
        <v>216</v>
      </c>
      <c r="C219" s="103"/>
      <c r="D219" s="169"/>
      <c r="E219" s="110"/>
      <c r="F219" s="71"/>
      <c r="G219" s="110">
        <f>SUM(H219:Q219)</f>
        <v>0</v>
      </c>
      <c r="H219" s="110"/>
      <c r="I219" s="110"/>
      <c r="J219" s="110"/>
      <c r="K219" s="110"/>
      <c r="L219" s="110"/>
      <c r="M219" s="110"/>
      <c r="N219" s="110"/>
      <c r="O219" s="110"/>
      <c r="P219" s="110"/>
      <c r="Q219" s="110"/>
      <c r="R219" s="58"/>
    </row>
    <row r="220" spans="1:18" ht="15.75" customHeight="1" outlineLevel="1">
      <c r="A220" s="118"/>
      <c r="B220" s="148" t="s">
        <v>221</v>
      </c>
      <c r="C220" s="103"/>
      <c r="D220" s="169"/>
      <c r="E220" s="110"/>
      <c r="F220" s="71"/>
      <c r="G220" s="110">
        <f>SUM(H220:Q220)</f>
        <v>0</v>
      </c>
      <c r="H220" s="110"/>
      <c r="I220" s="110"/>
      <c r="J220" s="110"/>
      <c r="K220" s="110"/>
      <c r="L220" s="110"/>
      <c r="M220" s="110"/>
      <c r="N220" s="110"/>
      <c r="O220" s="110"/>
      <c r="P220" s="110"/>
      <c r="Q220" s="110"/>
      <c r="R220" s="58"/>
    </row>
    <row r="221" spans="1:18" ht="15.75" customHeight="1" outlineLevel="1">
      <c r="A221" s="118"/>
      <c r="B221" s="148" t="s">
        <v>222</v>
      </c>
      <c r="C221" s="103"/>
      <c r="D221" s="169"/>
      <c r="E221" s="110"/>
      <c r="F221" s="71"/>
      <c r="G221" s="110">
        <f>SUM(H221:Q221)</f>
        <v>0</v>
      </c>
      <c r="H221" s="110"/>
      <c r="I221" s="110"/>
      <c r="J221" s="110"/>
      <c r="K221" s="110"/>
      <c r="L221" s="110"/>
      <c r="M221" s="110"/>
      <c r="N221" s="110"/>
      <c r="O221" s="110"/>
      <c r="P221" s="110"/>
      <c r="Q221" s="110"/>
      <c r="R221" s="58"/>
    </row>
    <row r="222" spans="1:18" s="58" customFormat="1" ht="15.75" customHeight="1" outlineLevel="1">
      <c r="A222" s="76" t="s">
        <v>74</v>
      </c>
      <c r="B222" s="102"/>
      <c r="C222" s="103"/>
      <c r="D222" s="104"/>
      <c r="E222" s="105"/>
      <c r="F222" s="71"/>
      <c r="G222" s="72"/>
      <c r="H222" s="105"/>
      <c r="I222" s="105"/>
      <c r="J222" s="105"/>
      <c r="K222" s="105"/>
      <c r="L222" s="105"/>
      <c r="M222" s="105"/>
      <c r="N222" s="105"/>
      <c r="O222" s="105"/>
      <c r="P222" s="105"/>
      <c r="Q222" s="105"/>
    </row>
    <row r="223" spans="1:18" s="58" customFormat="1" ht="15.75" customHeight="1" outlineLevel="1">
      <c r="A223" s="76" t="s">
        <v>75</v>
      </c>
      <c r="B223" s="102"/>
      <c r="C223" s="103"/>
      <c r="D223" s="104"/>
      <c r="E223" s="105"/>
      <c r="F223" s="71"/>
      <c r="G223" s="72"/>
      <c r="H223" s="105"/>
      <c r="I223" s="105"/>
      <c r="J223" s="105"/>
      <c r="K223" s="105"/>
      <c r="L223" s="105"/>
      <c r="M223" s="105"/>
      <c r="N223" s="105"/>
      <c r="O223" s="105"/>
      <c r="P223" s="105"/>
      <c r="Q223" s="105"/>
    </row>
    <row r="224" spans="1:18" s="58" customFormat="1">
      <c r="A224" s="76" t="s">
        <v>101</v>
      </c>
      <c r="B224" s="68" t="s">
        <v>223</v>
      </c>
      <c r="C224" s="103" t="s">
        <v>119</v>
      </c>
      <c r="D224" s="71"/>
      <c r="E224" s="71">
        <f>F224+G224</f>
        <v>61645</v>
      </c>
      <c r="F224" s="71">
        <v>49143</v>
      </c>
      <c r="G224" s="72">
        <f>SUM(H224:Q224)</f>
        <v>12502</v>
      </c>
      <c r="H224" s="72">
        <f>H227+H232</f>
        <v>1760</v>
      </c>
      <c r="I224" s="72">
        <f t="shared" ref="I224:Q224" si="112">I227+I232</f>
        <v>1555</v>
      </c>
      <c r="J224" s="72">
        <f t="shared" si="112"/>
        <v>920</v>
      </c>
      <c r="K224" s="72">
        <f t="shared" si="112"/>
        <v>857</v>
      </c>
      <c r="L224" s="72">
        <f t="shared" si="112"/>
        <v>1565</v>
      </c>
      <c r="M224" s="72">
        <f t="shared" si="112"/>
        <v>1627</v>
      </c>
      <c r="N224" s="72">
        <f t="shared" si="112"/>
        <v>635</v>
      </c>
      <c r="O224" s="72">
        <f t="shared" si="112"/>
        <v>1094</v>
      </c>
      <c r="P224" s="72">
        <f t="shared" si="112"/>
        <v>1051</v>
      </c>
      <c r="Q224" s="72">
        <f t="shared" si="112"/>
        <v>1438</v>
      </c>
      <c r="R224" s="58">
        <f>G224-SUM(H224:Q224)</f>
        <v>0</v>
      </c>
    </row>
    <row r="225" spans="1:18" ht="31.2">
      <c r="A225" s="73"/>
      <c r="B225" s="83" t="s">
        <v>120</v>
      </c>
      <c r="C225" s="100" t="s">
        <v>119</v>
      </c>
      <c r="D225" s="75"/>
      <c r="E225" s="75">
        <v>56592.313999999998</v>
      </c>
      <c r="F225" s="75">
        <v>42130</v>
      </c>
      <c r="G225" s="70">
        <f>SUM(H225:Q225)</f>
        <v>14462.314</v>
      </c>
      <c r="H225" s="70">
        <v>2265</v>
      </c>
      <c r="I225" s="70">
        <v>1252</v>
      </c>
      <c r="J225" s="70">
        <v>770</v>
      </c>
      <c r="K225" s="70">
        <v>1385</v>
      </c>
      <c r="L225" s="70">
        <v>1486</v>
      </c>
      <c r="M225" s="70">
        <v>1962</v>
      </c>
      <c r="N225" s="70">
        <v>981.31399999999996</v>
      </c>
      <c r="O225" s="70">
        <v>592</v>
      </c>
      <c r="P225" s="70">
        <v>3015</v>
      </c>
      <c r="Q225" s="70">
        <v>754</v>
      </c>
      <c r="R225" s="58"/>
    </row>
    <row r="226" spans="1:18">
      <c r="A226" s="73"/>
      <c r="B226" s="85" t="s">
        <v>121</v>
      </c>
      <c r="C226" s="86" t="s">
        <v>95</v>
      </c>
      <c r="D226" s="87"/>
      <c r="E226" s="156">
        <f>E224/E225%</f>
        <v>108.92821947517467</v>
      </c>
      <c r="F226" s="156">
        <f>F224/F225%</f>
        <v>116.64609541894137</v>
      </c>
      <c r="G226" s="156">
        <f>G224/G225%</f>
        <v>86.445364137440237</v>
      </c>
      <c r="H226" s="156">
        <f>H224/H225%</f>
        <v>77.70419426048565</v>
      </c>
      <c r="I226" s="156">
        <f t="shared" ref="I226:Q226" si="113">I224/I225%</f>
        <v>124.20127795527156</v>
      </c>
      <c r="J226" s="156">
        <f t="shared" si="113"/>
        <v>119.48051948051948</v>
      </c>
      <c r="K226" s="156">
        <f t="shared" si="113"/>
        <v>61.877256317689529</v>
      </c>
      <c r="L226" s="156">
        <f t="shared" si="113"/>
        <v>105.31628532974429</v>
      </c>
      <c r="M226" s="156">
        <f t="shared" si="113"/>
        <v>82.925586136595314</v>
      </c>
      <c r="N226" s="156">
        <f t="shared" si="113"/>
        <v>64.709155275477585</v>
      </c>
      <c r="O226" s="156">
        <f t="shared" si="113"/>
        <v>184.79729729729729</v>
      </c>
      <c r="P226" s="156">
        <f t="shared" si="113"/>
        <v>34.859038142620236</v>
      </c>
      <c r="Q226" s="156">
        <f t="shared" si="113"/>
        <v>190.71618037135278</v>
      </c>
    </row>
    <row r="227" spans="1:18" s="58" customFormat="1" ht="15.75" hidden="1" customHeight="1" outlineLevel="1">
      <c r="A227" s="76" t="s">
        <v>18</v>
      </c>
      <c r="B227" s="68" t="s">
        <v>224</v>
      </c>
      <c r="C227" s="77" t="s">
        <v>119</v>
      </c>
      <c r="D227" s="71"/>
      <c r="E227" s="71"/>
      <c r="F227" s="71"/>
      <c r="G227" s="72">
        <f t="shared" ref="G227:Q227" si="114">SUM(G228:G231)</f>
        <v>11002</v>
      </c>
      <c r="H227" s="72">
        <f t="shared" si="114"/>
        <v>760</v>
      </c>
      <c r="I227" s="72">
        <f t="shared" si="114"/>
        <v>1555</v>
      </c>
      <c r="J227" s="72">
        <f t="shared" si="114"/>
        <v>920</v>
      </c>
      <c r="K227" s="72">
        <f t="shared" si="114"/>
        <v>357</v>
      </c>
      <c r="L227" s="72">
        <f t="shared" si="114"/>
        <v>1565</v>
      </c>
      <c r="M227" s="72">
        <f t="shared" si="114"/>
        <v>1627</v>
      </c>
      <c r="N227" s="72">
        <f t="shared" si="114"/>
        <v>635</v>
      </c>
      <c r="O227" s="72">
        <f t="shared" si="114"/>
        <v>1094</v>
      </c>
      <c r="P227" s="72">
        <f t="shared" si="114"/>
        <v>1051</v>
      </c>
      <c r="Q227" s="72">
        <f t="shared" si="114"/>
        <v>1438</v>
      </c>
    </row>
    <row r="228" spans="1:18" s="116" customFormat="1" ht="31.5" hidden="1" customHeight="1" outlineLevel="1">
      <c r="A228" s="73" t="s">
        <v>23</v>
      </c>
      <c r="B228" s="74" t="s">
        <v>128</v>
      </c>
      <c r="C228" s="100" t="s">
        <v>129</v>
      </c>
      <c r="D228" s="70">
        <v>2219</v>
      </c>
      <c r="E228" s="70"/>
      <c r="F228" s="70"/>
      <c r="G228" s="70">
        <f t="shared" ref="G228" si="115">SUM(H228:Q228)</f>
        <v>495</v>
      </c>
      <c r="H228" s="70">
        <f t="shared" ref="H228:Q231" si="116">IF(H$27=0,ROUND(H13*$D228/1000000,0),ROUND(H13*$D228/1000000*(1+H$27/100),0))</f>
        <v>349</v>
      </c>
      <c r="I228" s="70">
        <f t="shared" si="116"/>
        <v>35</v>
      </c>
      <c r="J228" s="70">
        <f t="shared" si="116"/>
        <v>34</v>
      </c>
      <c r="K228" s="70">
        <f t="shared" si="116"/>
        <v>45</v>
      </c>
      <c r="L228" s="70">
        <f t="shared" si="116"/>
        <v>0</v>
      </c>
      <c r="M228" s="70">
        <f t="shared" si="116"/>
        <v>19</v>
      </c>
      <c r="N228" s="70">
        <f t="shared" si="116"/>
        <v>0</v>
      </c>
      <c r="O228" s="70">
        <f t="shared" si="116"/>
        <v>0</v>
      </c>
      <c r="P228" s="70">
        <f t="shared" si="116"/>
        <v>13</v>
      </c>
      <c r="Q228" s="70">
        <f t="shared" si="116"/>
        <v>0</v>
      </c>
      <c r="R228" s="58"/>
    </row>
    <row r="229" spans="1:18" s="116" customFormat="1" ht="31.5" hidden="1" customHeight="1" outlineLevel="1">
      <c r="A229" s="73" t="s">
        <v>23</v>
      </c>
      <c r="B229" s="74" t="s">
        <v>130</v>
      </c>
      <c r="C229" s="100" t="s">
        <v>129</v>
      </c>
      <c r="D229" s="70">
        <v>2589</v>
      </c>
      <c r="E229" s="70"/>
      <c r="F229" s="70"/>
      <c r="G229" s="70">
        <f t="shared" ref="G229:G231" si="117">SUM(H229:Q229)</f>
        <v>302</v>
      </c>
      <c r="H229" s="70">
        <f t="shared" si="116"/>
        <v>0</v>
      </c>
      <c r="I229" s="70">
        <f t="shared" si="116"/>
        <v>65</v>
      </c>
      <c r="J229" s="70">
        <f t="shared" si="116"/>
        <v>46</v>
      </c>
      <c r="K229" s="70">
        <f t="shared" si="116"/>
        <v>102</v>
      </c>
      <c r="L229" s="70">
        <f t="shared" si="116"/>
        <v>43</v>
      </c>
      <c r="M229" s="70">
        <f t="shared" si="116"/>
        <v>21</v>
      </c>
      <c r="N229" s="70">
        <f t="shared" si="116"/>
        <v>0</v>
      </c>
      <c r="O229" s="70">
        <f t="shared" si="116"/>
        <v>25</v>
      </c>
      <c r="P229" s="70">
        <f t="shared" si="116"/>
        <v>0</v>
      </c>
      <c r="Q229" s="70">
        <f t="shared" si="116"/>
        <v>0</v>
      </c>
      <c r="R229" s="58"/>
    </row>
    <row r="230" spans="1:18" s="58" customFormat="1" ht="31.5" hidden="1" customHeight="1" outlineLevel="1">
      <c r="A230" s="73" t="s">
        <v>23</v>
      </c>
      <c r="B230" s="74" t="s">
        <v>131</v>
      </c>
      <c r="C230" s="100" t="s">
        <v>129</v>
      </c>
      <c r="D230" s="70">
        <v>40800</v>
      </c>
      <c r="E230" s="70"/>
      <c r="F230" s="70"/>
      <c r="G230" s="70">
        <f t="shared" si="117"/>
        <v>10149</v>
      </c>
      <c r="H230" s="70">
        <f t="shared" si="116"/>
        <v>374</v>
      </c>
      <c r="I230" s="70">
        <f t="shared" si="116"/>
        <v>1444</v>
      </c>
      <c r="J230" s="70">
        <f t="shared" si="116"/>
        <v>840</v>
      </c>
      <c r="K230" s="70">
        <f t="shared" si="116"/>
        <v>210</v>
      </c>
      <c r="L230" s="70">
        <f t="shared" si="116"/>
        <v>1522</v>
      </c>
      <c r="M230" s="70">
        <f t="shared" si="116"/>
        <v>1587</v>
      </c>
      <c r="N230" s="70">
        <f t="shared" si="116"/>
        <v>635</v>
      </c>
      <c r="O230" s="70">
        <f t="shared" si="116"/>
        <v>1069</v>
      </c>
      <c r="P230" s="70">
        <f t="shared" si="116"/>
        <v>1030</v>
      </c>
      <c r="Q230" s="70">
        <f t="shared" si="116"/>
        <v>1438</v>
      </c>
    </row>
    <row r="231" spans="1:18" s="58" customFormat="1" ht="31.5" hidden="1" customHeight="1" outlineLevel="1">
      <c r="A231" s="73" t="s">
        <v>23</v>
      </c>
      <c r="B231" s="74" t="s">
        <v>132</v>
      </c>
      <c r="C231" s="100" t="s">
        <v>129</v>
      </c>
      <c r="D231" s="70">
        <v>3698</v>
      </c>
      <c r="E231" s="70"/>
      <c r="F231" s="70"/>
      <c r="G231" s="70">
        <f t="shared" si="117"/>
        <v>56</v>
      </c>
      <c r="H231" s="70">
        <f t="shared" si="116"/>
        <v>37</v>
      </c>
      <c r="I231" s="70">
        <f t="shared" si="116"/>
        <v>11</v>
      </c>
      <c r="J231" s="70">
        <f t="shared" si="116"/>
        <v>0</v>
      </c>
      <c r="K231" s="70">
        <f t="shared" si="116"/>
        <v>0</v>
      </c>
      <c r="L231" s="70">
        <f t="shared" si="116"/>
        <v>0</v>
      </c>
      <c r="M231" s="70">
        <f t="shared" si="116"/>
        <v>0</v>
      </c>
      <c r="N231" s="70">
        <f t="shared" si="116"/>
        <v>0</v>
      </c>
      <c r="O231" s="70">
        <f t="shared" si="116"/>
        <v>0</v>
      </c>
      <c r="P231" s="70">
        <f t="shared" si="116"/>
        <v>8</v>
      </c>
      <c r="Q231" s="70">
        <f t="shared" si="116"/>
        <v>0</v>
      </c>
    </row>
    <row r="232" spans="1:18" s="58" customFormat="1" ht="15.75" hidden="1" customHeight="1" outlineLevel="1">
      <c r="A232" s="76" t="s">
        <v>26</v>
      </c>
      <c r="B232" s="102" t="s">
        <v>225</v>
      </c>
      <c r="C232" s="103"/>
      <c r="D232" s="72"/>
      <c r="E232" s="72"/>
      <c r="F232" s="72"/>
      <c r="G232" s="72">
        <f>G233+G234</f>
        <v>1500</v>
      </c>
      <c r="H232" s="72">
        <f t="shared" ref="H232:Q232" si="118">H233+H234</f>
        <v>1000</v>
      </c>
      <c r="I232" s="72">
        <f t="shared" si="118"/>
        <v>0</v>
      </c>
      <c r="J232" s="72">
        <f t="shared" si="118"/>
        <v>0</v>
      </c>
      <c r="K232" s="72">
        <f t="shared" si="118"/>
        <v>500</v>
      </c>
      <c r="L232" s="72">
        <f t="shared" si="118"/>
        <v>0</v>
      </c>
      <c r="M232" s="72">
        <f t="shared" si="118"/>
        <v>0</v>
      </c>
      <c r="N232" s="72">
        <f t="shared" si="118"/>
        <v>0</v>
      </c>
      <c r="O232" s="72">
        <f t="shared" si="118"/>
        <v>0</v>
      </c>
      <c r="P232" s="72">
        <f t="shared" si="118"/>
        <v>0</v>
      </c>
      <c r="Q232" s="72">
        <f t="shared" si="118"/>
        <v>0</v>
      </c>
    </row>
    <row r="233" spans="1:18" s="58" customFormat="1" ht="31.5" hidden="1" customHeight="1" outlineLevel="1">
      <c r="A233" s="73" t="s">
        <v>23</v>
      </c>
      <c r="B233" s="74" t="s">
        <v>226</v>
      </c>
      <c r="C233" s="100" t="s">
        <v>227</v>
      </c>
      <c r="D233" s="70"/>
      <c r="E233" s="70">
        <v>1000</v>
      </c>
      <c r="F233" s="70"/>
      <c r="G233" s="70">
        <f t="shared" ref="G233:G236" si="119">SUM(H233:Q233)</f>
        <v>1000</v>
      </c>
      <c r="H233" s="70">
        <f t="shared" ref="H233:Q233" si="120">H43*$E$233</f>
        <v>1000</v>
      </c>
      <c r="I233" s="70">
        <f t="shared" si="120"/>
        <v>0</v>
      </c>
      <c r="J233" s="70">
        <f t="shared" si="120"/>
        <v>0</v>
      </c>
      <c r="K233" s="70">
        <f t="shared" si="120"/>
        <v>0</v>
      </c>
      <c r="L233" s="70">
        <f t="shared" si="120"/>
        <v>0</v>
      </c>
      <c r="M233" s="70">
        <f t="shared" si="120"/>
        <v>0</v>
      </c>
      <c r="N233" s="70">
        <f t="shared" si="120"/>
        <v>0</v>
      </c>
      <c r="O233" s="70">
        <f t="shared" si="120"/>
        <v>0</v>
      </c>
      <c r="P233" s="70">
        <f t="shared" si="120"/>
        <v>0</v>
      </c>
      <c r="Q233" s="70">
        <f t="shared" si="120"/>
        <v>0</v>
      </c>
    </row>
    <row r="234" spans="1:18" s="58" customFormat="1" ht="31.5" hidden="1" customHeight="1" outlineLevel="1">
      <c r="A234" s="73" t="s">
        <v>23</v>
      </c>
      <c r="B234" s="74" t="s">
        <v>228</v>
      </c>
      <c r="C234" s="100" t="s">
        <v>227</v>
      </c>
      <c r="D234" s="70"/>
      <c r="E234" s="70">
        <v>500</v>
      </c>
      <c r="F234" s="70"/>
      <c r="G234" s="70">
        <f t="shared" si="119"/>
        <v>500</v>
      </c>
      <c r="H234" s="70">
        <f t="shared" ref="H234:Q234" si="121">H44*$E$234</f>
        <v>0</v>
      </c>
      <c r="I234" s="70">
        <f t="shared" si="121"/>
        <v>0</v>
      </c>
      <c r="J234" s="70">
        <f t="shared" si="121"/>
        <v>0</v>
      </c>
      <c r="K234" s="70">
        <f t="shared" si="121"/>
        <v>500</v>
      </c>
      <c r="L234" s="70">
        <f t="shared" si="121"/>
        <v>0</v>
      </c>
      <c r="M234" s="70">
        <f t="shared" si="121"/>
        <v>0</v>
      </c>
      <c r="N234" s="70">
        <f t="shared" si="121"/>
        <v>0</v>
      </c>
      <c r="O234" s="70">
        <f t="shared" si="121"/>
        <v>0</v>
      </c>
      <c r="P234" s="70">
        <f t="shared" si="121"/>
        <v>0</v>
      </c>
      <c r="Q234" s="70">
        <f t="shared" si="121"/>
        <v>0</v>
      </c>
    </row>
    <row r="235" spans="1:18" s="58" customFormat="1" ht="31.2" collapsed="1">
      <c r="A235" s="76" t="s">
        <v>112</v>
      </c>
      <c r="B235" s="68" t="s">
        <v>229</v>
      </c>
      <c r="C235" s="77" t="s">
        <v>119</v>
      </c>
      <c r="D235" s="71"/>
      <c r="E235" s="71">
        <f>F235+G235</f>
        <v>27100</v>
      </c>
      <c r="F235" s="105">
        <v>18336</v>
      </c>
      <c r="G235" s="72">
        <f t="shared" si="119"/>
        <v>8764</v>
      </c>
      <c r="H235" s="72">
        <f>SUM(H238:H241)</f>
        <v>934</v>
      </c>
      <c r="I235" s="72">
        <f t="shared" ref="I235:Q235" si="122">SUM(I238:I241)</f>
        <v>1229</v>
      </c>
      <c r="J235" s="72">
        <f t="shared" si="122"/>
        <v>743</v>
      </c>
      <c r="K235" s="72">
        <f t="shared" si="122"/>
        <v>403</v>
      </c>
      <c r="L235" s="72">
        <f t="shared" si="122"/>
        <v>1169</v>
      </c>
      <c r="M235" s="72">
        <f t="shared" si="122"/>
        <v>1208</v>
      </c>
      <c r="N235" s="72">
        <f t="shared" si="122"/>
        <v>456</v>
      </c>
      <c r="O235" s="72">
        <f t="shared" si="122"/>
        <v>811</v>
      </c>
      <c r="P235" s="72">
        <f t="shared" si="122"/>
        <v>777</v>
      </c>
      <c r="Q235" s="72">
        <f t="shared" si="122"/>
        <v>1034</v>
      </c>
      <c r="R235" s="58">
        <f>G235-SUM(H235:Q235)</f>
        <v>0</v>
      </c>
    </row>
    <row r="236" spans="1:18" ht="31.2">
      <c r="A236" s="73"/>
      <c r="B236" s="83" t="s">
        <v>120</v>
      </c>
      <c r="C236" s="69" t="s">
        <v>119</v>
      </c>
      <c r="D236" s="75"/>
      <c r="E236" s="75">
        <v>30200.303</v>
      </c>
      <c r="F236" s="75">
        <v>16918</v>
      </c>
      <c r="G236" s="70">
        <f t="shared" si="119"/>
        <v>13282.303</v>
      </c>
      <c r="H236" s="110">
        <v>1574</v>
      </c>
      <c r="I236" s="110">
        <v>934</v>
      </c>
      <c r="J236" s="110">
        <v>938</v>
      </c>
      <c r="K236" s="110">
        <v>1266</v>
      </c>
      <c r="L236" s="110">
        <v>1252</v>
      </c>
      <c r="M236" s="110">
        <v>1174</v>
      </c>
      <c r="N236" s="110">
        <v>769.303</v>
      </c>
      <c r="O236" s="110">
        <v>1711</v>
      </c>
      <c r="P236" s="110">
        <v>2288</v>
      </c>
      <c r="Q236" s="110">
        <v>1376</v>
      </c>
      <c r="R236" s="58"/>
    </row>
    <row r="237" spans="1:18">
      <c r="A237" s="73"/>
      <c r="B237" s="85" t="s">
        <v>121</v>
      </c>
      <c r="C237" s="86" t="s">
        <v>95</v>
      </c>
      <c r="D237" s="87"/>
      <c r="E237" s="156">
        <f>E235/E236%</f>
        <v>89.734199024426999</v>
      </c>
      <c r="F237" s="156">
        <f>F235/F236%</f>
        <v>108.38160539070812</v>
      </c>
      <c r="G237" s="156">
        <f>G235/G236%</f>
        <v>65.982533300136282</v>
      </c>
      <c r="H237" s="156">
        <f t="shared" ref="H237:Q237" si="123">H235/H236%</f>
        <v>59.339263024142312</v>
      </c>
      <c r="I237" s="156"/>
      <c r="J237" s="156">
        <f t="shared" si="123"/>
        <v>79.211087420042631</v>
      </c>
      <c r="K237" s="156">
        <f t="shared" si="123"/>
        <v>31.832543443917849</v>
      </c>
      <c r="L237" s="156">
        <f t="shared" si="123"/>
        <v>93.370607028753994</v>
      </c>
      <c r="M237" s="156">
        <f t="shared" si="123"/>
        <v>102.89608177172062</v>
      </c>
      <c r="N237" s="156">
        <f t="shared" si="123"/>
        <v>59.274434130635129</v>
      </c>
      <c r="O237" s="156">
        <f t="shared" si="123"/>
        <v>47.399181765049683</v>
      </c>
      <c r="P237" s="156">
        <f t="shared" si="123"/>
        <v>33.959790209790214</v>
      </c>
      <c r="Q237" s="156">
        <f t="shared" si="123"/>
        <v>75.145348837209298</v>
      </c>
      <c r="R237" s="58"/>
    </row>
    <row r="238" spans="1:18" s="58" customFormat="1" ht="31.5" hidden="1" customHeight="1" outlineLevel="1">
      <c r="A238" s="73" t="s">
        <v>23</v>
      </c>
      <c r="B238" s="74" t="s">
        <v>128</v>
      </c>
      <c r="C238" s="100" t="s">
        <v>129</v>
      </c>
      <c r="D238" s="70">
        <v>3825</v>
      </c>
      <c r="E238" s="75"/>
      <c r="F238" s="71"/>
      <c r="G238" s="70">
        <f t="shared" ref="G238" si="124">SUM(H238:Q238)</f>
        <v>854</v>
      </c>
      <c r="H238" s="70">
        <f t="shared" ref="H238:Q241" si="125">IF(H$27=0,ROUND(H13*$D238/1000000,0),ROUND(H13*$D238/1000000*(1+H$27/100),0))</f>
        <v>602</v>
      </c>
      <c r="I238" s="70">
        <f t="shared" si="125"/>
        <v>61</v>
      </c>
      <c r="J238" s="70">
        <f t="shared" si="125"/>
        <v>59</v>
      </c>
      <c r="K238" s="70">
        <f t="shared" si="125"/>
        <v>77</v>
      </c>
      <c r="L238" s="70">
        <f t="shared" si="125"/>
        <v>0</v>
      </c>
      <c r="M238" s="70">
        <f t="shared" si="125"/>
        <v>32</v>
      </c>
      <c r="N238" s="70">
        <f t="shared" si="125"/>
        <v>0</v>
      </c>
      <c r="O238" s="70">
        <f t="shared" si="125"/>
        <v>0</v>
      </c>
      <c r="P238" s="70">
        <f t="shared" si="125"/>
        <v>23</v>
      </c>
      <c r="Q238" s="70">
        <f t="shared" si="125"/>
        <v>0</v>
      </c>
    </row>
    <row r="239" spans="1:18" ht="31.5" hidden="1" customHeight="1" outlineLevel="1">
      <c r="A239" s="73" t="s">
        <v>23</v>
      </c>
      <c r="B239" s="74" t="s">
        <v>130</v>
      </c>
      <c r="C239" s="100" t="s">
        <v>129</v>
      </c>
      <c r="D239" s="70">
        <v>4462.5</v>
      </c>
      <c r="E239" s="75"/>
      <c r="F239" s="71"/>
      <c r="G239" s="70">
        <f t="shared" ref="G239:G243" si="126">SUM(H239:Q239)</f>
        <v>520</v>
      </c>
      <c r="H239" s="70">
        <f t="shared" si="125"/>
        <v>0</v>
      </c>
      <c r="I239" s="70">
        <f t="shared" si="125"/>
        <v>111</v>
      </c>
      <c r="J239" s="70">
        <f t="shared" si="125"/>
        <v>80</v>
      </c>
      <c r="K239" s="70">
        <f t="shared" si="125"/>
        <v>175</v>
      </c>
      <c r="L239" s="70">
        <f t="shared" si="125"/>
        <v>75</v>
      </c>
      <c r="M239" s="70">
        <f t="shared" si="125"/>
        <v>36</v>
      </c>
      <c r="N239" s="70">
        <f t="shared" si="125"/>
        <v>0</v>
      </c>
      <c r="O239" s="70">
        <f t="shared" si="125"/>
        <v>43</v>
      </c>
      <c r="P239" s="70">
        <f t="shared" si="125"/>
        <v>0</v>
      </c>
      <c r="Q239" s="70">
        <f t="shared" si="125"/>
        <v>0</v>
      </c>
      <c r="R239" s="58"/>
    </row>
    <row r="240" spans="1:18" s="58" customFormat="1" ht="31.5" hidden="1" customHeight="1" outlineLevel="1">
      <c r="A240" s="73" t="s">
        <v>23</v>
      </c>
      <c r="B240" s="74" t="s">
        <v>131</v>
      </c>
      <c r="C240" s="100" t="s">
        <v>129</v>
      </c>
      <c r="D240" s="70">
        <v>29325</v>
      </c>
      <c r="E240" s="75"/>
      <c r="F240" s="71"/>
      <c r="G240" s="70">
        <f t="shared" si="126"/>
        <v>7294</v>
      </c>
      <c r="H240" s="70">
        <f t="shared" si="125"/>
        <v>269</v>
      </c>
      <c r="I240" s="70">
        <f t="shared" si="125"/>
        <v>1038</v>
      </c>
      <c r="J240" s="70">
        <f t="shared" si="125"/>
        <v>604</v>
      </c>
      <c r="K240" s="70">
        <f t="shared" si="125"/>
        <v>151</v>
      </c>
      <c r="L240" s="70">
        <f t="shared" si="125"/>
        <v>1094</v>
      </c>
      <c r="M240" s="70">
        <f t="shared" si="125"/>
        <v>1140</v>
      </c>
      <c r="N240" s="70">
        <f t="shared" si="125"/>
        <v>456</v>
      </c>
      <c r="O240" s="70">
        <f t="shared" si="125"/>
        <v>768</v>
      </c>
      <c r="P240" s="70">
        <f t="shared" si="125"/>
        <v>740</v>
      </c>
      <c r="Q240" s="70">
        <f t="shared" si="125"/>
        <v>1034</v>
      </c>
    </row>
    <row r="241" spans="1:18" s="58" customFormat="1" ht="31.5" hidden="1" customHeight="1" outlineLevel="1">
      <c r="A241" s="73" t="s">
        <v>23</v>
      </c>
      <c r="B241" s="74" t="s">
        <v>132</v>
      </c>
      <c r="C241" s="100" t="s">
        <v>129</v>
      </c>
      <c r="D241" s="70">
        <v>6375</v>
      </c>
      <c r="E241" s="71"/>
      <c r="F241" s="71"/>
      <c r="G241" s="70">
        <f t="shared" si="126"/>
        <v>96</v>
      </c>
      <c r="H241" s="70">
        <f t="shared" si="125"/>
        <v>63</v>
      </c>
      <c r="I241" s="70">
        <f t="shared" si="125"/>
        <v>19</v>
      </c>
      <c r="J241" s="70">
        <f t="shared" si="125"/>
        <v>0</v>
      </c>
      <c r="K241" s="70">
        <f t="shared" si="125"/>
        <v>0</v>
      </c>
      <c r="L241" s="70">
        <f t="shared" si="125"/>
        <v>0</v>
      </c>
      <c r="M241" s="70">
        <f t="shared" si="125"/>
        <v>0</v>
      </c>
      <c r="N241" s="70">
        <f t="shared" si="125"/>
        <v>0</v>
      </c>
      <c r="O241" s="70">
        <f t="shared" si="125"/>
        <v>0</v>
      </c>
      <c r="P241" s="70">
        <f t="shared" si="125"/>
        <v>14</v>
      </c>
      <c r="Q241" s="70">
        <f t="shared" si="125"/>
        <v>0</v>
      </c>
    </row>
    <row r="242" spans="1:18" s="58" customFormat="1" ht="31.2" collapsed="1">
      <c r="A242" s="76" t="s">
        <v>230</v>
      </c>
      <c r="B242" s="68" t="s">
        <v>231</v>
      </c>
      <c r="C242" s="77" t="s">
        <v>119</v>
      </c>
      <c r="D242" s="71"/>
      <c r="E242" s="71">
        <f>F242+G242</f>
        <v>22878</v>
      </c>
      <c r="F242" s="71">
        <v>18955</v>
      </c>
      <c r="G242" s="72">
        <f t="shared" si="126"/>
        <v>3923</v>
      </c>
      <c r="H242" s="72">
        <f>SUM(H245:H248)</f>
        <v>352</v>
      </c>
      <c r="I242" s="72">
        <f t="shared" ref="I242:Q242" si="127">SUM(I245:I248)</f>
        <v>552</v>
      </c>
      <c r="J242" s="72">
        <f t="shared" si="127"/>
        <v>331</v>
      </c>
      <c r="K242" s="72">
        <f t="shared" si="127"/>
        <v>156</v>
      </c>
      <c r="L242" s="72">
        <f t="shared" si="127"/>
        <v>539</v>
      </c>
      <c r="M242" s="72">
        <f t="shared" si="127"/>
        <v>558</v>
      </c>
      <c r="N242" s="72">
        <f t="shared" si="127"/>
        <v>214</v>
      </c>
      <c r="O242" s="72">
        <f t="shared" si="127"/>
        <v>376</v>
      </c>
      <c r="P242" s="72">
        <f t="shared" si="127"/>
        <v>360</v>
      </c>
      <c r="Q242" s="72">
        <f t="shared" si="127"/>
        <v>485</v>
      </c>
      <c r="R242" s="58">
        <f>G242-SUM(H242:Q242)</f>
        <v>0</v>
      </c>
    </row>
    <row r="243" spans="1:18" ht="31.2">
      <c r="A243" s="73"/>
      <c r="B243" s="83" t="s">
        <v>120</v>
      </c>
      <c r="C243" s="69" t="s">
        <v>119</v>
      </c>
      <c r="D243" s="75"/>
      <c r="E243" s="75">
        <v>18704</v>
      </c>
      <c r="F243" s="75">
        <v>13216</v>
      </c>
      <c r="G243" s="70">
        <f t="shared" si="126"/>
        <v>5488</v>
      </c>
      <c r="H243" s="70">
        <v>1440</v>
      </c>
      <c r="I243" s="70">
        <v>363</v>
      </c>
      <c r="J243" s="70">
        <v>662</v>
      </c>
      <c r="K243" s="70">
        <v>250</v>
      </c>
      <c r="L243" s="70">
        <v>710</v>
      </c>
      <c r="M243" s="70">
        <v>703</v>
      </c>
      <c r="N243" s="70">
        <v>150</v>
      </c>
      <c r="O243" s="70">
        <v>275</v>
      </c>
      <c r="P243" s="70">
        <v>470</v>
      </c>
      <c r="Q243" s="70">
        <v>465</v>
      </c>
      <c r="R243" s="58"/>
    </row>
    <row r="244" spans="1:18">
      <c r="A244" s="73"/>
      <c r="B244" s="85" t="s">
        <v>121</v>
      </c>
      <c r="C244" s="86" t="s">
        <v>95</v>
      </c>
      <c r="D244" s="87"/>
      <c r="E244" s="170">
        <f>E242/E243%</f>
        <v>122.31608212147135</v>
      </c>
      <c r="F244" s="170">
        <f t="shared" ref="F244:Q244" si="128">F242/F243%</f>
        <v>143.42463680387411</v>
      </c>
      <c r="G244" s="170">
        <f t="shared" si="128"/>
        <v>71.483236151603492</v>
      </c>
      <c r="H244" s="170">
        <f t="shared" si="128"/>
        <v>24.444444444444443</v>
      </c>
      <c r="I244" s="170"/>
      <c r="J244" s="170">
        <f t="shared" si="128"/>
        <v>50</v>
      </c>
      <c r="K244" s="170">
        <f t="shared" si="128"/>
        <v>62.4</v>
      </c>
      <c r="L244" s="170">
        <f t="shared" si="128"/>
        <v>75.91549295774648</v>
      </c>
      <c r="M244" s="170">
        <f t="shared" si="128"/>
        <v>79.37411095305832</v>
      </c>
      <c r="N244" s="170">
        <f t="shared" si="128"/>
        <v>142.66666666666666</v>
      </c>
      <c r="O244" s="170">
        <f t="shared" si="128"/>
        <v>136.72727272727272</v>
      </c>
      <c r="P244" s="170">
        <f t="shared" si="128"/>
        <v>76.595744680851055</v>
      </c>
      <c r="Q244" s="170">
        <f t="shared" si="128"/>
        <v>104.3010752688172</v>
      </c>
      <c r="R244" s="58"/>
    </row>
    <row r="245" spans="1:18" s="116" customFormat="1" ht="31.5" hidden="1" customHeight="1" outlineLevel="1">
      <c r="A245" s="73" t="s">
        <v>23</v>
      </c>
      <c r="B245" s="74" t="s">
        <v>128</v>
      </c>
      <c r="C245" s="100" t="s">
        <v>129</v>
      </c>
      <c r="D245" s="70">
        <v>1296</v>
      </c>
      <c r="E245" s="70"/>
      <c r="F245" s="70"/>
      <c r="G245" s="70">
        <f>SUM(H245:Q245)</f>
        <v>290</v>
      </c>
      <c r="H245" s="70">
        <f t="shared" ref="H245:Q248" si="129">IF(H$27=0,ROUND(H13*$D245/1000000,0),ROUND(H13*$D245/1000000*(1+H$27/100),0))</f>
        <v>204</v>
      </c>
      <c r="I245" s="70">
        <f t="shared" si="129"/>
        <v>21</v>
      </c>
      <c r="J245" s="70">
        <f t="shared" si="129"/>
        <v>20</v>
      </c>
      <c r="K245" s="70">
        <f t="shared" si="129"/>
        <v>26</v>
      </c>
      <c r="L245" s="70">
        <f t="shared" si="129"/>
        <v>0</v>
      </c>
      <c r="M245" s="70">
        <f t="shared" si="129"/>
        <v>11</v>
      </c>
      <c r="N245" s="70">
        <f t="shared" si="129"/>
        <v>0</v>
      </c>
      <c r="O245" s="70">
        <f t="shared" si="129"/>
        <v>0</v>
      </c>
      <c r="P245" s="70">
        <f t="shared" si="129"/>
        <v>8</v>
      </c>
      <c r="Q245" s="70">
        <f t="shared" si="129"/>
        <v>0</v>
      </c>
      <c r="R245" s="58"/>
    </row>
    <row r="246" spans="1:18" s="116" customFormat="1" ht="31.2" hidden="1" outlineLevel="1">
      <c r="A246" s="73" t="s">
        <v>23</v>
      </c>
      <c r="B246" s="74" t="s">
        <v>130</v>
      </c>
      <c r="C246" s="100" t="s">
        <v>129</v>
      </c>
      <c r="D246" s="70">
        <v>1512</v>
      </c>
      <c r="E246" s="70"/>
      <c r="F246" s="70"/>
      <c r="G246" s="70">
        <f>SUM(H246:Q246)</f>
        <v>176</v>
      </c>
      <c r="H246" s="70">
        <f t="shared" si="129"/>
        <v>0</v>
      </c>
      <c r="I246" s="70">
        <f t="shared" si="129"/>
        <v>38</v>
      </c>
      <c r="J246" s="70">
        <f t="shared" si="129"/>
        <v>27</v>
      </c>
      <c r="K246" s="70">
        <f t="shared" si="129"/>
        <v>59</v>
      </c>
      <c r="L246" s="70">
        <f t="shared" si="129"/>
        <v>25</v>
      </c>
      <c r="M246" s="70">
        <f t="shared" si="129"/>
        <v>12</v>
      </c>
      <c r="N246" s="70">
        <f t="shared" si="129"/>
        <v>0</v>
      </c>
      <c r="O246" s="70">
        <f t="shared" si="129"/>
        <v>15</v>
      </c>
      <c r="P246" s="70">
        <f t="shared" si="129"/>
        <v>0</v>
      </c>
      <c r="Q246" s="70">
        <f t="shared" si="129"/>
        <v>0</v>
      </c>
      <c r="R246" s="58"/>
    </row>
    <row r="247" spans="1:18" s="58" customFormat="1" ht="31.2" hidden="1" outlineLevel="1">
      <c r="A247" s="73" t="s">
        <v>23</v>
      </c>
      <c r="B247" s="74" t="s">
        <v>131</v>
      </c>
      <c r="C247" s="100" t="s">
        <v>129</v>
      </c>
      <c r="D247" s="70">
        <v>13770</v>
      </c>
      <c r="E247" s="70"/>
      <c r="F247" s="70"/>
      <c r="G247" s="70">
        <f>SUM(H247:Q247)</f>
        <v>3424</v>
      </c>
      <c r="H247" s="70">
        <f t="shared" si="129"/>
        <v>126</v>
      </c>
      <c r="I247" s="70">
        <f t="shared" si="129"/>
        <v>487</v>
      </c>
      <c r="J247" s="70">
        <f t="shared" si="129"/>
        <v>284</v>
      </c>
      <c r="K247" s="70">
        <f t="shared" si="129"/>
        <v>71</v>
      </c>
      <c r="L247" s="70">
        <f t="shared" si="129"/>
        <v>514</v>
      </c>
      <c r="M247" s="70">
        <f t="shared" si="129"/>
        <v>535</v>
      </c>
      <c r="N247" s="70">
        <f t="shared" si="129"/>
        <v>214</v>
      </c>
      <c r="O247" s="70">
        <f t="shared" si="129"/>
        <v>361</v>
      </c>
      <c r="P247" s="70">
        <f t="shared" si="129"/>
        <v>347</v>
      </c>
      <c r="Q247" s="70">
        <f t="shared" si="129"/>
        <v>485</v>
      </c>
    </row>
    <row r="248" spans="1:18" s="58" customFormat="1" ht="31.2" hidden="1" outlineLevel="1">
      <c r="A248" s="73" t="s">
        <v>23</v>
      </c>
      <c r="B248" s="74" t="s">
        <v>132</v>
      </c>
      <c r="C248" s="100" t="s">
        <v>129</v>
      </c>
      <c r="D248" s="70">
        <v>2160</v>
      </c>
      <c r="E248" s="70"/>
      <c r="F248" s="70"/>
      <c r="G248" s="70">
        <f>SUM(H248:Q248)</f>
        <v>33</v>
      </c>
      <c r="H248" s="70">
        <f t="shared" si="129"/>
        <v>22</v>
      </c>
      <c r="I248" s="70">
        <f t="shared" si="129"/>
        <v>6</v>
      </c>
      <c r="J248" s="70">
        <f t="shared" si="129"/>
        <v>0</v>
      </c>
      <c r="K248" s="70">
        <f t="shared" si="129"/>
        <v>0</v>
      </c>
      <c r="L248" s="70">
        <f t="shared" si="129"/>
        <v>0</v>
      </c>
      <c r="M248" s="70">
        <f t="shared" si="129"/>
        <v>0</v>
      </c>
      <c r="N248" s="70">
        <f t="shared" si="129"/>
        <v>0</v>
      </c>
      <c r="O248" s="70">
        <f t="shared" si="129"/>
        <v>0</v>
      </c>
      <c r="P248" s="70">
        <f t="shared" si="129"/>
        <v>5</v>
      </c>
      <c r="Q248" s="70">
        <f t="shared" si="129"/>
        <v>0</v>
      </c>
    </row>
    <row r="249" spans="1:18" s="58" customFormat="1" ht="31.2" collapsed="1">
      <c r="A249" s="76" t="s">
        <v>232</v>
      </c>
      <c r="B249" s="68" t="s">
        <v>233</v>
      </c>
      <c r="C249" s="77" t="s">
        <v>119</v>
      </c>
      <c r="D249" s="71"/>
      <c r="E249" s="71">
        <f>F249+G249</f>
        <v>227656</v>
      </c>
      <c r="F249" s="71">
        <v>69514</v>
      </c>
      <c r="G249" s="72">
        <f>SUM(H249:Q249)</f>
        <v>158142</v>
      </c>
      <c r="H249" s="72">
        <f t="shared" ref="H249:Q249" si="130">H252+H257+H261</f>
        <v>39276</v>
      </c>
      <c r="I249" s="72">
        <f t="shared" si="130"/>
        <v>20569</v>
      </c>
      <c r="J249" s="72">
        <f t="shared" si="130"/>
        <v>14206</v>
      </c>
      <c r="K249" s="72">
        <f t="shared" si="130"/>
        <v>9480</v>
      </c>
      <c r="L249" s="72">
        <f t="shared" si="130"/>
        <v>17325</v>
      </c>
      <c r="M249" s="72">
        <f t="shared" si="130"/>
        <v>17826</v>
      </c>
      <c r="N249" s="72">
        <f t="shared" si="130"/>
        <v>2628</v>
      </c>
      <c r="O249" s="72">
        <f t="shared" si="130"/>
        <v>8934</v>
      </c>
      <c r="P249" s="72">
        <f t="shared" si="130"/>
        <v>14085</v>
      </c>
      <c r="Q249" s="72">
        <f t="shared" si="130"/>
        <v>13813</v>
      </c>
      <c r="R249" s="58">
        <f>G249-SUM(H249:Q249)</f>
        <v>0</v>
      </c>
    </row>
    <row r="250" spans="1:18" ht="31.2">
      <c r="A250" s="73"/>
      <c r="B250" s="83" t="s">
        <v>120</v>
      </c>
      <c r="C250" s="69" t="s">
        <v>119</v>
      </c>
      <c r="D250" s="75"/>
      <c r="E250" s="75">
        <v>215800</v>
      </c>
      <c r="F250" s="75">
        <v>61271</v>
      </c>
      <c r="G250" s="75">
        <v>154529</v>
      </c>
      <c r="H250" s="75">
        <v>44695</v>
      </c>
      <c r="I250" s="75">
        <v>17830</v>
      </c>
      <c r="J250" s="75">
        <v>12411</v>
      </c>
      <c r="K250" s="75">
        <v>13378</v>
      </c>
      <c r="L250" s="75">
        <v>15056</v>
      </c>
      <c r="M250" s="75">
        <v>16554</v>
      </c>
      <c r="N250" s="75">
        <v>3110</v>
      </c>
      <c r="O250" s="75">
        <v>9356</v>
      </c>
      <c r="P250" s="75">
        <v>13198</v>
      </c>
      <c r="Q250" s="75">
        <v>8941</v>
      </c>
    </row>
    <row r="251" spans="1:18">
      <c r="A251" s="73"/>
      <c r="B251" s="85" t="s">
        <v>121</v>
      </c>
      <c r="C251" s="86" t="s">
        <v>95</v>
      </c>
      <c r="D251" s="87"/>
      <c r="E251" s="88">
        <f>E249/E250%</f>
        <v>105.49397590361446</v>
      </c>
      <c r="F251" s="88">
        <f>F249/F250%</f>
        <v>113.45334660769369</v>
      </c>
      <c r="G251" s="88">
        <f>G249/G250%</f>
        <v>102.33807246536249</v>
      </c>
      <c r="H251" s="88">
        <f t="shared" ref="H251:Q251" si="131">H249/H250%</f>
        <v>87.875601297684312</v>
      </c>
      <c r="I251" s="88">
        <f t="shared" si="131"/>
        <v>115.36174985978687</v>
      </c>
      <c r="J251" s="88">
        <f t="shared" si="131"/>
        <v>114.4629763919104</v>
      </c>
      <c r="K251" s="88">
        <f t="shared" si="131"/>
        <v>70.862610255643588</v>
      </c>
      <c r="L251" s="88">
        <f t="shared" si="131"/>
        <v>115.07040382571732</v>
      </c>
      <c r="M251" s="88">
        <f t="shared" si="131"/>
        <v>107.68394345777456</v>
      </c>
      <c r="N251" s="88">
        <f t="shared" si="131"/>
        <v>84.501607717041793</v>
      </c>
      <c r="O251" s="88">
        <f t="shared" si="131"/>
        <v>95.489525438221463</v>
      </c>
      <c r="P251" s="88">
        <f t="shared" si="131"/>
        <v>106.72071525988787</v>
      </c>
      <c r="Q251" s="88">
        <f t="shared" si="131"/>
        <v>154.49054915557545</v>
      </c>
    </row>
    <row r="252" spans="1:18" s="58" customFormat="1" ht="31.2" outlineLevel="1">
      <c r="A252" s="76" t="s">
        <v>18</v>
      </c>
      <c r="B252" s="68" t="s">
        <v>224</v>
      </c>
      <c r="C252" s="77" t="s">
        <v>119</v>
      </c>
      <c r="D252" s="71"/>
      <c r="E252" s="71"/>
      <c r="F252" s="71"/>
      <c r="G252" s="72">
        <f t="shared" ref="G252:Q252" si="132">SUM(G253:G256)</f>
        <v>24775</v>
      </c>
      <c r="H252" s="72">
        <f t="shared" si="132"/>
        <v>1368</v>
      </c>
      <c r="I252" s="72">
        <f t="shared" si="132"/>
        <v>3511</v>
      </c>
      <c r="J252" s="72">
        <f t="shared" si="132"/>
        <v>2064</v>
      </c>
      <c r="K252" s="72">
        <f t="shared" si="132"/>
        <v>677</v>
      </c>
      <c r="L252" s="72">
        <f t="shared" si="132"/>
        <v>3608</v>
      </c>
      <c r="M252" s="72">
        <f t="shared" si="132"/>
        <v>3753</v>
      </c>
      <c r="N252" s="72">
        <f t="shared" si="132"/>
        <v>1481</v>
      </c>
      <c r="O252" s="72">
        <f t="shared" si="132"/>
        <v>2527</v>
      </c>
      <c r="P252" s="72">
        <f t="shared" si="132"/>
        <v>2430</v>
      </c>
      <c r="Q252" s="72">
        <f t="shared" si="132"/>
        <v>3356</v>
      </c>
    </row>
    <row r="253" spans="1:18" ht="31.5" customHeight="1" outlineLevel="1">
      <c r="A253" s="73" t="s">
        <v>23</v>
      </c>
      <c r="B253" s="74" t="s">
        <v>128</v>
      </c>
      <c r="C253" s="100" t="s">
        <v>129</v>
      </c>
      <c r="D253" s="70">
        <v>2856</v>
      </c>
      <c r="E253" s="75"/>
      <c r="F253" s="71"/>
      <c r="G253" s="70">
        <f t="shared" ref="G253" si="133">SUM(H253:Q253)</f>
        <v>636</v>
      </c>
      <c r="H253" s="70">
        <f t="shared" ref="H253:Q256" si="134">IF(H$27=0,ROUND(H13*$D253/1000000,0),ROUND(H13*$D253/1000000*(1+H$27/100),0))</f>
        <v>449</v>
      </c>
      <c r="I253" s="70">
        <f t="shared" si="134"/>
        <v>45</v>
      </c>
      <c r="J253" s="70">
        <f t="shared" si="134"/>
        <v>44</v>
      </c>
      <c r="K253" s="70">
        <f t="shared" si="134"/>
        <v>57</v>
      </c>
      <c r="L253" s="70">
        <f t="shared" si="134"/>
        <v>0</v>
      </c>
      <c r="M253" s="70">
        <f t="shared" si="134"/>
        <v>24</v>
      </c>
      <c r="N253" s="70">
        <f t="shared" si="134"/>
        <v>0</v>
      </c>
      <c r="O253" s="70">
        <f t="shared" si="134"/>
        <v>0</v>
      </c>
      <c r="P253" s="70">
        <f t="shared" si="134"/>
        <v>17</v>
      </c>
      <c r="Q253" s="70">
        <f t="shared" si="134"/>
        <v>0</v>
      </c>
      <c r="R253" s="58"/>
    </row>
    <row r="254" spans="1:18" ht="31.2" outlineLevel="1">
      <c r="A254" s="73" t="s">
        <v>23</v>
      </c>
      <c r="B254" s="74" t="s">
        <v>130</v>
      </c>
      <c r="C254" s="100" t="s">
        <v>129</v>
      </c>
      <c r="D254" s="70">
        <v>3332</v>
      </c>
      <c r="E254" s="75"/>
      <c r="F254" s="71"/>
      <c r="G254" s="70">
        <f t="shared" ref="G254:G265" si="135">SUM(H254:Q254)</f>
        <v>389</v>
      </c>
      <c r="H254" s="70">
        <f t="shared" si="134"/>
        <v>0</v>
      </c>
      <c r="I254" s="70">
        <f t="shared" si="134"/>
        <v>83</v>
      </c>
      <c r="J254" s="70">
        <f t="shared" si="134"/>
        <v>60</v>
      </c>
      <c r="K254" s="70">
        <f t="shared" si="134"/>
        <v>131</v>
      </c>
      <c r="L254" s="70">
        <f t="shared" si="134"/>
        <v>56</v>
      </c>
      <c r="M254" s="70">
        <f t="shared" si="134"/>
        <v>27</v>
      </c>
      <c r="N254" s="70">
        <f t="shared" si="134"/>
        <v>0</v>
      </c>
      <c r="O254" s="70">
        <f t="shared" si="134"/>
        <v>32</v>
      </c>
      <c r="P254" s="70">
        <f t="shared" si="134"/>
        <v>0</v>
      </c>
      <c r="Q254" s="70">
        <f t="shared" si="134"/>
        <v>0</v>
      </c>
      <c r="R254" s="58"/>
    </row>
    <row r="255" spans="1:18" ht="31.2" outlineLevel="1">
      <c r="A255" s="73" t="s">
        <v>23</v>
      </c>
      <c r="B255" s="74" t="s">
        <v>131</v>
      </c>
      <c r="C255" s="100" t="s">
        <v>129</v>
      </c>
      <c r="D255" s="70">
        <v>95200</v>
      </c>
      <c r="E255" s="75"/>
      <c r="F255" s="71"/>
      <c r="G255" s="70">
        <f t="shared" si="135"/>
        <v>23678</v>
      </c>
      <c r="H255" s="70">
        <f t="shared" si="134"/>
        <v>872</v>
      </c>
      <c r="I255" s="70">
        <f t="shared" si="134"/>
        <v>3369</v>
      </c>
      <c r="J255" s="70">
        <f t="shared" si="134"/>
        <v>1960</v>
      </c>
      <c r="K255" s="70">
        <f t="shared" si="134"/>
        <v>489</v>
      </c>
      <c r="L255" s="70">
        <f t="shared" si="134"/>
        <v>3552</v>
      </c>
      <c r="M255" s="70">
        <f t="shared" si="134"/>
        <v>3702</v>
      </c>
      <c r="N255" s="70">
        <f t="shared" si="134"/>
        <v>1481</v>
      </c>
      <c r="O255" s="70">
        <f t="shared" si="134"/>
        <v>2495</v>
      </c>
      <c r="P255" s="70">
        <f t="shared" si="134"/>
        <v>2402</v>
      </c>
      <c r="Q255" s="70">
        <f t="shared" si="134"/>
        <v>3356</v>
      </c>
      <c r="R255" s="58"/>
    </row>
    <row r="256" spans="1:18" ht="31.2" outlineLevel="1">
      <c r="A256" s="73" t="s">
        <v>23</v>
      </c>
      <c r="B256" s="74" t="s">
        <v>132</v>
      </c>
      <c r="C256" s="100" t="s">
        <v>129</v>
      </c>
      <c r="D256" s="70">
        <v>4760</v>
      </c>
      <c r="E256" s="71"/>
      <c r="F256" s="71"/>
      <c r="G256" s="70">
        <f t="shared" si="135"/>
        <v>72</v>
      </c>
      <c r="H256" s="70">
        <f t="shared" si="134"/>
        <v>47</v>
      </c>
      <c r="I256" s="70">
        <f t="shared" si="134"/>
        <v>14</v>
      </c>
      <c r="J256" s="70">
        <f t="shared" si="134"/>
        <v>0</v>
      </c>
      <c r="K256" s="70">
        <f t="shared" si="134"/>
        <v>0</v>
      </c>
      <c r="L256" s="70">
        <f t="shared" si="134"/>
        <v>0</v>
      </c>
      <c r="M256" s="70">
        <f t="shared" si="134"/>
        <v>0</v>
      </c>
      <c r="N256" s="70">
        <f t="shared" si="134"/>
        <v>0</v>
      </c>
      <c r="O256" s="70">
        <f t="shared" si="134"/>
        <v>0</v>
      </c>
      <c r="P256" s="70">
        <f t="shared" si="134"/>
        <v>11</v>
      </c>
      <c r="Q256" s="70">
        <f t="shared" si="134"/>
        <v>0</v>
      </c>
      <c r="R256" s="58"/>
    </row>
    <row r="257" spans="1:18" s="58" customFormat="1" outlineLevel="1">
      <c r="A257" s="76" t="s">
        <v>26</v>
      </c>
      <c r="B257" s="102" t="s">
        <v>151</v>
      </c>
      <c r="C257" s="103"/>
      <c r="D257" s="72"/>
      <c r="E257" s="71"/>
      <c r="F257" s="71"/>
      <c r="G257" s="72">
        <f t="shared" ref="G257:Q257" si="136">G258+G259+G260</f>
        <v>127917</v>
      </c>
      <c r="H257" s="72">
        <f t="shared" si="136"/>
        <v>36971</v>
      </c>
      <c r="I257" s="72">
        <f t="shared" si="136"/>
        <v>16287</v>
      </c>
      <c r="J257" s="72">
        <f t="shared" si="136"/>
        <v>11504</v>
      </c>
      <c r="K257" s="72">
        <f t="shared" si="136"/>
        <v>8324</v>
      </c>
      <c r="L257" s="72">
        <f t="shared" si="136"/>
        <v>12965</v>
      </c>
      <c r="M257" s="72">
        <f t="shared" si="136"/>
        <v>13584</v>
      </c>
      <c r="N257" s="72">
        <f t="shared" si="136"/>
        <v>1013</v>
      </c>
      <c r="O257" s="72">
        <f t="shared" si="136"/>
        <v>6119</v>
      </c>
      <c r="P257" s="72">
        <f t="shared" si="136"/>
        <v>11224</v>
      </c>
      <c r="Q257" s="72">
        <f t="shared" si="136"/>
        <v>9926</v>
      </c>
    </row>
    <row r="258" spans="1:18" ht="31.2" outlineLevel="1">
      <c r="A258" s="73" t="s">
        <v>23</v>
      </c>
      <c r="B258" s="83" t="s">
        <v>234</v>
      </c>
      <c r="C258" s="69" t="s">
        <v>119</v>
      </c>
      <c r="D258" s="75"/>
      <c r="E258" s="75">
        <f>F258+G258</f>
        <v>117147</v>
      </c>
      <c r="F258" s="75">
        <v>2817</v>
      </c>
      <c r="G258" s="70">
        <f t="shared" si="135"/>
        <v>114330</v>
      </c>
      <c r="H258" s="70">
        <v>35709</v>
      </c>
      <c r="I258" s="70">
        <v>14523</v>
      </c>
      <c r="J258" s="70">
        <v>10597</v>
      </c>
      <c r="K258" s="70">
        <v>7691</v>
      </c>
      <c r="L258" s="70">
        <v>10661</v>
      </c>
      <c r="M258" s="70">
        <v>11845</v>
      </c>
      <c r="N258" s="70">
        <v>625</v>
      </c>
      <c r="O258" s="70">
        <v>4968</v>
      </c>
      <c r="P258" s="70">
        <v>9924</v>
      </c>
      <c r="Q258" s="70">
        <v>7787</v>
      </c>
    </row>
    <row r="259" spans="1:18" outlineLevel="1">
      <c r="A259" s="73" t="s">
        <v>23</v>
      </c>
      <c r="B259" s="83" t="s">
        <v>235</v>
      </c>
      <c r="C259" s="69" t="s">
        <v>119</v>
      </c>
      <c r="D259" s="75"/>
      <c r="E259" s="75">
        <f>F259+G259</f>
        <v>11238</v>
      </c>
      <c r="F259" s="75"/>
      <c r="G259" s="70">
        <f t="shared" si="135"/>
        <v>11238</v>
      </c>
      <c r="H259" s="70">
        <v>900</v>
      </c>
      <c r="I259" s="70">
        <v>1547</v>
      </c>
      <c r="J259" s="70">
        <v>689</v>
      </c>
      <c r="K259" s="70">
        <v>416</v>
      </c>
      <c r="L259" s="70">
        <v>2159</v>
      </c>
      <c r="M259" s="70">
        <v>1376</v>
      </c>
      <c r="N259" s="70">
        <v>359</v>
      </c>
      <c r="O259" s="70">
        <v>1006</v>
      </c>
      <c r="P259" s="70">
        <v>1155</v>
      </c>
      <c r="Q259" s="70">
        <v>1631</v>
      </c>
    </row>
    <row r="260" spans="1:18" outlineLevel="1">
      <c r="A260" s="73" t="s">
        <v>23</v>
      </c>
      <c r="B260" s="83" t="s">
        <v>361</v>
      </c>
      <c r="C260" s="69"/>
      <c r="D260" s="75"/>
      <c r="E260" s="75"/>
      <c r="F260" s="75"/>
      <c r="G260" s="70">
        <f t="shared" si="135"/>
        <v>2349</v>
      </c>
      <c r="H260" s="70">
        <v>362</v>
      </c>
      <c r="I260" s="70">
        <v>217</v>
      </c>
      <c r="J260" s="70">
        <v>218</v>
      </c>
      <c r="K260" s="70">
        <v>217</v>
      </c>
      <c r="L260" s="70">
        <v>145</v>
      </c>
      <c r="M260" s="70">
        <v>363</v>
      </c>
      <c r="N260" s="70">
        <v>29</v>
      </c>
      <c r="O260" s="70">
        <v>145</v>
      </c>
      <c r="P260" s="70">
        <v>145</v>
      </c>
      <c r="Q260" s="70">
        <v>508</v>
      </c>
    </row>
    <row r="261" spans="1:18" s="58" customFormat="1" outlineLevel="1">
      <c r="A261" s="76" t="s">
        <v>59</v>
      </c>
      <c r="B261" s="68" t="s">
        <v>362</v>
      </c>
      <c r="C261" s="77"/>
      <c r="D261" s="71"/>
      <c r="E261" s="71"/>
      <c r="F261" s="71"/>
      <c r="G261" s="72">
        <f t="shared" ref="G261:Q261" si="137">G262+G263+G264</f>
        <v>5450</v>
      </c>
      <c r="H261" s="72">
        <f t="shared" si="137"/>
        <v>937</v>
      </c>
      <c r="I261" s="72">
        <f t="shared" si="137"/>
        <v>771</v>
      </c>
      <c r="J261" s="72">
        <f t="shared" si="137"/>
        <v>638</v>
      </c>
      <c r="K261" s="72">
        <f t="shared" si="137"/>
        <v>479</v>
      </c>
      <c r="L261" s="72">
        <f t="shared" si="137"/>
        <v>752</v>
      </c>
      <c r="M261" s="72">
        <f t="shared" si="137"/>
        <v>489</v>
      </c>
      <c r="N261" s="72">
        <f t="shared" si="137"/>
        <v>134</v>
      </c>
      <c r="O261" s="72">
        <f t="shared" si="137"/>
        <v>288</v>
      </c>
      <c r="P261" s="72">
        <f t="shared" si="137"/>
        <v>431</v>
      </c>
      <c r="Q261" s="72">
        <f t="shared" si="137"/>
        <v>531</v>
      </c>
    </row>
    <row r="262" spans="1:18" ht="46.8" outlineLevel="1">
      <c r="A262" s="73" t="s">
        <v>23</v>
      </c>
      <c r="B262" s="83" t="s">
        <v>363</v>
      </c>
      <c r="C262" s="69" t="s">
        <v>119</v>
      </c>
      <c r="D262" s="75"/>
      <c r="E262" s="75"/>
      <c r="F262" s="75"/>
      <c r="G262" s="70">
        <f t="shared" si="135"/>
        <v>2918</v>
      </c>
      <c r="H262" s="70">
        <v>282</v>
      </c>
      <c r="I262" s="70">
        <v>317</v>
      </c>
      <c r="J262" s="70">
        <v>221</v>
      </c>
      <c r="K262" s="70">
        <v>290</v>
      </c>
      <c r="L262" s="70">
        <v>444</v>
      </c>
      <c r="M262" s="70">
        <v>307</v>
      </c>
      <c r="N262" s="70">
        <v>107</v>
      </c>
      <c r="O262" s="70">
        <v>212</v>
      </c>
      <c r="P262" s="70">
        <v>344</v>
      </c>
      <c r="Q262" s="70">
        <v>394</v>
      </c>
    </row>
    <row r="263" spans="1:18" ht="31.2" outlineLevel="1">
      <c r="A263" s="73" t="s">
        <v>23</v>
      </c>
      <c r="B263" s="83" t="s">
        <v>364</v>
      </c>
      <c r="C263" s="69" t="s">
        <v>119</v>
      </c>
      <c r="D263" s="75"/>
      <c r="E263" s="75"/>
      <c r="F263" s="75"/>
      <c r="G263" s="70">
        <f t="shared" si="135"/>
        <v>912</v>
      </c>
      <c r="H263" s="70">
        <v>188</v>
      </c>
      <c r="I263" s="70">
        <v>98</v>
      </c>
      <c r="J263" s="70">
        <v>80</v>
      </c>
      <c r="K263" s="70">
        <v>72</v>
      </c>
      <c r="L263" s="70">
        <v>107</v>
      </c>
      <c r="M263" s="70">
        <v>98</v>
      </c>
      <c r="N263" s="70">
        <v>27</v>
      </c>
      <c r="O263" s="70">
        <v>63</v>
      </c>
      <c r="P263" s="70">
        <v>81</v>
      </c>
      <c r="Q263" s="70">
        <v>98</v>
      </c>
    </row>
    <row r="264" spans="1:18" ht="45.75" customHeight="1" outlineLevel="1">
      <c r="A264" s="73" t="s">
        <v>23</v>
      </c>
      <c r="B264" s="83" t="s">
        <v>365</v>
      </c>
      <c r="C264" s="69" t="s">
        <v>119</v>
      </c>
      <c r="D264" s="75"/>
      <c r="E264" s="75"/>
      <c r="F264" s="75"/>
      <c r="G264" s="70">
        <f t="shared" si="135"/>
        <v>1620</v>
      </c>
      <c r="H264" s="70">
        <v>467</v>
      </c>
      <c r="I264" s="70">
        <v>356</v>
      </c>
      <c r="J264" s="70">
        <v>337</v>
      </c>
      <c r="K264" s="70">
        <v>117</v>
      </c>
      <c r="L264" s="70">
        <v>201</v>
      </c>
      <c r="M264" s="70">
        <v>84</v>
      </c>
      <c r="N264" s="70">
        <v>0</v>
      </c>
      <c r="O264" s="70">
        <v>13</v>
      </c>
      <c r="P264" s="70">
        <v>6</v>
      </c>
      <c r="Q264" s="70">
        <v>39</v>
      </c>
    </row>
    <row r="265" spans="1:18" s="96" customFormat="1" ht="31.2">
      <c r="A265" s="76" t="s">
        <v>236</v>
      </c>
      <c r="B265" s="97" t="s">
        <v>237</v>
      </c>
      <c r="C265" s="77" t="s">
        <v>119</v>
      </c>
      <c r="D265" s="71"/>
      <c r="E265" s="71">
        <f>F265+G265</f>
        <v>135742</v>
      </c>
      <c r="F265" s="71">
        <v>71382</v>
      </c>
      <c r="G265" s="72">
        <f t="shared" si="135"/>
        <v>64360</v>
      </c>
      <c r="H265" s="72">
        <f>H268+H273</f>
        <v>6721</v>
      </c>
      <c r="I265" s="72">
        <f t="shared" ref="I265:Q265" si="138">I268+I273</f>
        <v>5611</v>
      </c>
      <c r="J265" s="72">
        <f t="shared" si="138"/>
        <v>3508</v>
      </c>
      <c r="K265" s="72">
        <f t="shared" si="138"/>
        <v>10733</v>
      </c>
      <c r="L265" s="72">
        <f t="shared" si="138"/>
        <v>9637</v>
      </c>
      <c r="M265" s="72">
        <f t="shared" si="138"/>
        <v>8158</v>
      </c>
      <c r="N265" s="72">
        <f t="shared" si="138"/>
        <v>6550</v>
      </c>
      <c r="O265" s="72">
        <f t="shared" si="138"/>
        <v>4316</v>
      </c>
      <c r="P265" s="72">
        <f t="shared" si="138"/>
        <v>4160</v>
      </c>
      <c r="Q265" s="72">
        <f t="shared" si="138"/>
        <v>4966</v>
      </c>
      <c r="R265" s="58">
        <f>G265-SUM(H265:Q265)</f>
        <v>0</v>
      </c>
    </row>
    <row r="266" spans="1:18" s="116" customFormat="1" ht="31.2">
      <c r="A266" s="73"/>
      <c r="B266" s="83" t="s">
        <v>120</v>
      </c>
      <c r="C266" s="69" t="s">
        <v>119</v>
      </c>
      <c r="D266" s="75"/>
      <c r="E266" s="75">
        <v>114188.2</v>
      </c>
      <c r="F266" s="75">
        <v>60422</v>
      </c>
      <c r="G266" s="75">
        <v>53766.2</v>
      </c>
      <c r="H266" s="75">
        <v>7286</v>
      </c>
      <c r="I266" s="75">
        <v>5425</v>
      </c>
      <c r="J266" s="75">
        <v>544</v>
      </c>
      <c r="K266" s="75">
        <v>6610</v>
      </c>
      <c r="L266" s="75">
        <v>9078</v>
      </c>
      <c r="M266" s="75">
        <v>7520</v>
      </c>
      <c r="N266" s="75">
        <v>4773.2</v>
      </c>
      <c r="O266" s="75">
        <v>4278</v>
      </c>
      <c r="P266" s="75">
        <v>5263</v>
      </c>
      <c r="Q266" s="75">
        <v>2989</v>
      </c>
      <c r="R266" s="51"/>
    </row>
    <row r="267" spans="1:18" s="116" customFormat="1">
      <c r="A267" s="73"/>
      <c r="B267" s="85" t="s">
        <v>121</v>
      </c>
      <c r="C267" s="86" t="s">
        <v>95</v>
      </c>
      <c r="D267" s="87"/>
      <c r="E267" s="88">
        <f t="shared" ref="E267:Q267" si="139">E265/E266%</f>
        <v>118.87568067453554</v>
      </c>
      <c r="F267" s="88">
        <f t="shared" si="139"/>
        <v>118.13908841150574</v>
      </c>
      <c r="G267" s="88">
        <f t="shared" si="139"/>
        <v>119.70345681859608</v>
      </c>
      <c r="H267" s="88">
        <f t="shared" si="139"/>
        <v>92.245402141092512</v>
      </c>
      <c r="I267" s="88">
        <f t="shared" si="139"/>
        <v>103.42857142857143</v>
      </c>
      <c r="J267" s="88">
        <f t="shared" si="139"/>
        <v>644.85294117647049</v>
      </c>
      <c r="K267" s="88">
        <f t="shared" si="139"/>
        <v>162.37518910741304</v>
      </c>
      <c r="L267" s="88">
        <f t="shared" si="139"/>
        <v>106.15774399647499</v>
      </c>
      <c r="M267" s="88">
        <f t="shared" si="139"/>
        <v>108.48404255319149</v>
      </c>
      <c r="N267" s="88">
        <f t="shared" si="139"/>
        <v>137.22450347775077</v>
      </c>
      <c r="O267" s="88">
        <f t="shared" si="139"/>
        <v>100.88826554464703</v>
      </c>
      <c r="P267" s="88">
        <f t="shared" si="139"/>
        <v>79.042371271138137</v>
      </c>
      <c r="Q267" s="88">
        <f t="shared" si="139"/>
        <v>166.14252258280362</v>
      </c>
      <c r="R267" s="58"/>
    </row>
    <row r="268" spans="1:18" s="96" customFormat="1" ht="31.2" hidden="1" outlineLevel="1">
      <c r="A268" s="76" t="s">
        <v>18</v>
      </c>
      <c r="B268" s="68" t="s">
        <v>224</v>
      </c>
      <c r="C268" s="77" t="s">
        <v>119</v>
      </c>
      <c r="D268" s="71"/>
      <c r="E268" s="71"/>
      <c r="F268" s="71"/>
      <c r="G268" s="72">
        <f t="shared" ref="G268:Q268" si="140">SUM(G269:G272)</f>
        <v>40560</v>
      </c>
      <c r="H268" s="72">
        <f t="shared" si="140"/>
        <v>6721</v>
      </c>
      <c r="I268" s="72">
        <f t="shared" si="140"/>
        <v>5611</v>
      </c>
      <c r="J268" s="72">
        <f t="shared" si="140"/>
        <v>3508</v>
      </c>
      <c r="K268" s="72">
        <f t="shared" si="140"/>
        <v>2733</v>
      </c>
      <c r="L268" s="72">
        <f t="shared" si="140"/>
        <v>4837</v>
      </c>
      <c r="M268" s="72">
        <f t="shared" si="140"/>
        <v>4958</v>
      </c>
      <c r="N268" s="72">
        <f t="shared" si="140"/>
        <v>1750</v>
      </c>
      <c r="O268" s="72">
        <f t="shared" si="140"/>
        <v>3316</v>
      </c>
      <c r="P268" s="72">
        <f t="shared" si="140"/>
        <v>3160</v>
      </c>
      <c r="Q268" s="72">
        <f t="shared" si="140"/>
        <v>3966</v>
      </c>
      <c r="R268" s="58"/>
    </row>
    <row r="269" spans="1:18" s="116" customFormat="1" ht="31.5" hidden="1" customHeight="1" outlineLevel="1">
      <c r="A269" s="73" t="s">
        <v>23</v>
      </c>
      <c r="B269" s="74" t="s">
        <v>128</v>
      </c>
      <c r="C269" s="100" t="s">
        <v>129</v>
      </c>
      <c r="D269" s="70">
        <v>32712</v>
      </c>
      <c r="E269" s="75"/>
      <c r="F269" s="71"/>
      <c r="G269" s="70">
        <f>SUM(H269:Q269)</f>
        <v>7304</v>
      </c>
      <c r="H269" s="70">
        <f t="shared" ref="H269:Q272" si="141">IF(H$27=0,ROUND(H13*$D269/1000000,0),ROUND(H13*$D269/1000000*(1+H$27/100),0))</f>
        <v>5147</v>
      </c>
      <c r="I269" s="70">
        <f t="shared" si="141"/>
        <v>519</v>
      </c>
      <c r="J269" s="70">
        <f t="shared" si="141"/>
        <v>506</v>
      </c>
      <c r="K269" s="70">
        <f t="shared" si="141"/>
        <v>658</v>
      </c>
      <c r="L269" s="70">
        <f t="shared" si="141"/>
        <v>0</v>
      </c>
      <c r="M269" s="70">
        <f t="shared" si="141"/>
        <v>276</v>
      </c>
      <c r="N269" s="70">
        <f t="shared" si="141"/>
        <v>0</v>
      </c>
      <c r="O269" s="70">
        <f t="shared" si="141"/>
        <v>0</v>
      </c>
      <c r="P269" s="70">
        <f t="shared" si="141"/>
        <v>198</v>
      </c>
      <c r="Q269" s="70">
        <f t="shared" si="141"/>
        <v>0</v>
      </c>
      <c r="R269" s="58"/>
    </row>
    <row r="270" spans="1:18" s="116" customFormat="1" ht="31.2" hidden="1" outlineLevel="1">
      <c r="A270" s="73" t="s">
        <v>23</v>
      </c>
      <c r="B270" s="74" t="s">
        <v>130</v>
      </c>
      <c r="C270" s="100" t="s">
        <v>129</v>
      </c>
      <c r="D270" s="70">
        <v>38164</v>
      </c>
      <c r="E270" s="75"/>
      <c r="F270" s="71"/>
      <c r="G270" s="70">
        <f>SUM(H270:Q270)</f>
        <v>4446</v>
      </c>
      <c r="H270" s="70">
        <f t="shared" si="141"/>
        <v>0</v>
      </c>
      <c r="I270" s="70">
        <f t="shared" si="141"/>
        <v>952</v>
      </c>
      <c r="J270" s="70">
        <f t="shared" si="141"/>
        <v>685</v>
      </c>
      <c r="K270" s="70">
        <f t="shared" si="141"/>
        <v>1497</v>
      </c>
      <c r="L270" s="70">
        <f t="shared" si="141"/>
        <v>638</v>
      </c>
      <c r="M270" s="70">
        <f t="shared" si="141"/>
        <v>307</v>
      </c>
      <c r="N270" s="70">
        <f t="shared" si="141"/>
        <v>0</v>
      </c>
      <c r="O270" s="70">
        <f t="shared" si="141"/>
        <v>367</v>
      </c>
      <c r="P270" s="70">
        <f t="shared" si="141"/>
        <v>0</v>
      </c>
      <c r="Q270" s="70">
        <f t="shared" si="141"/>
        <v>0</v>
      </c>
      <c r="R270" s="58"/>
    </row>
    <row r="271" spans="1:18" s="116" customFormat="1" ht="31.2" hidden="1" outlineLevel="1">
      <c r="A271" s="73" t="s">
        <v>23</v>
      </c>
      <c r="B271" s="74" t="s">
        <v>131</v>
      </c>
      <c r="C271" s="100" t="s">
        <v>129</v>
      </c>
      <c r="D271" s="70">
        <v>112520</v>
      </c>
      <c r="E271" s="75"/>
      <c r="F271" s="71"/>
      <c r="G271" s="70">
        <f>SUM(H271:Q271)</f>
        <v>27986</v>
      </c>
      <c r="H271" s="70">
        <f t="shared" si="141"/>
        <v>1031</v>
      </c>
      <c r="I271" s="70">
        <f t="shared" si="141"/>
        <v>3982</v>
      </c>
      <c r="J271" s="70">
        <f t="shared" si="141"/>
        <v>2317</v>
      </c>
      <c r="K271" s="70">
        <f t="shared" si="141"/>
        <v>578</v>
      </c>
      <c r="L271" s="70">
        <f t="shared" si="141"/>
        <v>4199</v>
      </c>
      <c r="M271" s="70">
        <f t="shared" si="141"/>
        <v>4375</v>
      </c>
      <c r="N271" s="70">
        <f t="shared" si="141"/>
        <v>1750</v>
      </c>
      <c r="O271" s="70">
        <f t="shared" si="141"/>
        <v>2949</v>
      </c>
      <c r="P271" s="70">
        <f t="shared" si="141"/>
        <v>2839</v>
      </c>
      <c r="Q271" s="70">
        <f t="shared" si="141"/>
        <v>3966</v>
      </c>
      <c r="R271" s="58"/>
    </row>
    <row r="272" spans="1:18" s="116" customFormat="1" ht="31.2" hidden="1" outlineLevel="1">
      <c r="A272" s="73" t="s">
        <v>23</v>
      </c>
      <c r="B272" s="74" t="s">
        <v>132</v>
      </c>
      <c r="C272" s="100" t="s">
        <v>129</v>
      </c>
      <c r="D272" s="70">
        <v>54520</v>
      </c>
      <c r="E272" s="71"/>
      <c r="F272" s="71"/>
      <c r="G272" s="70">
        <f>SUM(H272:Q272)</f>
        <v>824</v>
      </c>
      <c r="H272" s="70">
        <f t="shared" si="141"/>
        <v>543</v>
      </c>
      <c r="I272" s="70">
        <f t="shared" si="141"/>
        <v>158</v>
      </c>
      <c r="J272" s="70">
        <f t="shared" si="141"/>
        <v>0</v>
      </c>
      <c r="K272" s="70">
        <f t="shared" si="141"/>
        <v>0</v>
      </c>
      <c r="L272" s="70">
        <f t="shared" si="141"/>
        <v>0</v>
      </c>
      <c r="M272" s="70">
        <f t="shared" si="141"/>
        <v>0</v>
      </c>
      <c r="N272" s="70">
        <f t="shared" si="141"/>
        <v>0</v>
      </c>
      <c r="O272" s="70">
        <f t="shared" si="141"/>
        <v>0</v>
      </c>
      <c r="P272" s="70">
        <f t="shared" si="141"/>
        <v>123</v>
      </c>
      <c r="Q272" s="70">
        <f t="shared" si="141"/>
        <v>0</v>
      </c>
      <c r="R272" s="58"/>
    </row>
    <row r="273" spans="1:18" s="96" customFormat="1" ht="31.2" hidden="1" outlineLevel="1">
      <c r="A273" s="76" t="s">
        <v>26</v>
      </c>
      <c r="B273" s="97" t="s">
        <v>238</v>
      </c>
      <c r="C273" s="98" t="s">
        <v>119</v>
      </c>
      <c r="D273" s="71"/>
      <c r="E273" s="71"/>
      <c r="F273" s="71"/>
      <c r="G273" s="72">
        <f>G274+G275</f>
        <v>23800</v>
      </c>
      <c r="H273" s="72">
        <f t="shared" ref="H273:Q273" si="142">H274+H275</f>
        <v>0</v>
      </c>
      <c r="I273" s="72">
        <f t="shared" si="142"/>
        <v>0</v>
      </c>
      <c r="J273" s="72">
        <f t="shared" si="142"/>
        <v>0</v>
      </c>
      <c r="K273" s="72">
        <f t="shared" si="142"/>
        <v>8000</v>
      </c>
      <c r="L273" s="72">
        <f t="shared" si="142"/>
        <v>4800</v>
      </c>
      <c r="M273" s="72">
        <f t="shared" si="142"/>
        <v>3200</v>
      </c>
      <c r="N273" s="72">
        <f t="shared" si="142"/>
        <v>4800</v>
      </c>
      <c r="O273" s="72">
        <f t="shared" si="142"/>
        <v>1000</v>
      </c>
      <c r="P273" s="72">
        <f t="shared" si="142"/>
        <v>1000</v>
      </c>
      <c r="Q273" s="72">
        <f t="shared" si="142"/>
        <v>1000</v>
      </c>
      <c r="R273" s="58"/>
    </row>
    <row r="274" spans="1:18" s="116" customFormat="1" hidden="1" outlineLevel="1">
      <c r="A274" s="73" t="s">
        <v>23</v>
      </c>
      <c r="B274" s="78" t="s">
        <v>239</v>
      </c>
      <c r="C274" s="79" t="s">
        <v>173</v>
      </c>
      <c r="D274" s="70">
        <v>1600</v>
      </c>
      <c r="E274" s="70"/>
      <c r="F274" s="70"/>
      <c r="G274" s="70">
        <f>SUM(H274:Q274)</f>
        <v>20800</v>
      </c>
      <c r="H274" s="70">
        <f t="shared" ref="H274:Q274" si="143">H38*$D$274</f>
        <v>0</v>
      </c>
      <c r="I274" s="70">
        <f t="shared" si="143"/>
        <v>0</v>
      </c>
      <c r="J274" s="70">
        <f t="shared" si="143"/>
        <v>0</v>
      </c>
      <c r="K274" s="70">
        <f t="shared" si="143"/>
        <v>8000</v>
      </c>
      <c r="L274" s="70">
        <f t="shared" si="143"/>
        <v>4800</v>
      </c>
      <c r="M274" s="70">
        <f t="shared" si="143"/>
        <v>3200</v>
      </c>
      <c r="N274" s="70">
        <f t="shared" si="143"/>
        <v>4800</v>
      </c>
      <c r="O274" s="70">
        <f t="shared" si="143"/>
        <v>0</v>
      </c>
      <c r="P274" s="70">
        <f t="shared" si="143"/>
        <v>0</v>
      </c>
      <c r="Q274" s="70">
        <f t="shared" si="143"/>
        <v>0</v>
      </c>
      <c r="R274" s="58"/>
    </row>
    <row r="275" spans="1:18" s="96" customFormat="1" ht="46.8" hidden="1" outlineLevel="1">
      <c r="A275" s="73" t="s">
        <v>23</v>
      </c>
      <c r="B275" s="171" t="s">
        <v>240</v>
      </c>
      <c r="C275" s="79" t="s">
        <v>241</v>
      </c>
      <c r="D275" s="70">
        <v>1000</v>
      </c>
      <c r="E275" s="70"/>
      <c r="F275" s="70"/>
      <c r="G275" s="70">
        <f>SUM(H275:Q275)</f>
        <v>3000</v>
      </c>
      <c r="H275" s="70"/>
      <c r="I275" s="70"/>
      <c r="J275" s="70"/>
      <c r="K275" s="70"/>
      <c r="L275" s="70"/>
      <c r="M275" s="70"/>
      <c r="N275" s="70"/>
      <c r="O275" s="70">
        <f>D275</f>
        <v>1000</v>
      </c>
      <c r="P275" s="70">
        <f>D275</f>
        <v>1000</v>
      </c>
      <c r="Q275" s="70">
        <f>D275</f>
        <v>1000</v>
      </c>
      <c r="R275" s="58"/>
    </row>
    <row r="276" spans="1:18" s="96" customFormat="1" ht="31.2" collapsed="1">
      <c r="A276" s="76" t="s">
        <v>242</v>
      </c>
      <c r="B276" s="97" t="s">
        <v>243</v>
      </c>
      <c r="C276" s="77" t="s">
        <v>119</v>
      </c>
      <c r="D276" s="71"/>
      <c r="E276" s="71">
        <f>F276+G276</f>
        <v>51633</v>
      </c>
      <c r="F276" s="71">
        <v>12479</v>
      </c>
      <c r="G276" s="72">
        <f>SUM(H276:Q276)</f>
        <v>39154</v>
      </c>
      <c r="H276" s="72">
        <f>H279+H284</f>
        <v>2981</v>
      </c>
      <c r="I276" s="72">
        <f t="shared" ref="I276:Q276" si="144">I279+I284</f>
        <v>2660</v>
      </c>
      <c r="J276" s="72">
        <f t="shared" si="144"/>
        <v>1922</v>
      </c>
      <c r="K276" s="72">
        <f t="shared" si="144"/>
        <v>8931</v>
      </c>
      <c r="L276" s="72">
        <f t="shared" si="144"/>
        <v>6503</v>
      </c>
      <c r="M276" s="72">
        <f t="shared" si="144"/>
        <v>4948</v>
      </c>
      <c r="N276" s="72">
        <f t="shared" si="144"/>
        <v>5420</v>
      </c>
      <c r="O276" s="72">
        <f t="shared" si="144"/>
        <v>1869</v>
      </c>
      <c r="P276" s="72">
        <f t="shared" si="144"/>
        <v>1814</v>
      </c>
      <c r="Q276" s="72">
        <f t="shared" si="144"/>
        <v>2106</v>
      </c>
      <c r="R276" s="58">
        <f>G276-SUM(H276:Q276)</f>
        <v>0</v>
      </c>
    </row>
    <row r="277" spans="1:18" s="116" customFormat="1" ht="31.2">
      <c r="A277" s="73"/>
      <c r="B277" s="83" t="s">
        <v>120</v>
      </c>
      <c r="C277" s="69" t="s">
        <v>119</v>
      </c>
      <c r="D277" s="75"/>
      <c r="E277" s="75">
        <v>33171.9</v>
      </c>
      <c r="F277" s="75">
        <v>12479</v>
      </c>
      <c r="G277" s="70">
        <f>SUM(H277:Q277)</f>
        <v>20692.900000000001</v>
      </c>
      <c r="H277" s="70">
        <v>3197</v>
      </c>
      <c r="I277" s="70">
        <v>2465</v>
      </c>
      <c r="J277" s="70">
        <v>5120.8999999999996</v>
      </c>
      <c r="K277" s="70">
        <v>2642</v>
      </c>
      <c r="L277" s="70">
        <v>1679</v>
      </c>
      <c r="M277" s="70">
        <v>2030</v>
      </c>
      <c r="N277" s="70">
        <v>680</v>
      </c>
      <c r="O277" s="70">
        <v>814</v>
      </c>
      <c r="P277" s="70">
        <v>825</v>
      </c>
      <c r="Q277" s="70">
        <v>1240</v>
      </c>
      <c r="R277" s="58"/>
    </row>
    <row r="278" spans="1:18" s="116" customFormat="1">
      <c r="A278" s="73"/>
      <c r="B278" s="85" t="s">
        <v>121</v>
      </c>
      <c r="C278" s="86" t="s">
        <v>95</v>
      </c>
      <c r="D278" s="87"/>
      <c r="E278" s="88">
        <f t="shared" ref="E278:Q278" si="145">E276/E277%</f>
        <v>155.65282663941468</v>
      </c>
      <c r="F278" s="88">
        <f t="shared" si="145"/>
        <v>100</v>
      </c>
      <c r="G278" s="88">
        <f t="shared" si="145"/>
        <v>189.21465816777734</v>
      </c>
      <c r="H278" s="88">
        <f t="shared" si="145"/>
        <v>93.243665936815773</v>
      </c>
      <c r="I278" s="88">
        <f t="shared" si="145"/>
        <v>107.91075050709939</v>
      </c>
      <c r="J278" s="88">
        <f t="shared" si="145"/>
        <v>37.532464996387354</v>
      </c>
      <c r="K278" s="88">
        <f t="shared" si="145"/>
        <v>338.03936411809235</v>
      </c>
      <c r="L278" s="88">
        <f t="shared" si="145"/>
        <v>387.31387730792142</v>
      </c>
      <c r="M278" s="88">
        <f t="shared" si="145"/>
        <v>243.74384236453201</v>
      </c>
      <c r="N278" s="88">
        <f t="shared" si="145"/>
        <v>797.05882352941182</v>
      </c>
      <c r="O278" s="88">
        <f t="shared" si="145"/>
        <v>229.6068796068796</v>
      </c>
      <c r="P278" s="88">
        <f t="shared" si="145"/>
        <v>219.87878787878788</v>
      </c>
      <c r="Q278" s="88">
        <f t="shared" si="145"/>
        <v>169.83870967741936</v>
      </c>
      <c r="R278" s="58"/>
    </row>
    <row r="279" spans="1:18" s="96" customFormat="1" ht="31.2" hidden="1" outlineLevel="1">
      <c r="A279" s="76" t="s">
        <v>18</v>
      </c>
      <c r="B279" s="68" t="s">
        <v>224</v>
      </c>
      <c r="C279" s="77" t="s">
        <v>119</v>
      </c>
      <c r="D279" s="71"/>
      <c r="E279" s="71"/>
      <c r="F279" s="71"/>
      <c r="G279" s="72">
        <f t="shared" ref="G279:Q279" si="146">SUM(G280:G283)</f>
        <v>14154</v>
      </c>
      <c r="H279" s="72">
        <f t="shared" si="146"/>
        <v>2281</v>
      </c>
      <c r="I279" s="72">
        <f t="shared" si="146"/>
        <v>1960</v>
      </c>
      <c r="J279" s="72">
        <f t="shared" si="146"/>
        <v>1222</v>
      </c>
      <c r="K279" s="72">
        <f t="shared" si="146"/>
        <v>931</v>
      </c>
      <c r="L279" s="72">
        <f t="shared" si="146"/>
        <v>1703</v>
      </c>
      <c r="M279" s="72">
        <f t="shared" si="146"/>
        <v>1748</v>
      </c>
      <c r="N279" s="72">
        <f t="shared" si="146"/>
        <v>620</v>
      </c>
      <c r="O279" s="72">
        <f t="shared" si="146"/>
        <v>1169</v>
      </c>
      <c r="P279" s="72">
        <f t="shared" si="146"/>
        <v>1114</v>
      </c>
      <c r="Q279" s="72">
        <f t="shared" si="146"/>
        <v>1406</v>
      </c>
      <c r="R279" s="58"/>
    </row>
    <row r="280" spans="1:18" s="116" customFormat="1" ht="31.5" hidden="1" customHeight="1" outlineLevel="1">
      <c r="A280" s="73" t="s">
        <v>23</v>
      </c>
      <c r="B280" s="74" t="s">
        <v>128</v>
      </c>
      <c r="C280" s="100" t="s">
        <v>129</v>
      </c>
      <c r="D280" s="70">
        <v>11016</v>
      </c>
      <c r="E280" s="75"/>
      <c r="F280" s="71"/>
      <c r="G280" s="70">
        <f>SUM(H280:Q280)</f>
        <v>2460</v>
      </c>
      <c r="H280" s="70">
        <f t="shared" ref="H280:Q283" si="147">IF(H$27=0,ROUND(H13*$D280/1000000,0),ROUND(H13*$D280/1000000*(1+H$27/100),0))</f>
        <v>1733</v>
      </c>
      <c r="I280" s="70">
        <f t="shared" si="147"/>
        <v>175</v>
      </c>
      <c r="J280" s="70">
        <f t="shared" si="147"/>
        <v>170</v>
      </c>
      <c r="K280" s="70">
        <f t="shared" si="147"/>
        <v>222</v>
      </c>
      <c r="L280" s="70">
        <f t="shared" si="147"/>
        <v>0</v>
      </c>
      <c r="M280" s="70">
        <f t="shared" si="147"/>
        <v>93</v>
      </c>
      <c r="N280" s="70">
        <f t="shared" si="147"/>
        <v>0</v>
      </c>
      <c r="O280" s="70">
        <f t="shared" si="147"/>
        <v>0</v>
      </c>
      <c r="P280" s="70">
        <f t="shared" si="147"/>
        <v>67</v>
      </c>
      <c r="Q280" s="70">
        <f t="shared" si="147"/>
        <v>0</v>
      </c>
      <c r="R280" s="58"/>
    </row>
    <row r="281" spans="1:18" s="116" customFormat="1" ht="31.2" hidden="1" outlineLevel="1">
      <c r="A281" s="73" t="s">
        <v>23</v>
      </c>
      <c r="B281" s="74" t="s">
        <v>130</v>
      </c>
      <c r="C281" s="100" t="s">
        <v>129</v>
      </c>
      <c r="D281" s="70">
        <v>12852</v>
      </c>
      <c r="E281" s="75"/>
      <c r="F281" s="71"/>
      <c r="G281" s="70">
        <f>SUM(H281:Q281)</f>
        <v>1499</v>
      </c>
      <c r="H281" s="70">
        <f t="shared" si="147"/>
        <v>0</v>
      </c>
      <c r="I281" s="70">
        <f t="shared" si="147"/>
        <v>321</v>
      </c>
      <c r="J281" s="70">
        <f t="shared" si="147"/>
        <v>231</v>
      </c>
      <c r="K281" s="70">
        <f t="shared" si="147"/>
        <v>504</v>
      </c>
      <c r="L281" s="70">
        <f t="shared" si="147"/>
        <v>215</v>
      </c>
      <c r="M281" s="70">
        <f t="shared" si="147"/>
        <v>104</v>
      </c>
      <c r="N281" s="70">
        <f t="shared" si="147"/>
        <v>0</v>
      </c>
      <c r="O281" s="70">
        <f t="shared" si="147"/>
        <v>124</v>
      </c>
      <c r="P281" s="70">
        <f t="shared" si="147"/>
        <v>0</v>
      </c>
      <c r="Q281" s="70">
        <f t="shared" si="147"/>
        <v>0</v>
      </c>
      <c r="R281" s="58"/>
    </row>
    <row r="282" spans="1:18" s="116" customFormat="1" ht="31.2" hidden="1" outlineLevel="1">
      <c r="A282" s="73" t="s">
        <v>23</v>
      </c>
      <c r="B282" s="74" t="s">
        <v>131</v>
      </c>
      <c r="C282" s="100" t="s">
        <v>129</v>
      </c>
      <c r="D282" s="70">
        <v>39880</v>
      </c>
      <c r="E282" s="75"/>
      <c r="F282" s="71"/>
      <c r="G282" s="70">
        <f>SUM(H282:Q282)</f>
        <v>9918</v>
      </c>
      <c r="H282" s="70">
        <f t="shared" si="147"/>
        <v>365</v>
      </c>
      <c r="I282" s="70">
        <f t="shared" si="147"/>
        <v>1411</v>
      </c>
      <c r="J282" s="70">
        <f t="shared" si="147"/>
        <v>821</v>
      </c>
      <c r="K282" s="70">
        <f t="shared" si="147"/>
        <v>205</v>
      </c>
      <c r="L282" s="70">
        <f t="shared" si="147"/>
        <v>1488</v>
      </c>
      <c r="M282" s="70">
        <f t="shared" si="147"/>
        <v>1551</v>
      </c>
      <c r="N282" s="70">
        <f t="shared" si="147"/>
        <v>620</v>
      </c>
      <c r="O282" s="70">
        <f t="shared" si="147"/>
        <v>1045</v>
      </c>
      <c r="P282" s="70">
        <f t="shared" si="147"/>
        <v>1006</v>
      </c>
      <c r="Q282" s="70">
        <f t="shared" si="147"/>
        <v>1406</v>
      </c>
      <c r="R282" s="58"/>
    </row>
    <row r="283" spans="1:18" s="116" customFormat="1" ht="31.2" hidden="1" outlineLevel="1">
      <c r="A283" s="73" t="s">
        <v>23</v>
      </c>
      <c r="B283" s="74" t="s">
        <v>132</v>
      </c>
      <c r="C283" s="100" t="s">
        <v>129</v>
      </c>
      <c r="D283" s="70">
        <v>18360</v>
      </c>
      <c r="E283" s="71"/>
      <c r="F283" s="71"/>
      <c r="G283" s="70">
        <f>SUM(H283:Q283)</f>
        <v>277</v>
      </c>
      <c r="H283" s="70">
        <f t="shared" si="147"/>
        <v>183</v>
      </c>
      <c r="I283" s="70">
        <f t="shared" si="147"/>
        <v>53</v>
      </c>
      <c r="J283" s="70">
        <f t="shared" si="147"/>
        <v>0</v>
      </c>
      <c r="K283" s="70">
        <f t="shared" si="147"/>
        <v>0</v>
      </c>
      <c r="L283" s="70">
        <f t="shared" si="147"/>
        <v>0</v>
      </c>
      <c r="M283" s="70">
        <f t="shared" si="147"/>
        <v>0</v>
      </c>
      <c r="N283" s="70">
        <f t="shared" si="147"/>
        <v>0</v>
      </c>
      <c r="O283" s="70">
        <f t="shared" si="147"/>
        <v>0</v>
      </c>
      <c r="P283" s="70">
        <f t="shared" si="147"/>
        <v>41</v>
      </c>
      <c r="Q283" s="70">
        <f t="shared" si="147"/>
        <v>0</v>
      </c>
      <c r="R283" s="58"/>
    </row>
    <row r="284" spans="1:18" s="58" customFormat="1" ht="31.2" hidden="1" outlineLevel="1">
      <c r="A284" s="76" t="s">
        <v>26</v>
      </c>
      <c r="B284" s="97" t="s">
        <v>238</v>
      </c>
      <c r="C284" s="98" t="s">
        <v>119</v>
      </c>
      <c r="D284" s="71"/>
      <c r="E284" s="71"/>
      <c r="F284" s="71"/>
      <c r="G284" s="72">
        <f t="shared" ref="G284:Q284" si="148">G285+G286</f>
        <v>25000</v>
      </c>
      <c r="H284" s="72">
        <f t="shared" si="148"/>
        <v>700</v>
      </c>
      <c r="I284" s="72">
        <f t="shared" si="148"/>
        <v>700</v>
      </c>
      <c r="J284" s="72">
        <f t="shared" si="148"/>
        <v>700</v>
      </c>
      <c r="K284" s="72">
        <f t="shared" si="148"/>
        <v>8000</v>
      </c>
      <c r="L284" s="72">
        <f t="shared" si="148"/>
        <v>4800</v>
      </c>
      <c r="M284" s="72">
        <f t="shared" si="148"/>
        <v>3200</v>
      </c>
      <c r="N284" s="72">
        <f t="shared" si="148"/>
        <v>4800</v>
      </c>
      <c r="O284" s="72">
        <f t="shared" si="148"/>
        <v>700</v>
      </c>
      <c r="P284" s="72">
        <f t="shared" si="148"/>
        <v>700</v>
      </c>
      <c r="Q284" s="72">
        <f t="shared" si="148"/>
        <v>700</v>
      </c>
    </row>
    <row r="285" spans="1:18" hidden="1" outlineLevel="1">
      <c r="A285" s="73" t="s">
        <v>23</v>
      </c>
      <c r="B285" s="78" t="s">
        <v>244</v>
      </c>
      <c r="C285" s="79" t="s">
        <v>173</v>
      </c>
      <c r="D285" s="70">
        <v>1600</v>
      </c>
      <c r="E285" s="70"/>
      <c r="F285" s="70"/>
      <c r="G285" s="70">
        <f>SUM(H285:Q285)</f>
        <v>20800</v>
      </c>
      <c r="H285" s="70">
        <f t="shared" ref="H285:Q285" si="149">H38*$D285</f>
        <v>0</v>
      </c>
      <c r="I285" s="70">
        <f t="shared" si="149"/>
        <v>0</v>
      </c>
      <c r="J285" s="70">
        <f t="shared" si="149"/>
        <v>0</v>
      </c>
      <c r="K285" s="70">
        <f t="shared" si="149"/>
        <v>8000</v>
      </c>
      <c r="L285" s="70">
        <f t="shared" si="149"/>
        <v>4800</v>
      </c>
      <c r="M285" s="70">
        <f t="shared" si="149"/>
        <v>3200</v>
      </c>
      <c r="N285" s="70">
        <f t="shared" si="149"/>
        <v>4800</v>
      </c>
      <c r="O285" s="70">
        <f t="shared" si="149"/>
        <v>0</v>
      </c>
      <c r="P285" s="70">
        <f t="shared" si="149"/>
        <v>0</v>
      </c>
      <c r="Q285" s="70">
        <f t="shared" si="149"/>
        <v>0</v>
      </c>
    </row>
    <row r="286" spans="1:18" ht="46.8" hidden="1" outlineLevel="1">
      <c r="A286" s="73" t="s">
        <v>23</v>
      </c>
      <c r="B286" s="171" t="s">
        <v>245</v>
      </c>
      <c r="C286" s="79" t="s">
        <v>241</v>
      </c>
      <c r="D286" s="70">
        <v>700</v>
      </c>
      <c r="E286" s="70"/>
      <c r="F286" s="70"/>
      <c r="G286" s="70">
        <f>SUM(H286:Q286)</f>
        <v>4200</v>
      </c>
      <c r="H286" s="70">
        <f>D286</f>
        <v>700</v>
      </c>
      <c r="I286" s="70">
        <f>D286</f>
        <v>700</v>
      </c>
      <c r="J286" s="70">
        <f>D286</f>
        <v>700</v>
      </c>
      <c r="K286" s="70"/>
      <c r="L286" s="70"/>
      <c r="M286" s="70"/>
      <c r="N286" s="70"/>
      <c r="O286" s="70">
        <f>D286</f>
        <v>700</v>
      </c>
      <c r="P286" s="70">
        <f>D286</f>
        <v>700</v>
      </c>
      <c r="Q286" s="70">
        <f>D286</f>
        <v>700</v>
      </c>
    </row>
    <row r="287" spans="1:18" s="58" customFormat="1" ht="31.2" collapsed="1">
      <c r="A287" s="76" t="s">
        <v>246</v>
      </c>
      <c r="B287" s="68" t="s">
        <v>247</v>
      </c>
      <c r="C287" s="77" t="s">
        <v>119</v>
      </c>
      <c r="D287" s="71"/>
      <c r="E287" s="71">
        <f>F287+G287</f>
        <v>16388</v>
      </c>
      <c r="F287" s="71">
        <v>14888</v>
      </c>
      <c r="G287" s="72">
        <f>G288</f>
        <v>1500</v>
      </c>
      <c r="H287" s="72">
        <f t="shared" ref="H287:Q287" si="150">H288</f>
        <v>150</v>
      </c>
      <c r="I287" s="72">
        <f t="shared" si="150"/>
        <v>150</v>
      </c>
      <c r="J287" s="72">
        <f t="shared" si="150"/>
        <v>150</v>
      </c>
      <c r="K287" s="72">
        <f t="shared" si="150"/>
        <v>150</v>
      </c>
      <c r="L287" s="72">
        <f t="shared" si="150"/>
        <v>150</v>
      </c>
      <c r="M287" s="72">
        <f t="shared" si="150"/>
        <v>150</v>
      </c>
      <c r="N287" s="72">
        <f t="shared" si="150"/>
        <v>150</v>
      </c>
      <c r="O287" s="72">
        <f t="shared" si="150"/>
        <v>150</v>
      </c>
      <c r="P287" s="72">
        <f t="shared" si="150"/>
        <v>150</v>
      </c>
      <c r="Q287" s="72">
        <f t="shared" si="150"/>
        <v>150</v>
      </c>
      <c r="R287" s="58">
        <f>G287-SUM(H287:Q287)</f>
        <v>0</v>
      </c>
    </row>
    <row r="288" spans="1:18" ht="31.2">
      <c r="A288" s="73"/>
      <c r="B288" s="83" t="s">
        <v>120</v>
      </c>
      <c r="C288" s="69" t="s">
        <v>119</v>
      </c>
      <c r="D288" s="75"/>
      <c r="E288" s="75">
        <v>17922</v>
      </c>
      <c r="F288" s="75">
        <v>16422</v>
      </c>
      <c r="G288" s="70">
        <f>SUM(H288:Q288)</f>
        <v>1500</v>
      </c>
      <c r="H288" s="110">
        <v>150</v>
      </c>
      <c r="I288" s="110">
        <v>150</v>
      </c>
      <c r="J288" s="110">
        <v>150</v>
      </c>
      <c r="K288" s="110">
        <v>150</v>
      </c>
      <c r="L288" s="110">
        <v>150</v>
      </c>
      <c r="M288" s="110">
        <v>150</v>
      </c>
      <c r="N288" s="110">
        <v>150</v>
      </c>
      <c r="O288" s="110">
        <v>150</v>
      </c>
      <c r="P288" s="110">
        <v>150</v>
      </c>
      <c r="Q288" s="110">
        <v>150</v>
      </c>
      <c r="R288" s="58"/>
    </row>
    <row r="289" spans="1:18">
      <c r="A289" s="73"/>
      <c r="B289" s="85" t="s">
        <v>121</v>
      </c>
      <c r="C289" s="86" t="s">
        <v>95</v>
      </c>
      <c r="D289" s="87"/>
      <c r="E289" s="88">
        <f t="shared" ref="E289:Q289" si="151">E287/E288%</f>
        <v>91.440687423278646</v>
      </c>
      <c r="F289" s="88">
        <f t="shared" si="151"/>
        <v>90.658872244549997</v>
      </c>
      <c r="G289" s="88">
        <f t="shared" si="151"/>
        <v>100</v>
      </c>
      <c r="H289" s="88">
        <f t="shared" si="151"/>
        <v>100</v>
      </c>
      <c r="I289" s="88">
        <f t="shared" si="151"/>
        <v>100</v>
      </c>
      <c r="J289" s="88">
        <f t="shared" si="151"/>
        <v>100</v>
      </c>
      <c r="K289" s="88">
        <f t="shared" si="151"/>
        <v>100</v>
      </c>
      <c r="L289" s="88">
        <f t="shared" si="151"/>
        <v>100</v>
      </c>
      <c r="M289" s="88">
        <f t="shared" si="151"/>
        <v>100</v>
      </c>
      <c r="N289" s="88">
        <f t="shared" si="151"/>
        <v>100</v>
      </c>
      <c r="O289" s="88">
        <f t="shared" si="151"/>
        <v>100</v>
      </c>
      <c r="P289" s="88">
        <f t="shared" si="151"/>
        <v>100</v>
      </c>
      <c r="Q289" s="88">
        <f t="shared" si="151"/>
        <v>100</v>
      </c>
      <c r="R289" s="58"/>
    </row>
    <row r="290" spans="1:18" s="58" customFormat="1" hidden="1" outlineLevel="1">
      <c r="A290" s="73"/>
      <c r="B290" s="134" t="s">
        <v>248</v>
      </c>
      <c r="C290" s="123"/>
      <c r="D290" s="75"/>
      <c r="E290" s="75"/>
      <c r="F290" s="71"/>
      <c r="G290" s="70">
        <f>SUM(H290:Q290)</f>
        <v>1500</v>
      </c>
      <c r="H290" s="110">
        <v>150</v>
      </c>
      <c r="I290" s="110">
        <v>150</v>
      </c>
      <c r="J290" s="110">
        <v>150</v>
      </c>
      <c r="K290" s="110">
        <v>150</v>
      </c>
      <c r="L290" s="110">
        <v>150</v>
      </c>
      <c r="M290" s="110">
        <v>150</v>
      </c>
      <c r="N290" s="110">
        <v>150</v>
      </c>
      <c r="O290" s="110">
        <v>150</v>
      </c>
      <c r="P290" s="110">
        <v>150</v>
      </c>
      <c r="Q290" s="110">
        <v>150</v>
      </c>
    </row>
    <row r="291" spans="1:18" s="58" customFormat="1" ht="31.2" collapsed="1">
      <c r="A291" s="76" t="s">
        <v>249</v>
      </c>
      <c r="B291" s="68" t="s">
        <v>250</v>
      </c>
      <c r="C291" s="77" t="s">
        <v>119</v>
      </c>
      <c r="D291" s="71"/>
      <c r="E291" s="71">
        <f>F291+G291</f>
        <v>404805</v>
      </c>
      <c r="F291" s="71">
        <v>205509</v>
      </c>
      <c r="G291" s="72">
        <f>SUM(H291:Q291)</f>
        <v>199296</v>
      </c>
      <c r="H291" s="72">
        <f>H294+H299+H305</f>
        <v>37179</v>
      </c>
      <c r="I291" s="72">
        <f t="shared" ref="I291:Q291" si="152">I294+I299+I305</f>
        <v>23827</v>
      </c>
      <c r="J291" s="72">
        <f t="shared" si="152"/>
        <v>16669</v>
      </c>
      <c r="K291" s="72">
        <f t="shared" si="152"/>
        <v>20665</v>
      </c>
      <c r="L291" s="72">
        <f t="shared" si="152"/>
        <v>22781</v>
      </c>
      <c r="M291" s="72">
        <f t="shared" si="152"/>
        <v>20336</v>
      </c>
      <c r="N291" s="72">
        <f t="shared" si="152"/>
        <v>6766</v>
      </c>
      <c r="O291" s="72">
        <f t="shared" si="152"/>
        <v>15933</v>
      </c>
      <c r="P291" s="72">
        <f t="shared" si="152"/>
        <v>19711</v>
      </c>
      <c r="Q291" s="72">
        <f t="shared" si="152"/>
        <v>15429</v>
      </c>
      <c r="R291" s="58">
        <f>G291-SUM(H291:Q291)</f>
        <v>0</v>
      </c>
    </row>
    <row r="292" spans="1:18" ht="31.2">
      <c r="A292" s="73"/>
      <c r="B292" s="83" t="s">
        <v>120</v>
      </c>
      <c r="C292" s="69" t="s">
        <v>119</v>
      </c>
      <c r="D292" s="75"/>
      <c r="E292" s="75">
        <v>394823.6147453257</v>
      </c>
      <c r="F292" s="75">
        <v>243207.98704488535</v>
      </c>
      <c r="G292" s="70">
        <f>SUM(H292:Q292)</f>
        <v>151615.62770044035</v>
      </c>
      <c r="H292" s="110">
        <v>32601.421948448307</v>
      </c>
      <c r="I292" s="110">
        <v>14209.861602112231</v>
      </c>
      <c r="J292" s="110">
        <v>9479.5361329577954</v>
      </c>
      <c r="K292" s="110">
        <v>22133.70781743533</v>
      </c>
      <c r="L292" s="110">
        <v>12026.823874951788</v>
      </c>
      <c r="M292" s="110">
        <v>15957.417603864998</v>
      </c>
      <c r="N292" s="110">
        <v>2187.8920669983313</v>
      </c>
      <c r="O292" s="110">
        <v>4329.528228452361</v>
      </c>
      <c r="P292" s="110">
        <v>26877.955484125891</v>
      </c>
      <c r="Q292" s="110">
        <v>11811.482941093311</v>
      </c>
    </row>
    <row r="293" spans="1:18" ht="16.2">
      <c r="A293" s="73"/>
      <c r="B293" s="85" t="s">
        <v>121</v>
      </c>
      <c r="C293" s="86" t="s">
        <v>95</v>
      </c>
      <c r="D293" s="87"/>
      <c r="E293" s="88">
        <f t="shared" ref="E293:Q293" si="153">E291/E292%</f>
        <v>102.52806186912417</v>
      </c>
      <c r="F293" s="88">
        <f t="shared" si="153"/>
        <v>84.499280840670835</v>
      </c>
      <c r="G293" s="88">
        <f t="shared" si="153"/>
        <v>131.44819107550424</v>
      </c>
      <c r="H293" s="88">
        <f t="shared" si="153"/>
        <v>114.0410380221761</v>
      </c>
      <c r="I293" s="215">
        <f t="shared" si="153"/>
        <v>167.67932487434098</v>
      </c>
      <c r="J293" s="88">
        <f t="shared" si="153"/>
        <v>175.84193747673342</v>
      </c>
      <c r="K293" s="88">
        <f t="shared" si="153"/>
        <v>93.364384180230346</v>
      </c>
      <c r="L293" s="88">
        <f t="shared" si="153"/>
        <v>189.41825569962728</v>
      </c>
      <c r="M293" s="88">
        <f t="shared" si="153"/>
        <v>127.43916656711721</v>
      </c>
      <c r="N293" s="215">
        <f t="shared" si="153"/>
        <v>309.24743053173478</v>
      </c>
      <c r="O293" s="215">
        <f t="shared" si="153"/>
        <v>368.00776341618706</v>
      </c>
      <c r="P293" s="88">
        <f t="shared" si="153"/>
        <v>73.33519103281985</v>
      </c>
      <c r="Q293" s="88">
        <f t="shared" si="153"/>
        <v>130.62712004028717</v>
      </c>
      <c r="R293" s="58"/>
    </row>
    <row r="294" spans="1:18" hidden="1" outlineLevel="1">
      <c r="A294" s="76" t="s">
        <v>18</v>
      </c>
      <c r="B294" s="68" t="s">
        <v>224</v>
      </c>
      <c r="C294" s="77"/>
      <c r="D294" s="71"/>
      <c r="E294" s="71"/>
      <c r="F294" s="71"/>
      <c r="G294" s="72">
        <f t="shared" ref="G294:Q294" si="154">SUM(G295:G298)</f>
        <v>107019</v>
      </c>
      <c r="H294" s="72">
        <f t="shared" si="154"/>
        <v>17126</v>
      </c>
      <c r="I294" s="72">
        <f t="shared" si="154"/>
        <v>14838</v>
      </c>
      <c r="J294" s="72">
        <f t="shared" si="154"/>
        <v>9233</v>
      </c>
      <c r="K294" s="72">
        <f t="shared" si="154"/>
        <v>6994</v>
      </c>
      <c r="L294" s="72">
        <f t="shared" si="154"/>
        <v>12905</v>
      </c>
      <c r="M294" s="72">
        <f t="shared" si="154"/>
        <v>13236</v>
      </c>
      <c r="N294" s="72">
        <f t="shared" si="154"/>
        <v>4706</v>
      </c>
      <c r="O294" s="72">
        <f t="shared" si="154"/>
        <v>8858</v>
      </c>
      <c r="P294" s="72">
        <f t="shared" si="154"/>
        <v>8457</v>
      </c>
      <c r="Q294" s="72">
        <f t="shared" si="154"/>
        <v>10666</v>
      </c>
      <c r="R294" s="58"/>
    </row>
    <row r="295" spans="1:18" ht="31.5" hidden="1" customHeight="1" outlineLevel="1">
      <c r="A295" s="73" t="s">
        <v>23</v>
      </c>
      <c r="B295" s="74" t="s">
        <v>128</v>
      </c>
      <c r="C295" s="100" t="s">
        <v>129</v>
      </c>
      <c r="D295" s="70">
        <v>82105.649999999994</v>
      </c>
      <c r="E295" s="75"/>
      <c r="F295" s="71"/>
      <c r="G295" s="70">
        <f>SUM(H295:Q295)</f>
        <v>18335</v>
      </c>
      <c r="H295" s="70">
        <f t="shared" ref="H295:Q298" si="155">IF(H$27=0,ROUND(H13*$D295/1000000,0),ROUND(H13*$D295/1000000*(1+H$27/100),0))</f>
        <v>12920</v>
      </c>
      <c r="I295" s="70">
        <f t="shared" si="155"/>
        <v>1303</v>
      </c>
      <c r="J295" s="70">
        <f t="shared" si="155"/>
        <v>1270</v>
      </c>
      <c r="K295" s="70">
        <f t="shared" si="155"/>
        <v>1653</v>
      </c>
      <c r="L295" s="70">
        <f t="shared" si="155"/>
        <v>0</v>
      </c>
      <c r="M295" s="70">
        <f t="shared" si="155"/>
        <v>692</v>
      </c>
      <c r="N295" s="70">
        <f t="shared" si="155"/>
        <v>0</v>
      </c>
      <c r="O295" s="70">
        <f t="shared" si="155"/>
        <v>0</v>
      </c>
      <c r="P295" s="70">
        <f t="shared" si="155"/>
        <v>497</v>
      </c>
      <c r="Q295" s="70">
        <f t="shared" si="155"/>
        <v>0</v>
      </c>
      <c r="R295" s="58"/>
    </row>
    <row r="296" spans="1:18" ht="31.2" hidden="1" outlineLevel="1">
      <c r="A296" s="73" t="s">
        <v>23</v>
      </c>
      <c r="B296" s="74" t="s">
        <v>130</v>
      </c>
      <c r="C296" s="100" t="s">
        <v>129</v>
      </c>
      <c r="D296" s="70">
        <v>96510.150000000009</v>
      </c>
      <c r="E296" s="75"/>
      <c r="F296" s="71"/>
      <c r="G296" s="70">
        <f>SUM(H296:Q296)</f>
        <v>11248</v>
      </c>
      <c r="H296" s="70">
        <f t="shared" si="155"/>
        <v>0</v>
      </c>
      <c r="I296" s="70">
        <f t="shared" si="155"/>
        <v>2408</v>
      </c>
      <c r="J296" s="70">
        <f t="shared" si="155"/>
        <v>1733</v>
      </c>
      <c r="K296" s="70">
        <f t="shared" si="155"/>
        <v>3786</v>
      </c>
      <c r="L296" s="70">
        <f t="shared" si="155"/>
        <v>1614</v>
      </c>
      <c r="M296" s="70">
        <f t="shared" si="155"/>
        <v>778</v>
      </c>
      <c r="N296" s="70">
        <f t="shared" si="155"/>
        <v>0</v>
      </c>
      <c r="O296" s="70">
        <f t="shared" si="155"/>
        <v>929</v>
      </c>
      <c r="P296" s="70">
        <f t="shared" si="155"/>
        <v>0</v>
      </c>
      <c r="Q296" s="70">
        <f t="shared" si="155"/>
        <v>0</v>
      </c>
      <c r="R296" s="58"/>
    </row>
    <row r="297" spans="1:18" ht="31.2" hidden="1" outlineLevel="1">
      <c r="A297" s="73" t="s">
        <v>23</v>
      </c>
      <c r="B297" s="74" t="s">
        <v>131</v>
      </c>
      <c r="C297" s="100" t="s">
        <v>129</v>
      </c>
      <c r="D297" s="70">
        <v>302580</v>
      </c>
      <c r="E297" s="75"/>
      <c r="F297" s="71"/>
      <c r="G297" s="70">
        <f>SUM(H297:Q297)</f>
        <v>75259</v>
      </c>
      <c r="H297" s="70">
        <f t="shared" si="155"/>
        <v>2772</v>
      </c>
      <c r="I297" s="70">
        <f t="shared" si="155"/>
        <v>10709</v>
      </c>
      <c r="J297" s="70">
        <f t="shared" si="155"/>
        <v>6230</v>
      </c>
      <c r="K297" s="70">
        <f t="shared" si="155"/>
        <v>1555</v>
      </c>
      <c r="L297" s="70">
        <f t="shared" si="155"/>
        <v>11291</v>
      </c>
      <c r="M297" s="70">
        <f t="shared" si="155"/>
        <v>11766</v>
      </c>
      <c r="N297" s="70">
        <f t="shared" si="155"/>
        <v>4706</v>
      </c>
      <c r="O297" s="70">
        <f t="shared" si="155"/>
        <v>7929</v>
      </c>
      <c r="P297" s="70">
        <f t="shared" si="155"/>
        <v>7635</v>
      </c>
      <c r="Q297" s="70">
        <f t="shared" si="155"/>
        <v>10666</v>
      </c>
      <c r="R297" s="58"/>
    </row>
    <row r="298" spans="1:18" ht="31.2" hidden="1" outlineLevel="1">
      <c r="A298" s="73" t="s">
        <v>23</v>
      </c>
      <c r="B298" s="74" t="s">
        <v>132</v>
      </c>
      <c r="C298" s="100" t="s">
        <v>129</v>
      </c>
      <c r="D298" s="70">
        <v>144045</v>
      </c>
      <c r="E298" s="71"/>
      <c r="F298" s="71"/>
      <c r="G298" s="70">
        <f>SUM(H298:Q298)</f>
        <v>2177</v>
      </c>
      <c r="H298" s="70">
        <f t="shared" si="155"/>
        <v>1434</v>
      </c>
      <c r="I298" s="70">
        <f t="shared" si="155"/>
        <v>418</v>
      </c>
      <c r="J298" s="70">
        <f t="shared" si="155"/>
        <v>0</v>
      </c>
      <c r="K298" s="70">
        <f t="shared" si="155"/>
        <v>0</v>
      </c>
      <c r="L298" s="70">
        <f t="shared" si="155"/>
        <v>0</v>
      </c>
      <c r="M298" s="70">
        <f t="shared" si="155"/>
        <v>0</v>
      </c>
      <c r="N298" s="70">
        <f t="shared" si="155"/>
        <v>0</v>
      </c>
      <c r="O298" s="70">
        <f t="shared" si="155"/>
        <v>0</v>
      </c>
      <c r="P298" s="70">
        <f t="shared" si="155"/>
        <v>325</v>
      </c>
      <c r="Q298" s="70">
        <f t="shared" si="155"/>
        <v>0</v>
      </c>
      <c r="R298" s="58"/>
    </row>
    <row r="299" spans="1:18" s="58" customFormat="1" ht="31.2" hidden="1" outlineLevel="1">
      <c r="A299" s="76" t="s">
        <v>26</v>
      </c>
      <c r="B299" s="173" t="s">
        <v>252</v>
      </c>
      <c r="C299" s="103" t="s">
        <v>119</v>
      </c>
      <c r="D299" s="174"/>
      <c r="E299" s="71"/>
      <c r="F299" s="71"/>
      <c r="G299" s="72">
        <f>SUM(G300:G304)</f>
        <v>65000</v>
      </c>
      <c r="H299" s="72">
        <f t="shared" ref="H299:Q299" si="156">SUM(H300:H304)</f>
        <v>17000</v>
      </c>
      <c r="I299" s="72">
        <f t="shared" si="156"/>
        <v>6000</v>
      </c>
      <c r="J299" s="72">
        <f t="shared" si="156"/>
        <v>6000</v>
      </c>
      <c r="K299" s="72">
        <f t="shared" si="156"/>
        <v>12000</v>
      </c>
      <c r="L299" s="72">
        <f t="shared" si="156"/>
        <v>6000</v>
      </c>
      <c r="M299" s="72">
        <f t="shared" si="156"/>
        <v>6000</v>
      </c>
      <c r="N299" s="72">
        <f t="shared" si="156"/>
        <v>2000</v>
      </c>
      <c r="O299" s="72">
        <f t="shared" si="156"/>
        <v>6000</v>
      </c>
      <c r="P299" s="72">
        <f t="shared" si="156"/>
        <v>6000</v>
      </c>
      <c r="Q299" s="72">
        <f t="shared" si="156"/>
        <v>2000</v>
      </c>
    </row>
    <row r="300" spans="1:18" hidden="1" outlineLevel="1">
      <c r="A300" s="73"/>
      <c r="B300" s="78" t="s">
        <v>114</v>
      </c>
      <c r="C300" s="79" t="s">
        <v>253</v>
      </c>
      <c r="D300" s="70">
        <v>60000</v>
      </c>
      <c r="E300" s="70"/>
      <c r="F300" s="70"/>
      <c r="G300" s="70">
        <f t="shared" ref="G300:G308" si="157">SUM(H300:Q300)</f>
        <v>0</v>
      </c>
      <c r="H300" s="70">
        <f t="shared" ref="H300:Q303" si="158">$D300*H42</f>
        <v>0</v>
      </c>
      <c r="I300" s="70">
        <f t="shared" si="158"/>
        <v>0</v>
      </c>
      <c r="J300" s="70">
        <f t="shared" si="158"/>
        <v>0</v>
      </c>
      <c r="K300" s="70">
        <f t="shared" si="158"/>
        <v>0</v>
      </c>
      <c r="L300" s="70">
        <f t="shared" si="158"/>
        <v>0</v>
      </c>
      <c r="M300" s="70">
        <f t="shared" si="158"/>
        <v>0</v>
      </c>
      <c r="N300" s="70">
        <f t="shared" si="158"/>
        <v>0</v>
      </c>
      <c r="O300" s="70">
        <f t="shared" si="158"/>
        <v>0</v>
      </c>
      <c r="P300" s="70">
        <f t="shared" si="158"/>
        <v>0</v>
      </c>
      <c r="Q300" s="70">
        <f t="shared" si="158"/>
        <v>0</v>
      </c>
    </row>
    <row r="301" spans="1:18" hidden="1" outlineLevel="1">
      <c r="A301" s="73"/>
      <c r="B301" s="78" t="s">
        <v>115</v>
      </c>
      <c r="C301" s="79" t="s">
        <v>253</v>
      </c>
      <c r="D301" s="70">
        <v>17000</v>
      </c>
      <c r="E301" s="70"/>
      <c r="F301" s="70"/>
      <c r="G301" s="70">
        <f t="shared" si="157"/>
        <v>17000</v>
      </c>
      <c r="H301" s="70">
        <f t="shared" si="158"/>
        <v>17000</v>
      </c>
      <c r="I301" s="70">
        <f t="shared" si="158"/>
        <v>0</v>
      </c>
      <c r="J301" s="70">
        <f t="shared" si="158"/>
        <v>0</v>
      </c>
      <c r="K301" s="70">
        <f t="shared" si="158"/>
        <v>0</v>
      </c>
      <c r="L301" s="70">
        <f t="shared" si="158"/>
        <v>0</v>
      </c>
      <c r="M301" s="70">
        <f t="shared" si="158"/>
        <v>0</v>
      </c>
      <c r="N301" s="70">
        <f t="shared" si="158"/>
        <v>0</v>
      </c>
      <c r="O301" s="70">
        <f t="shared" si="158"/>
        <v>0</v>
      </c>
      <c r="P301" s="70">
        <f t="shared" si="158"/>
        <v>0</v>
      </c>
      <c r="Q301" s="70">
        <f t="shared" si="158"/>
        <v>0</v>
      </c>
    </row>
    <row r="302" spans="1:18" hidden="1" outlineLevel="1">
      <c r="A302" s="73"/>
      <c r="B302" s="78" t="s">
        <v>116</v>
      </c>
      <c r="C302" s="79" t="s">
        <v>253</v>
      </c>
      <c r="D302" s="70">
        <v>12000</v>
      </c>
      <c r="E302" s="70"/>
      <c r="F302" s="70"/>
      <c r="G302" s="70">
        <f t="shared" si="157"/>
        <v>12000</v>
      </c>
      <c r="H302" s="70">
        <f t="shared" si="158"/>
        <v>0</v>
      </c>
      <c r="I302" s="70">
        <f t="shared" si="158"/>
        <v>0</v>
      </c>
      <c r="J302" s="70">
        <f t="shared" si="158"/>
        <v>0</v>
      </c>
      <c r="K302" s="70">
        <f t="shared" si="158"/>
        <v>12000</v>
      </c>
      <c r="L302" s="70">
        <f t="shared" si="158"/>
        <v>0</v>
      </c>
      <c r="M302" s="70">
        <f t="shared" si="158"/>
        <v>0</v>
      </c>
      <c r="N302" s="70">
        <f t="shared" si="158"/>
        <v>0</v>
      </c>
      <c r="O302" s="70">
        <f t="shared" si="158"/>
        <v>0</v>
      </c>
      <c r="P302" s="70">
        <f t="shared" si="158"/>
        <v>0</v>
      </c>
      <c r="Q302" s="70">
        <f t="shared" si="158"/>
        <v>0</v>
      </c>
    </row>
    <row r="303" spans="1:18" hidden="1" outlineLevel="1">
      <c r="A303" s="73"/>
      <c r="B303" s="78" t="s">
        <v>117</v>
      </c>
      <c r="C303" s="79" t="s">
        <v>253</v>
      </c>
      <c r="D303" s="70">
        <v>6000</v>
      </c>
      <c r="E303" s="70"/>
      <c r="F303" s="70"/>
      <c r="G303" s="70">
        <f t="shared" si="157"/>
        <v>36000</v>
      </c>
      <c r="H303" s="70">
        <f t="shared" si="158"/>
        <v>0</v>
      </c>
      <c r="I303" s="70">
        <f t="shared" si="158"/>
        <v>6000</v>
      </c>
      <c r="J303" s="70">
        <f t="shared" si="158"/>
        <v>6000</v>
      </c>
      <c r="K303" s="70">
        <f t="shared" si="158"/>
        <v>0</v>
      </c>
      <c r="L303" s="70">
        <f t="shared" si="158"/>
        <v>6000</v>
      </c>
      <c r="M303" s="70">
        <f t="shared" si="158"/>
        <v>6000</v>
      </c>
      <c r="N303" s="70">
        <f t="shared" si="158"/>
        <v>0</v>
      </c>
      <c r="O303" s="70">
        <f t="shared" si="158"/>
        <v>6000</v>
      </c>
      <c r="P303" s="70">
        <f t="shared" si="158"/>
        <v>6000</v>
      </c>
      <c r="Q303" s="70">
        <f t="shared" si="158"/>
        <v>0</v>
      </c>
    </row>
    <row r="304" spans="1:18" ht="31.2" hidden="1" outlineLevel="1">
      <c r="A304" s="73"/>
      <c r="B304" s="171" t="s">
        <v>254</v>
      </c>
      <c r="C304" s="79"/>
      <c r="D304" s="70">
        <v>2000</v>
      </c>
      <c r="E304" s="70"/>
      <c r="F304" s="70"/>
      <c r="G304" s="70"/>
      <c r="H304" s="70"/>
      <c r="I304" s="70"/>
      <c r="J304" s="70"/>
      <c r="K304" s="70"/>
      <c r="L304" s="70"/>
      <c r="M304" s="70"/>
      <c r="N304" s="70">
        <f>D304</f>
        <v>2000</v>
      </c>
      <c r="O304" s="70"/>
      <c r="P304" s="70"/>
      <c r="Q304" s="70">
        <f>D304</f>
        <v>2000</v>
      </c>
    </row>
    <row r="305" spans="1:18" s="58" customFormat="1" hidden="1" outlineLevel="1">
      <c r="A305" s="76" t="s">
        <v>59</v>
      </c>
      <c r="B305" s="173" t="s">
        <v>225</v>
      </c>
      <c r="C305" s="103" t="s">
        <v>119</v>
      </c>
      <c r="D305" s="174"/>
      <c r="E305" s="71"/>
      <c r="F305" s="71"/>
      <c r="G305" s="72">
        <f>G306+G307+G308</f>
        <v>23277</v>
      </c>
      <c r="H305" s="72">
        <f>H306+H307+H308</f>
        <v>3053</v>
      </c>
      <c r="I305" s="72">
        <f t="shared" ref="I305:Q305" si="159">I306+I307+I308</f>
        <v>2989</v>
      </c>
      <c r="J305" s="72">
        <f t="shared" si="159"/>
        <v>1436</v>
      </c>
      <c r="K305" s="72">
        <f t="shared" si="159"/>
        <v>1671</v>
      </c>
      <c r="L305" s="72">
        <f t="shared" si="159"/>
        <v>3876</v>
      </c>
      <c r="M305" s="72">
        <f t="shared" si="159"/>
        <v>1100</v>
      </c>
      <c r="N305" s="72">
        <f t="shared" si="159"/>
        <v>60</v>
      </c>
      <c r="O305" s="72">
        <f t="shared" si="159"/>
        <v>1075</v>
      </c>
      <c r="P305" s="72">
        <f t="shared" si="159"/>
        <v>5254</v>
      </c>
      <c r="Q305" s="72">
        <f t="shared" si="159"/>
        <v>2763</v>
      </c>
    </row>
    <row r="306" spans="1:18" hidden="1" outlineLevel="1">
      <c r="A306" s="73"/>
      <c r="B306" s="78" t="s">
        <v>255</v>
      </c>
      <c r="C306" s="100"/>
      <c r="D306" s="81"/>
      <c r="E306" s="75">
        <f>F306+G306</f>
        <v>20737</v>
      </c>
      <c r="F306" s="75">
        <v>15088</v>
      </c>
      <c r="G306" s="70">
        <f t="shared" si="157"/>
        <v>5649</v>
      </c>
      <c r="H306" s="70">
        <v>236</v>
      </c>
      <c r="I306" s="70">
        <v>959</v>
      </c>
      <c r="J306" s="70">
        <v>565</v>
      </c>
      <c r="K306" s="70">
        <v>375</v>
      </c>
      <c r="L306" s="70">
        <v>1435</v>
      </c>
      <c r="M306" s="70">
        <v>157</v>
      </c>
      <c r="N306" s="70">
        <v>0</v>
      </c>
      <c r="O306" s="70">
        <v>317</v>
      </c>
      <c r="P306" s="70">
        <v>722</v>
      </c>
      <c r="Q306" s="70">
        <v>883</v>
      </c>
    </row>
    <row r="307" spans="1:18" hidden="1" outlineLevel="1">
      <c r="A307" s="73"/>
      <c r="B307" s="78" t="s">
        <v>366</v>
      </c>
      <c r="C307" s="100"/>
      <c r="D307" s="81"/>
      <c r="E307" s="75">
        <f>F307+G307</f>
        <v>15628</v>
      </c>
      <c r="F307" s="75"/>
      <c r="G307" s="70">
        <f t="shared" si="157"/>
        <v>15628</v>
      </c>
      <c r="H307" s="70">
        <f>1674+141+2</f>
        <v>1817</v>
      </c>
      <c r="I307" s="70">
        <f>1979+51</f>
        <v>2030</v>
      </c>
      <c r="J307" s="70">
        <f>730+141</f>
        <v>871</v>
      </c>
      <c r="K307" s="70">
        <f>1182+114</f>
        <v>1296</v>
      </c>
      <c r="L307" s="70">
        <f>1900+541</f>
        <v>2441</v>
      </c>
      <c r="M307" s="70">
        <f>912+31</f>
        <v>943</v>
      </c>
      <c r="N307" s="70">
        <f>13+47</f>
        <v>60</v>
      </c>
      <c r="O307" s="70">
        <f>738+20</f>
        <v>758</v>
      </c>
      <c r="P307" s="70">
        <f>3240+292</f>
        <v>3532</v>
      </c>
      <c r="Q307" s="70">
        <f>1837+43</f>
        <v>1880</v>
      </c>
    </row>
    <row r="308" spans="1:18" ht="46.8" hidden="1" outlineLevel="1">
      <c r="A308" s="73"/>
      <c r="B308" s="78" t="s">
        <v>256</v>
      </c>
      <c r="C308" s="100" t="s">
        <v>257</v>
      </c>
      <c r="D308" s="81">
        <v>1000</v>
      </c>
      <c r="E308" s="75"/>
      <c r="F308" s="75"/>
      <c r="G308" s="70">
        <f t="shared" si="157"/>
        <v>2000</v>
      </c>
      <c r="H308" s="70">
        <f>D308</f>
        <v>1000</v>
      </c>
      <c r="I308" s="70"/>
      <c r="J308" s="70"/>
      <c r="K308" s="70"/>
      <c r="L308" s="70"/>
      <c r="M308" s="70"/>
      <c r="N308" s="70"/>
      <c r="O308" s="70"/>
      <c r="P308" s="70">
        <f>D308</f>
        <v>1000</v>
      </c>
      <c r="Q308" s="70"/>
    </row>
    <row r="309" spans="1:18" s="58" customFormat="1" ht="31.2" collapsed="1">
      <c r="A309" s="76" t="s">
        <v>258</v>
      </c>
      <c r="B309" s="68" t="s">
        <v>259</v>
      </c>
      <c r="C309" s="77" t="s">
        <v>119</v>
      </c>
      <c r="D309" s="71"/>
      <c r="E309" s="71">
        <f>F309+G309</f>
        <v>132828</v>
      </c>
      <c r="F309" s="71">
        <v>9162</v>
      </c>
      <c r="G309" s="72">
        <f>SUM(H309:Q309)</f>
        <v>123666</v>
      </c>
      <c r="H309" s="72">
        <f>H312+H317</f>
        <v>57743</v>
      </c>
      <c r="I309" s="72">
        <f t="shared" ref="I309:Q309" si="160">I312+I317</f>
        <v>14667</v>
      </c>
      <c r="J309" s="72">
        <f t="shared" si="160"/>
        <v>10488</v>
      </c>
      <c r="K309" s="72">
        <f t="shared" si="160"/>
        <v>17572</v>
      </c>
      <c r="L309" s="72">
        <f t="shared" si="160"/>
        <v>6774</v>
      </c>
      <c r="M309" s="72">
        <f t="shared" si="160"/>
        <v>6399</v>
      </c>
      <c r="N309" s="72">
        <f t="shared" si="160"/>
        <v>682</v>
      </c>
      <c r="O309" s="72">
        <f t="shared" si="160"/>
        <v>4105</v>
      </c>
      <c r="P309" s="72">
        <f t="shared" si="160"/>
        <v>3689</v>
      </c>
      <c r="Q309" s="72">
        <f t="shared" si="160"/>
        <v>1547</v>
      </c>
      <c r="R309" s="58">
        <f>G309-SUM(H309:Q309)</f>
        <v>0</v>
      </c>
    </row>
    <row r="310" spans="1:18" ht="31.2">
      <c r="A310" s="73"/>
      <c r="B310" s="83" t="s">
        <v>120</v>
      </c>
      <c r="C310" s="69" t="s">
        <v>119</v>
      </c>
      <c r="D310" s="75"/>
      <c r="E310" s="75">
        <v>85147.614656529186</v>
      </c>
      <c r="F310" s="75">
        <v>17462.41817643019</v>
      </c>
      <c r="G310" s="70">
        <f>SUM(H310:Q310)</f>
        <v>67685.19648009901</v>
      </c>
      <c r="H310" s="110">
        <v>51098.114478394324</v>
      </c>
      <c r="I310" s="110">
        <v>3597.4912353886248</v>
      </c>
      <c r="J310" s="110">
        <v>2321.8504649109368</v>
      </c>
      <c r="K310" s="110">
        <v>3090.547620950907</v>
      </c>
      <c r="L310" s="110">
        <v>1833.7105554576538</v>
      </c>
      <c r="M310" s="110">
        <v>2036.4212188545218</v>
      </c>
      <c r="N310" s="110">
        <v>289.39257471792081</v>
      </c>
      <c r="O310" s="110">
        <v>1039.4822319766524</v>
      </c>
      <c r="P310" s="110">
        <v>1347.5165744167505</v>
      </c>
      <c r="Q310" s="110">
        <v>1030.6695250307071</v>
      </c>
      <c r="R310" s="58"/>
    </row>
    <row r="311" spans="1:18" s="58" customFormat="1">
      <c r="A311" s="76"/>
      <c r="B311" s="85" t="s">
        <v>121</v>
      </c>
      <c r="C311" s="86" t="s">
        <v>95</v>
      </c>
      <c r="D311" s="87"/>
      <c r="E311" s="88">
        <f t="shared" ref="E311:Q311" si="161">E309/E310%</f>
        <v>155.99732363120833</v>
      </c>
      <c r="F311" s="88">
        <f t="shared" si="161"/>
        <v>52.466960231008336</v>
      </c>
      <c r="G311" s="88">
        <f t="shared" si="161"/>
        <v>182.70760288974063</v>
      </c>
      <c r="H311" s="88">
        <f t="shared" si="161"/>
        <v>113.00416970261263</v>
      </c>
      <c r="I311" s="88">
        <f t="shared" si="161"/>
        <v>407.70078480581969</v>
      </c>
      <c r="J311" s="88">
        <f t="shared" si="161"/>
        <v>451.70867626922336</v>
      </c>
      <c r="K311" s="88">
        <f t="shared" si="161"/>
        <v>568.57237471051826</v>
      </c>
      <c r="L311" s="88">
        <f t="shared" si="161"/>
        <v>369.41489919652878</v>
      </c>
      <c r="M311" s="88">
        <f t="shared" si="161"/>
        <v>314.22772168910177</v>
      </c>
      <c r="N311" s="88">
        <f t="shared" si="161"/>
        <v>235.66603278082198</v>
      </c>
      <c r="O311" s="88">
        <f t="shared" si="161"/>
        <v>394.90814500927434</v>
      </c>
      <c r="P311" s="88">
        <f t="shared" si="161"/>
        <v>273.76286644909879</v>
      </c>
      <c r="Q311" s="88">
        <f t="shared" si="161"/>
        <v>150.09660831428093</v>
      </c>
    </row>
    <row r="312" spans="1:18" hidden="1" outlineLevel="1">
      <c r="A312" s="76" t="s">
        <v>18</v>
      </c>
      <c r="B312" s="68" t="s">
        <v>224</v>
      </c>
      <c r="C312" s="77"/>
      <c r="D312" s="71"/>
      <c r="E312" s="71"/>
      <c r="F312" s="71"/>
      <c r="G312" s="72">
        <f t="shared" ref="G312:Q312" si="162">SUM(G313:G316)</f>
        <v>112117</v>
      </c>
      <c r="H312" s="72">
        <f t="shared" si="162"/>
        <v>46194</v>
      </c>
      <c r="I312" s="72">
        <f t="shared" si="162"/>
        <v>14667</v>
      </c>
      <c r="J312" s="72">
        <f t="shared" si="162"/>
        <v>10488</v>
      </c>
      <c r="K312" s="72">
        <f t="shared" si="162"/>
        <v>17572</v>
      </c>
      <c r="L312" s="72">
        <f t="shared" si="162"/>
        <v>6774</v>
      </c>
      <c r="M312" s="72">
        <f t="shared" si="162"/>
        <v>6399</v>
      </c>
      <c r="N312" s="72">
        <f t="shared" si="162"/>
        <v>682</v>
      </c>
      <c r="O312" s="72">
        <f t="shared" si="162"/>
        <v>4105</v>
      </c>
      <c r="P312" s="72">
        <f t="shared" si="162"/>
        <v>3689</v>
      </c>
      <c r="Q312" s="72">
        <f t="shared" si="162"/>
        <v>1547</v>
      </c>
      <c r="R312" s="58"/>
    </row>
    <row r="313" spans="1:18" ht="31.2" hidden="1" outlineLevel="1">
      <c r="A313" s="73" t="s">
        <v>23</v>
      </c>
      <c r="B313" s="74" t="s">
        <v>128</v>
      </c>
      <c r="C313" s="100" t="s">
        <v>129</v>
      </c>
      <c r="D313" s="70">
        <v>263250</v>
      </c>
      <c r="E313" s="75"/>
      <c r="F313" s="71"/>
      <c r="G313" s="70">
        <f t="shared" ref="G313" si="163">SUM(H313:Q313)</f>
        <v>58783</v>
      </c>
      <c r="H313" s="70">
        <f t="shared" ref="H313:Q316" si="164">IF(H$27=0,ROUND(H13*$D313/1000000,0),ROUND(H13*$D313/1000000*(1+H$27/100),0))</f>
        <v>41424</v>
      </c>
      <c r="I313" s="70">
        <f t="shared" si="164"/>
        <v>4178</v>
      </c>
      <c r="J313" s="70">
        <f t="shared" si="164"/>
        <v>4071</v>
      </c>
      <c r="K313" s="70">
        <f t="shared" si="164"/>
        <v>5298</v>
      </c>
      <c r="L313" s="70">
        <f t="shared" si="164"/>
        <v>0</v>
      </c>
      <c r="M313" s="70">
        <f t="shared" si="164"/>
        <v>2219</v>
      </c>
      <c r="N313" s="70">
        <f t="shared" si="164"/>
        <v>0</v>
      </c>
      <c r="O313" s="70">
        <f t="shared" si="164"/>
        <v>0</v>
      </c>
      <c r="P313" s="70">
        <f t="shared" si="164"/>
        <v>1593</v>
      </c>
      <c r="Q313" s="70">
        <f t="shared" si="164"/>
        <v>0</v>
      </c>
      <c r="R313" s="58"/>
    </row>
    <row r="314" spans="1:18" ht="31.2" hidden="1" outlineLevel="1">
      <c r="A314" s="73" t="s">
        <v>23</v>
      </c>
      <c r="B314" s="74" t="s">
        <v>130</v>
      </c>
      <c r="C314" s="100" t="s">
        <v>129</v>
      </c>
      <c r="D314" s="70">
        <v>307125</v>
      </c>
      <c r="E314" s="75"/>
      <c r="F314" s="71"/>
      <c r="G314" s="70">
        <f t="shared" ref="G314:G320" si="165">SUM(H314:Q314)</f>
        <v>35792</v>
      </c>
      <c r="H314" s="70">
        <f t="shared" si="164"/>
        <v>0</v>
      </c>
      <c r="I314" s="70">
        <f t="shared" si="164"/>
        <v>7663</v>
      </c>
      <c r="J314" s="70">
        <f t="shared" si="164"/>
        <v>5514</v>
      </c>
      <c r="K314" s="70">
        <f t="shared" si="164"/>
        <v>12049</v>
      </c>
      <c r="L314" s="70">
        <f t="shared" si="164"/>
        <v>5137</v>
      </c>
      <c r="M314" s="70">
        <f t="shared" si="164"/>
        <v>2474</v>
      </c>
      <c r="N314" s="70">
        <f t="shared" si="164"/>
        <v>0</v>
      </c>
      <c r="O314" s="70">
        <f t="shared" si="164"/>
        <v>2955</v>
      </c>
      <c r="P314" s="70">
        <f t="shared" si="164"/>
        <v>0</v>
      </c>
      <c r="Q314" s="70">
        <f t="shared" si="164"/>
        <v>0</v>
      </c>
      <c r="R314" s="58"/>
    </row>
    <row r="315" spans="1:18" ht="31.2" hidden="1" outlineLevel="1">
      <c r="A315" s="73" t="s">
        <v>23</v>
      </c>
      <c r="B315" s="74" t="s">
        <v>131</v>
      </c>
      <c r="C315" s="100" t="s">
        <v>129</v>
      </c>
      <c r="D315" s="70">
        <f>D316*10%</f>
        <v>43875</v>
      </c>
      <c r="E315" s="75"/>
      <c r="F315" s="71"/>
      <c r="G315" s="70">
        <f t="shared" si="165"/>
        <v>10912</v>
      </c>
      <c r="H315" s="70">
        <f t="shared" si="164"/>
        <v>402</v>
      </c>
      <c r="I315" s="70">
        <f t="shared" si="164"/>
        <v>1553</v>
      </c>
      <c r="J315" s="70">
        <f t="shared" si="164"/>
        <v>903</v>
      </c>
      <c r="K315" s="70">
        <f t="shared" si="164"/>
        <v>225</v>
      </c>
      <c r="L315" s="70">
        <f t="shared" si="164"/>
        <v>1637</v>
      </c>
      <c r="M315" s="70">
        <f t="shared" si="164"/>
        <v>1706</v>
      </c>
      <c r="N315" s="70">
        <f t="shared" si="164"/>
        <v>682</v>
      </c>
      <c r="O315" s="70">
        <f t="shared" si="164"/>
        <v>1150</v>
      </c>
      <c r="P315" s="70">
        <f t="shared" si="164"/>
        <v>1107</v>
      </c>
      <c r="Q315" s="70">
        <f t="shared" si="164"/>
        <v>1547</v>
      </c>
    </row>
    <row r="316" spans="1:18" ht="31.2" hidden="1" outlineLevel="1">
      <c r="A316" s="73" t="s">
        <v>23</v>
      </c>
      <c r="B316" s="74" t="s">
        <v>132</v>
      </c>
      <c r="C316" s="100" t="s">
        <v>129</v>
      </c>
      <c r="D316" s="70">
        <v>438750</v>
      </c>
      <c r="E316" s="71"/>
      <c r="F316" s="71"/>
      <c r="G316" s="70">
        <f t="shared" si="165"/>
        <v>6630</v>
      </c>
      <c r="H316" s="70">
        <f t="shared" si="164"/>
        <v>4368</v>
      </c>
      <c r="I316" s="70">
        <f t="shared" si="164"/>
        <v>1273</v>
      </c>
      <c r="J316" s="70">
        <f t="shared" si="164"/>
        <v>0</v>
      </c>
      <c r="K316" s="70">
        <f t="shared" si="164"/>
        <v>0</v>
      </c>
      <c r="L316" s="70">
        <f t="shared" si="164"/>
        <v>0</v>
      </c>
      <c r="M316" s="70">
        <f t="shared" si="164"/>
        <v>0</v>
      </c>
      <c r="N316" s="70">
        <f t="shared" si="164"/>
        <v>0</v>
      </c>
      <c r="O316" s="70">
        <f t="shared" si="164"/>
        <v>0</v>
      </c>
      <c r="P316" s="70">
        <f t="shared" si="164"/>
        <v>989</v>
      </c>
      <c r="Q316" s="70">
        <f t="shared" si="164"/>
        <v>0</v>
      </c>
    </row>
    <row r="317" spans="1:18" s="58" customFormat="1" hidden="1" outlineLevel="1">
      <c r="A317" s="76" t="s">
        <v>26</v>
      </c>
      <c r="B317" s="173" t="s">
        <v>225</v>
      </c>
      <c r="C317" s="103" t="s">
        <v>119</v>
      </c>
      <c r="D317" s="174"/>
      <c r="E317" s="71"/>
      <c r="F317" s="71"/>
      <c r="G317" s="72">
        <f>G318</f>
        <v>11549</v>
      </c>
      <c r="H317" s="72">
        <f t="shared" ref="H317:Q317" si="166">H318</f>
        <v>11549</v>
      </c>
      <c r="I317" s="72">
        <f t="shared" si="166"/>
        <v>0</v>
      </c>
      <c r="J317" s="72">
        <f t="shared" si="166"/>
        <v>0</v>
      </c>
      <c r="K317" s="72">
        <f t="shared" si="166"/>
        <v>0</v>
      </c>
      <c r="L317" s="72">
        <f t="shared" si="166"/>
        <v>0</v>
      </c>
      <c r="M317" s="72">
        <f t="shared" si="166"/>
        <v>0</v>
      </c>
      <c r="N317" s="72">
        <f t="shared" si="166"/>
        <v>0</v>
      </c>
      <c r="O317" s="72">
        <f t="shared" si="166"/>
        <v>0</v>
      </c>
      <c r="P317" s="72">
        <f t="shared" si="166"/>
        <v>0</v>
      </c>
      <c r="Q317" s="72">
        <f t="shared" si="166"/>
        <v>0</v>
      </c>
    </row>
    <row r="318" spans="1:18" ht="31.2" hidden="1" outlineLevel="1">
      <c r="A318" s="73"/>
      <c r="B318" s="78" t="s">
        <v>702</v>
      </c>
      <c r="C318" s="100" t="s">
        <v>703</v>
      </c>
      <c r="D318" s="199">
        <v>0.25</v>
      </c>
      <c r="E318" s="75"/>
      <c r="F318" s="75"/>
      <c r="G318" s="70">
        <f t="shared" ref="G318" si="167">SUM(H318:Q318)</f>
        <v>11549</v>
      </c>
      <c r="H318" s="70">
        <f>ROUND(H312*D318,0)</f>
        <v>11549</v>
      </c>
      <c r="I318" s="70"/>
      <c r="J318" s="70"/>
      <c r="K318" s="70"/>
      <c r="L318" s="70"/>
      <c r="M318" s="70"/>
      <c r="N318" s="70"/>
      <c r="O318" s="70"/>
      <c r="P318" s="70"/>
      <c r="Q318" s="70"/>
    </row>
    <row r="319" spans="1:18" s="58" customFormat="1" ht="31.2" collapsed="1">
      <c r="A319" s="76" t="s">
        <v>260</v>
      </c>
      <c r="B319" s="68" t="s">
        <v>261</v>
      </c>
      <c r="C319" s="77" t="s">
        <v>119</v>
      </c>
      <c r="D319" s="71"/>
      <c r="E319" s="71">
        <f>F319+G319</f>
        <v>62113</v>
      </c>
      <c r="F319" s="71">
        <f>4959919-G46-F59-F101-F122-F135-F224-F235-F242-F249-F265-F276-F287-F291-F309</f>
        <v>42261</v>
      </c>
      <c r="G319" s="72">
        <f t="shared" si="165"/>
        <v>19852</v>
      </c>
      <c r="H319" s="72">
        <f t="shared" ref="H319:Q319" si="168">H322+H323</f>
        <v>3042</v>
      </c>
      <c r="I319" s="72">
        <f t="shared" si="168"/>
        <v>2015</v>
      </c>
      <c r="J319" s="72">
        <f t="shared" si="168"/>
        <v>1504</v>
      </c>
      <c r="K319" s="72">
        <f t="shared" si="168"/>
        <v>3054</v>
      </c>
      <c r="L319" s="72">
        <f t="shared" si="168"/>
        <v>2714</v>
      </c>
      <c r="M319" s="72">
        <f t="shared" si="168"/>
        <v>2227</v>
      </c>
      <c r="N319" s="72">
        <f t="shared" si="168"/>
        <v>1413</v>
      </c>
      <c r="O319" s="72">
        <f t="shared" si="168"/>
        <v>1129</v>
      </c>
      <c r="P319" s="72">
        <f t="shared" si="168"/>
        <v>1325</v>
      </c>
      <c r="Q319" s="72">
        <f t="shared" si="168"/>
        <v>1429</v>
      </c>
      <c r="R319" s="58">
        <f>G319-SUM(H319:Q319)</f>
        <v>0</v>
      </c>
    </row>
    <row r="320" spans="1:18" ht="31.2">
      <c r="A320" s="73"/>
      <c r="B320" s="83" t="s">
        <v>120</v>
      </c>
      <c r="C320" s="69" t="s">
        <v>119</v>
      </c>
      <c r="D320" s="75"/>
      <c r="E320" s="75">
        <v>46824.000000000015</v>
      </c>
      <c r="F320" s="75">
        <v>29462</v>
      </c>
      <c r="G320" s="70">
        <f t="shared" si="165"/>
        <v>17362.000000000011</v>
      </c>
      <c r="H320" s="110">
        <v>2376.9999999999964</v>
      </c>
      <c r="I320" s="110">
        <v>1898</v>
      </c>
      <c r="J320" s="110">
        <v>1893</v>
      </c>
      <c r="K320" s="110">
        <v>2751</v>
      </c>
      <c r="L320" s="110">
        <v>1807</v>
      </c>
      <c r="M320" s="110">
        <v>1690</v>
      </c>
      <c r="N320" s="110">
        <v>1011</v>
      </c>
      <c r="O320" s="110">
        <v>720.00000000001376</v>
      </c>
      <c r="P320" s="110">
        <v>1189</v>
      </c>
      <c r="Q320" s="110">
        <v>2026</v>
      </c>
      <c r="R320" s="58"/>
    </row>
    <row r="321" spans="1:18">
      <c r="A321" s="73"/>
      <c r="B321" s="85" t="s">
        <v>121</v>
      </c>
      <c r="C321" s="86" t="s">
        <v>95</v>
      </c>
      <c r="D321" s="87"/>
      <c r="E321" s="88">
        <f t="shared" ref="E321:Q321" si="169">E319/E320%</f>
        <v>132.65205877327864</v>
      </c>
      <c r="F321" s="88">
        <f t="shared" si="169"/>
        <v>143.4424003801507</v>
      </c>
      <c r="G321" s="88">
        <f t="shared" si="169"/>
        <v>114.34166570671574</v>
      </c>
      <c r="H321" s="88">
        <f t="shared" si="169"/>
        <v>127.97644089188071</v>
      </c>
      <c r="I321" s="88">
        <f t="shared" si="169"/>
        <v>106.16438356164383</v>
      </c>
      <c r="J321" s="88">
        <f t="shared" si="169"/>
        <v>79.450607501320661</v>
      </c>
      <c r="K321" s="88">
        <f t="shared" si="169"/>
        <v>111.01417666303162</v>
      </c>
      <c r="L321" s="88">
        <f t="shared" si="169"/>
        <v>150.19369120088544</v>
      </c>
      <c r="M321" s="88">
        <f t="shared" si="169"/>
        <v>131.7751479289941</v>
      </c>
      <c r="N321" s="88">
        <f t="shared" si="169"/>
        <v>139.76261127596439</v>
      </c>
      <c r="O321" s="88">
        <f t="shared" si="169"/>
        <v>156.80555555555256</v>
      </c>
      <c r="P321" s="88">
        <f t="shared" si="169"/>
        <v>111.43818334735072</v>
      </c>
      <c r="Q321" s="88">
        <f t="shared" si="169"/>
        <v>70.533070088845008</v>
      </c>
      <c r="R321" s="58"/>
    </row>
    <row r="322" spans="1:18" ht="62.4" hidden="1" outlineLevel="1">
      <c r="A322" s="172">
        <v>1</v>
      </c>
      <c r="B322" s="78" t="s">
        <v>251</v>
      </c>
      <c r="C322" s="79" t="s">
        <v>95</v>
      </c>
      <c r="D322" s="81"/>
      <c r="E322" s="75"/>
      <c r="F322" s="75"/>
      <c r="G322" s="70">
        <f>SUM(H322:Q322)</f>
        <v>15852</v>
      </c>
      <c r="H322" s="110">
        <f t="shared" ref="H322:Q322" si="170">ROUND((H59+H101+H135+H224+H242+H235+H249+H265+H276+H287+H291+H309+H122)*0.5%,0)</f>
        <v>3042</v>
      </c>
      <c r="I322" s="110">
        <f t="shared" si="170"/>
        <v>2015</v>
      </c>
      <c r="J322" s="110">
        <f t="shared" si="170"/>
        <v>1504</v>
      </c>
      <c r="K322" s="110">
        <f t="shared" si="170"/>
        <v>1454</v>
      </c>
      <c r="L322" s="110">
        <f t="shared" si="170"/>
        <v>1814</v>
      </c>
      <c r="M322" s="110">
        <f t="shared" si="170"/>
        <v>1627</v>
      </c>
      <c r="N322" s="110">
        <f t="shared" si="170"/>
        <v>513</v>
      </c>
      <c r="O322" s="110">
        <f t="shared" si="170"/>
        <v>1129</v>
      </c>
      <c r="P322" s="110">
        <f t="shared" si="170"/>
        <v>1325</v>
      </c>
      <c r="Q322" s="110">
        <f t="shared" si="170"/>
        <v>1429</v>
      </c>
      <c r="R322" s="58"/>
    </row>
    <row r="323" spans="1:18" ht="46.8" hidden="1" outlineLevel="1">
      <c r="A323" s="172">
        <v>2</v>
      </c>
      <c r="B323" s="78" t="s">
        <v>262</v>
      </c>
      <c r="C323" s="79" t="s">
        <v>119</v>
      </c>
      <c r="D323" s="81"/>
      <c r="E323" s="75"/>
      <c r="F323" s="75"/>
      <c r="G323" s="70">
        <f>G324+G325</f>
        <v>4000</v>
      </c>
      <c r="H323" s="70">
        <f t="shared" ref="H323:Q323" si="171">H324+H325</f>
        <v>0</v>
      </c>
      <c r="I323" s="70">
        <f t="shared" si="171"/>
        <v>0</v>
      </c>
      <c r="J323" s="70">
        <f t="shared" si="171"/>
        <v>0</v>
      </c>
      <c r="K323" s="70">
        <f t="shared" si="171"/>
        <v>1600</v>
      </c>
      <c r="L323" s="70">
        <f t="shared" si="171"/>
        <v>900</v>
      </c>
      <c r="M323" s="70">
        <f t="shared" si="171"/>
        <v>600</v>
      </c>
      <c r="N323" s="70">
        <f t="shared" si="171"/>
        <v>900</v>
      </c>
      <c r="O323" s="70">
        <f t="shared" si="171"/>
        <v>0</v>
      </c>
      <c r="P323" s="70">
        <f t="shared" si="171"/>
        <v>0</v>
      </c>
      <c r="Q323" s="70">
        <f t="shared" si="171"/>
        <v>0</v>
      </c>
      <c r="R323" s="58"/>
    </row>
    <row r="324" spans="1:18" ht="31.2" hidden="1" outlineLevel="1">
      <c r="A324" s="172" t="s">
        <v>23</v>
      </c>
      <c r="B324" s="78" t="s">
        <v>263</v>
      </c>
      <c r="C324" s="79" t="s">
        <v>173</v>
      </c>
      <c r="D324" s="70">
        <v>300</v>
      </c>
      <c r="E324" s="75"/>
      <c r="F324" s="71"/>
      <c r="G324" s="70">
        <f>SUM(H324:Q324)</f>
        <v>3600</v>
      </c>
      <c r="H324" s="70">
        <f t="shared" ref="H324:Q324" si="172">$D$324*H39</f>
        <v>0</v>
      </c>
      <c r="I324" s="70">
        <f t="shared" si="172"/>
        <v>0</v>
      </c>
      <c r="J324" s="70">
        <f t="shared" si="172"/>
        <v>0</v>
      </c>
      <c r="K324" s="70">
        <f t="shared" si="172"/>
        <v>1200</v>
      </c>
      <c r="L324" s="70">
        <f t="shared" si="172"/>
        <v>900</v>
      </c>
      <c r="M324" s="70">
        <f t="shared" si="172"/>
        <v>600</v>
      </c>
      <c r="N324" s="70">
        <f t="shared" si="172"/>
        <v>900</v>
      </c>
      <c r="O324" s="70">
        <f t="shared" si="172"/>
        <v>0</v>
      </c>
      <c r="P324" s="70">
        <f t="shared" si="172"/>
        <v>0</v>
      </c>
      <c r="Q324" s="70">
        <f t="shared" si="172"/>
        <v>0</v>
      </c>
      <c r="R324" s="58"/>
    </row>
    <row r="325" spans="1:18" s="116" customFormat="1" ht="31.2" hidden="1" outlineLevel="1">
      <c r="A325" s="172" t="s">
        <v>23</v>
      </c>
      <c r="B325" s="78" t="s">
        <v>264</v>
      </c>
      <c r="C325" s="79" t="s">
        <v>173</v>
      </c>
      <c r="D325" s="70">
        <v>400</v>
      </c>
      <c r="E325" s="75"/>
      <c r="F325" s="71"/>
      <c r="G325" s="70">
        <f>SUM(H325:Q325)</f>
        <v>400</v>
      </c>
      <c r="H325" s="70">
        <f t="shared" ref="H325:Q325" si="173">$D$325*H40</f>
        <v>0</v>
      </c>
      <c r="I325" s="70">
        <f t="shared" si="173"/>
        <v>0</v>
      </c>
      <c r="J325" s="70">
        <f t="shared" si="173"/>
        <v>0</v>
      </c>
      <c r="K325" s="70">
        <f t="shared" si="173"/>
        <v>400</v>
      </c>
      <c r="L325" s="70">
        <f t="shared" si="173"/>
        <v>0</v>
      </c>
      <c r="M325" s="70">
        <f t="shared" si="173"/>
        <v>0</v>
      </c>
      <c r="N325" s="70">
        <f t="shared" si="173"/>
        <v>0</v>
      </c>
      <c r="O325" s="70">
        <f t="shared" si="173"/>
        <v>0</v>
      </c>
      <c r="P325" s="70">
        <f t="shared" si="173"/>
        <v>0</v>
      </c>
      <c r="Q325" s="70">
        <f t="shared" si="173"/>
        <v>0</v>
      </c>
      <c r="R325" s="58"/>
    </row>
    <row r="326" spans="1:18" s="96" customFormat="1" ht="31.2" collapsed="1">
      <c r="A326" s="76" t="s">
        <v>265</v>
      </c>
      <c r="B326" s="94" t="s">
        <v>266</v>
      </c>
      <c r="C326" s="95" t="s">
        <v>119</v>
      </c>
      <c r="D326" s="71"/>
      <c r="E326" s="71"/>
      <c r="F326" s="71"/>
      <c r="G326" s="72">
        <f>SUM(H326:Q326)</f>
        <v>11895</v>
      </c>
      <c r="H326" s="71">
        <f t="shared" ref="H326:Q326" si="174">IF(H327&gt;H47,0,H47-H327)</f>
        <v>0</v>
      </c>
      <c r="I326" s="71">
        <f t="shared" si="174"/>
        <v>0</v>
      </c>
      <c r="J326" s="71">
        <f t="shared" si="174"/>
        <v>0</v>
      </c>
      <c r="K326" s="71">
        <f t="shared" si="174"/>
        <v>0</v>
      </c>
      <c r="L326" s="71">
        <f t="shared" si="174"/>
        <v>0</v>
      </c>
      <c r="M326" s="71">
        <f t="shared" si="174"/>
        <v>0</v>
      </c>
      <c r="N326" s="71">
        <f t="shared" si="174"/>
        <v>0</v>
      </c>
      <c r="O326" s="71">
        <f t="shared" si="174"/>
        <v>0</v>
      </c>
      <c r="P326" s="71">
        <f t="shared" si="174"/>
        <v>11895</v>
      </c>
      <c r="Q326" s="71">
        <f t="shared" si="174"/>
        <v>0</v>
      </c>
      <c r="R326" s="58">
        <f>G326-SUM(H326:Q326)</f>
        <v>0</v>
      </c>
    </row>
    <row r="327" spans="1:18" s="116" customFormat="1">
      <c r="A327" s="73"/>
      <c r="B327" s="175" t="s">
        <v>267</v>
      </c>
      <c r="C327" s="176"/>
      <c r="D327" s="75"/>
      <c r="E327" s="75"/>
      <c r="F327" s="75"/>
      <c r="G327" s="70">
        <f>SUM(H327:Q327)</f>
        <v>3190471</v>
      </c>
      <c r="H327" s="75">
        <f t="shared" ref="H327:Q327" si="175">H59+H101+H122+H135+H224+H235+H242+H249+H265+H276+H287+H291+H309+H319</f>
        <v>611377</v>
      </c>
      <c r="I327" s="75">
        <f t="shared" si="175"/>
        <v>404957</v>
      </c>
      <c r="J327" s="75">
        <f t="shared" si="175"/>
        <v>302269</v>
      </c>
      <c r="K327" s="75">
        <f t="shared" si="175"/>
        <v>293948</v>
      </c>
      <c r="L327" s="75">
        <f t="shared" si="175"/>
        <v>365565</v>
      </c>
      <c r="M327" s="75">
        <f t="shared" si="175"/>
        <v>327672</v>
      </c>
      <c r="N327" s="75">
        <f t="shared" si="175"/>
        <v>104102</v>
      </c>
      <c r="O327" s="75">
        <f t="shared" si="175"/>
        <v>227002</v>
      </c>
      <c r="P327" s="75">
        <f t="shared" si="175"/>
        <v>266379</v>
      </c>
      <c r="Q327" s="75">
        <f t="shared" si="175"/>
        <v>287200</v>
      </c>
      <c r="R327" s="177">
        <f>Q327/Q47%</f>
        <v>103.93896842745264</v>
      </c>
    </row>
    <row r="328" spans="1:18" s="54" customFormat="1" ht="12" customHeight="1">
      <c r="A328" s="178"/>
      <c r="B328" s="179"/>
      <c r="C328" s="180"/>
      <c r="D328" s="181"/>
      <c r="E328" s="181"/>
      <c r="F328" s="181"/>
      <c r="G328" s="182"/>
      <c r="H328" s="182"/>
      <c r="I328" s="182"/>
      <c r="J328" s="182"/>
      <c r="K328" s="182"/>
      <c r="L328" s="182"/>
      <c r="M328" s="182"/>
      <c r="N328" s="182"/>
      <c r="O328" s="182"/>
      <c r="P328" s="182"/>
      <c r="Q328" s="182"/>
      <c r="R328" s="51"/>
    </row>
    <row r="330" spans="1:18" ht="42" hidden="1" customHeight="1">
      <c r="B330" s="1738"/>
      <c r="C330" s="1739"/>
      <c r="D330" s="1739"/>
      <c r="E330" s="1739"/>
      <c r="F330" s="1739"/>
      <c r="G330" s="1739"/>
      <c r="H330" s="1739"/>
      <c r="I330" s="1739"/>
      <c r="J330" s="1739"/>
      <c r="K330" s="1739"/>
      <c r="L330" s="1739"/>
      <c r="M330" s="1739"/>
      <c r="N330" s="1739"/>
      <c r="O330" s="1739"/>
      <c r="P330" s="1739"/>
      <c r="Q330" s="1739"/>
      <c r="R330" s="1739"/>
    </row>
    <row r="331" spans="1:18" hidden="1">
      <c r="A331" s="46" t="s">
        <v>74</v>
      </c>
      <c r="B331" s="47" t="s">
        <v>360</v>
      </c>
      <c r="C331" s="48" t="s">
        <v>119</v>
      </c>
      <c r="G331" s="54">
        <v>4327</v>
      </c>
      <c r="H331" s="54">
        <v>608</v>
      </c>
      <c r="I331" s="54">
        <v>597</v>
      </c>
      <c r="J331" s="54">
        <v>282</v>
      </c>
      <c r="K331" s="54">
        <v>642</v>
      </c>
      <c r="L331" s="54">
        <v>721</v>
      </c>
      <c r="M331" s="54">
        <v>406</v>
      </c>
      <c r="N331" s="54">
        <v>237</v>
      </c>
      <c r="O331" s="54">
        <v>214</v>
      </c>
      <c r="P331" s="54">
        <v>338</v>
      </c>
      <c r="Q331" s="54">
        <v>282</v>
      </c>
    </row>
    <row r="332" spans="1:18" s="116" customFormat="1" hidden="1">
      <c r="A332" s="183"/>
      <c r="B332" s="184" t="s">
        <v>218</v>
      </c>
      <c r="C332" s="185"/>
      <c r="D332" s="184"/>
      <c r="E332" s="186"/>
      <c r="F332" s="186"/>
      <c r="G332" s="187"/>
      <c r="H332" s="187">
        <v>11</v>
      </c>
      <c r="I332" s="187">
        <v>10</v>
      </c>
      <c r="J332" s="187">
        <v>8</v>
      </c>
      <c r="K332" s="187">
        <v>7</v>
      </c>
      <c r="L332" s="187">
        <v>11</v>
      </c>
      <c r="M332" s="187">
        <v>10</v>
      </c>
      <c r="N332" s="187">
        <v>3</v>
      </c>
      <c r="O332" s="187">
        <v>6</v>
      </c>
      <c r="P332" s="187">
        <v>8</v>
      </c>
      <c r="Q332" s="187">
        <v>11</v>
      </c>
    </row>
    <row r="333" spans="1:18" s="96" customFormat="1" hidden="1">
      <c r="A333" s="188" t="s">
        <v>75</v>
      </c>
      <c r="B333" s="184" t="s">
        <v>220</v>
      </c>
      <c r="C333" s="185" t="s">
        <v>119</v>
      </c>
      <c r="D333" s="184"/>
      <c r="E333" s="189"/>
      <c r="F333" s="189"/>
      <c r="G333" s="190">
        <v>10107.719999999999</v>
      </c>
      <c r="H333" s="190">
        <v>2219</v>
      </c>
      <c r="I333" s="190">
        <v>1210</v>
      </c>
      <c r="J333" s="190">
        <v>787</v>
      </c>
      <c r="K333" s="190">
        <v>877</v>
      </c>
      <c r="L333" s="190">
        <v>1199</v>
      </c>
      <c r="M333" s="190">
        <v>825</v>
      </c>
      <c r="N333" s="190">
        <v>271</v>
      </c>
      <c r="O333" s="190">
        <v>632</v>
      </c>
      <c r="P333" s="190">
        <v>980</v>
      </c>
      <c r="Q333" s="190">
        <v>1109</v>
      </c>
    </row>
    <row r="334" spans="1:18" s="96" customFormat="1" hidden="1">
      <c r="A334" s="188"/>
      <c r="B334" s="184" t="s">
        <v>216</v>
      </c>
      <c r="C334" s="185"/>
      <c r="D334" s="184"/>
      <c r="E334" s="189"/>
      <c r="F334" s="189"/>
      <c r="G334" s="190">
        <v>756</v>
      </c>
      <c r="H334" s="190">
        <v>154</v>
      </c>
      <c r="I334" s="190">
        <v>84</v>
      </c>
      <c r="J334" s="190">
        <v>61</v>
      </c>
      <c r="K334" s="190">
        <v>68</v>
      </c>
      <c r="L334" s="190">
        <v>93</v>
      </c>
      <c r="M334" s="190">
        <v>64</v>
      </c>
      <c r="N334" s="190">
        <v>21</v>
      </c>
      <c r="O334" s="190">
        <v>49</v>
      </c>
      <c r="P334" s="190">
        <v>76</v>
      </c>
      <c r="Q334" s="190">
        <v>86</v>
      </c>
    </row>
    <row r="335" spans="1:18" s="96" customFormat="1" hidden="1">
      <c r="A335" s="188"/>
      <c r="B335" s="191" t="s">
        <v>221</v>
      </c>
      <c r="C335" s="192"/>
      <c r="D335" s="191"/>
      <c r="E335" s="189"/>
      <c r="F335" s="189"/>
      <c r="G335" s="190">
        <v>5775.84</v>
      </c>
      <c r="H335" s="190">
        <v>1267.7280000000001</v>
      </c>
      <c r="I335" s="190">
        <v>691.48800000000006</v>
      </c>
      <c r="J335" s="190">
        <v>449.44799999999998</v>
      </c>
      <c r="K335" s="190">
        <v>501.024</v>
      </c>
      <c r="L335" s="190">
        <v>685.22400000000005</v>
      </c>
      <c r="M335" s="190">
        <v>471.55200000000002</v>
      </c>
      <c r="N335" s="190">
        <v>154.72800000000001</v>
      </c>
      <c r="O335" s="190">
        <v>361.03200000000004</v>
      </c>
      <c r="P335" s="190">
        <v>559.96800000000007</v>
      </c>
      <c r="Q335" s="190">
        <v>633.64799999999991</v>
      </c>
    </row>
    <row r="336" spans="1:18" s="96" customFormat="1" hidden="1">
      <c r="A336" s="188"/>
      <c r="B336" s="191" t="s">
        <v>222</v>
      </c>
      <c r="C336" s="192"/>
      <c r="D336" s="191"/>
      <c r="E336" s="189"/>
      <c r="F336" s="189"/>
      <c r="G336" s="190">
        <v>4331.8799999999992</v>
      </c>
      <c r="H336" s="190">
        <v>950.79599999999982</v>
      </c>
      <c r="I336" s="190">
        <v>518.61599999999999</v>
      </c>
      <c r="J336" s="190">
        <v>337.08600000000001</v>
      </c>
      <c r="K336" s="190">
        <v>375.76799999999997</v>
      </c>
      <c r="L336" s="190">
        <v>513.91799999999989</v>
      </c>
      <c r="M336" s="190">
        <v>353.66399999999999</v>
      </c>
      <c r="N336" s="190">
        <v>116.04599999999999</v>
      </c>
      <c r="O336" s="190">
        <v>270.774</v>
      </c>
      <c r="P336" s="190">
        <v>419.976</v>
      </c>
      <c r="Q336" s="190">
        <v>475.23599999999999</v>
      </c>
    </row>
    <row r="337" spans="1:17" s="96" customFormat="1" hidden="1">
      <c r="A337" s="188"/>
      <c r="B337" s="184"/>
      <c r="C337" s="185"/>
      <c r="D337" s="184"/>
      <c r="E337" s="189"/>
      <c r="F337" s="189"/>
      <c r="G337" s="190"/>
      <c r="H337" s="190"/>
      <c r="I337" s="190"/>
      <c r="J337" s="190"/>
      <c r="K337" s="190"/>
      <c r="L337" s="190"/>
      <c r="M337" s="190"/>
      <c r="N337" s="190"/>
      <c r="O337" s="190"/>
      <c r="P337" s="190"/>
      <c r="Q337" s="190"/>
    </row>
    <row r="340" spans="1:17" ht="42" customHeight="1"/>
  </sheetData>
  <mergeCells count="17">
    <mergeCell ref="A8:A9"/>
    <mergeCell ref="B8:B9"/>
    <mergeCell ref="C8:C9"/>
    <mergeCell ref="D8:D9"/>
    <mergeCell ref="E8:E9"/>
    <mergeCell ref="P8:P9"/>
    <mergeCell ref="Q8:Q9"/>
    <mergeCell ref="B330:R330"/>
    <mergeCell ref="K8:K9"/>
    <mergeCell ref="L8:L9"/>
    <mergeCell ref="M8:M9"/>
    <mergeCell ref="N8:N9"/>
    <mergeCell ref="O8:O9"/>
    <mergeCell ref="F8:G8"/>
    <mergeCell ref="H8:H9"/>
    <mergeCell ref="I8:I9"/>
    <mergeCell ref="J8:J9"/>
  </mergeCells>
  <dataValidations disablePrompts="1" count="1">
    <dataValidation allowBlank="1" showInputMessage="1" showErrorMessage="1" prompt="Tạm tính tăng 1,3 lần so DT 2017 (do trượt giá, lương tăng lên 1.490)" sqref="B102"/>
  </dataValidations>
  <printOptions horizontalCentered="1"/>
  <pageMargins left="0" right="0" top="0.31496062992126" bottom="0.23622047244094499" header="0.31496062992126" footer="0.31496062992126"/>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35"/>
  <sheetViews>
    <sheetView workbookViewId="0">
      <pane xSplit="2" ySplit="8" topLeftCell="C9" activePane="bottomRight" state="frozen"/>
      <selection activeCell="A71" sqref="A71:Q71"/>
      <selection pane="topRight" activeCell="A71" sqref="A71:Q71"/>
      <selection pane="bottomLeft" activeCell="A71" sqref="A71:Q71"/>
      <selection pane="bottomRight" activeCell="B23" sqref="B23"/>
    </sheetView>
  </sheetViews>
  <sheetFormatPr defaultColWidth="9.109375" defaultRowHeight="15.75" customHeight="1" outlineLevelRow="2" outlineLevelCol="1"/>
  <cols>
    <col min="1" max="1" width="5.44140625" style="778" customWidth="1"/>
    <col min="2" max="2" width="51.44140625" style="775" customWidth="1"/>
    <col min="3" max="4" width="11.44140625" style="775" hidden="1" customWidth="1" outlineLevel="1"/>
    <col min="5" max="5" width="12.88671875" style="775" customWidth="1" collapsed="1"/>
    <col min="6" max="6" width="12.88671875" style="733" customWidth="1"/>
    <col min="7" max="7" width="8.109375" style="734" hidden="1" customWidth="1" outlineLevel="1"/>
    <col min="8" max="8" width="9.44140625" style="730" hidden="1" customWidth="1" outlineLevel="1"/>
    <col min="9" max="9" width="9.109375" style="777" hidden="1" customWidth="1" outlineLevel="1"/>
    <col min="10" max="10" width="10.44140625" style="777" hidden="1" customWidth="1" outlineLevel="1"/>
    <col min="11" max="12" width="9.109375" style="777" hidden="1" customWidth="1" outlineLevel="1"/>
    <col min="13" max="13" width="9.109375" style="777" collapsed="1"/>
    <col min="14" max="16384" width="9.109375" style="777"/>
  </cols>
  <sheetData>
    <row r="1" spans="1:12" ht="15.75" customHeight="1">
      <c r="A1" s="726" t="s">
        <v>1833</v>
      </c>
      <c r="B1" s="727"/>
      <c r="C1" s="727"/>
      <c r="D1" s="727"/>
      <c r="E1" s="728"/>
      <c r="F1" s="728"/>
      <c r="G1" s="729" t="e">
        <f>F1/E1</f>
        <v>#DIV/0!</v>
      </c>
    </row>
    <row r="2" spans="1:12" ht="18" customHeight="1">
      <c r="A2" s="1463" t="s">
        <v>1990</v>
      </c>
      <c r="B2" s="1464"/>
      <c r="C2" s="1464"/>
      <c r="D2" s="1464"/>
      <c r="E2" s="1464"/>
      <c r="F2" s="1464"/>
      <c r="G2" s="1464"/>
      <c r="H2" s="1464"/>
    </row>
    <row r="3" spans="1:12" ht="18.75" customHeight="1">
      <c r="A3" s="1470" t="s">
        <v>1903</v>
      </c>
      <c r="B3" s="1470"/>
      <c r="C3" s="1470"/>
      <c r="D3" s="1470"/>
      <c r="E3" s="1470"/>
      <c r="F3" s="1470"/>
      <c r="G3" s="1470"/>
      <c r="H3" s="1470"/>
    </row>
    <row r="4" spans="1:12" ht="18.75" customHeight="1">
      <c r="A4" s="1015"/>
      <c r="B4" s="1015"/>
      <c r="C4" s="1015"/>
      <c r="D4" s="1015"/>
      <c r="E4" s="1015"/>
      <c r="F4" s="1015"/>
      <c r="G4" s="1015"/>
      <c r="H4" s="1015"/>
    </row>
    <row r="5" spans="1:12" ht="14.25" customHeight="1">
      <c r="B5" s="731"/>
      <c r="C5" s="731"/>
      <c r="D5" s="731"/>
      <c r="E5" s="732" t="s">
        <v>370</v>
      </c>
    </row>
    <row r="6" spans="1:12" ht="27" hidden="1" customHeight="1">
      <c r="A6" s="779"/>
      <c r="B6" s="735"/>
      <c r="C6" s="1465" t="s">
        <v>1700</v>
      </c>
      <c r="D6" s="1465" t="s">
        <v>371</v>
      </c>
      <c r="E6" s="1466" t="s">
        <v>466</v>
      </c>
      <c r="F6" s="1466"/>
      <c r="G6" s="1467" t="s">
        <v>372</v>
      </c>
      <c r="H6" s="1467"/>
    </row>
    <row r="7" spans="1:12" ht="20.25" customHeight="1">
      <c r="A7" s="1471" t="s">
        <v>1</v>
      </c>
      <c r="B7" s="1473" t="s">
        <v>273</v>
      </c>
      <c r="C7" s="1465"/>
      <c r="D7" s="1465"/>
      <c r="E7" s="1465" t="s">
        <v>373</v>
      </c>
      <c r="F7" s="1468" t="s">
        <v>374</v>
      </c>
      <c r="G7" s="1469" t="s">
        <v>375</v>
      </c>
      <c r="H7" s="1462" t="s">
        <v>376</v>
      </c>
    </row>
    <row r="8" spans="1:12" s="780" customFormat="1" ht="20.25" customHeight="1">
      <c r="A8" s="1472"/>
      <c r="B8" s="1474"/>
      <c r="C8" s="1465"/>
      <c r="D8" s="1465"/>
      <c r="E8" s="1465"/>
      <c r="F8" s="1468"/>
      <c r="G8" s="1469"/>
      <c r="H8" s="1462"/>
    </row>
    <row r="9" spans="1:12" s="782" customFormat="1" ht="22.5" customHeight="1">
      <c r="A9" s="736" t="s">
        <v>14</v>
      </c>
      <c r="B9" s="737" t="s">
        <v>377</v>
      </c>
      <c r="C9" s="738">
        <f>C10+C94</f>
        <v>4500000.1434114259</v>
      </c>
      <c r="D9" s="738">
        <f>D10+D94</f>
        <v>2643021.6</v>
      </c>
      <c r="E9" s="738">
        <f>E10+E94</f>
        <v>3253000</v>
      </c>
      <c r="F9" s="738">
        <f>F10+F94</f>
        <v>4600000</v>
      </c>
      <c r="G9" s="739">
        <f>IF(E9=0,0,F9/E9*100)</f>
        <v>141.40793114048572</v>
      </c>
      <c r="H9" s="738">
        <f>H10+H94</f>
        <v>1347000</v>
      </c>
      <c r="I9" s="781">
        <f>E9-F9</f>
        <v>-1347000</v>
      </c>
      <c r="K9" s="781">
        <v>4500000</v>
      </c>
      <c r="L9" s="783">
        <f>F9/K9</f>
        <v>1.0222222222222221</v>
      </c>
    </row>
    <row r="10" spans="1:12" s="782" customFormat="1" ht="24.75" customHeight="1">
      <c r="A10" s="736" t="s">
        <v>16</v>
      </c>
      <c r="B10" s="737" t="s">
        <v>378</v>
      </c>
      <c r="C10" s="738">
        <f>C12+C22+C30+C38+C51+C52+C53+C54+C55+C58+C67+C70+C71+C72+C83+C86+C87+C88+C89+C93</f>
        <v>4207000.1434114259</v>
      </c>
      <c r="D10" s="738">
        <f>D12+D22+D30+D38+D51+D52+D53+D54+D55+D58+D67+D70+D71+D72+D83+D86+D87+D88+D89</f>
        <v>2374191.6</v>
      </c>
      <c r="E10" s="738">
        <f>E12+E22+E30+E38+E51+E52+E53+E54+E55+E58+E67+E70+E71+E72+E83+E86+E87+E88+E89</f>
        <v>2958000</v>
      </c>
      <c r="F10" s="738">
        <f>F12+F22+F30+F38+F51+F52+F53+F54+F55+F58+F67+F70+F71+F72+F83+F86+F87+F88+F89</f>
        <v>4305000</v>
      </c>
      <c r="G10" s="740">
        <f t="shared" ref="G10:G69" si="0">IF(E10=0,0,F10/E10*100)</f>
        <v>145.53752535496957</v>
      </c>
      <c r="H10" s="738">
        <f>H12+H22+H30+H38+H51+H52+H53+H54+H55+H58+H67+H70+H71+H72+H83+H86+H87+H88+H89</f>
        <v>1347000</v>
      </c>
      <c r="I10" s="781">
        <f t="shared" ref="I10:I73" si="1">E10-F10</f>
        <v>-1347000</v>
      </c>
      <c r="J10" s="781"/>
    </row>
    <row r="11" spans="1:12" s="780" customFormat="1" ht="18" customHeight="1">
      <c r="A11" s="741"/>
      <c r="B11" s="742" t="s">
        <v>1537</v>
      </c>
      <c r="C11" s="743">
        <f>C10-C67-C88-C89</f>
        <v>2477137</v>
      </c>
      <c r="D11" s="743">
        <f>D10-D67-D88</f>
        <v>2190364.6</v>
      </c>
      <c r="E11" s="743">
        <f>E10-E67-E88-E89-E87</f>
        <v>2474000</v>
      </c>
      <c r="F11" s="743">
        <f>F10-F67-F88-F89-F87</f>
        <v>2475400</v>
      </c>
      <c r="G11" s="744">
        <f t="shared" si="0"/>
        <v>100.05658852061438</v>
      </c>
      <c r="H11" s="743">
        <f t="shared" ref="H11:H72" si="2">IF(E11=0,0,F11-E11)</f>
        <v>1400</v>
      </c>
      <c r="I11" s="781">
        <f t="shared" si="1"/>
        <v>-1400</v>
      </c>
    </row>
    <row r="12" spans="1:12" s="782" customFormat="1" ht="23.25" customHeight="1">
      <c r="A12" s="745" t="s">
        <v>18</v>
      </c>
      <c r="B12" s="350" t="s">
        <v>1515</v>
      </c>
      <c r="C12" s="746">
        <f t="shared" ref="C12:D12" si="3">C13+C15+C16+C21</f>
        <v>702000</v>
      </c>
      <c r="D12" s="746">
        <f t="shared" si="3"/>
        <v>717030</v>
      </c>
      <c r="E12" s="746">
        <f>E13+E15+E16+E21</f>
        <v>788000</v>
      </c>
      <c r="F12" s="746">
        <f>F13+F15+F16+F21</f>
        <v>788000</v>
      </c>
      <c r="G12" s="740">
        <f t="shared" si="0"/>
        <v>100</v>
      </c>
      <c r="H12" s="746">
        <f t="shared" si="2"/>
        <v>0</v>
      </c>
      <c r="I12" s="781">
        <f t="shared" si="1"/>
        <v>0</v>
      </c>
    </row>
    <row r="13" spans="1:12" s="780" customFormat="1" ht="13.8">
      <c r="A13" s="747" t="s">
        <v>34</v>
      </c>
      <c r="B13" s="349" t="s">
        <v>379</v>
      </c>
      <c r="C13" s="349">
        <v>304000</v>
      </c>
      <c r="D13" s="349">
        <v>371273</v>
      </c>
      <c r="E13" s="349">
        <f>'Bieu 02 TT'!J27</f>
        <v>343000</v>
      </c>
      <c r="F13" s="349">
        <f>E13</f>
        <v>343000</v>
      </c>
      <c r="G13" s="744">
        <f t="shared" si="0"/>
        <v>100</v>
      </c>
      <c r="H13" s="349"/>
      <c r="I13" s="781">
        <f t="shared" si="1"/>
        <v>0</v>
      </c>
    </row>
    <row r="14" spans="1:12" s="780" customFormat="1" ht="12.75" hidden="1" customHeight="1" outlineLevel="1">
      <c r="A14" s="747"/>
      <c r="B14" s="349" t="s">
        <v>380</v>
      </c>
      <c r="C14" s="349"/>
      <c r="D14" s="349"/>
      <c r="E14" s="349"/>
      <c r="F14" s="349"/>
      <c r="G14" s="744">
        <f t="shared" si="0"/>
        <v>0</v>
      </c>
      <c r="H14" s="349"/>
      <c r="I14" s="781">
        <f t="shared" si="1"/>
        <v>0</v>
      </c>
    </row>
    <row r="15" spans="1:12" s="780" customFormat="1" ht="13.8" collapsed="1">
      <c r="A15" s="747" t="s">
        <v>36</v>
      </c>
      <c r="B15" s="349" t="s">
        <v>381</v>
      </c>
      <c r="C15" s="349">
        <v>15000</v>
      </c>
      <c r="D15" s="349">
        <v>10923</v>
      </c>
      <c r="E15" s="349">
        <f>'Bieu 02 TT'!J29</f>
        <v>20000</v>
      </c>
      <c r="F15" s="349">
        <f>E15</f>
        <v>20000</v>
      </c>
      <c r="G15" s="744">
        <f t="shared" si="0"/>
        <v>100</v>
      </c>
      <c r="H15" s="349"/>
      <c r="I15" s="781">
        <f t="shared" si="1"/>
        <v>0</v>
      </c>
    </row>
    <row r="16" spans="1:12" s="780" customFormat="1" ht="13.8">
      <c r="A16" s="747" t="s">
        <v>38</v>
      </c>
      <c r="B16" s="349" t="s">
        <v>382</v>
      </c>
      <c r="C16" s="349">
        <v>383000</v>
      </c>
      <c r="D16" s="349">
        <v>334435</v>
      </c>
      <c r="E16" s="349">
        <f>'Bieu 02 TT'!J30</f>
        <v>425000</v>
      </c>
      <c r="F16" s="349">
        <f>E16</f>
        <v>425000</v>
      </c>
      <c r="G16" s="744">
        <f t="shared" si="0"/>
        <v>100</v>
      </c>
      <c r="H16" s="335"/>
      <c r="I16" s="781">
        <f t="shared" si="1"/>
        <v>0</v>
      </c>
    </row>
    <row r="17" spans="1:9" s="784" customFormat="1" ht="13.8">
      <c r="A17" s="748" t="s">
        <v>281</v>
      </c>
      <c r="B17" s="749" t="s">
        <v>383</v>
      </c>
      <c r="C17" s="749">
        <v>390000</v>
      </c>
      <c r="D17" s="349">
        <v>334285</v>
      </c>
      <c r="E17" s="349">
        <v>0</v>
      </c>
      <c r="F17" s="349">
        <f>'Bieu 02 TT'!K31</f>
        <v>424500</v>
      </c>
      <c r="G17" s="750">
        <f t="shared" si="0"/>
        <v>0</v>
      </c>
      <c r="H17" s="749">
        <f t="shared" si="2"/>
        <v>0</v>
      </c>
      <c r="I17" s="781">
        <f t="shared" si="1"/>
        <v>-424500</v>
      </c>
    </row>
    <row r="18" spans="1:9" s="784" customFormat="1" ht="12.75" hidden="1" customHeight="1" outlineLevel="1">
      <c r="A18" s="748" t="s">
        <v>281</v>
      </c>
      <c r="B18" s="749" t="s">
        <v>384</v>
      </c>
      <c r="C18" s="749">
        <v>0</v>
      </c>
      <c r="D18" s="349">
        <v>0</v>
      </c>
      <c r="E18" s="349">
        <v>0</v>
      </c>
      <c r="F18" s="349">
        <v>0</v>
      </c>
      <c r="G18" s="750">
        <f t="shared" si="0"/>
        <v>0</v>
      </c>
      <c r="H18" s="749">
        <f t="shared" si="2"/>
        <v>0</v>
      </c>
      <c r="I18" s="781">
        <f t="shared" si="1"/>
        <v>0</v>
      </c>
    </row>
    <row r="19" spans="1:9" s="784" customFormat="1" ht="13.8" hidden="1" outlineLevel="1" collapsed="1">
      <c r="A19" s="748" t="s">
        <v>281</v>
      </c>
      <c r="B19" s="749" t="s">
        <v>385</v>
      </c>
      <c r="C19" s="749">
        <v>0</v>
      </c>
      <c r="D19" s="349">
        <v>0</v>
      </c>
      <c r="E19" s="349">
        <v>0</v>
      </c>
      <c r="F19" s="349">
        <v>0</v>
      </c>
      <c r="G19" s="750">
        <f t="shared" si="0"/>
        <v>0</v>
      </c>
      <c r="H19" s="749">
        <f t="shared" si="2"/>
        <v>0</v>
      </c>
      <c r="I19" s="781">
        <f t="shared" si="1"/>
        <v>0</v>
      </c>
    </row>
    <row r="20" spans="1:9" s="784" customFormat="1" ht="13.8" collapsed="1">
      <c r="A20" s="748" t="s">
        <v>281</v>
      </c>
      <c r="B20" s="749" t="s">
        <v>386</v>
      </c>
      <c r="C20" s="749">
        <v>1000</v>
      </c>
      <c r="D20" s="349">
        <v>150</v>
      </c>
      <c r="E20" s="349">
        <v>0</v>
      </c>
      <c r="F20" s="349">
        <f>'Bieu 02 TT'!K34</f>
        <v>500</v>
      </c>
      <c r="G20" s="750">
        <f t="shared" si="0"/>
        <v>0</v>
      </c>
      <c r="H20" s="749">
        <f t="shared" si="2"/>
        <v>0</v>
      </c>
      <c r="I20" s="781">
        <f t="shared" si="1"/>
        <v>-500</v>
      </c>
    </row>
    <row r="21" spans="1:9" s="780" customFormat="1" ht="13.8" hidden="1" outlineLevel="1" collapsed="1">
      <c r="A21" s="747" t="s">
        <v>322</v>
      </c>
      <c r="B21" s="349" t="s">
        <v>387</v>
      </c>
      <c r="C21" s="349"/>
      <c r="D21" s="349">
        <v>399</v>
      </c>
      <c r="E21" s="349"/>
      <c r="F21" s="349"/>
      <c r="G21" s="744">
        <f t="shared" si="0"/>
        <v>0</v>
      </c>
      <c r="H21" s="349">
        <f t="shared" si="2"/>
        <v>0</v>
      </c>
      <c r="I21" s="781">
        <f t="shared" si="1"/>
        <v>0</v>
      </c>
    </row>
    <row r="22" spans="1:9" s="782" customFormat="1" ht="21.75" customHeight="1" collapsed="1">
      <c r="A22" s="745" t="s">
        <v>26</v>
      </c>
      <c r="B22" s="350" t="s">
        <v>1516</v>
      </c>
      <c r="C22" s="746">
        <f t="shared" ref="C22:D22" si="4">C23+C24+C25+C29</f>
        <v>50000</v>
      </c>
      <c r="D22" s="746">
        <f t="shared" si="4"/>
        <v>40185.599999999999</v>
      </c>
      <c r="E22" s="746">
        <f>E23+E24+E25+E29</f>
        <v>50000</v>
      </c>
      <c r="F22" s="746">
        <f>F23+F24+F25+F29</f>
        <v>50000</v>
      </c>
      <c r="G22" s="740">
        <f t="shared" si="0"/>
        <v>100</v>
      </c>
      <c r="H22" s="746">
        <f t="shared" si="2"/>
        <v>0</v>
      </c>
      <c r="I22" s="781">
        <f t="shared" si="1"/>
        <v>0</v>
      </c>
    </row>
    <row r="23" spans="1:9" s="780" customFormat="1" ht="13.8">
      <c r="A23" s="747" t="s">
        <v>42</v>
      </c>
      <c r="B23" s="349" t="s">
        <v>379</v>
      </c>
      <c r="C23" s="349">
        <v>35000</v>
      </c>
      <c r="D23" s="349">
        <v>17823.7</v>
      </c>
      <c r="E23" s="349">
        <f>'Bieu 02 TT'!J36</f>
        <v>30000</v>
      </c>
      <c r="F23" s="349">
        <f>E23</f>
        <v>30000</v>
      </c>
      <c r="G23" s="744">
        <f>IF(E23=0,0,F23/E23*100)</f>
        <v>100</v>
      </c>
      <c r="H23" s="349"/>
      <c r="I23" s="781">
        <f t="shared" si="1"/>
        <v>0</v>
      </c>
    </row>
    <row r="24" spans="1:9" s="780" customFormat="1" ht="13.8">
      <c r="A24" s="747" t="s">
        <v>52</v>
      </c>
      <c r="B24" s="349" t="s">
        <v>381</v>
      </c>
      <c r="C24" s="349">
        <v>14000</v>
      </c>
      <c r="D24" s="349">
        <v>7494.9</v>
      </c>
      <c r="E24" s="349">
        <f>'Bieu 02 TT'!J37</f>
        <v>19500</v>
      </c>
      <c r="F24" s="349">
        <f>E24</f>
        <v>19500</v>
      </c>
      <c r="G24" s="744">
        <f>IF(E24=0,0,F24/E24*100)</f>
        <v>100</v>
      </c>
      <c r="H24" s="349"/>
      <c r="I24" s="781">
        <f t="shared" si="1"/>
        <v>0</v>
      </c>
    </row>
    <row r="25" spans="1:9" s="780" customFormat="1" ht="13.8">
      <c r="A25" s="747" t="s">
        <v>53</v>
      </c>
      <c r="B25" s="349" t="s">
        <v>382</v>
      </c>
      <c r="C25" s="349">
        <f>C26+C27+C28</f>
        <v>1000</v>
      </c>
      <c r="D25" s="349">
        <v>14697</v>
      </c>
      <c r="E25" s="349">
        <f>'Bieu 02 TT'!J39</f>
        <v>500</v>
      </c>
      <c r="F25" s="349">
        <f>E25</f>
        <v>500</v>
      </c>
      <c r="G25" s="744">
        <f>IF(E25=0,0,F25/E25*100)</f>
        <v>100</v>
      </c>
      <c r="H25" s="349"/>
      <c r="I25" s="781">
        <f t="shared" si="1"/>
        <v>0</v>
      </c>
    </row>
    <row r="26" spans="1:9" s="784" customFormat="1" ht="13.8">
      <c r="A26" s="748" t="s">
        <v>281</v>
      </c>
      <c r="B26" s="749" t="s">
        <v>384</v>
      </c>
      <c r="C26" s="749">
        <v>630</v>
      </c>
      <c r="D26" s="749"/>
      <c r="E26" s="749"/>
      <c r="F26" s="749">
        <f>'Bieu 02 TT'!K40</f>
        <v>160</v>
      </c>
      <c r="G26" s="744">
        <f>IF(E26=0,0,F26/E26*100)</f>
        <v>0</v>
      </c>
      <c r="H26" s="749">
        <f>IF(E26=0,0,F26-E26)</f>
        <v>0</v>
      </c>
      <c r="I26" s="781">
        <f t="shared" si="1"/>
        <v>-160</v>
      </c>
    </row>
    <row r="27" spans="1:9" s="784" customFormat="1" ht="13.8" hidden="1" outlineLevel="1">
      <c r="A27" s="748" t="s">
        <v>281</v>
      </c>
      <c r="B27" s="749" t="s">
        <v>385</v>
      </c>
      <c r="C27" s="749"/>
      <c r="D27" s="749"/>
      <c r="E27" s="749"/>
      <c r="F27" s="749"/>
      <c r="G27" s="750">
        <f t="shared" si="0"/>
        <v>0</v>
      </c>
      <c r="H27" s="749">
        <f t="shared" si="2"/>
        <v>0</v>
      </c>
      <c r="I27" s="781">
        <f t="shared" si="1"/>
        <v>0</v>
      </c>
    </row>
    <row r="28" spans="1:9" s="784" customFormat="1" ht="13.8" collapsed="1">
      <c r="A28" s="748" t="s">
        <v>281</v>
      </c>
      <c r="B28" s="749" t="s">
        <v>386</v>
      </c>
      <c r="C28" s="749">
        <v>370</v>
      </c>
      <c r="D28" s="749"/>
      <c r="E28" s="749"/>
      <c r="F28" s="749">
        <f>'Bieu 02 TT'!K42</f>
        <v>340</v>
      </c>
      <c r="G28" s="750">
        <f t="shared" si="0"/>
        <v>0</v>
      </c>
      <c r="H28" s="749">
        <f t="shared" si="2"/>
        <v>0</v>
      </c>
      <c r="I28" s="781">
        <f t="shared" si="1"/>
        <v>-340</v>
      </c>
    </row>
    <row r="29" spans="1:9" s="780" customFormat="1" ht="13.8" hidden="1" outlineLevel="1">
      <c r="A29" s="747" t="s">
        <v>56</v>
      </c>
      <c r="B29" s="349" t="s">
        <v>387</v>
      </c>
      <c r="C29" s="349"/>
      <c r="D29" s="349">
        <v>170</v>
      </c>
      <c r="E29" s="349"/>
      <c r="F29" s="349"/>
      <c r="G29" s="744">
        <f t="shared" si="0"/>
        <v>0</v>
      </c>
      <c r="H29" s="349">
        <f t="shared" si="2"/>
        <v>0</v>
      </c>
      <c r="I29" s="781">
        <f t="shared" si="1"/>
        <v>0</v>
      </c>
    </row>
    <row r="30" spans="1:9" s="782" customFormat="1" ht="21" customHeight="1" collapsed="1">
      <c r="A30" s="745" t="s">
        <v>59</v>
      </c>
      <c r="B30" s="350" t="s">
        <v>388</v>
      </c>
      <c r="C30" s="746">
        <f>C31+C32</f>
        <v>6000</v>
      </c>
      <c r="D30" s="746">
        <f t="shared" ref="D30" si="5">E30</f>
        <v>1000</v>
      </c>
      <c r="E30" s="746">
        <f>E31+E32</f>
        <v>1000</v>
      </c>
      <c r="F30" s="746">
        <f>F31+F32+F33+F37</f>
        <v>1000</v>
      </c>
      <c r="G30" s="740">
        <f t="shared" si="0"/>
        <v>100</v>
      </c>
      <c r="H30" s="746">
        <f t="shared" si="2"/>
        <v>0</v>
      </c>
      <c r="I30" s="781">
        <f t="shared" si="1"/>
        <v>0</v>
      </c>
    </row>
    <row r="31" spans="1:9" s="780" customFormat="1" ht="13.8">
      <c r="A31" s="747" t="s">
        <v>285</v>
      </c>
      <c r="B31" s="349" t="s">
        <v>379</v>
      </c>
      <c r="C31" s="349">
        <v>2000</v>
      </c>
      <c r="D31" s="349">
        <v>5188.6505540000007</v>
      </c>
      <c r="E31" s="349">
        <f>'Bieu 02 TT'!J44</f>
        <v>500</v>
      </c>
      <c r="F31" s="349">
        <f>E31</f>
        <v>500</v>
      </c>
      <c r="G31" s="744">
        <f t="shared" si="0"/>
        <v>100</v>
      </c>
      <c r="H31" s="349"/>
      <c r="I31" s="781">
        <f t="shared" si="1"/>
        <v>0</v>
      </c>
    </row>
    <row r="32" spans="1:9" s="780" customFormat="1" ht="13.8">
      <c r="A32" s="747" t="s">
        <v>289</v>
      </c>
      <c r="B32" s="349" t="s">
        <v>381</v>
      </c>
      <c r="C32" s="349">
        <v>4000</v>
      </c>
      <c r="D32" s="349">
        <v>4585.5583390000002</v>
      </c>
      <c r="E32" s="349">
        <f>'Bieu 02 TT'!J45</f>
        <v>500</v>
      </c>
      <c r="F32" s="349">
        <f>E32</f>
        <v>500</v>
      </c>
      <c r="G32" s="744">
        <f t="shared" si="0"/>
        <v>100</v>
      </c>
      <c r="H32" s="349"/>
      <c r="I32" s="781">
        <f t="shared" si="1"/>
        <v>0</v>
      </c>
    </row>
    <row r="33" spans="1:10" s="780" customFormat="1" ht="12.75" hidden="1" customHeight="1" outlineLevel="1">
      <c r="A33" s="747" t="s">
        <v>291</v>
      </c>
      <c r="B33" s="349" t="s">
        <v>382</v>
      </c>
      <c r="C33" s="349">
        <v>0</v>
      </c>
      <c r="D33" s="349">
        <v>3.0209039999999998</v>
      </c>
      <c r="E33" s="349">
        <v>0</v>
      </c>
      <c r="F33" s="349">
        <v>0</v>
      </c>
      <c r="G33" s="744">
        <f t="shared" si="0"/>
        <v>0</v>
      </c>
      <c r="H33" s="349">
        <f t="shared" si="2"/>
        <v>0</v>
      </c>
      <c r="I33" s="781">
        <f t="shared" si="1"/>
        <v>0</v>
      </c>
    </row>
    <row r="34" spans="1:10" s="780" customFormat="1" ht="12.75" hidden="1" customHeight="1" outlineLevel="1">
      <c r="A34" s="747" t="s">
        <v>281</v>
      </c>
      <c r="B34" s="349" t="s">
        <v>384</v>
      </c>
      <c r="C34" s="349"/>
      <c r="D34" s="349"/>
      <c r="E34" s="349"/>
      <c r="F34" s="349"/>
      <c r="G34" s="744">
        <f t="shared" si="0"/>
        <v>0</v>
      </c>
      <c r="H34" s="349">
        <f t="shared" si="2"/>
        <v>0</v>
      </c>
      <c r="I34" s="781">
        <f t="shared" si="1"/>
        <v>0</v>
      </c>
      <c r="J34" s="780">
        <v>8800</v>
      </c>
    </row>
    <row r="35" spans="1:10" s="780" customFormat="1" ht="12.75" hidden="1" customHeight="1" outlineLevel="1">
      <c r="A35" s="747" t="s">
        <v>281</v>
      </c>
      <c r="B35" s="349" t="s">
        <v>386</v>
      </c>
      <c r="C35" s="349"/>
      <c r="D35" s="349"/>
      <c r="E35" s="349"/>
      <c r="F35" s="349"/>
      <c r="G35" s="744">
        <f t="shared" si="0"/>
        <v>0</v>
      </c>
      <c r="H35" s="349">
        <f t="shared" si="2"/>
        <v>0</v>
      </c>
      <c r="I35" s="781">
        <f t="shared" si="1"/>
        <v>0</v>
      </c>
    </row>
    <row r="36" spans="1:10" s="780" customFormat="1" ht="13.8" hidden="1" outlineLevel="2" collapsed="1">
      <c r="A36" s="747" t="s">
        <v>291</v>
      </c>
      <c r="B36" s="349" t="s">
        <v>390</v>
      </c>
      <c r="C36" s="349"/>
      <c r="D36" s="349"/>
      <c r="E36" s="349"/>
      <c r="F36" s="349"/>
      <c r="G36" s="744">
        <f t="shared" si="0"/>
        <v>0</v>
      </c>
      <c r="H36" s="349">
        <f t="shared" si="2"/>
        <v>0</v>
      </c>
      <c r="I36" s="781">
        <f t="shared" si="1"/>
        <v>0</v>
      </c>
      <c r="J36" s="780">
        <v>1100</v>
      </c>
    </row>
    <row r="37" spans="1:10" s="780" customFormat="1" ht="13.8" hidden="1" outlineLevel="1" collapsed="1">
      <c r="A37" s="747" t="s">
        <v>293</v>
      </c>
      <c r="B37" s="349" t="s">
        <v>391</v>
      </c>
      <c r="C37" s="349">
        <v>0</v>
      </c>
      <c r="D37" s="349">
        <v>0.33401700000000001</v>
      </c>
      <c r="E37" s="349">
        <v>0</v>
      </c>
      <c r="F37" s="349">
        <v>0</v>
      </c>
      <c r="G37" s="744">
        <f t="shared" si="0"/>
        <v>0</v>
      </c>
      <c r="H37" s="349">
        <f t="shared" si="2"/>
        <v>0</v>
      </c>
      <c r="I37" s="781">
        <f t="shared" si="1"/>
        <v>0</v>
      </c>
    </row>
    <row r="38" spans="1:10" s="782" customFormat="1" ht="21.75" customHeight="1" collapsed="1">
      <c r="A38" s="745" t="s">
        <v>73</v>
      </c>
      <c r="B38" s="350" t="s">
        <v>695</v>
      </c>
      <c r="C38" s="746">
        <f>C39+C43+C44+C45</f>
        <v>980000</v>
      </c>
      <c r="D38" s="746">
        <f t="shared" ref="D38" si="6">E38</f>
        <v>1000000</v>
      </c>
      <c r="E38" s="746">
        <f>E39+E43+E44+E45</f>
        <v>1000000</v>
      </c>
      <c r="F38" s="746">
        <f>F39+F43+F44+F45+F50</f>
        <v>1000000</v>
      </c>
      <c r="G38" s="740">
        <f t="shared" si="0"/>
        <v>100</v>
      </c>
      <c r="H38" s="746">
        <f t="shared" si="2"/>
        <v>0</v>
      </c>
      <c r="I38" s="781">
        <f t="shared" si="1"/>
        <v>0</v>
      </c>
    </row>
    <row r="39" spans="1:10" s="780" customFormat="1" ht="13.8">
      <c r="A39" s="747" t="s">
        <v>393</v>
      </c>
      <c r="B39" s="349" t="s">
        <v>379</v>
      </c>
      <c r="C39" s="349">
        <v>707000</v>
      </c>
      <c r="D39" s="349">
        <v>406402</v>
      </c>
      <c r="E39" s="349">
        <f>'Bieu 02 TT'!J52</f>
        <v>674000</v>
      </c>
      <c r="F39" s="349">
        <f>E39</f>
        <v>674000</v>
      </c>
      <c r="G39" s="744">
        <f t="shared" si="0"/>
        <v>100</v>
      </c>
      <c r="H39" s="349"/>
      <c r="I39" s="781">
        <f t="shared" si="1"/>
        <v>0</v>
      </c>
    </row>
    <row r="40" spans="1:10" s="784" customFormat="1" ht="12.75" hidden="1" customHeight="1" outlineLevel="1">
      <c r="A40" s="748"/>
      <c r="B40" s="749" t="s">
        <v>338</v>
      </c>
      <c r="C40" s="749"/>
      <c r="D40" s="749"/>
      <c r="E40" s="749"/>
      <c r="F40" s="749"/>
      <c r="G40" s="750">
        <f t="shared" si="0"/>
        <v>0</v>
      </c>
      <c r="H40" s="749"/>
      <c r="I40" s="781">
        <f t="shared" si="1"/>
        <v>0</v>
      </c>
    </row>
    <row r="41" spans="1:10" s="784" customFormat="1" ht="12.75" hidden="1" customHeight="1" outlineLevel="1">
      <c r="A41" s="748"/>
      <c r="B41" s="749" t="s">
        <v>394</v>
      </c>
      <c r="C41" s="749"/>
      <c r="D41" s="749"/>
      <c r="E41" s="749"/>
      <c r="F41" s="749"/>
      <c r="G41" s="750">
        <f t="shared" si="0"/>
        <v>0</v>
      </c>
      <c r="H41" s="749"/>
      <c r="I41" s="781">
        <f t="shared" si="1"/>
        <v>0</v>
      </c>
    </row>
    <row r="42" spans="1:10" s="784" customFormat="1" ht="12.75" hidden="1" customHeight="1" outlineLevel="1">
      <c r="A42" s="748"/>
      <c r="B42" s="749" t="s">
        <v>395</v>
      </c>
      <c r="C42" s="749"/>
      <c r="D42" s="749"/>
      <c r="E42" s="749"/>
      <c r="F42" s="749"/>
      <c r="G42" s="750">
        <f t="shared" si="0"/>
        <v>0</v>
      </c>
      <c r="H42" s="749"/>
      <c r="I42" s="781">
        <f t="shared" si="1"/>
        <v>0</v>
      </c>
    </row>
    <row r="43" spans="1:10" s="780" customFormat="1" ht="13.8" collapsed="1">
      <c r="A43" s="747" t="s">
        <v>396</v>
      </c>
      <c r="B43" s="349" t="s">
        <v>381</v>
      </c>
      <c r="C43" s="349">
        <v>35000</v>
      </c>
      <c r="D43" s="349">
        <v>25778</v>
      </c>
      <c r="E43" s="349">
        <f>'Bieu 02 TT'!J58</f>
        <v>46000</v>
      </c>
      <c r="F43" s="349">
        <f>E43</f>
        <v>46000</v>
      </c>
      <c r="G43" s="744">
        <f t="shared" si="0"/>
        <v>100</v>
      </c>
      <c r="H43" s="349"/>
      <c r="I43" s="781">
        <f t="shared" si="1"/>
        <v>0</v>
      </c>
    </row>
    <row r="44" spans="1:10" s="780" customFormat="1" ht="13.8">
      <c r="A44" s="747" t="s">
        <v>397</v>
      </c>
      <c r="B44" s="349" t="s">
        <v>1517</v>
      </c>
      <c r="C44" s="349">
        <v>3000</v>
      </c>
      <c r="D44" s="349">
        <v>2100</v>
      </c>
      <c r="E44" s="349">
        <f>'Bieu 02 TT'!J59</f>
        <v>3000</v>
      </c>
      <c r="F44" s="349">
        <f>E44</f>
        <v>3000</v>
      </c>
      <c r="G44" s="744">
        <f t="shared" si="0"/>
        <v>100</v>
      </c>
      <c r="H44" s="349"/>
      <c r="I44" s="781">
        <f t="shared" si="1"/>
        <v>0</v>
      </c>
    </row>
    <row r="45" spans="1:10" s="780" customFormat="1" ht="13.8">
      <c r="A45" s="747" t="s">
        <v>399</v>
      </c>
      <c r="B45" s="349" t="s">
        <v>382</v>
      </c>
      <c r="C45" s="349">
        <v>235000</v>
      </c>
      <c r="D45" s="349">
        <v>88545</v>
      </c>
      <c r="E45" s="349">
        <f>'Bieu 02 TT'!J60</f>
        <v>277000</v>
      </c>
      <c r="F45" s="349">
        <f>E45</f>
        <v>277000</v>
      </c>
      <c r="G45" s="744">
        <f t="shared" si="0"/>
        <v>100</v>
      </c>
      <c r="H45" s="349"/>
      <c r="I45" s="781">
        <f t="shared" si="1"/>
        <v>0</v>
      </c>
    </row>
    <row r="46" spans="1:10" s="784" customFormat="1" ht="13.8">
      <c r="A46" s="748" t="s">
        <v>281</v>
      </c>
      <c r="B46" s="749" t="s">
        <v>383</v>
      </c>
      <c r="C46" s="749">
        <v>147310</v>
      </c>
      <c r="D46" s="749"/>
      <c r="E46" s="749"/>
      <c r="F46" s="749">
        <f>'Bieu 02 TT'!K61</f>
        <v>248160</v>
      </c>
      <c r="G46" s="750">
        <f t="shared" si="0"/>
        <v>0</v>
      </c>
      <c r="H46" s="749">
        <f t="shared" si="2"/>
        <v>0</v>
      </c>
      <c r="I46" s="781">
        <f t="shared" si="1"/>
        <v>-248160</v>
      </c>
    </row>
    <row r="47" spans="1:10" s="784" customFormat="1" ht="13.8" hidden="1" outlineLevel="1">
      <c r="A47" s="748" t="s">
        <v>281</v>
      </c>
      <c r="B47" s="749" t="s">
        <v>385</v>
      </c>
      <c r="C47" s="749"/>
      <c r="D47" s="749"/>
      <c r="E47" s="749"/>
      <c r="F47" s="749"/>
      <c r="G47" s="750">
        <f t="shared" si="0"/>
        <v>0</v>
      </c>
      <c r="H47" s="749">
        <f t="shared" si="2"/>
        <v>0</v>
      </c>
      <c r="I47" s="781">
        <f t="shared" si="1"/>
        <v>0</v>
      </c>
    </row>
    <row r="48" spans="1:10" s="784" customFormat="1" ht="12.75" hidden="1" customHeight="1" outlineLevel="1">
      <c r="A48" s="748" t="s">
        <v>281</v>
      </c>
      <c r="B48" s="749" t="s">
        <v>384</v>
      </c>
      <c r="C48" s="749"/>
      <c r="D48" s="749"/>
      <c r="E48" s="749"/>
      <c r="F48" s="749"/>
      <c r="G48" s="750">
        <f t="shared" si="0"/>
        <v>0</v>
      </c>
      <c r="H48" s="749">
        <f t="shared" si="2"/>
        <v>0</v>
      </c>
      <c r="I48" s="781">
        <f t="shared" si="1"/>
        <v>0</v>
      </c>
    </row>
    <row r="49" spans="1:9" s="784" customFormat="1" ht="13.8" collapsed="1">
      <c r="A49" s="748" t="s">
        <v>281</v>
      </c>
      <c r="B49" s="749" t="s">
        <v>386</v>
      </c>
      <c r="C49" s="749">
        <v>17690</v>
      </c>
      <c r="D49" s="749"/>
      <c r="E49" s="749"/>
      <c r="F49" s="749">
        <f>'Bieu 02 TT'!K64</f>
        <v>28840</v>
      </c>
      <c r="G49" s="750">
        <f t="shared" si="0"/>
        <v>0</v>
      </c>
      <c r="H49" s="749">
        <f t="shared" si="2"/>
        <v>0</v>
      </c>
      <c r="I49" s="781">
        <f t="shared" si="1"/>
        <v>-28840</v>
      </c>
    </row>
    <row r="50" spans="1:9" s="780" customFormat="1" ht="13.8" hidden="1" outlineLevel="1">
      <c r="A50" s="747" t="s">
        <v>400</v>
      </c>
      <c r="B50" s="349" t="s">
        <v>401</v>
      </c>
      <c r="C50" s="349"/>
      <c r="D50" s="349">
        <v>7880</v>
      </c>
      <c r="E50" s="349"/>
      <c r="F50" s="349"/>
      <c r="G50" s="744">
        <f t="shared" si="0"/>
        <v>0</v>
      </c>
      <c r="H50" s="349">
        <f t="shared" si="2"/>
        <v>0</v>
      </c>
      <c r="I50" s="781">
        <f t="shared" si="1"/>
        <v>0</v>
      </c>
    </row>
    <row r="51" spans="1:9" s="782" customFormat="1" ht="15.75" customHeight="1" collapsed="1">
      <c r="A51" s="745" t="s">
        <v>74</v>
      </c>
      <c r="B51" s="350" t="s">
        <v>402</v>
      </c>
      <c r="C51" s="350">
        <v>110000</v>
      </c>
      <c r="D51" s="350">
        <v>59960</v>
      </c>
      <c r="E51" s="751">
        <f>'Bieu 02 TT'!J65</f>
        <v>100000</v>
      </c>
      <c r="F51" s="751">
        <f>E51</f>
        <v>100000</v>
      </c>
      <c r="G51" s="740">
        <f t="shared" si="0"/>
        <v>100</v>
      </c>
      <c r="H51" s="350">
        <f t="shared" si="2"/>
        <v>0</v>
      </c>
      <c r="I51" s="781">
        <f t="shared" si="1"/>
        <v>0</v>
      </c>
    </row>
    <row r="52" spans="1:9" s="782" customFormat="1" ht="15.75" customHeight="1">
      <c r="A52" s="745" t="s">
        <v>75</v>
      </c>
      <c r="B52" s="350" t="s">
        <v>403</v>
      </c>
      <c r="C52" s="751"/>
      <c r="D52" s="350">
        <v>459</v>
      </c>
      <c r="E52" s="751">
        <f>'Bieu 02 TT'!J66</f>
        <v>0</v>
      </c>
      <c r="F52" s="751"/>
      <c r="G52" s="740">
        <f t="shared" si="0"/>
        <v>0</v>
      </c>
      <c r="H52" s="350">
        <f t="shared" si="2"/>
        <v>0</v>
      </c>
      <c r="I52" s="781">
        <f t="shared" si="1"/>
        <v>0</v>
      </c>
    </row>
    <row r="53" spans="1:9" s="782" customFormat="1" ht="15.75" customHeight="1">
      <c r="A53" s="745" t="s">
        <v>76</v>
      </c>
      <c r="B53" s="350" t="s">
        <v>696</v>
      </c>
      <c r="C53" s="350">
        <v>3300</v>
      </c>
      <c r="D53" s="350">
        <v>3110</v>
      </c>
      <c r="E53" s="751">
        <f>'Bieu 02 TT'!J67</f>
        <v>3400</v>
      </c>
      <c r="F53" s="751">
        <f>E53</f>
        <v>3400</v>
      </c>
      <c r="G53" s="740">
        <f t="shared" si="0"/>
        <v>100</v>
      </c>
      <c r="H53" s="350">
        <f t="shared" si="2"/>
        <v>0</v>
      </c>
      <c r="I53" s="781">
        <f t="shared" si="1"/>
        <v>0</v>
      </c>
    </row>
    <row r="54" spans="1:9" s="782" customFormat="1" ht="15.75" customHeight="1">
      <c r="A54" s="745" t="s">
        <v>77</v>
      </c>
      <c r="B54" s="350" t="s">
        <v>405</v>
      </c>
      <c r="C54" s="350">
        <v>115000</v>
      </c>
      <c r="D54" s="350">
        <v>86805</v>
      </c>
      <c r="E54" s="751">
        <f>'Bieu 02 TT'!J68</f>
        <v>115000</v>
      </c>
      <c r="F54" s="751">
        <f>E54</f>
        <v>115000</v>
      </c>
      <c r="G54" s="740">
        <f t="shared" si="0"/>
        <v>100</v>
      </c>
      <c r="H54" s="350">
        <f t="shared" si="2"/>
        <v>0</v>
      </c>
      <c r="I54" s="781">
        <f t="shared" si="1"/>
        <v>0</v>
      </c>
    </row>
    <row r="55" spans="1:9" s="782" customFormat="1" ht="15.75" customHeight="1">
      <c r="A55" s="745" t="s">
        <v>78</v>
      </c>
      <c r="B55" s="350" t="s">
        <v>697</v>
      </c>
      <c r="C55" s="350">
        <f>C56+C57</f>
        <v>273000</v>
      </c>
      <c r="D55" s="350">
        <f>D56+D57</f>
        <v>149500</v>
      </c>
      <c r="E55" s="350">
        <f>E56+E57</f>
        <v>166000</v>
      </c>
      <c r="F55" s="350">
        <f>F56+F57</f>
        <v>166000</v>
      </c>
      <c r="G55" s="740">
        <f t="shared" si="0"/>
        <v>100</v>
      </c>
      <c r="H55" s="350">
        <f t="shared" si="2"/>
        <v>0</v>
      </c>
      <c r="I55" s="781">
        <f t="shared" si="1"/>
        <v>0</v>
      </c>
    </row>
    <row r="56" spans="1:9" s="780" customFormat="1" ht="15.75" customHeight="1">
      <c r="A56" s="747" t="s">
        <v>23</v>
      </c>
      <c r="B56" s="349" t="s">
        <v>406</v>
      </c>
      <c r="C56" s="349">
        <v>109200</v>
      </c>
      <c r="D56" s="349">
        <v>93900</v>
      </c>
      <c r="E56" s="335">
        <f>'Bieu 02 TT'!J70</f>
        <v>66400</v>
      </c>
      <c r="F56" s="335">
        <f>E56</f>
        <v>66400</v>
      </c>
      <c r="G56" s="744">
        <f t="shared" si="0"/>
        <v>100</v>
      </c>
      <c r="H56" s="349"/>
      <c r="I56" s="781">
        <f t="shared" si="1"/>
        <v>0</v>
      </c>
    </row>
    <row r="57" spans="1:9" s="780" customFormat="1" ht="15.75" customHeight="1">
      <c r="A57" s="747" t="s">
        <v>23</v>
      </c>
      <c r="B57" s="349" t="s">
        <v>407</v>
      </c>
      <c r="C57" s="349">
        <v>163800</v>
      </c>
      <c r="D57" s="349">
        <v>55600</v>
      </c>
      <c r="E57" s="335">
        <f>'Bieu 02 TT'!J71</f>
        <v>99600</v>
      </c>
      <c r="F57" s="335">
        <f>E57</f>
        <v>99600</v>
      </c>
      <c r="G57" s="744">
        <f t="shared" si="0"/>
        <v>100</v>
      </c>
      <c r="H57" s="349"/>
      <c r="I57" s="781">
        <f t="shared" si="1"/>
        <v>0</v>
      </c>
    </row>
    <row r="58" spans="1:9" s="782" customFormat="1" ht="22.5" customHeight="1">
      <c r="A58" s="745" t="s">
        <v>79</v>
      </c>
      <c r="B58" s="350" t="s">
        <v>408</v>
      </c>
      <c r="C58" s="751">
        <f>C59+C60</f>
        <v>57000</v>
      </c>
      <c r="D58" s="751">
        <f>D59+D60</f>
        <v>38625</v>
      </c>
      <c r="E58" s="751">
        <f>E59+E60</f>
        <v>58000</v>
      </c>
      <c r="F58" s="751">
        <f>F59+F60</f>
        <v>58000</v>
      </c>
      <c r="G58" s="740">
        <f t="shared" si="0"/>
        <v>100</v>
      </c>
      <c r="H58" s="751">
        <f t="shared" si="2"/>
        <v>0</v>
      </c>
      <c r="I58" s="781">
        <f t="shared" si="1"/>
        <v>0</v>
      </c>
    </row>
    <row r="59" spans="1:9" s="780" customFormat="1" ht="13.8">
      <c r="A59" s="747" t="s">
        <v>409</v>
      </c>
      <c r="B59" s="349" t="s">
        <v>410</v>
      </c>
      <c r="C59" s="349">
        <v>10000</v>
      </c>
      <c r="D59" s="349">
        <v>2495</v>
      </c>
      <c r="E59" s="335">
        <f>'Bieu 02 TT'!J73</f>
        <v>10000</v>
      </c>
      <c r="F59" s="335">
        <f>E59</f>
        <v>10000</v>
      </c>
      <c r="G59" s="744">
        <f t="shared" si="0"/>
        <v>100</v>
      </c>
      <c r="H59" s="349"/>
      <c r="I59" s="781">
        <f t="shared" si="1"/>
        <v>0</v>
      </c>
    </row>
    <row r="60" spans="1:9" s="780" customFormat="1" ht="13.8">
      <c r="A60" s="747" t="s">
        <v>411</v>
      </c>
      <c r="B60" s="349" t="s">
        <v>412</v>
      </c>
      <c r="C60" s="335">
        <v>47000</v>
      </c>
      <c r="D60" s="349">
        <v>36130</v>
      </c>
      <c r="E60" s="335">
        <f>'Bieu 02 TT'!J74</f>
        <v>48000</v>
      </c>
      <c r="F60" s="335">
        <f>E60</f>
        <v>48000</v>
      </c>
      <c r="G60" s="744">
        <f t="shared" si="0"/>
        <v>100</v>
      </c>
      <c r="H60" s="335"/>
      <c r="I60" s="781">
        <f t="shared" si="1"/>
        <v>0</v>
      </c>
    </row>
    <row r="61" spans="1:9" s="780" customFormat="1" ht="13.8">
      <c r="A61" s="747"/>
      <c r="B61" s="349" t="s">
        <v>338</v>
      </c>
      <c r="C61" s="335"/>
      <c r="D61" s="349"/>
      <c r="E61" s="335"/>
      <c r="F61" s="335"/>
      <c r="G61" s="744"/>
      <c r="H61" s="335"/>
      <c r="I61" s="781">
        <f t="shared" si="1"/>
        <v>0</v>
      </c>
    </row>
    <row r="62" spans="1:9" s="780" customFormat="1" ht="13.8">
      <c r="A62" s="747" t="s">
        <v>23</v>
      </c>
      <c r="B62" s="349" t="s">
        <v>413</v>
      </c>
      <c r="C62" s="349">
        <v>8000</v>
      </c>
      <c r="D62" s="349"/>
      <c r="E62" s="335">
        <f>'Bieu 02 TT'!J75</f>
        <v>7000</v>
      </c>
      <c r="F62" s="335">
        <f>'Bieu 02 TT'!K75</f>
        <v>8000</v>
      </c>
      <c r="G62" s="744">
        <f t="shared" si="0"/>
        <v>114.28571428571428</v>
      </c>
      <c r="H62" s="349"/>
      <c r="I62" s="781">
        <f t="shared" si="1"/>
        <v>-1000</v>
      </c>
    </row>
    <row r="63" spans="1:9" s="780" customFormat="1" ht="13.8">
      <c r="A63" s="747" t="s">
        <v>23</v>
      </c>
      <c r="B63" s="349" t="s">
        <v>414</v>
      </c>
      <c r="C63" s="349">
        <v>7964</v>
      </c>
      <c r="D63" s="349"/>
      <c r="E63" s="335"/>
      <c r="F63" s="335">
        <f>'Bieu 02 TT'!K76</f>
        <v>8129</v>
      </c>
      <c r="G63" s="744">
        <f t="shared" si="0"/>
        <v>0</v>
      </c>
      <c r="H63" s="349"/>
      <c r="I63" s="781">
        <f t="shared" si="1"/>
        <v>-8129</v>
      </c>
    </row>
    <row r="64" spans="1:9" s="780" customFormat="1" ht="13.8">
      <c r="A64" s="747" t="s">
        <v>23</v>
      </c>
      <c r="B64" s="349" t="s">
        <v>415</v>
      </c>
      <c r="C64" s="349">
        <v>31036</v>
      </c>
      <c r="D64" s="349"/>
      <c r="E64" s="335"/>
      <c r="F64" s="335">
        <f>'Bieu 02 TT'!K77</f>
        <v>31871</v>
      </c>
      <c r="G64" s="744">
        <f t="shared" si="0"/>
        <v>0</v>
      </c>
      <c r="H64" s="349"/>
      <c r="I64" s="781">
        <f t="shared" si="1"/>
        <v>-31871</v>
      </c>
    </row>
    <row r="65" spans="1:11" s="784" customFormat="1" ht="27.6">
      <c r="A65" s="748"/>
      <c r="B65" s="749" t="s">
        <v>416</v>
      </c>
      <c r="C65" s="749">
        <v>12000</v>
      </c>
      <c r="D65" s="749">
        <v>7000</v>
      </c>
      <c r="E65" s="752">
        <v>12500</v>
      </c>
      <c r="F65" s="752">
        <f>'Bieu 02 TT'!K78</f>
        <v>12500</v>
      </c>
      <c r="G65" s="750">
        <f t="shared" si="0"/>
        <v>100</v>
      </c>
      <c r="H65" s="749"/>
      <c r="I65" s="781">
        <f t="shared" si="1"/>
        <v>0</v>
      </c>
    </row>
    <row r="66" spans="1:11" s="784" customFormat="1" ht="13.8">
      <c r="A66" s="748"/>
      <c r="B66" s="749" t="s">
        <v>417</v>
      </c>
      <c r="C66" s="749">
        <v>3500</v>
      </c>
      <c r="D66" s="749"/>
      <c r="E66" s="752"/>
      <c r="F66" s="752">
        <f>'Bieu 02 TT'!K79</f>
        <v>3600</v>
      </c>
      <c r="G66" s="750">
        <f t="shared" si="0"/>
        <v>0</v>
      </c>
      <c r="H66" s="749"/>
      <c r="I66" s="781">
        <f t="shared" si="1"/>
        <v>-3600</v>
      </c>
    </row>
    <row r="67" spans="1:11" s="782" customFormat="1" ht="18.75" customHeight="1">
      <c r="A67" s="745" t="s">
        <v>80</v>
      </c>
      <c r="B67" s="350" t="s">
        <v>418</v>
      </c>
      <c r="C67" s="350">
        <v>400000</v>
      </c>
      <c r="D67" s="350">
        <f>D68+D69</f>
        <v>121827</v>
      </c>
      <c r="E67" s="350">
        <f>'Bieu 02 TT'!J80</f>
        <v>400000</v>
      </c>
      <c r="F67" s="350">
        <f>E67</f>
        <v>400000</v>
      </c>
      <c r="G67" s="740">
        <f t="shared" si="0"/>
        <v>100</v>
      </c>
      <c r="H67" s="350">
        <f t="shared" si="2"/>
        <v>0</v>
      </c>
      <c r="I67" s="781">
        <f t="shared" si="1"/>
        <v>0</v>
      </c>
    </row>
    <row r="68" spans="1:11" s="780" customFormat="1" ht="13.8" hidden="1" outlineLevel="1">
      <c r="A68" s="747" t="s">
        <v>23</v>
      </c>
      <c r="B68" s="349" t="s">
        <v>419</v>
      </c>
      <c r="C68" s="349"/>
      <c r="D68" s="349">
        <v>44300</v>
      </c>
      <c r="E68" s="349">
        <v>0</v>
      </c>
      <c r="F68" s="349"/>
      <c r="G68" s="744">
        <f t="shared" si="0"/>
        <v>0</v>
      </c>
      <c r="H68" s="349"/>
      <c r="I68" s="781">
        <f t="shared" si="1"/>
        <v>0</v>
      </c>
    </row>
    <row r="69" spans="1:11" s="780" customFormat="1" ht="13.8" hidden="1" outlineLevel="1">
      <c r="A69" s="747" t="s">
        <v>23</v>
      </c>
      <c r="B69" s="349" t="s">
        <v>420</v>
      </c>
      <c r="C69" s="349">
        <v>235000</v>
      </c>
      <c r="D69" s="349">
        <v>77527</v>
      </c>
      <c r="E69" s="349">
        <v>0</v>
      </c>
      <c r="F69" s="349">
        <v>235000</v>
      </c>
      <c r="G69" s="744">
        <f t="shared" si="0"/>
        <v>0</v>
      </c>
      <c r="H69" s="349"/>
      <c r="I69" s="781">
        <f t="shared" si="1"/>
        <v>-235000</v>
      </c>
    </row>
    <row r="70" spans="1:11" s="782" customFormat="1" ht="16.5" customHeight="1" collapsed="1">
      <c r="A70" s="745" t="s">
        <v>81</v>
      </c>
      <c r="B70" s="350" t="s">
        <v>698</v>
      </c>
      <c r="C70" s="350">
        <v>22000</v>
      </c>
      <c r="D70" s="350">
        <v>13545</v>
      </c>
      <c r="E70" s="751">
        <f>'Bieu 02 TT'!J83</f>
        <v>25000</v>
      </c>
      <c r="F70" s="751">
        <f>E70</f>
        <v>25000</v>
      </c>
      <c r="G70" s="740">
        <f>IF(E70=0,0,F70/E70*100)</f>
        <v>100</v>
      </c>
      <c r="H70" s="350">
        <f t="shared" si="2"/>
        <v>0</v>
      </c>
      <c r="I70" s="781">
        <f t="shared" si="1"/>
        <v>0</v>
      </c>
    </row>
    <row r="71" spans="1:11" s="782" customFormat="1" ht="16.5" customHeight="1">
      <c r="A71" s="745" t="s">
        <v>82</v>
      </c>
      <c r="B71" s="350" t="s">
        <v>699</v>
      </c>
      <c r="C71" s="350">
        <v>1137</v>
      </c>
      <c r="D71" s="350">
        <v>200</v>
      </c>
      <c r="E71" s="751">
        <f>'Bieu 02 TT'!J86</f>
        <v>300</v>
      </c>
      <c r="F71" s="751">
        <f>'Bieu 02 TT'!K86</f>
        <v>1700</v>
      </c>
      <c r="G71" s="740">
        <f>IF(E71=0,0,F71/E71*100)</f>
        <v>566.66666666666674</v>
      </c>
      <c r="H71" s="350">
        <f t="shared" si="2"/>
        <v>1400</v>
      </c>
      <c r="I71" s="781">
        <f t="shared" si="1"/>
        <v>-1400</v>
      </c>
      <c r="K71" s="781">
        <f>(F71-E71)*98%</f>
        <v>1372</v>
      </c>
    </row>
    <row r="72" spans="1:11" s="782" customFormat="1" ht="16.5" customHeight="1">
      <c r="A72" s="745" t="s">
        <v>421</v>
      </c>
      <c r="B72" s="350" t="s">
        <v>422</v>
      </c>
      <c r="C72" s="746">
        <v>65000</v>
      </c>
      <c r="D72" s="746">
        <f>D74+D82+D81</f>
        <v>66405</v>
      </c>
      <c r="E72" s="746">
        <f>'Bieu 02 TT'!J87</f>
        <v>67000</v>
      </c>
      <c r="F72" s="746">
        <f>E72</f>
        <v>67000</v>
      </c>
      <c r="G72" s="740">
        <f>IF(E72=0,0,F72/E72*100)</f>
        <v>100</v>
      </c>
      <c r="H72" s="746">
        <f t="shared" si="2"/>
        <v>0</v>
      </c>
      <c r="I72" s="781">
        <f t="shared" si="1"/>
        <v>0</v>
      </c>
    </row>
    <row r="73" spans="1:11" s="784" customFormat="1" ht="16.5" customHeight="1">
      <c r="A73" s="748"/>
      <c r="B73" s="749" t="s">
        <v>423</v>
      </c>
      <c r="C73" s="753">
        <v>21000</v>
      </c>
      <c r="D73" s="753">
        <f>D76+D79</f>
        <v>21140</v>
      </c>
      <c r="E73" s="753">
        <f>'Bieu 02 TT'!K89+'Bieu 02 TT'!K93</f>
        <v>35000</v>
      </c>
      <c r="F73" s="753">
        <f>E73</f>
        <v>35000</v>
      </c>
      <c r="G73" s="750"/>
      <c r="H73" s="753"/>
      <c r="I73" s="781">
        <f t="shared" si="1"/>
        <v>0</v>
      </c>
    </row>
    <row r="74" spans="1:11" s="780" customFormat="1" ht="18" customHeight="1">
      <c r="A74" s="747" t="s">
        <v>424</v>
      </c>
      <c r="B74" s="742" t="s">
        <v>425</v>
      </c>
      <c r="C74" s="335">
        <v>29200</v>
      </c>
      <c r="D74" s="335">
        <f>D75+D78</f>
        <v>26911</v>
      </c>
      <c r="E74" s="335"/>
      <c r="F74" s="335">
        <f t="shared" ref="F74" si="7">F75+F78</f>
        <v>45000</v>
      </c>
      <c r="G74" s="744">
        <f>IF(E74=0,0,F74/E74*100)</f>
        <v>0</v>
      </c>
      <c r="H74" s="335"/>
      <c r="I74" s="781">
        <f t="shared" ref="I74:I129" si="8">E74-F74</f>
        <v>-45000</v>
      </c>
    </row>
    <row r="75" spans="1:11" s="780" customFormat="1" ht="17.25" customHeight="1">
      <c r="A75" s="747" t="s">
        <v>45</v>
      </c>
      <c r="B75" s="742" t="s">
        <v>426</v>
      </c>
      <c r="C75" s="349">
        <v>16000</v>
      </c>
      <c r="D75" s="349">
        <f>D76+D77</f>
        <v>15331</v>
      </c>
      <c r="E75" s="349"/>
      <c r="F75" s="349">
        <f>F76</f>
        <v>30000</v>
      </c>
      <c r="G75" s="744">
        <f>IF(E75=0,0,F75/E75*100)</f>
        <v>0</v>
      </c>
      <c r="H75" s="349"/>
      <c r="I75" s="781">
        <f t="shared" si="8"/>
        <v>-30000</v>
      </c>
    </row>
    <row r="76" spans="1:11" s="780" customFormat="1" ht="17.25" customHeight="1">
      <c r="A76" s="747" t="s">
        <v>23</v>
      </c>
      <c r="B76" s="742" t="s">
        <v>427</v>
      </c>
      <c r="C76" s="349">
        <v>16000</v>
      </c>
      <c r="D76" s="349">
        <v>14260</v>
      </c>
      <c r="E76" s="335"/>
      <c r="F76" s="335">
        <f>'Bieu 02 TT'!K90</f>
        <v>30000</v>
      </c>
      <c r="G76" s="744"/>
      <c r="H76" s="349"/>
      <c r="I76" s="781">
        <f t="shared" si="8"/>
        <v>-30000</v>
      </c>
    </row>
    <row r="77" spans="1:11" s="780" customFormat="1" ht="17.25" customHeight="1">
      <c r="A77" s="747" t="s">
        <v>23</v>
      </c>
      <c r="B77" s="742" t="s">
        <v>428</v>
      </c>
      <c r="C77" s="349"/>
      <c r="D77" s="349">
        <v>1071</v>
      </c>
      <c r="E77" s="335"/>
      <c r="F77" s="335">
        <f>'Bieu 02 TT'!K91</f>
        <v>0</v>
      </c>
      <c r="G77" s="744"/>
      <c r="H77" s="349"/>
      <c r="I77" s="781">
        <f t="shared" si="8"/>
        <v>0</v>
      </c>
    </row>
    <row r="78" spans="1:11" s="780" customFormat="1" ht="17.25" customHeight="1">
      <c r="A78" s="747" t="s">
        <v>47</v>
      </c>
      <c r="B78" s="742" t="s">
        <v>429</v>
      </c>
      <c r="C78" s="349">
        <v>13200</v>
      </c>
      <c r="D78" s="349">
        <f>D79+D80</f>
        <v>11580</v>
      </c>
      <c r="E78" s="349"/>
      <c r="F78" s="349">
        <f t="shared" ref="F78" si="9">F79+F80</f>
        <v>15000</v>
      </c>
      <c r="G78" s="744">
        <f>IF(E78=0,0,F78/E78*100)</f>
        <v>0</v>
      </c>
      <c r="H78" s="349"/>
      <c r="I78" s="781">
        <f t="shared" si="8"/>
        <v>-15000</v>
      </c>
    </row>
    <row r="79" spans="1:11" s="780" customFormat="1" ht="17.25" customHeight="1">
      <c r="A79" s="747" t="s">
        <v>23</v>
      </c>
      <c r="B79" s="742" t="s">
        <v>427</v>
      </c>
      <c r="C79" s="349">
        <v>5000</v>
      </c>
      <c r="D79" s="349">
        <v>6880</v>
      </c>
      <c r="E79" s="335"/>
      <c r="F79" s="335">
        <f>'Bieu 02 TT'!K93</f>
        <v>5000</v>
      </c>
      <c r="G79" s="744"/>
      <c r="H79" s="349"/>
      <c r="I79" s="781">
        <f t="shared" si="8"/>
        <v>-5000</v>
      </c>
    </row>
    <row r="80" spans="1:11" s="780" customFormat="1" ht="17.25" customHeight="1">
      <c r="A80" s="747" t="s">
        <v>23</v>
      </c>
      <c r="B80" s="742" t="s">
        <v>428</v>
      </c>
      <c r="C80" s="349">
        <v>8200</v>
      </c>
      <c r="D80" s="349">
        <v>4700</v>
      </c>
      <c r="E80" s="335"/>
      <c r="F80" s="335">
        <f>'Bieu 02 TT'!K94</f>
        <v>10000</v>
      </c>
      <c r="G80" s="744"/>
      <c r="H80" s="349"/>
      <c r="I80" s="781">
        <f t="shared" si="8"/>
        <v>-10000</v>
      </c>
    </row>
    <row r="81" spans="1:10" s="780" customFormat="1" ht="18.75" customHeight="1">
      <c r="A81" s="747" t="s">
        <v>430</v>
      </c>
      <c r="B81" s="349" t="s">
        <v>431</v>
      </c>
      <c r="C81" s="349">
        <v>35800</v>
      </c>
      <c r="D81" s="349">
        <v>39494</v>
      </c>
      <c r="E81" s="349"/>
      <c r="F81" s="349">
        <f>'Bieu 02 TT'!K96</f>
        <v>22000</v>
      </c>
      <c r="G81" s="744">
        <f t="shared" ref="G81:G104" si="10">IF(E81=0,0,F81/E81*100)</f>
        <v>0</v>
      </c>
      <c r="H81" s="349"/>
      <c r="I81" s="781">
        <f t="shared" si="8"/>
        <v>-22000</v>
      </c>
    </row>
    <row r="82" spans="1:10" s="780" customFormat="1" ht="13.8" hidden="1" outlineLevel="1" collapsed="1">
      <c r="A82" s="747" t="s">
        <v>432</v>
      </c>
      <c r="B82" s="349" t="s">
        <v>433</v>
      </c>
      <c r="C82" s="349"/>
      <c r="D82" s="349"/>
      <c r="E82" s="349"/>
      <c r="F82" s="349"/>
      <c r="G82" s="744">
        <f t="shared" si="10"/>
        <v>0</v>
      </c>
      <c r="H82" s="349">
        <f t="shared" ref="H82:H95" si="11">IF(E82=0,0,F82-E82)</f>
        <v>0</v>
      </c>
      <c r="I82" s="781">
        <f t="shared" si="8"/>
        <v>0</v>
      </c>
    </row>
    <row r="83" spans="1:10" s="782" customFormat="1" ht="17.25" customHeight="1" collapsed="1">
      <c r="A83" s="745">
        <v>15</v>
      </c>
      <c r="B83" s="737" t="s">
        <v>434</v>
      </c>
      <c r="C83" s="751">
        <v>90000</v>
      </c>
      <c r="D83" s="751">
        <f>D84+D85</f>
        <v>9560</v>
      </c>
      <c r="E83" s="751">
        <f>E84+E85</f>
        <v>100000</v>
      </c>
      <c r="F83" s="751">
        <f>F84+F85</f>
        <v>100000</v>
      </c>
      <c r="G83" s="740">
        <f t="shared" si="10"/>
        <v>100</v>
      </c>
      <c r="H83" s="751">
        <f t="shared" si="11"/>
        <v>0</v>
      </c>
      <c r="I83" s="781">
        <f t="shared" si="8"/>
        <v>0</v>
      </c>
    </row>
    <row r="84" spans="1:10" s="780" customFormat="1" ht="19.5" customHeight="1">
      <c r="A84" s="747" t="s">
        <v>23</v>
      </c>
      <c r="B84" s="742" t="s">
        <v>435</v>
      </c>
      <c r="C84" s="349">
        <v>75000</v>
      </c>
      <c r="D84" s="349">
        <v>0</v>
      </c>
      <c r="E84" s="335">
        <f>'Bieu 02 TT'!K98</f>
        <v>90000</v>
      </c>
      <c r="F84" s="335">
        <f>E84</f>
        <v>90000</v>
      </c>
      <c r="G84" s="744">
        <f t="shared" si="10"/>
        <v>100</v>
      </c>
      <c r="H84" s="349">
        <f t="shared" si="11"/>
        <v>0</v>
      </c>
      <c r="I84" s="781">
        <f t="shared" si="8"/>
        <v>0</v>
      </c>
    </row>
    <row r="85" spans="1:10" s="780" customFormat="1" ht="19.5" customHeight="1">
      <c r="A85" s="745" t="s">
        <v>23</v>
      </c>
      <c r="B85" s="742" t="s">
        <v>436</v>
      </c>
      <c r="C85" s="349">
        <v>15000</v>
      </c>
      <c r="D85" s="349">
        <v>9560</v>
      </c>
      <c r="E85" s="335">
        <f>'Bieu 02 TT'!K99+'Bieu 02 TT'!K100</f>
        <v>10000</v>
      </c>
      <c r="F85" s="335">
        <f>E85</f>
        <v>10000</v>
      </c>
      <c r="G85" s="744">
        <f t="shared" si="10"/>
        <v>100</v>
      </c>
      <c r="H85" s="349">
        <f t="shared" si="11"/>
        <v>0</v>
      </c>
      <c r="I85" s="781">
        <f t="shared" si="8"/>
        <v>0</v>
      </c>
    </row>
    <row r="86" spans="1:10" s="782" customFormat="1" ht="19.5" customHeight="1">
      <c r="A86" s="745">
        <v>16</v>
      </c>
      <c r="B86" s="350" t="s">
        <v>1518</v>
      </c>
      <c r="C86" s="350">
        <v>700</v>
      </c>
      <c r="D86" s="350">
        <v>3280</v>
      </c>
      <c r="E86" s="751">
        <f>'Bieu 02 TT'!J101</f>
        <v>300</v>
      </c>
      <c r="F86" s="751">
        <f>E86</f>
        <v>300</v>
      </c>
      <c r="G86" s="740">
        <f t="shared" si="10"/>
        <v>100</v>
      </c>
      <c r="H86" s="350">
        <f t="shared" si="11"/>
        <v>0</v>
      </c>
      <c r="I86" s="781">
        <f t="shared" si="8"/>
        <v>0</v>
      </c>
    </row>
    <row r="87" spans="1:10" s="782" customFormat="1" ht="28.5" customHeight="1">
      <c r="A87" s="745" t="s">
        <v>437</v>
      </c>
      <c r="B87" s="350" t="s">
        <v>700</v>
      </c>
      <c r="C87" s="350">
        <v>2000</v>
      </c>
      <c r="D87" s="350">
        <v>700</v>
      </c>
      <c r="E87" s="751">
        <f>'Bieu 02 TT'!J102</f>
        <v>4000</v>
      </c>
      <c r="F87" s="751">
        <f>E87</f>
        <v>4000</v>
      </c>
      <c r="G87" s="740"/>
      <c r="H87" s="350"/>
      <c r="I87" s="781">
        <f t="shared" si="8"/>
        <v>0</v>
      </c>
    </row>
    <row r="88" spans="1:10" s="782" customFormat="1" ht="16.5" customHeight="1">
      <c r="A88" s="745" t="s">
        <v>438</v>
      </c>
      <c r="B88" s="350" t="s">
        <v>439</v>
      </c>
      <c r="C88" s="350">
        <v>77000</v>
      </c>
      <c r="D88" s="350">
        <v>62000</v>
      </c>
      <c r="E88" s="751">
        <f>'Bieu 02 TT'!J103</f>
        <v>80000</v>
      </c>
      <c r="F88" s="751">
        <f>E88</f>
        <v>80000</v>
      </c>
      <c r="G88" s="740">
        <f t="shared" si="10"/>
        <v>100</v>
      </c>
      <c r="H88" s="350">
        <f t="shared" si="11"/>
        <v>0</v>
      </c>
      <c r="I88" s="781">
        <f t="shared" si="8"/>
        <v>0</v>
      </c>
    </row>
    <row r="89" spans="1:10" s="782" customFormat="1" ht="61.5" customHeight="1">
      <c r="A89" s="745" t="s">
        <v>440</v>
      </c>
      <c r="B89" s="754" t="s">
        <v>2515</v>
      </c>
      <c r="C89" s="350">
        <v>1252863.1434114259</v>
      </c>
      <c r="D89" s="350"/>
      <c r="E89" s="751"/>
      <c r="F89" s="751">
        <f>F90+F91+F92</f>
        <v>1345600</v>
      </c>
      <c r="G89" s="744"/>
      <c r="H89" s="751">
        <f>F89-E89</f>
        <v>1345600</v>
      </c>
      <c r="I89" s="781">
        <f t="shared" si="8"/>
        <v>-1345600</v>
      </c>
      <c r="J89" s="781"/>
    </row>
    <row r="90" spans="1:10" s="784" customFormat="1" ht="22.5" customHeight="1">
      <c r="A90" s="748"/>
      <c r="B90" s="755" t="s">
        <v>467</v>
      </c>
      <c r="C90" s="749">
        <v>160190</v>
      </c>
      <c r="D90" s="749"/>
      <c r="E90" s="752"/>
      <c r="F90" s="752">
        <f>ROUND('Bieu 10_TT '!J9,0)</f>
        <v>208291</v>
      </c>
      <c r="G90" s="750"/>
      <c r="H90" s="752"/>
      <c r="I90" s="781">
        <f t="shared" si="8"/>
        <v>-208291</v>
      </c>
    </row>
    <row r="91" spans="1:10" s="784" customFormat="1" ht="22.5" customHeight="1">
      <c r="A91" s="748"/>
      <c r="B91" s="755" t="s">
        <v>468</v>
      </c>
      <c r="C91" s="749">
        <v>16046</v>
      </c>
      <c r="D91" s="749"/>
      <c r="E91" s="752"/>
      <c r="F91" s="752">
        <f>ROUND('Bieu 10_TT '!K9,0)</f>
        <v>9667</v>
      </c>
      <c r="G91" s="750"/>
      <c r="H91" s="752"/>
      <c r="I91" s="781">
        <f t="shared" si="8"/>
        <v>-9667</v>
      </c>
    </row>
    <row r="92" spans="1:10" s="784" customFormat="1" ht="22.5" customHeight="1">
      <c r="A92" s="748"/>
      <c r="B92" s="755" t="s">
        <v>469</v>
      </c>
      <c r="C92" s="749">
        <v>1076627.1434114259</v>
      </c>
      <c r="D92" s="749"/>
      <c r="E92" s="752"/>
      <c r="F92" s="752">
        <f>ROUND('Bieu 10_TT '!I9,0)</f>
        <v>1127642</v>
      </c>
      <c r="G92" s="750"/>
      <c r="H92" s="752"/>
      <c r="I92" s="781">
        <f t="shared" si="8"/>
        <v>-1127642</v>
      </c>
    </row>
    <row r="93" spans="1:10" s="782" customFormat="1" ht="22.5" customHeight="1">
      <c r="A93" s="745" t="s">
        <v>464</v>
      </c>
      <c r="B93" s="350" t="s">
        <v>465</v>
      </c>
      <c r="C93" s="350"/>
      <c r="D93" s="350"/>
      <c r="E93" s="751"/>
      <c r="F93" s="751"/>
      <c r="G93" s="740"/>
      <c r="H93" s="751"/>
      <c r="I93" s="781">
        <f t="shared" si="8"/>
        <v>0</v>
      </c>
    </row>
    <row r="94" spans="1:10" s="780" customFormat="1" ht="21" customHeight="1">
      <c r="A94" s="736" t="s">
        <v>91</v>
      </c>
      <c r="B94" s="756" t="s">
        <v>441</v>
      </c>
      <c r="C94" s="350">
        <v>293000</v>
      </c>
      <c r="D94" s="350">
        <f>D95+D98</f>
        <v>268830</v>
      </c>
      <c r="E94" s="350">
        <f>E95+E98+E99</f>
        <v>295000</v>
      </c>
      <c r="F94" s="350">
        <f>F95+F98+F99</f>
        <v>295000</v>
      </c>
      <c r="G94" s="740">
        <f t="shared" si="10"/>
        <v>100</v>
      </c>
      <c r="H94" s="350">
        <f t="shared" si="11"/>
        <v>0</v>
      </c>
      <c r="I94" s="781">
        <f t="shared" si="8"/>
        <v>0</v>
      </c>
    </row>
    <row r="95" spans="1:10" s="780" customFormat="1" ht="16.5" customHeight="1">
      <c r="A95" s="747" t="s">
        <v>18</v>
      </c>
      <c r="B95" s="742" t="s">
        <v>442</v>
      </c>
      <c r="C95" s="349">
        <v>13800</v>
      </c>
      <c r="D95" s="349">
        <v>3877</v>
      </c>
      <c r="E95" s="349">
        <f>E96+E97</f>
        <v>6500</v>
      </c>
      <c r="F95" s="349">
        <f>F96+F97</f>
        <v>6500</v>
      </c>
      <c r="G95" s="744">
        <f t="shared" si="10"/>
        <v>100</v>
      </c>
      <c r="H95" s="349">
        <f t="shared" si="11"/>
        <v>0</v>
      </c>
      <c r="I95" s="781">
        <f t="shared" si="8"/>
        <v>0</v>
      </c>
    </row>
    <row r="96" spans="1:10" s="780" customFormat="1" ht="16.5" customHeight="1">
      <c r="A96" s="747"/>
      <c r="B96" s="742" t="s">
        <v>443</v>
      </c>
      <c r="C96" s="349">
        <v>8000</v>
      </c>
      <c r="D96" s="349"/>
      <c r="E96" s="349">
        <f>'Bieu 02 TT'!J116</f>
        <v>6000</v>
      </c>
      <c r="F96" s="349">
        <f>E96</f>
        <v>6000</v>
      </c>
      <c r="G96" s="744">
        <f t="shared" si="10"/>
        <v>100</v>
      </c>
      <c r="H96" s="349"/>
      <c r="I96" s="781">
        <f t="shared" si="8"/>
        <v>0</v>
      </c>
    </row>
    <row r="97" spans="1:13" s="780" customFormat="1" ht="16.5" customHeight="1">
      <c r="A97" s="747"/>
      <c r="B97" s="742" t="s">
        <v>444</v>
      </c>
      <c r="C97" s="349">
        <v>5800</v>
      </c>
      <c r="D97" s="349"/>
      <c r="E97" s="349">
        <f>'Bieu 02 TT'!J117</f>
        <v>500</v>
      </c>
      <c r="F97" s="349">
        <f>E97</f>
        <v>500</v>
      </c>
      <c r="G97" s="744">
        <f t="shared" si="10"/>
        <v>100</v>
      </c>
      <c r="H97" s="349"/>
      <c r="I97" s="781">
        <f t="shared" si="8"/>
        <v>0</v>
      </c>
    </row>
    <row r="98" spans="1:13" s="780" customFormat="1" ht="17.25" customHeight="1">
      <c r="A98" s="747" t="s">
        <v>26</v>
      </c>
      <c r="B98" s="742" t="s">
        <v>445</v>
      </c>
      <c r="C98" s="349">
        <v>279000</v>
      </c>
      <c r="D98" s="349">
        <v>264953</v>
      </c>
      <c r="E98" s="349">
        <f>'Bieu 02 TT'!J119</f>
        <v>288000</v>
      </c>
      <c r="F98" s="349">
        <f>E98</f>
        <v>288000</v>
      </c>
      <c r="G98" s="744">
        <f t="shared" si="10"/>
        <v>100</v>
      </c>
      <c r="H98" s="349">
        <f t="shared" ref="H98:H129" si="12">IF(E98=0,0,F98-E98)</f>
        <v>0</v>
      </c>
      <c r="I98" s="781">
        <f t="shared" si="8"/>
        <v>0</v>
      </c>
    </row>
    <row r="99" spans="1:13" s="780" customFormat="1" ht="17.25" customHeight="1">
      <c r="A99" s="747" t="s">
        <v>59</v>
      </c>
      <c r="B99" s="742" t="str">
        <f>'Bieu 02 TT'!B120</f>
        <v>Thu phí và lệ phí</v>
      </c>
      <c r="C99" s="349">
        <v>200</v>
      </c>
      <c r="D99" s="349"/>
      <c r="E99" s="349">
        <f>'Bieu 02 TT'!K120</f>
        <v>500</v>
      </c>
      <c r="F99" s="349">
        <f>E99</f>
        <v>500</v>
      </c>
      <c r="G99" s="744"/>
      <c r="H99" s="349"/>
      <c r="I99" s="781">
        <f t="shared" si="8"/>
        <v>0</v>
      </c>
    </row>
    <row r="100" spans="1:13" s="787" customFormat="1" ht="24" customHeight="1">
      <c r="A100" s="785" t="s">
        <v>69</v>
      </c>
      <c r="B100" s="756" t="s">
        <v>446</v>
      </c>
      <c r="C100" s="751">
        <v>10809697.143411426</v>
      </c>
      <c r="D100" s="751" t="e">
        <f>D101+D110</f>
        <v>#REF!</v>
      </c>
      <c r="E100" s="751">
        <f>E101+E110</f>
        <v>9287124</v>
      </c>
      <c r="F100" s="751">
        <f>F101+F110</f>
        <v>10634124</v>
      </c>
      <c r="G100" s="739">
        <f t="shared" si="10"/>
        <v>114.5039519231142</v>
      </c>
      <c r="H100" s="751">
        <f t="shared" si="12"/>
        <v>1347000</v>
      </c>
      <c r="I100" s="781">
        <f t="shared" si="8"/>
        <v>-1347000</v>
      </c>
      <c r="J100" s="786"/>
    </row>
    <row r="101" spans="1:13" s="787" customFormat="1" ht="20.25" customHeight="1">
      <c r="A101" s="785" t="s">
        <v>16</v>
      </c>
      <c r="B101" s="788" t="s">
        <v>447</v>
      </c>
      <c r="C101" s="751">
        <v>7660973.1434114259</v>
      </c>
      <c r="D101" s="751" t="e">
        <f>D104+D107+#REF!</f>
        <v>#REF!</v>
      </c>
      <c r="E101" s="751">
        <f>E104+E107</f>
        <v>6945791</v>
      </c>
      <c r="F101" s="751">
        <f>F104+F107</f>
        <v>8292791</v>
      </c>
      <c r="G101" s="757">
        <f t="shared" si="10"/>
        <v>119.39303961204706</v>
      </c>
      <c r="H101" s="751">
        <f t="shared" si="12"/>
        <v>1347000</v>
      </c>
      <c r="I101" s="781">
        <f t="shared" si="8"/>
        <v>-1347000</v>
      </c>
      <c r="K101" s="786">
        <f>F101-'Bieu 04_TT'!N9</f>
        <v>3896644.4059999995</v>
      </c>
    </row>
    <row r="102" spans="1:13" ht="15.75" hidden="1" customHeight="1" outlineLevel="1">
      <c r="A102" s="789"/>
      <c r="B102" s="790" t="s">
        <v>448</v>
      </c>
      <c r="C102" s="335">
        <v>7660973.1434114259</v>
      </c>
      <c r="D102" s="335"/>
      <c r="E102" s="335">
        <f>E101-E103</f>
        <v>6945791</v>
      </c>
      <c r="F102" s="335">
        <f>F101-F103</f>
        <v>8292791</v>
      </c>
      <c r="G102" s="758"/>
      <c r="H102" s="335"/>
      <c r="I102" s="781">
        <f t="shared" si="8"/>
        <v>-1347000</v>
      </c>
    </row>
    <row r="103" spans="1:13" ht="15.75" hidden="1" customHeight="1" outlineLevel="1">
      <c r="A103" s="789"/>
      <c r="B103" s="790" t="s">
        <v>449</v>
      </c>
      <c r="C103" s="335"/>
      <c r="D103" s="335"/>
      <c r="E103" s="335"/>
      <c r="F103" s="335"/>
      <c r="G103" s="758"/>
      <c r="H103" s="335"/>
      <c r="I103" s="781">
        <f t="shared" si="8"/>
        <v>0</v>
      </c>
    </row>
    <row r="104" spans="1:13" ht="20.25" customHeight="1" collapsed="1">
      <c r="A104" s="789">
        <v>1</v>
      </c>
      <c r="B104" s="646" t="s">
        <v>450</v>
      </c>
      <c r="C104" s="335">
        <v>4014300.1434114259</v>
      </c>
      <c r="D104" s="335">
        <f>D105+D106</f>
        <v>1796139.1638140001</v>
      </c>
      <c r="E104" s="335">
        <f>(E10-E21-E59-E56-E73-E84*0.7)</f>
        <v>2783600</v>
      </c>
      <c r="F104" s="335">
        <f>(F10-F21-F59-F56-F73-F84*0.7)</f>
        <v>4130600</v>
      </c>
      <c r="G104" s="758">
        <f t="shared" si="10"/>
        <v>148.39057335824114</v>
      </c>
      <c r="H104" s="335">
        <f t="shared" si="12"/>
        <v>1347000</v>
      </c>
      <c r="I104" s="781">
        <f t="shared" si="8"/>
        <v>-1347000</v>
      </c>
      <c r="J104" s="791"/>
    </row>
    <row r="105" spans="1:13" ht="15.75" hidden="1" customHeight="1" outlineLevel="1">
      <c r="A105" s="789"/>
      <c r="B105" s="792" t="s">
        <v>451</v>
      </c>
      <c r="C105" s="335">
        <v>2616500.1434114259</v>
      </c>
      <c r="D105" s="335">
        <v>802165.16381400009</v>
      </c>
      <c r="E105" s="335">
        <f>E104-E106</f>
        <v>1432500</v>
      </c>
      <c r="F105" s="335">
        <f>F104-F106</f>
        <v>2779500</v>
      </c>
      <c r="G105" s="758">
        <f>IF(E105=0,0,F105/E105*100)</f>
        <v>194.03141361256544</v>
      </c>
      <c r="H105" s="335">
        <f>IF(E105=0,0,F105-E105)</f>
        <v>1347000</v>
      </c>
      <c r="I105" s="781">
        <f t="shared" si="8"/>
        <v>-1347000</v>
      </c>
    </row>
    <row r="106" spans="1:13" ht="15.75" hidden="1" customHeight="1" outlineLevel="1">
      <c r="A106" s="789"/>
      <c r="B106" s="792" t="s">
        <v>452</v>
      </c>
      <c r="C106" s="335">
        <v>1397800</v>
      </c>
      <c r="D106" s="335">
        <v>993974</v>
      </c>
      <c r="E106" s="335">
        <f>E13+E23+E31+E39+E15+E24+E32+E43+E54+E44+E57</f>
        <v>1351100</v>
      </c>
      <c r="F106" s="335">
        <f>F13+F23+F31+F39+F15+F24+F32+F43+F54+F44+F57</f>
        <v>1351100</v>
      </c>
      <c r="G106" s="758">
        <f>IF(E106=0,0,F106/E106*100)</f>
        <v>100</v>
      </c>
      <c r="H106" s="335">
        <f>IF(E106=0,0,F106-E106)</f>
        <v>0</v>
      </c>
      <c r="I106" s="781">
        <f t="shared" si="8"/>
        <v>0</v>
      </c>
    </row>
    <row r="107" spans="1:13" ht="19.5" customHeight="1" collapsed="1">
      <c r="A107" s="789" t="s">
        <v>26</v>
      </c>
      <c r="B107" s="646" t="s">
        <v>453</v>
      </c>
      <c r="C107" s="335">
        <v>3646673</v>
      </c>
      <c r="D107" s="335"/>
      <c r="E107" s="335">
        <f>E108+E109</f>
        <v>4162191</v>
      </c>
      <c r="F107" s="335">
        <f>F108+F109</f>
        <v>4162191</v>
      </c>
      <c r="G107" s="758">
        <f t="shared" ref="G107:G129" si="13">IF(E107=0,0,F107/E107*100)</f>
        <v>100</v>
      </c>
      <c r="H107" s="335"/>
      <c r="I107" s="781">
        <f t="shared" si="8"/>
        <v>0</v>
      </c>
    </row>
    <row r="108" spans="1:13" ht="20.25" hidden="1" customHeight="1" outlineLevel="1">
      <c r="A108" s="789" t="s">
        <v>42</v>
      </c>
      <c r="B108" s="646" t="s">
        <v>1991</v>
      </c>
      <c r="C108" s="335">
        <v>3646673</v>
      </c>
      <c r="D108" s="335"/>
      <c r="E108" s="335">
        <f>3646673+72900</f>
        <v>3719573</v>
      </c>
      <c r="F108" s="335">
        <f>E108</f>
        <v>3719573</v>
      </c>
      <c r="G108" s="758">
        <f t="shared" si="13"/>
        <v>100</v>
      </c>
      <c r="H108" s="335"/>
      <c r="I108" s="781">
        <f t="shared" si="8"/>
        <v>0</v>
      </c>
    </row>
    <row r="109" spans="1:13" ht="20.25" hidden="1" customHeight="1" outlineLevel="1">
      <c r="A109" s="789" t="s">
        <v>52</v>
      </c>
      <c r="B109" s="646" t="s">
        <v>1992</v>
      </c>
      <c r="C109" s="335"/>
      <c r="D109" s="335"/>
      <c r="E109" s="335">
        <v>442618</v>
      </c>
      <c r="F109" s="335">
        <f>E109</f>
        <v>442618</v>
      </c>
      <c r="G109" s="758"/>
      <c r="H109" s="335"/>
      <c r="I109" s="781">
        <f t="shared" si="8"/>
        <v>0</v>
      </c>
    </row>
    <row r="110" spans="1:13" s="793" customFormat="1" ht="25.2" customHeight="1" collapsed="1">
      <c r="A110" s="785" t="s">
        <v>28</v>
      </c>
      <c r="B110" s="645" t="s">
        <v>454</v>
      </c>
      <c r="C110" s="751">
        <v>3148724</v>
      </c>
      <c r="D110" s="751" t="e">
        <f>D120+#REF!+D111+D117</f>
        <v>#REF!</v>
      </c>
      <c r="E110" s="751">
        <f>E111+E117+E120</f>
        <v>2341333</v>
      </c>
      <c r="F110" s="751">
        <f>F111+F117+F120</f>
        <v>2341333</v>
      </c>
      <c r="G110" s="739">
        <f t="shared" si="13"/>
        <v>100</v>
      </c>
      <c r="H110" s="751">
        <f t="shared" si="12"/>
        <v>0</v>
      </c>
      <c r="I110" s="781">
        <f t="shared" si="8"/>
        <v>0</v>
      </c>
      <c r="M110" s="1023"/>
    </row>
    <row r="111" spans="1:13" s="787" customFormat="1" ht="23.25" customHeight="1">
      <c r="A111" s="785" t="s">
        <v>18</v>
      </c>
      <c r="B111" s="645" t="s">
        <v>455</v>
      </c>
      <c r="C111" s="759">
        <v>1825767</v>
      </c>
      <c r="D111" s="759"/>
      <c r="E111" s="751">
        <f>E112+E116</f>
        <v>823220</v>
      </c>
      <c r="F111" s="751">
        <f>E111</f>
        <v>823220</v>
      </c>
      <c r="G111" s="757">
        <f>IF(E111=0,0,F111/E111*100)</f>
        <v>100</v>
      </c>
      <c r="H111" s="760">
        <f>IF(E111=0,0,F111-E111)</f>
        <v>0</v>
      </c>
      <c r="I111" s="781">
        <f t="shared" si="8"/>
        <v>0</v>
      </c>
    </row>
    <row r="112" spans="1:13" ht="20.25" customHeight="1">
      <c r="A112" s="794" t="s">
        <v>23</v>
      </c>
      <c r="B112" s="646" t="s">
        <v>336</v>
      </c>
      <c r="C112" s="761">
        <v>1753400</v>
      </c>
      <c r="D112" s="761"/>
      <c r="E112" s="335">
        <v>823220</v>
      </c>
      <c r="F112" s="335">
        <f>E112</f>
        <v>823220</v>
      </c>
      <c r="G112" s="758">
        <f t="shared" ref="G112:G116" si="14">IF(E112=0,0,F112/E112*100)</f>
        <v>100</v>
      </c>
      <c r="H112" s="762"/>
      <c r="I112" s="781">
        <f t="shared" si="8"/>
        <v>0</v>
      </c>
    </row>
    <row r="113" spans="1:9" ht="23.25" hidden="1" customHeight="1" outlineLevel="1">
      <c r="A113" s="789"/>
      <c r="B113" s="646" t="s">
        <v>337</v>
      </c>
      <c r="C113" s="761"/>
      <c r="D113" s="761"/>
      <c r="E113" s="335"/>
      <c r="F113" s="335"/>
      <c r="G113" s="758">
        <f t="shared" si="14"/>
        <v>0</v>
      </c>
      <c r="H113" s="762"/>
      <c r="I113" s="781">
        <f t="shared" si="8"/>
        <v>0</v>
      </c>
    </row>
    <row r="114" spans="1:9" s="797" customFormat="1" ht="23.25" hidden="1" customHeight="1" outlineLevel="1">
      <c r="A114" s="795"/>
      <c r="B114" s="796" t="s">
        <v>338</v>
      </c>
      <c r="C114" s="763"/>
      <c r="D114" s="763"/>
      <c r="E114" s="752"/>
      <c r="F114" s="752"/>
      <c r="G114" s="758">
        <f t="shared" si="14"/>
        <v>0</v>
      </c>
      <c r="H114" s="764"/>
      <c r="I114" s="781">
        <f t="shared" si="8"/>
        <v>0</v>
      </c>
    </row>
    <row r="115" spans="1:9" s="797" customFormat="1" ht="23.25" hidden="1" customHeight="1" outlineLevel="1">
      <c r="A115" s="795"/>
      <c r="B115" s="796" t="s">
        <v>339</v>
      </c>
      <c r="C115" s="763"/>
      <c r="D115" s="763"/>
      <c r="E115" s="752"/>
      <c r="F115" s="752"/>
      <c r="G115" s="758">
        <f t="shared" si="14"/>
        <v>0</v>
      </c>
      <c r="H115" s="764"/>
      <c r="I115" s="781">
        <f t="shared" si="8"/>
        <v>0</v>
      </c>
    </row>
    <row r="116" spans="1:9" ht="20.25" customHeight="1" collapsed="1">
      <c r="A116" s="794" t="s">
        <v>23</v>
      </c>
      <c r="B116" s="646" t="s">
        <v>456</v>
      </c>
      <c r="C116" s="761">
        <v>72367</v>
      </c>
      <c r="D116" s="761"/>
      <c r="E116" s="335"/>
      <c r="F116" s="335">
        <f>E116</f>
        <v>0</v>
      </c>
      <c r="G116" s="758">
        <f t="shared" si="14"/>
        <v>0</v>
      </c>
      <c r="H116" s="762"/>
      <c r="I116" s="781">
        <f t="shared" si="8"/>
        <v>0</v>
      </c>
    </row>
    <row r="117" spans="1:9" s="793" customFormat="1" ht="30.75" customHeight="1">
      <c r="A117" s="785" t="s">
        <v>26</v>
      </c>
      <c r="B117" s="645" t="s">
        <v>457</v>
      </c>
      <c r="C117" s="759">
        <v>79855</v>
      </c>
      <c r="D117" s="759"/>
      <c r="E117" s="751">
        <f>E118+E119</f>
        <v>164155</v>
      </c>
      <c r="F117" s="751">
        <f>F118+F119</f>
        <v>164155</v>
      </c>
      <c r="G117" s="757">
        <f>IF(E117=0,0,F117/E117*100)</f>
        <v>100</v>
      </c>
      <c r="H117" s="759">
        <f>IF(E117=0,0,F117-E117)</f>
        <v>0</v>
      </c>
      <c r="I117" s="781">
        <f t="shared" si="8"/>
        <v>0</v>
      </c>
    </row>
    <row r="118" spans="1:9" s="797" customFormat="1" ht="18.75" customHeight="1">
      <c r="A118" s="794" t="s">
        <v>23</v>
      </c>
      <c r="B118" s="646" t="s">
        <v>341</v>
      </c>
      <c r="C118" s="761">
        <v>0</v>
      </c>
      <c r="D118" s="761"/>
      <c r="E118" s="335"/>
      <c r="F118" s="335">
        <f>E118</f>
        <v>0</v>
      </c>
      <c r="G118" s="758">
        <f>IF(E118=0,0,F118/E118*100)</f>
        <v>0</v>
      </c>
      <c r="H118" s="472">
        <f>F118-E118</f>
        <v>0</v>
      </c>
      <c r="I118" s="781">
        <f t="shared" si="8"/>
        <v>0</v>
      </c>
    </row>
    <row r="119" spans="1:9" s="797" customFormat="1" ht="18.75" customHeight="1">
      <c r="A119" s="794" t="s">
        <v>23</v>
      </c>
      <c r="B119" s="646" t="s">
        <v>336</v>
      </c>
      <c r="C119" s="761">
        <v>79855</v>
      </c>
      <c r="D119" s="761"/>
      <c r="E119" s="335">
        <f>165635-1480</f>
        <v>164155</v>
      </c>
      <c r="F119" s="335">
        <f>E119</f>
        <v>164155</v>
      </c>
      <c r="G119" s="758">
        <f>IF(E119=0,0,F119/E119*100)</f>
        <v>100</v>
      </c>
      <c r="H119" s="472">
        <f>F119-E119</f>
        <v>0</v>
      </c>
      <c r="I119" s="781">
        <f t="shared" si="8"/>
        <v>0</v>
      </c>
    </row>
    <row r="120" spans="1:9" s="793" customFormat="1" ht="21.75" customHeight="1">
      <c r="A120" s="798" t="s">
        <v>59</v>
      </c>
      <c r="B120" s="645" t="s">
        <v>458</v>
      </c>
      <c r="C120" s="759">
        <v>1243102</v>
      </c>
      <c r="D120" s="759">
        <v>333056</v>
      </c>
      <c r="E120" s="751">
        <f>E121+E124+E127</f>
        <v>1353958</v>
      </c>
      <c r="F120" s="751">
        <f>F121+F124+F127</f>
        <v>1353958</v>
      </c>
      <c r="G120" s="765">
        <f t="shared" si="13"/>
        <v>100</v>
      </c>
      <c r="H120" s="473">
        <f t="shared" si="12"/>
        <v>0</v>
      </c>
      <c r="I120" s="781">
        <f t="shared" si="8"/>
        <v>0</v>
      </c>
    </row>
    <row r="121" spans="1:9" ht="22.5" customHeight="1">
      <c r="A121" s="794" t="s">
        <v>285</v>
      </c>
      <c r="B121" s="646" t="s">
        <v>459</v>
      </c>
      <c r="C121" s="761">
        <v>138330</v>
      </c>
      <c r="D121" s="761"/>
      <c r="E121" s="335">
        <f>E122+E123</f>
        <v>160530</v>
      </c>
      <c r="F121" s="335">
        <f>F122+F123</f>
        <v>160530</v>
      </c>
      <c r="G121" s="766">
        <f t="shared" si="13"/>
        <v>100</v>
      </c>
      <c r="H121" s="761">
        <f t="shared" si="12"/>
        <v>0</v>
      </c>
      <c r="I121" s="781">
        <f t="shared" si="8"/>
        <v>0</v>
      </c>
    </row>
    <row r="122" spans="1:9" ht="16.5" customHeight="1">
      <c r="A122" s="794" t="s">
        <v>23</v>
      </c>
      <c r="B122" s="646" t="s">
        <v>1541</v>
      </c>
      <c r="C122" s="761">
        <v>104130</v>
      </c>
      <c r="D122" s="761"/>
      <c r="E122" s="335">
        <v>128435</v>
      </c>
      <c r="F122" s="335">
        <f>E122</f>
        <v>128435</v>
      </c>
      <c r="G122" s="766">
        <f t="shared" si="13"/>
        <v>100</v>
      </c>
      <c r="H122" s="761">
        <f t="shared" si="12"/>
        <v>0</v>
      </c>
      <c r="I122" s="781">
        <f t="shared" si="8"/>
        <v>0</v>
      </c>
    </row>
    <row r="123" spans="1:9" ht="15.75" customHeight="1">
      <c r="A123" s="794" t="s">
        <v>23</v>
      </c>
      <c r="B123" s="646" t="s">
        <v>1542</v>
      </c>
      <c r="C123" s="761">
        <v>34200</v>
      </c>
      <c r="D123" s="761"/>
      <c r="E123" s="335">
        <v>32095</v>
      </c>
      <c r="F123" s="335">
        <f>E123</f>
        <v>32095</v>
      </c>
      <c r="G123" s="766">
        <f t="shared" si="13"/>
        <v>100</v>
      </c>
      <c r="H123" s="761">
        <f t="shared" si="12"/>
        <v>0</v>
      </c>
      <c r="I123" s="781">
        <f t="shared" si="8"/>
        <v>0</v>
      </c>
    </row>
    <row r="124" spans="1:9" ht="19.5" customHeight="1">
      <c r="A124" s="794" t="s">
        <v>289</v>
      </c>
      <c r="B124" s="646" t="s">
        <v>460</v>
      </c>
      <c r="C124" s="335">
        <v>283570</v>
      </c>
      <c r="D124" s="335"/>
      <c r="E124" s="335">
        <f>E125+E126</f>
        <v>325739</v>
      </c>
      <c r="F124" s="335">
        <f>F125+F126</f>
        <v>325739</v>
      </c>
      <c r="G124" s="766">
        <f t="shared" si="13"/>
        <v>100</v>
      </c>
      <c r="H124" s="335">
        <f t="shared" si="12"/>
        <v>0</v>
      </c>
      <c r="I124" s="781">
        <f t="shared" si="8"/>
        <v>0</v>
      </c>
    </row>
    <row r="125" spans="1:9" ht="15.75" customHeight="1">
      <c r="A125" s="794" t="s">
        <v>23</v>
      </c>
      <c r="B125" s="646" t="s">
        <v>1541</v>
      </c>
      <c r="C125" s="761">
        <v>141429</v>
      </c>
      <c r="D125" s="761"/>
      <c r="E125" s="335">
        <v>171101</v>
      </c>
      <c r="F125" s="335">
        <f>E125</f>
        <v>171101</v>
      </c>
      <c r="G125" s="766">
        <f t="shared" si="13"/>
        <v>100</v>
      </c>
      <c r="H125" s="761">
        <f t="shared" si="12"/>
        <v>0</v>
      </c>
      <c r="I125" s="781">
        <f t="shared" si="8"/>
        <v>0</v>
      </c>
    </row>
    <row r="126" spans="1:9" ht="15.75" customHeight="1">
      <c r="A126" s="794" t="s">
        <v>23</v>
      </c>
      <c r="B126" s="646" t="s">
        <v>1542</v>
      </c>
      <c r="C126" s="761">
        <v>142141</v>
      </c>
      <c r="D126" s="761"/>
      <c r="E126" s="335">
        <v>154638</v>
      </c>
      <c r="F126" s="335">
        <f>E126</f>
        <v>154638</v>
      </c>
      <c r="G126" s="766">
        <f t="shared" si="13"/>
        <v>100</v>
      </c>
      <c r="H126" s="761">
        <f t="shared" si="12"/>
        <v>0</v>
      </c>
      <c r="I126" s="781">
        <f t="shared" si="8"/>
        <v>0</v>
      </c>
    </row>
    <row r="127" spans="1:9" ht="19.5" customHeight="1">
      <c r="A127" s="794" t="s">
        <v>291</v>
      </c>
      <c r="B127" s="646" t="s">
        <v>1543</v>
      </c>
      <c r="C127" s="335">
        <v>821202</v>
      </c>
      <c r="D127" s="335"/>
      <c r="E127" s="335">
        <f>E128+E129</f>
        <v>867689</v>
      </c>
      <c r="F127" s="335">
        <f>F128+F129</f>
        <v>867689</v>
      </c>
      <c r="G127" s="766">
        <f t="shared" si="13"/>
        <v>100</v>
      </c>
      <c r="H127" s="335">
        <f t="shared" si="12"/>
        <v>0</v>
      </c>
      <c r="I127" s="781">
        <f t="shared" si="8"/>
        <v>0</v>
      </c>
    </row>
    <row r="128" spans="1:9" ht="15.75" customHeight="1">
      <c r="A128" s="794" t="s">
        <v>23</v>
      </c>
      <c r="B128" s="646" t="s">
        <v>1541</v>
      </c>
      <c r="C128" s="761">
        <v>429596</v>
      </c>
      <c r="D128" s="761"/>
      <c r="E128" s="335">
        <v>498724</v>
      </c>
      <c r="F128" s="335">
        <f>E128</f>
        <v>498724</v>
      </c>
      <c r="G128" s="766">
        <f t="shared" si="13"/>
        <v>100</v>
      </c>
      <c r="H128" s="761">
        <f t="shared" si="12"/>
        <v>0</v>
      </c>
      <c r="I128" s="781">
        <f t="shared" si="8"/>
        <v>0</v>
      </c>
    </row>
    <row r="129" spans="1:15" ht="15.75" customHeight="1">
      <c r="A129" s="794" t="s">
        <v>23</v>
      </c>
      <c r="B129" s="646" t="s">
        <v>1542</v>
      </c>
      <c r="C129" s="761">
        <v>391606</v>
      </c>
      <c r="D129" s="761"/>
      <c r="E129" s="335">
        <v>368965</v>
      </c>
      <c r="F129" s="335">
        <f>E129</f>
        <v>368965</v>
      </c>
      <c r="G129" s="766">
        <f t="shared" si="13"/>
        <v>100</v>
      </c>
      <c r="H129" s="761">
        <f t="shared" si="12"/>
        <v>0</v>
      </c>
      <c r="I129" s="781">
        <f t="shared" si="8"/>
        <v>0</v>
      </c>
    </row>
    <row r="130" spans="1:15" ht="9" customHeight="1">
      <c r="A130" s="767"/>
      <c r="B130" s="768"/>
      <c r="C130" s="769"/>
      <c r="D130" s="769"/>
      <c r="E130" s="769"/>
      <c r="F130" s="769"/>
      <c r="G130" s="770"/>
      <c r="H130" s="769"/>
    </row>
    <row r="131" spans="1:15" s="797" customFormat="1" ht="15.75" customHeight="1">
      <c r="A131" s="799"/>
      <c r="B131" s="800"/>
      <c r="C131" s="800"/>
      <c r="D131" s="800"/>
      <c r="E131" s="771"/>
      <c r="F131" s="772"/>
      <c r="G131" s="773"/>
      <c r="H131" s="774"/>
    </row>
    <row r="132" spans="1:15" s="797" customFormat="1" ht="20.25" customHeight="1">
      <c r="A132" s="799"/>
      <c r="B132" s="1461"/>
      <c r="C132" s="1461"/>
      <c r="D132" s="1461"/>
      <c r="E132" s="1461"/>
      <c r="F132" s="1461"/>
      <c r="G132" s="1461"/>
      <c r="H132" s="1461"/>
    </row>
    <row r="133" spans="1:15" s="787" customFormat="1" ht="32.25" hidden="1" customHeight="1">
      <c r="A133" s="801" t="s">
        <v>461</v>
      </c>
      <c r="B133" s="1461" t="s">
        <v>462</v>
      </c>
      <c r="C133" s="1461"/>
      <c r="D133" s="1461"/>
      <c r="E133" s="1461"/>
      <c r="F133" s="1461"/>
      <c r="G133" s="1461"/>
      <c r="H133" s="1461"/>
    </row>
    <row r="134" spans="1:15" ht="15.75" hidden="1" customHeight="1">
      <c r="B134" s="777" t="s">
        <v>463</v>
      </c>
      <c r="C134" s="771"/>
      <c r="D134" s="771"/>
    </row>
    <row r="135" spans="1:15" s="775" customFormat="1" ht="15.75" customHeight="1">
      <c r="A135" s="776"/>
      <c r="B135" s="731"/>
      <c r="C135" s="731"/>
      <c r="D135" s="731"/>
      <c r="F135" s="733"/>
      <c r="G135" s="734"/>
      <c r="H135" s="730"/>
      <c r="I135" s="777"/>
      <c r="J135" s="777"/>
      <c r="K135" s="777"/>
      <c r="L135" s="777"/>
      <c r="M135" s="777"/>
      <c r="N135" s="777"/>
      <c r="O135" s="777"/>
    </row>
  </sheetData>
  <mergeCells count="14">
    <mergeCell ref="B133:H133"/>
    <mergeCell ref="H7:H8"/>
    <mergeCell ref="B132:H132"/>
    <mergeCell ref="A2:H2"/>
    <mergeCell ref="C6:C8"/>
    <mergeCell ref="D6:D8"/>
    <mergeCell ref="E6:F6"/>
    <mergeCell ref="G6:H6"/>
    <mergeCell ref="E7:E8"/>
    <mergeCell ref="F7:F8"/>
    <mergeCell ref="G7:G8"/>
    <mergeCell ref="A3:H3"/>
    <mergeCell ref="A7:A8"/>
    <mergeCell ref="B7:B8"/>
  </mergeCells>
  <dataValidations disablePrompts="1" count="1">
    <dataValidation allowBlank="1" showInputMessage="1" showErrorMessage="1" prompt="Chưa có KP PGCM 1.480 trđ" sqref="E119"/>
  </dataValidations>
  <printOptions horizontalCentered="1"/>
  <pageMargins left="0.82677165354330717" right="0.19685039370078741" top="0.59055118110236227" bottom="0.39370078740157483" header="0.19685039370078741" footer="0.19685039370078741"/>
  <pageSetup paperSize="9" fitToHeight="0" orientation="portrait" r:id="rId1"/>
  <headerFooter alignWithMargins="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
  <sheetViews>
    <sheetView zoomScale="70" zoomScaleNormal="70" workbookViewId="0">
      <pane xSplit="2" ySplit="7" topLeftCell="C26" activePane="bottomRight" state="frozen"/>
      <selection activeCell="B1" sqref="B1"/>
      <selection pane="topRight" activeCell="F1" sqref="F1"/>
      <selection pane="bottomLeft" activeCell="B6" sqref="B6"/>
      <selection pane="bottomRight" activeCell="C15" sqref="C15"/>
    </sheetView>
  </sheetViews>
  <sheetFormatPr defaultColWidth="9.109375" defaultRowHeight="15.6"/>
  <cols>
    <col min="1" max="1" width="5.88671875" style="46" customWidth="1"/>
    <col min="2" max="2" width="43.6640625" style="47" customWidth="1"/>
    <col min="3" max="3" width="14.109375" style="52" customWidth="1"/>
    <col min="4" max="4" width="11.44140625" style="52" customWidth="1"/>
    <col min="5" max="5" width="13.33203125" style="54" customWidth="1"/>
    <col min="6" max="6" width="9.88671875" style="54" customWidth="1"/>
    <col min="7" max="7" width="11.109375" style="54" customWidth="1" collapsed="1"/>
    <col min="8" max="8" width="9.88671875" style="54" customWidth="1" collapsed="1"/>
    <col min="9" max="9" width="11.33203125" style="54" customWidth="1" collapsed="1"/>
    <col min="10" max="10" width="9.88671875" style="54" customWidth="1" collapsed="1"/>
    <col min="11" max="11" width="11.6640625" style="54" customWidth="1"/>
    <col min="12" max="12" width="10.88671875" style="54" customWidth="1"/>
    <col min="13" max="13" width="9.6640625" style="54" customWidth="1"/>
    <col min="14" max="14" width="9.6640625" style="54" customWidth="1" collapsed="1"/>
    <col min="15" max="15" width="9.6640625" style="54" customWidth="1"/>
    <col min="16" max="16" width="11.33203125" style="51" customWidth="1"/>
    <col min="17" max="17" width="13.6640625" style="51" bestFit="1" customWidth="1"/>
    <col min="18" max="18" width="12.33203125" style="51" bestFit="1" customWidth="1"/>
    <col min="19" max="37" width="9.44140625" style="51" bestFit="1" customWidth="1"/>
    <col min="38" max="39" width="9.109375" style="51"/>
    <col min="40" max="54" width="9.44140625" style="51" bestFit="1" customWidth="1"/>
    <col min="55" max="234" width="9.109375" style="51"/>
    <col min="235" max="235" width="4.88671875" style="51" customWidth="1"/>
    <col min="236" max="236" width="41.88671875" style="51" customWidth="1"/>
    <col min="237" max="237" width="10" style="51" customWidth="1"/>
    <col min="238" max="239" width="8.6640625" style="51" customWidth="1"/>
    <col min="240" max="241" width="7.6640625" style="51" customWidth="1"/>
    <col min="242" max="242" width="8.6640625" style="51" customWidth="1"/>
    <col min="243" max="246" width="7.6640625" style="51" customWidth="1"/>
    <col min="247" max="247" width="10" style="51" customWidth="1"/>
    <col min="248" max="253" width="8.44140625" style="51" customWidth="1"/>
    <col min="254" max="254" width="8" style="51" customWidth="1"/>
    <col min="255" max="255" width="9" style="51" customWidth="1"/>
    <col min="256" max="256" width="8.44140625" style="51" customWidth="1"/>
    <col min="257" max="490" width="9.109375" style="51"/>
    <col min="491" max="491" width="4.88671875" style="51" customWidth="1"/>
    <col min="492" max="492" width="41.88671875" style="51" customWidth="1"/>
    <col min="493" max="493" width="10" style="51" customWidth="1"/>
    <col min="494" max="495" width="8.6640625" style="51" customWidth="1"/>
    <col min="496" max="497" width="7.6640625" style="51" customWidth="1"/>
    <col min="498" max="498" width="8.6640625" style="51" customWidth="1"/>
    <col min="499" max="502" width="7.6640625" style="51" customWidth="1"/>
    <col min="503" max="503" width="10" style="51" customWidth="1"/>
    <col min="504" max="509" width="8.44140625" style="51" customWidth="1"/>
    <col min="510" max="510" width="8" style="51" customWidth="1"/>
    <col min="511" max="511" width="9" style="51" customWidth="1"/>
    <col min="512" max="512" width="8.44140625" style="51" customWidth="1"/>
    <col min="513" max="746" width="9.109375" style="51"/>
    <col min="747" max="747" width="4.88671875" style="51" customWidth="1"/>
    <col min="748" max="748" width="41.88671875" style="51" customWidth="1"/>
    <col min="749" max="749" width="10" style="51" customWidth="1"/>
    <col min="750" max="751" width="8.6640625" style="51" customWidth="1"/>
    <col min="752" max="753" width="7.6640625" style="51" customWidth="1"/>
    <col min="754" max="754" width="8.6640625" style="51" customWidth="1"/>
    <col min="755" max="758" width="7.6640625" style="51" customWidth="1"/>
    <col min="759" max="759" width="10" style="51" customWidth="1"/>
    <col min="760" max="765" width="8.44140625" style="51" customWidth="1"/>
    <col min="766" max="766" width="8" style="51" customWidth="1"/>
    <col min="767" max="767" width="9" style="51" customWidth="1"/>
    <col min="768" max="768" width="8.44140625" style="51" customWidth="1"/>
    <col min="769" max="1002" width="9.109375" style="51"/>
    <col min="1003" max="1003" width="4.88671875" style="51" customWidth="1"/>
    <col min="1004" max="1004" width="41.88671875" style="51" customWidth="1"/>
    <col min="1005" max="1005" width="10" style="51" customWidth="1"/>
    <col min="1006" max="1007" width="8.6640625" style="51" customWidth="1"/>
    <col min="1008" max="1009" width="7.6640625" style="51" customWidth="1"/>
    <col min="1010" max="1010" width="8.6640625" style="51" customWidth="1"/>
    <col min="1011" max="1014" width="7.6640625" style="51" customWidth="1"/>
    <col min="1015" max="1015" width="10" style="51" customWidth="1"/>
    <col min="1016" max="1021" width="8.44140625" style="51" customWidth="1"/>
    <col min="1022" max="1022" width="8" style="51" customWidth="1"/>
    <col min="1023" max="1023" width="9" style="51" customWidth="1"/>
    <col min="1024" max="1024" width="8.44140625" style="51" customWidth="1"/>
    <col min="1025" max="1258" width="9.109375" style="51"/>
    <col min="1259" max="1259" width="4.88671875" style="51" customWidth="1"/>
    <col min="1260" max="1260" width="41.88671875" style="51" customWidth="1"/>
    <col min="1261" max="1261" width="10" style="51" customWidth="1"/>
    <col min="1262" max="1263" width="8.6640625" style="51" customWidth="1"/>
    <col min="1264" max="1265" width="7.6640625" style="51" customWidth="1"/>
    <col min="1266" max="1266" width="8.6640625" style="51" customWidth="1"/>
    <col min="1267" max="1270" width="7.6640625" style="51" customWidth="1"/>
    <col min="1271" max="1271" width="10" style="51" customWidth="1"/>
    <col min="1272" max="1277" width="8.44140625" style="51" customWidth="1"/>
    <col min="1278" max="1278" width="8" style="51" customWidth="1"/>
    <col min="1279" max="1279" width="9" style="51" customWidth="1"/>
    <col min="1280" max="1280" width="8.44140625" style="51" customWidth="1"/>
    <col min="1281" max="1514" width="9.109375" style="51"/>
    <col min="1515" max="1515" width="4.88671875" style="51" customWidth="1"/>
    <col min="1516" max="1516" width="41.88671875" style="51" customWidth="1"/>
    <col min="1517" max="1517" width="10" style="51" customWidth="1"/>
    <col min="1518" max="1519" width="8.6640625" style="51" customWidth="1"/>
    <col min="1520" max="1521" width="7.6640625" style="51" customWidth="1"/>
    <col min="1522" max="1522" width="8.6640625" style="51" customWidth="1"/>
    <col min="1523" max="1526" width="7.6640625" style="51" customWidth="1"/>
    <col min="1527" max="1527" width="10" style="51" customWidth="1"/>
    <col min="1528" max="1533" width="8.44140625" style="51" customWidth="1"/>
    <col min="1534" max="1534" width="8" style="51" customWidth="1"/>
    <col min="1535" max="1535" width="9" style="51" customWidth="1"/>
    <col min="1536" max="1536" width="8.44140625" style="51" customWidth="1"/>
    <col min="1537" max="1770" width="9.109375" style="51"/>
    <col min="1771" max="1771" width="4.88671875" style="51" customWidth="1"/>
    <col min="1772" max="1772" width="41.88671875" style="51" customWidth="1"/>
    <col min="1773" max="1773" width="10" style="51" customWidth="1"/>
    <col min="1774" max="1775" width="8.6640625" style="51" customWidth="1"/>
    <col min="1776" max="1777" width="7.6640625" style="51" customWidth="1"/>
    <col min="1778" max="1778" width="8.6640625" style="51" customWidth="1"/>
    <col min="1779" max="1782" width="7.6640625" style="51" customWidth="1"/>
    <col min="1783" max="1783" width="10" style="51" customWidth="1"/>
    <col min="1784" max="1789" width="8.44140625" style="51" customWidth="1"/>
    <col min="1790" max="1790" width="8" style="51" customWidth="1"/>
    <col min="1791" max="1791" width="9" style="51" customWidth="1"/>
    <col min="1792" max="1792" width="8.44140625" style="51" customWidth="1"/>
    <col min="1793" max="2026" width="9.109375" style="51"/>
    <col min="2027" max="2027" width="4.88671875" style="51" customWidth="1"/>
    <col min="2028" max="2028" width="41.88671875" style="51" customWidth="1"/>
    <col min="2029" max="2029" width="10" style="51" customWidth="1"/>
    <col min="2030" max="2031" width="8.6640625" style="51" customWidth="1"/>
    <col min="2032" max="2033" width="7.6640625" style="51" customWidth="1"/>
    <col min="2034" max="2034" width="8.6640625" style="51" customWidth="1"/>
    <col min="2035" max="2038" width="7.6640625" style="51" customWidth="1"/>
    <col min="2039" max="2039" width="10" style="51" customWidth="1"/>
    <col min="2040" max="2045" width="8.44140625" style="51" customWidth="1"/>
    <col min="2046" max="2046" width="8" style="51" customWidth="1"/>
    <col min="2047" max="2047" width="9" style="51" customWidth="1"/>
    <col min="2048" max="2048" width="8.44140625" style="51" customWidth="1"/>
    <col min="2049" max="2282" width="9.109375" style="51"/>
    <col min="2283" max="2283" width="4.88671875" style="51" customWidth="1"/>
    <col min="2284" max="2284" width="41.88671875" style="51" customWidth="1"/>
    <col min="2285" max="2285" width="10" style="51" customWidth="1"/>
    <col min="2286" max="2287" width="8.6640625" style="51" customWidth="1"/>
    <col min="2288" max="2289" width="7.6640625" style="51" customWidth="1"/>
    <col min="2290" max="2290" width="8.6640625" style="51" customWidth="1"/>
    <col min="2291" max="2294" width="7.6640625" style="51" customWidth="1"/>
    <col min="2295" max="2295" width="10" style="51" customWidth="1"/>
    <col min="2296" max="2301" width="8.44140625" style="51" customWidth="1"/>
    <col min="2302" max="2302" width="8" style="51" customWidth="1"/>
    <col min="2303" max="2303" width="9" style="51" customWidth="1"/>
    <col min="2304" max="2304" width="8.44140625" style="51" customWidth="1"/>
    <col min="2305" max="2538" width="9.109375" style="51"/>
    <col min="2539" max="2539" width="4.88671875" style="51" customWidth="1"/>
    <col min="2540" max="2540" width="41.88671875" style="51" customWidth="1"/>
    <col min="2541" max="2541" width="10" style="51" customWidth="1"/>
    <col min="2542" max="2543" width="8.6640625" style="51" customWidth="1"/>
    <col min="2544" max="2545" width="7.6640625" style="51" customWidth="1"/>
    <col min="2546" max="2546" width="8.6640625" style="51" customWidth="1"/>
    <col min="2547" max="2550" width="7.6640625" style="51" customWidth="1"/>
    <col min="2551" max="2551" width="10" style="51" customWidth="1"/>
    <col min="2552" max="2557" width="8.44140625" style="51" customWidth="1"/>
    <col min="2558" max="2558" width="8" style="51" customWidth="1"/>
    <col min="2559" max="2559" width="9" style="51" customWidth="1"/>
    <col min="2560" max="2560" width="8.44140625" style="51" customWidth="1"/>
    <col min="2561" max="2794" width="9.109375" style="51"/>
    <col min="2795" max="2795" width="4.88671875" style="51" customWidth="1"/>
    <col min="2796" max="2796" width="41.88671875" style="51" customWidth="1"/>
    <col min="2797" max="2797" width="10" style="51" customWidth="1"/>
    <col min="2798" max="2799" width="8.6640625" style="51" customWidth="1"/>
    <col min="2800" max="2801" width="7.6640625" style="51" customWidth="1"/>
    <col min="2802" max="2802" width="8.6640625" style="51" customWidth="1"/>
    <col min="2803" max="2806" width="7.6640625" style="51" customWidth="1"/>
    <col min="2807" max="2807" width="10" style="51" customWidth="1"/>
    <col min="2808" max="2813" width="8.44140625" style="51" customWidth="1"/>
    <col min="2814" max="2814" width="8" style="51" customWidth="1"/>
    <col min="2815" max="2815" width="9" style="51" customWidth="1"/>
    <col min="2816" max="2816" width="8.44140625" style="51" customWidth="1"/>
    <col min="2817" max="3050" width="9.109375" style="51"/>
    <col min="3051" max="3051" width="4.88671875" style="51" customWidth="1"/>
    <col min="3052" max="3052" width="41.88671875" style="51" customWidth="1"/>
    <col min="3053" max="3053" width="10" style="51" customWidth="1"/>
    <col min="3054" max="3055" width="8.6640625" style="51" customWidth="1"/>
    <col min="3056" max="3057" width="7.6640625" style="51" customWidth="1"/>
    <col min="3058" max="3058" width="8.6640625" style="51" customWidth="1"/>
    <col min="3059" max="3062" width="7.6640625" style="51" customWidth="1"/>
    <col min="3063" max="3063" width="10" style="51" customWidth="1"/>
    <col min="3064" max="3069" width="8.44140625" style="51" customWidth="1"/>
    <col min="3070" max="3070" width="8" style="51" customWidth="1"/>
    <col min="3071" max="3071" width="9" style="51" customWidth="1"/>
    <col min="3072" max="3072" width="8.44140625" style="51" customWidth="1"/>
    <col min="3073" max="3306" width="9.109375" style="51"/>
    <col min="3307" max="3307" width="4.88671875" style="51" customWidth="1"/>
    <col min="3308" max="3308" width="41.88671875" style="51" customWidth="1"/>
    <col min="3309" max="3309" width="10" style="51" customWidth="1"/>
    <col min="3310" max="3311" width="8.6640625" style="51" customWidth="1"/>
    <col min="3312" max="3313" width="7.6640625" style="51" customWidth="1"/>
    <col min="3314" max="3314" width="8.6640625" style="51" customWidth="1"/>
    <col min="3315" max="3318" width="7.6640625" style="51" customWidth="1"/>
    <col min="3319" max="3319" width="10" style="51" customWidth="1"/>
    <col min="3320" max="3325" width="8.44140625" style="51" customWidth="1"/>
    <col min="3326" max="3326" width="8" style="51" customWidth="1"/>
    <col min="3327" max="3327" width="9" style="51" customWidth="1"/>
    <col min="3328" max="3328" width="8.44140625" style="51" customWidth="1"/>
    <col min="3329" max="3562" width="9.109375" style="51"/>
    <col min="3563" max="3563" width="4.88671875" style="51" customWidth="1"/>
    <col min="3564" max="3564" width="41.88671875" style="51" customWidth="1"/>
    <col min="3565" max="3565" width="10" style="51" customWidth="1"/>
    <col min="3566" max="3567" width="8.6640625" style="51" customWidth="1"/>
    <col min="3568" max="3569" width="7.6640625" style="51" customWidth="1"/>
    <col min="3570" max="3570" width="8.6640625" style="51" customWidth="1"/>
    <col min="3571" max="3574" width="7.6640625" style="51" customWidth="1"/>
    <col min="3575" max="3575" width="10" style="51" customWidth="1"/>
    <col min="3576" max="3581" width="8.44140625" style="51" customWidth="1"/>
    <col min="3582" max="3582" width="8" style="51" customWidth="1"/>
    <col min="3583" max="3583" width="9" style="51" customWidth="1"/>
    <col min="3584" max="3584" width="8.44140625" style="51" customWidth="1"/>
    <col min="3585" max="3818" width="9.109375" style="51"/>
    <col min="3819" max="3819" width="4.88671875" style="51" customWidth="1"/>
    <col min="3820" max="3820" width="41.88671875" style="51" customWidth="1"/>
    <col min="3821" max="3821" width="10" style="51" customWidth="1"/>
    <col min="3822" max="3823" width="8.6640625" style="51" customWidth="1"/>
    <col min="3824" max="3825" width="7.6640625" style="51" customWidth="1"/>
    <col min="3826" max="3826" width="8.6640625" style="51" customWidth="1"/>
    <col min="3827" max="3830" width="7.6640625" style="51" customWidth="1"/>
    <col min="3831" max="3831" width="10" style="51" customWidth="1"/>
    <col min="3832" max="3837" width="8.44140625" style="51" customWidth="1"/>
    <col min="3838" max="3838" width="8" style="51" customWidth="1"/>
    <col min="3839" max="3839" width="9" style="51" customWidth="1"/>
    <col min="3840" max="3840" width="8.44140625" style="51" customWidth="1"/>
    <col min="3841" max="4074" width="9.109375" style="51"/>
    <col min="4075" max="4075" width="4.88671875" style="51" customWidth="1"/>
    <col min="4076" max="4076" width="41.88671875" style="51" customWidth="1"/>
    <col min="4077" max="4077" width="10" style="51" customWidth="1"/>
    <col min="4078" max="4079" width="8.6640625" style="51" customWidth="1"/>
    <col min="4080" max="4081" width="7.6640625" style="51" customWidth="1"/>
    <col min="4082" max="4082" width="8.6640625" style="51" customWidth="1"/>
    <col min="4083" max="4086" width="7.6640625" style="51" customWidth="1"/>
    <col min="4087" max="4087" width="10" style="51" customWidth="1"/>
    <col min="4088" max="4093" width="8.44140625" style="51" customWidth="1"/>
    <col min="4094" max="4094" width="8" style="51" customWidth="1"/>
    <col min="4095" max="4095" width="9" style="51" customWidth="1"/>
    <col min="4096" max="4096" width="8.44140625" style="51" customWidth="1"/>
    <col min="4097" max="4330" width="9.109375" style="51"/>
    <col min="4331" max="4331" width="4.88671875" style="51" customWidth="1"/>
    <col min="4332" max="4332" width="41.88671875" style="51" customWidth="1"/>
    <col min="4333" max="4333" width="10" style="51" customWidth="1"/>
    <col min="4334" max="4335" width="8.6640625" style="51" customWidth="1"/>
    <col min="4336" max="4337" width="7.6640625" style="51" customWidth="1"/>
    <col min="4338" max="4338" width="8.6640625" style="51" customWidth="1"/>
    <col min="4339" max="4342" width="7.6640625" style="51" customWidth="1"/>
    <col min="4343" max="4343" width="10" style="51" customWidth="1"/>
    <col min="4344" max="4349" width="8.44140625" style="51" customWidth="1"/>
    <col min="4350" max="4350" width="8" style="51" customWidth="1"/>
    <col min="4351" max="4351" width="9" style="51" customWidth="1"/>
    <col min="4352" max="4352" width="8.44140625" style="51" customWidth="1"/>
    <col min="4353" max="4586" width="9.109375" style="51"/>
    <col min="4587" max="4587" width="4.88671875" style="51" customWidth="1"/>
    <col min="4588" max="4588" width="41.88671875" style="51" customWidth="1"/>
    <col min="4589" max="4589" width="10" style="51" customWidth="1"/>
    <col min="4590" max="4591" width="8.6640625" style="51" customWidth="1"/>
    <col min="4592" max="4593" width="7.6640625" style="51" customWidth="1"/>
    <col min="4594" max="4594" width="8.6640625" style="51" customWidth="1"/>
    <col min="4595" max="4598" width="7.6640625" style="51" customWidth="1"/>
    <col min="4599" max="4599" width="10" style="51" customWidth="1"/>
    <col min="4600" max="4605" width="8.44140625" style="51" customWidth="1"/>
    <col min="4606" max="4606" width="8" style="51" customWidth="1"/>
    <col min="4607" max="4607" width="9" style="51" customWidth="1"/>
    <col min="4608" max="4608" width="8.44140625" style="51" customWidth="1"/>
    <col min="4609" max="4842" width="9.109375" style="51"/>
    <col min="4843" max="4843" width="4.88671875" style="51" customWidth="1"/>
    <col min="4844" max="4844" width="41.88671875" style="51" customWidth="1"/>
    <col min="4845" max="4845" width="10" style="51" customWidth="1"/>
    <col min="4846" max="4847" width="8.6640625" style="51" customWidth="1"/>
    <col min="4848" max="4849" width="7.6640625" style="51" customWidth="1"/>
    <col min="4850" max="4850" width="8.6640625" style="51" customWidth="1"/>
    <col min="4851" max="4854" width="7.6640625" style="51" customWidth="1"/>
    <col min="4855" max="4855" width="10" style="51" customWidth="1"/>
    <col min="4856" max="4861" width="8.44140625" style="51" customWidth="1"/>
    <col min="4862" max="4862" width="8" style="51" customWidth="1"/>
    <col min="4863" max="4863" width="9" style="51" customWidth="1"/>
    <col min="4864" max="4864" width="8.44140625" style="51" customWidth="1"/>
    <col min="4865" max="5098" width="9.109375" style="51"/>
    <col min="5099" max="5099" width="4.88671875" style="51" customWidth="1"/>
    <col min="5100" max="5100" width="41.88671875" style="51" customWidth="1"/>
    <col min="5101" max="5101" width="10" style="51" customWidth="1"/>
    <col min="5102" max="5103" width="8.6640625" style="51" customWidth="1"/>
    <col min="5104" max="5105" width="7.6640625" style="51" customWidth="1"/>
    <col min="5106" max="5106" width="8.6640625" style="51" customWidth="1"/>
    <col min="5107" max="5110" width="7.6640625" style="51" customWidth="1"/>
    <col min="5111" max="5111" width="10" style="51" customWidth="1"/>
    <col min="5112" max="5117" width="8.44140625" style="51" customWidth="1"/>
    <col min="5118" max="5118" width="8" style="51" customWidth="1"/>
    <col min="5119" max="5119" width="9" style="51" customWidth="1"/>
    <col min="5120" max="5120" width="8.44140625" style="51" customWidth="1"/>
    <col min="5121" max="5354" width="9.109375" style="51"/>
    <col min="5355" max="5355" width="4.88671875" style="51" customWidth="1"/>
    <col min="5356" max="5356" width="41.88671875" style="51" customWidth="1"/>
    <col min="5357" max="5357" width="10" style="51" customWidth="1"/>
    <col min="5358" max="5359" width="8.6640625" style="51" customWidth="1"/>
    <col min="5360" max="5361" width="7.6640625" style="51" customWidth="1"/>
    <col min="5362" max="5362" width="8.6640625" style="51" customWidth="1"/>
    <col min="5363" max="5366" width="7.6640625" style="51" customWidth="1"/>
    <col min="5367" max="5367" width="10" style="51" customWidth="1"/>
    <col min="5368" max="5373" width="8.44140625" style="51" customWidth="1"/>
    <col min="5374" max="5374" width="8" style="51" customWidth="1"/>
    <col min="5375" max="5375" width="9" style="51" customWidth="1"/>
    <col min="5376" max="5376" width="8.44140625" style="51" customWidth="1"/>
    <col min="5377" max="5610" width="9.109375" style="51"/>
    <col min="5611" max="5611" width="4.88671875" style="51" customWidth="1"/>
    <col min="5612" max="5612" width="41.88671875" style="51" customWidth="1"/>
    <col min="5613" max="5613" width="10" style="51" customWidth="1"/>
    <col min="5614" max="5615" width="8.6640625" style="51" customWidth="1"/>
    <col min="5616" max="5617" width="7.6640625" style="51" customWidth="1"/>
    <col min="5618" max="5618" width="8.6640625" style="51" customWidth="1"/>
    <col min="5619" max="5622" width="7.6640625" style="51" customWidth="1"/>
    <col min="5623" max="5623" width="10" style="51" customWidth="1"/>
    <col min="5624" max="5629" width="8.44140625" style="51" customWidth="1"/>
    <col min="5630" max="5630" width="8" style="51" customWidth="1"/>
    <col min="5631" max="5631" width="9" style="51" customWidth="1"/>
    <col min="5632" max="5632" width="8.44140625" style="51" customWidth="1"/>
    <col min="5633" max="5866" width="9.109375" style="51"/>
    <col min="5867" max="5867" width="4.88671875" style="51" customWidth="1"/>
    <col min="5868" max="5868" width="41.88671875" style="51" customWidth="1"/>
    <col min="5869" max="5869" width="10" style="51" customWidth="1"/>
    <col min="5870" max="5871" width="8.6640625" style="51" customWidth="1"/>
    <col min="5872" max="5873" width="7.6640625" style="51" customWidth="1"/>
    <col min="5874" max="5874" width="8.6640625" style="51" customWidth="1"/>
    <col min="5875" max="5878" width="7.6640625" style="51" customWidth="1"/>
    <col min="5879" max="5879" width="10" style="51" customWidth="1"/>
    <col min="5880" max="5885" width="8.44140625" style="51" customWidth="1"/>
    <col min="5886" max="5886" width="8" style="51" customWidth="1"/>
    <col min="5887" max="5887" width="9" style="51" customWidth="1"/>
    <col min="5888" max="5888" width="8.44140625" style="51" customWidth="1"/>
    <col min="5889" max="6122" width="9.109375" style="51"/>
    <col min="6123" max="6123" width="4.88671875" style="51" customWidth="1"/>
    <col min="6124" max="6124" width="41.88671875" style="51" customWidth="1"/>
    <col min="6125" max="6125" width="10" style="51" customWidth="1"/>
    <col min="6126" max="6127" width="8.6640625" style="51" customWidth="1"/>
    <col min="6128" max="6129" width="7.6640625" style="51" customWidth="1"/>
    <col min="6130" max="6130" width="8.6640625" style="51" customWidth="1"/>
    <col min="6131" max="6134" width="7.6640625" style="51" customWidth="1"/>
    <col min="6135" max="6135" width="10" style="51" customWidth="1"/>
    <col min="6136" max="6141" width="8.44140625" style="51" customWidth="1"/>
    <col min="6142" max="6142" width="8" style="51" customWidth="1"/>
    <col min="6143" max="6143" width="9" style="51" customWidth="1"/>
    <col min="6144" max="6144" width="8.44140625" style="51" customWidth="1"/>
    <col min="6145" max="6378" width="9.109375" style="51"/>
    <col min="6379" max="6379" width="4.88671875" style="51" customWidth="1"/>
    <col min="6380" max="6380" width="41.88671875" style="51" customWidth="1"/>
    <col min="6381" max="6381" width="10" style="51" customWidth="1"/>
    <col min="6382" max="6383" width="8.6640625" style="51" customWidth="1"/>
    <col min="6384" max="6385" width="7.6640625" style="51" customWidth="1"/>
    <col min="6386" max="6386" width="8.6640625" style="51" customWidth="1"/>
    <col min="6387" max="6390" width="7.6640625" style="51" customWidth="1"/>
    <col min="6391" max="6391" width="10" style="51" customWidth="1"/>
    <col min="6392" max="6397" width="8.44140625" style="51" customWidth="1"/>
    <col min="6398" max="6398" width="8" style="51" customWidth="1"/>
    <col min="6399" max="6399" width="9" style="51" customWidth="1"/>
    <col min="6400" max="6400" width="8.44140625" style="51" customWidth="1"/>
    <col min="6401" max="6634" width="9.109375" style="51"/>
    <col min="6635" max="6635" width="4.88671875" style="51" customWidth="1"/>
    <col min="6636" max="6636" width="41.88671875" style="51" customWidth="1"/>
    <col min="6637" max="6637" width="10" style="51" customWidth="1"/>
    <col min="6638" max="6639" width="8.6640625" style="51" customWidth="1"/>
    <col min="6640" max="6641" width="7.6640625" style="51" customWidth="1"/>
    <col min="6642" max="6642" width="8.6640625" style="51" customWidth="1"/>
    <col min="6643" max="6646" width="7.6640625" style="51" customWidth="1"/>
    <col min="6647" max="6647" width="10" style="51" customWidth="1"/>
    <col min="6648" max="6653" width="8.44140625" style="51" customWidth="1"/>
    <col min="6654" max="6654" width="8" style="51" customWidth="1"/>
    <col min="6655" max="6655" width="9" style="51" customWidth="1"/>
    <col min="6656" max="6656" width="8.44140625" style="51" customWidth="1"/>
    <col min="6657" max="6890" width="9.109375" style="51"/>
    <col min="6891" max="6891" width="4.88671875" style="51" customWidth="1"/>
    <col min="6892" max="6892" width="41.88671875" style="51" customWidth="1"/>
    <col min="6893" max="6893" width="10" style="51" customWidth="1"/>
    <col min="6894" max="6895" width="8.6640625" style="51" customWidth="1"/>
    <col min="6896" max="6897" width="7.6640625" style="51" customWidth="1"/>
    <col min="6898" max="6898" width="8.6640625" style="51" customWidth="1"/>
    <col min="6899" max="6902" width="7.6640625" style="51" customWidth="1"/>
    <col min="6903" max="6903" width="10" style="51" customWidth="1"/>
    <col min="6904" max="6909" width="8.44140625" style="51" customWidth="1"/>
    <col min="6910" max="6910" width="8" style="51" customWidth="1"/>
    <col min="6911" max="6911" width="9" style="51" customWidth="1"/>
    <col min="6912" max="6912" width="8.44140625" style="51" customWidth="1"/>
    <col min="6913" max="7146" width="9.109375" style="51"/>
    <col min="7147" max="7147" width="4.88671875" style="51" customWidth="1"/>
    <col min="7148" max="7148" width="41.88671875" style="51" customWidth="1"/>
    <col min="7149" max="7149" width="10" style="51" customWidth="1"/>
    <col min="7150" max="7151" width="8.6640625" style="51" customWidth="1"/>
    <col min="7152" max="7153" width="7.6640625" style="51" customWidth="1"/>
    <col min="7154" max="7154" width="8.6640625" style="51" customWidth="1"/>
    <col min="7155" max="7158" width="7.6640625" style="51" customWidth="1"/>
    <col min="7159" max="7159" width="10" style="51" customWidth="1"/>
    <col min="7160" max="7165" width="8.44140625" style="51" customWidth="1"/>
    <col min="7166" max="7166" width="8" style="51" customWidth="1"/>
    <col min="7167" max="7167" width="9" style="51" customWidth="1"/>
    <col min="7168" max="7168" width="8.44140625" style="51" customWidth="1"/>
    <col min="7169" max="7402" width="9.109375" style="51"/>
    <col min="7403" max="7403" width="4.88671875" style="51" customWidth="1"/>
    <col min="7404" max="7404" width="41.88671875" style="51" customWidth="1"/>
    <col min="7405" max="7405" width="10" style="51" customWidth="1"/>
    <col min="7406" max="7407" width="8.6640625" style="51" customWidth="1"/>
    <col min="7408" max="7409" width="7.6640625" style="51" customWidth="1"/>
    <col min="7410" max="7410" width="8.6640625" style="51" customWidth="1"/>
    <col min="7411" max="7414" width="7.6640625" style="51" customWidth="1"/>
    <col min="7415" max="7415" width="10" style="51" customWidth="1"/>
    <col min="7416" max="7421" width="8.44140625" style="51" customWidth="1"/>
    <col min="7422" max="7422" width="8" style="51" customWidth="1"/>
    <col min="7423" max="7423" width="9" style="51" customWidth="1"/>
    <col min="7424" max="7424" width="8.44140625" style="51" customWidth="1"/>
    <col min="7425" max="7658" width="9.109375" style="51"/>
    <col min="7659" max="7659" width="4.88671875" style="51" customWidth="1"/>
    <col min="7660" max="7660" width="41.88671875" style="51" customWidth="1"/>
    <col min="7661" max="7661" width="10" style="51" customWidth="1"/>
    <col min="7662" max="7663" width="8.6640625" style="51" customWidth="1"/>
    <col min="7664" max="7665" width="7.6640625" style="51" customWidth="1"/>
    <col min="7666" max="7666" width="8.6640625" style="51" customWidth="1"/>
    <col min="7667" max="7670" width="7.6640625" style="51" customWidth="1"/>
    <col min="7671" max="7671" width="10" style="51" customWidth="1"/>
    <col min="7672" max="7677" width="8.44140625" style="51" customWidth="1"/>
    <col min="7678" max="7678" width="8" style="51" customWidth="1"/>
    <col min="7679" max="7679" width="9" style="51" customWidth="1"/>
    <col min="7680" max="7680" width="8.44140625" style="51" customWidth="1"/>
    <col min="7681" max="7914" width="9.109375" style="51"/>
    <col min="7915" max="7915" width="4.88671875" style="51" customWidth="1"/>
    <col min="7916" max="7916" width="41.88671875" style="51" customWidth="1"/>
    <col min="7917" max="7917" width="10" style="51" customWidth="1"/>
    <col min="7918" max="7919" width="8.6640625" style="51" customWidth="1"/>
    <col min="7920" max="7921" width="7.6640625" style="51" customWidth="1"/>
    <col min="7922" max="7922" width="8.6640625" style="51" customWidth="1"/>
    <col min="7923" max="7926" width="7.6640625" style="51" customWidth="1"/>
    <col min="7927" max="7927" width="10" style="51" customWidth="1"/>
    <col min="7928" max="7933" width="8.44140625" style="51" customWidth="1"/>
    <col min="7934" max="7934" width="8" style="51" customWidth="1"/>
    <col min="7935" max="7935" width="9" style="51" customWidth="1"/>
    <col min="7936" max="7936" width="8.44140625" style="51" customWidth="1"/>
    <col min="7937" max="8170" width="9.109375" style="51"/>
    <col min="8171" max="8171" width="4.88671875" style="51" customWidth="1"/>
    <col min="8172" max="8172" width="41.88671875" style="51" customWidth="1"/>
    <col min="8173" max="8173" width="10" style="51" customWidth="1"/>
    <col min="8174" max="8175" width="8.6640625" style="51" customWidth="1"/>
    <col min="8176" max="8177" width="7.6640625" style="51" customWidth="1"/>
    <col min="8178" max="8178" width="8.6640625" style="51" customWidth="1"/>
    <col min="8179" max="8182" width="7.6640625" style="51" customWidth="1"/>
    <col min="8183" max="8183" width="10" style="51" customWidth="1"/>
    <col min="8184" max="8189" width="8.44140625" style="51" customWidth="1"/>
    <col min="8190" max="8190" width="8" style="51" customWidth="1"/>
    <col min="8191" max="8191" width="9" style="51" customWidth="1"/>
    <col min="8192" max="8192" width="8.44140625" style="51" customWidth="1"/>
    <col min="8193" max="8426" width="9.109375" style="51"/>
    <col min="8427" max="8427" width="4.88671875" style="51" customWidth="1"/>
    <col min="8428" max="8428" width="41.88671875" style="51" customWidth="1"/>
    <col min="8429" max="8429" width="10" style="51" customWidth="1"/>
    <col min="8430" max="8431" width="8.6640625" style="51" customWidth="1"/>
    <col min="8432" max="8433" width="7.6640625" style="51" customWidth="1"/>
    <col min="8434" max="8434" width="8.6640625" style="51" customWidth="1"/>
    <col min="8435" max="8438" width="7.6640625" style="51" customWidth="1"/>
    <col min="8439" max="8439" width="10" style="51" customWidth="1"/>
    <col min="8440" max="8445" width="8.44140625" style="51" customWidth="1"/>
    <col min="8446" max="8446" width="8" style="51" customWidth="1"/>
    <col min="8447" max="8447" width="9" style="51" customWidth="1"/>
    <col min="8448" max="8448" width="8.44140625" style="51" customWidth="1"/>
    <col min="8449" max="8682" width="9.109375" style="51"/>
    <col min="8683" max="8683" width="4.88671875" style="51" customWidth="1"/>
    <col min="8684" max="8684" width="41.88671875" style="51" customWidth="1"/>
    <col min="8685" max="8685" width="10" style="51" customWidth="1"/>
    <col min="8686" max="8687" width="8.6640625" style="51" customWidth="1"/>
    <col min="8688" max="8689" width="7.6640625" style="51" customWidth="1"/>
    <col min="8690" max="8690" width="8.6640625" style="51" customWidth="1"/>
    <col min="8691" max="8694" width="7.6640625" style="51" customWidth="1"/>
    <col min="8695" max="8695" width="10" style="51" customWidth="1"/>
    <col min="8696" max="8701" width="8.44140625" style="51" customWidth="1"/>
    <col min="8702" max="8702" width="8" style="51" customWidth="1"/>
    <col min="8703" max="8703" width="9" style="51" customWidth="1"/>
    <col min="8704" max="8704" width="8.44140625" style="51" customWidth="1"/>
    <col min="8705" max="8938" width="9.109375" style="51"/>
    <col min="8939" max="8939" width="4.88671875" style="51" customWidth="1"/>
    <col min="8940" max="8940" width="41.88671875" style="51" customWidth="1"/>
    <col min="8941" max="8941" width="10" style="51" customWidth="1"/>
    <col min="8942" max="8943" width="8.6640625" style="51" customWidth="1"/>
    <col min="8944" max="8945" width="7.6640625" style="51" customWidth="1"/>
    <col min="8946" max="8946" width="8.6640625" style="51" customWidth="1"/>
    <col min="8947" max="8950" width="7.6640625" style="51" customWidth="1"/>
    <col min="8951" max="8951" width="10" style="51" customWidth="1"/>
    <col min="8952" max="8957" width="8.44140625" style="51" customWidth="1"/>
    <col min="8958" max="8958" width="8" style="51" customWidth="1"/>
    <col min="8959" max="8959" width="9" style="51" customWidth="1"/>
    <col min="8960" max="8960" width="8.44140625" style="51" customWidth="1"/>
    <col min="8961" max="9194" width="9.109375" style="51"/>
    <col min="9195" max="9195" width="4.88671875" style="51" customWidth="1"/>
    <col min="9196" max="9196" width="41.88671875" style="51" customWidth="1"/>
    <col min="9197" max="9197" width="10" style="51" customWidth="1"/>
    <col min="9198" max="9199" width="8.6640625" style="51" customWidth="1"/>
    <col min="9200" max="9201" width="7.6640625" style="51" customWidth="1"/>
    <col min="9202" max="9202" width="8.6640625" style="51" customWidth="1"/>
    <col min="9203" max="9206" width="7.6640625" style="51" customWidth="1"/>
    <col min="9207" max="9207" width="10" style="51" customWidth="1"/>
    <col min="9208" max="9213" width="8.44140625" style="51" customWidth="1"/>
    <col min="9214" max="9214" width="8" style="51" customWidth="1"/>
    <col min="9215" max="9215" width="9" style="51" customWidth="1"/>
    <col min="9216" max="9216" width="8.44140625" style="51" customWidth="1"/>
    <col min="9217" max="9450" width="9.109375" style="51"/>
    <col min="9451" max="9451" width="4.88671875" style="51" customWidth="1"/>
    <col min="9452" max="9452" width="41.88671875" style="51" customWidth="1"/>
    <col min="9453" max="9453" width="10" style="51" customWidth="1"/>
    <col min="9454" max="9455" width="8.6640625" style="51" customWidth="1"/>
    <col min="9456" max="9457" width="7.6640625" style="51" customWidth="1"/>
    <col min="9458" max="9458" width="8.6640625" style="51" customWidth="1"/>
    <col min="9459" max="9462" width="7.6640625" style="51" customWidth="1"/>
    <col min="9463" max="9463" width="10" style="51" customWidth="1"/>
    <col min="9464" max="9469" width="8.44140625" style="51" customWidth="1"/>
    <col min="9470" max="9470" width="8" style="51" customWidth="1"/>
    <col min="9471" max="9471" width="9" style="51" customWidth="1"/>
    <col min="9472" max="9472" width="8.44140625" style="51" customWidth="1"/>
    <col min="9473" max="9706" width="9.109375" style="51"/>
    <col min="9707" max="9707" width="4.88671875" style="51" customWidth="1"/>
    <col min="9708" max="9708" width="41.88671875" style="51" customWidth="1"/>
    <col min="9709" max="9709" width="10" style="51" customWidth="1"/>
    <col min="9710" max="9711" width="8.6640625" style="51" customWidth="1"/>
    <col min="9712" max="9713" width="7.6640625" style="51" customWidth="1"/>
    <col min="9714" max="9714" width="8.6640625" style="51" customWidth="1"/>
    <col min="9715" max="9718" width="7.6640625" style="51" customWidth="1"/>
    <col min="9719" max="9719" width="10" style="51" customWidth="1"/>
    <col min="9720" max="9725" width="8.44140625" style="51" customWidth="1"/>
    <col min="9726" max="9726" width="8" style="51" customWidth="1"/>
    <col min="9727" max="9727" width="9" style="51" customWidth="1"/>
    <col min="9728" max="9728" width="8.44140625" style="51" customWidth="1"/>
    <col min="9729" max="9962" width="9.109375" style="51"/>
    <col min="9963" max="9963" width="4.88671875" style="51" customWidth="1"/>
    <col min="9964" max="9964" width="41.88671875" style="51" customWidth="1"/>
    <col min="9965" max="9965" width="10" style="51" customWidth="1"/>
    <col min="9966" max="9967" width="8.6640625" style="51" customWidth="1"/>
    <col min="9968" max="9969" width="7.6640625" style="51" customWidth="1"/>
    <col min="9970" max="9970" width="8.6640625" style="51" customWidth="1"/>
    <col min="9971" max="9974" width="7.6640625" style="51" customWidth="1"/>
    <col min="9975" max="9975" width="10" style="51" customWidth="1"/>
    <col min="9976" max="9981" width="8.44140625" style="51" customWidth="1"/>
    <col min="9982" max="9982" width="8" style="51" customWidth="1"/>
    <col min="9983" max="9983" width="9" style="51" customWidth="1"/>
    <col min="9984" max="9984" width="8.44140625" style="51" customWidth="1"/>
    <col min="9985" max="10218" width="9.109375" style="51"/>
    <col min="10219" max="10219" width="4.88671875" style="51" customWidth="1"/>
    <col min="10220" max="10220" width="41.88671875" style="51" customWidth="1"/>
    <col min="10221" max="10221" width="10" style="51" customWidth="1"/>
    <col min="10222" max="10223" width="8.6640625" style="51" customWidth="1"/>
    <col min="10224" max="10225" width="7.6640625" style="51" customWidth="1"/>
    <col min="10226" max="10226" width="8.6640625" style="51" customWidth="1"/>
    <col min="10227" max="10230" width="7.6640625" style="51" customWidth="1"/>
    <col min="10231" max="10231" width="10" style="51" customWidth="1"/>
    <col min="10232" max="10237" width="8.44140625" style="51" customWidth="1"/>
    <col min="10238" max="10238" width="8" style="51" customWidth="1"/>
    <col min="10239" max="10239" width="9" style="51" customWidth="1"/>
    <col min="10240" max="10240" width="8.44140625" style="51" customWidth="1"/>
    <col min="10241" max="10474" width="9.109375" style="51"/>
    <col min="10475" max="10475" width="4.88671875" style="51" customWidth="1"/>
    <col min="10476" max="10476" width="41.88671875" style="51" customWidth="1"/>
    <col min="10477" max="10477" width="10" style="51" customWidth="1"/>
    <col min="10478" max="10479" width="8.6640625" style="51" customWidth="1"/>
    <col min="10480" max="10481" width="7.6640625" style="51" customWidth="1"/>
    <col min="10482" max="10482" width="8.6640625" style="51" customWidth="1"/>
    <col min="10483" max="10486" width="7.6640625" style="51" customWidth="1"/>
    <col min="10487" max="10487" width="10" style="51" customWidth="1"/>
    <col min="10488" max="10493" width="8.44140625" style="51" customWidth="1"/>
    <col min="10494" max="10494" width="8" style="51" customWidth="1"/>
    <col min="10495" max="10495" width="9" style="51" customWidth="1"/>
    <col min="10496" max="10496" width="8.44140625" style="51" customWidth="1"/>
    <col min="10497" max="10730" width="9.109375" style="51"/>
    <col min="10731" max="10731" width="4.88671875" style="51" customWidth="1"/>
    <col min="10732" max="10732" width="41.88671875" style="51" customWidth="1"/>
    <col min="10733" max="10733" width="10" style="51" customWidth="1"/>
    <col min="10734" max="10735" width="8.6640625" style="51" customWidth="1"/>
    <col min="10736" max="10737" width="7.6640625" style="51" customWidth="1"/>
    <col min="10738" max="10738" width="8.6640625" style="51" customWidth="1"/>
    <col min="10739" max="10742" width="7.6640625" style="51" customWidth="1"/>
    <col min="10743" max="10743" width="10" style="51" customWidth="1"/>
    <col min="10744" max="10749" width="8.44140625" style="51" customWidth="1"/>
    <col min="10750" max="10750" width="8" style="51" customWidth="1"/>
    <col min="10751" max="10751" width="9" style="51" customWidth="1"/>
    <col min="10752" max="10752" width="8.44140625" style="51" customWidth="1"/>
    <col min="10753" max="10986" width="9.109375" style="51"/>
    <col min="10987" max="10987" width="4.88671875" style="51" customWidth="1"/>
    <col min="10988" max="10988" width="41.88671875" style="51" customWidth="1"/>
    <col min="10989" max="10989" width="10" style="51" customWidth="1"/>
    <col min="10990" max="10991" width="8.6640625" style="51" customWidth="1"/>
    <col min="10992" max="10993" width="7.6640625" style="51" customWidth="1"/>
    <col min="10994" max="10994" width="8.6640625" style="51" customWidth="1"/>
    <col min="10995" max="10998" width="7.6640625" style="51" customWidth="1"/>
    <col min="10999" max="10999" width="10" style="51" customWidth="1"/>
    <col min="11000" max="11005" width="8.44140625" style="51" customWidth="1"/>
    <col min="11006" max="11006" width="8" style="51" customWidth="1"/>
    <col min="11007" max="11007" width="9" style="51" customWidth="1"/>
    <col min="11008" max="11008" width="8.44140625" style="51" customWidth="1"/>
    <col min="11009" max="11242" width="9.109375" style="51"/>
    <col min="11243" max="11243" width="4.88671875" style="51" customWidth="1"/>
    <col min="11244" max="11244" width="41.88671875" style="51" customWidth="1"/>
    <col min="11245" max="11245" width="10" style="51" customWidth="1"/>
    <col min="11246" max="11247" width="8.6640625" style="51" customWidth="1"/>
    <col min="11248" max="11249" width="7.6640625" style="51" customWidth="1"/>
    <col min="11250" max="11250" width="8.6640625" style="51" customWidth="1"/>
    <col min="11251" max="11254" width="7.6640625" style="51" customWidth="1"/>
    <col min="11255" max="11255" width="10" style="51" customWidth="1"/>
    <col min="11256" max="11261" width="8.44140625" style="51" customWidth="1"/>
    <col min="11262" max="11262" width="8" style="51" customWidth="1"/>
    <col min="11263" max="11263" width="9" style="51" customWidth="1"/>
    <col min="11264" max="11264" width="8.44140625" style="51" customWidth="1"/>
    <col min="11265" max="11498" width="9.109375" style="51"/>
    <col min="11499" max="11499" width="4.88671875" style="51" customWidth="1"/>
    <col min="11500" max="11500" width="41.88671875" style="51" customWidth="1"/>
    <col min="11501" max="11501" width="10" style="51" customWidth="1"/>
    <col min="11502" max="11503" width="8.6640625" style="51" customWidth="1"/>
    <col min="11504" max="11505" width="7.6640625" style="51" customWidth="1"/>
    <col min="11506" max="11506" width="8.6640625" style="51" customWidth="1"/>
    <col min="11507" max="11510" width="7.6640625" style="51" customWidth="1"/>
    <col min="11511" max="11511" width="10" style="51" customWidth="1"/>
    <col min="11512" max="11517" width="8.44140625" style="51" customWidth="1"/>
    <col min="11518" max="11518" width="8" style="51" customWidth="1"/>
    <col min="11519" max="11519" width="9" style="51" customWidth="1"/>
    <col min="11520" max="11520" width="8.44140625" style="51" customWidth="1"/>
    <col min="11521" max="11754" width="9.109375" style="51"/>
    <col min="11755" max="11755" width="4.88671875" style="51" customWidth="1"/>
    <col min="11756" max="11756" width="41.88671875" style="51" customWidth="1"/>
    <col min="11757" max="11757" width="10" style="51" customWidth="1"/>
    <col min="11758" max="11759" width="8.6640625" style="51" customWidth="1"/>
    <col min="11760" max="11761" width="7.6640625" style="51" customWidth="1"/>
    <col min="11762" max="11762" width="8.6640625" style="51" customWidth="1"/>
    <col min="11763" max="11766" width="7.6640625" style="51" customWidth="1"/>
    <col min="11767" max="11767" width="10" style="51" customWidth="1"/>
    <col min="11768" max="11773" width="8.44140625" style="51" customWidth="1"/>
    <col min="11774" max="11774" width="8" style="51" customWidth="1"/>
    <col min="11775" max="11775" width="9" style="51" customWidth="1"/>
    <col min="11776" max="11776" width="8.44140625" style="51" customWidth="1"/>
    <col min="11777" max="12010" width="9.109375" style="51"/>
    <col min="12011" max="12011" width="4.88671875" style="51" customWidth="1"/>
    <col min="12012" max="12012" width="41.88671875" style="51" customWidth="1"/>
    <col min="12013" max="12013" width="10" style="51" customWidth="1"/>
    <col min="12014" max="12015" width="8.6640625" style="51" customWidth="1"/>
    <col min="12016" max="12017" width="7.6640625" style="51" customWidth="1"/>
    <col min="12018" max="12018" width="8.6640625" style="51" customWidth="1"/>
    <col min="12019" max="12022" width="7.6640625" style="51" customWidth="1"/>
    <col min="12023" max="12023" width="10" style="51" customWidth="1"/>
    <col min="12024" max="12029" width="8.44140625" style="51" customWidth="1"/>
    <col min="12030" max="12030" width="8" style="51" customWidth="1"/>
    <col min="12031" max="12031" width="9" style="51" customWidth="1"/>
    <col min="12032" max="12032" width="8.44140625" style="51" customWidth="1"/>
    <col min="12033" max="12266" width="9.109375" style="51"/>
    <col min="12267" max="12267" width="4.88671875" style="51" customWidth="1"/>
    <col min="12268" max="12268" width="41.88671875" style="51" customWidth="1"/>
    <col min="12269" max="12269" width="10" style="51" customWidth="1"/>
    <col min="12270" max="12271" width="8.6640625" style="51" customWidth="1"/>
    <col min="12272" max="12273" width="7.6640625" style="51" customWidth="1"/>
    <col min="12274" max="12274" width="8.6640625" style="51" customWidth="1"/>
    <col min="12275" max="12278" width="7.6640625" style="51" customWidth="1"/>
    <col min="12279" max="12279" width="10" style="51" customWidth="1"/>
    <col min="12280" max="12285" width="8.44140625" style="51" customWidth="1"/>
    <col min="12286" max="12286" width="8" style="51" customWidth="1"/>
    <col min="12287" max="12287" width="9" style="51" customWidth="1"/>
    <col min="12288" max="12288" width="8.44140625" style="51" customWidth="1"/>
    <col min="12289" max="12522" width="9.109375" style="51"/>
    <col min="12523" max="12523" width="4.88671875" style="51" customWidth="1"/>
    <col min="12524" max="12524" width="41.88671875" style="51" customWidth="1"/>
    <col min="12525" max="12525" width="10" style="51" customWidth="1"/>
    <col min="12526" max="12527" width="8.6640625" style="51" customWidth="1"/>
    <col min="12528" max="12529" width="7.6640625" style="51" customWidth="1"/>
    <col min="12530" max="12530" width="8.6640625" style="51" customWidth="1"/>
    <col min="12531" max="12534" width="7.6640625" style="51" customWidth="1"/>
    <col min="12535" max="12535" width="10" style="51" customWidth="1"/>
    <col min="12536" max="12541" width="8.44140625" style="51" customWidth="1"/>
    <col min="12542" max="12542" width="8" style="51" customWidth="1"/>
    <col min="12543" max="12543" width="9" style="51" customWidth="1"/>
    <col min="12544" max="12544" width="8.44140625" style="51" customWidth="1"/>
    <col min="12545" max="12778" width="9.109375" style="51"/>
    <col min="12779" max="12779" width="4.88671875" style="51" customWidth="1"/>
    <col min="12780" max="12780" width="41.88671875" style="51" customWidth="1"/>
    <col min="12781" max="12781" width="10" style="51" customWidth="1"/>
    <col min="12782" max="12783" width="8.6640625" style="51" customWidth="1"/>
    <col min="12784" max="12785" width="7.6640625" style="51" customWidth="1"/>
    <col min="12786" max="12786" width="8.6640625" style="51" customWidth="1"/>
    <col min="12787" max="12790" width="7.6640625" style="51" customWidth="1"/>
    <col min="12791" max="12791" width="10" style="51" customWidth="1"/>
    <col min="12792" max="12797" width="8.44140625" style="51" customWidth="1"/>
    <col min="12798" max="12798" width="8" style="51" customWidth="1"/>
    <col min="12799" max="12799" width="9" style="51" customWidth="1"/>
    <col min="12800" max="12800" width="8.44140625" style="51" customWidth="1"/>
    <col min="12801" max="13034" width="9.109375" style="51"/>
    <col min="13035" max="13035" width="4.88671875" style="51" customWidth="1"/>
    <col min="13036" max="13036" width="41.88671875" style="51" customWidth="1"/>
    <col min="13037" max="13037" width="10" style="51" customWidth="1"/>
    <col min="13038" max="13039" width="8.6640625" style="51" customWidth="1"/>
    <col min="13040" max="13041" width="7.6640625" style="51" customWidth="1"/>
    <col min="13042" max="13042" width="8.6640625" style="51" customWidth="1"/>
    <col min="13043" max="13046" width="7.6640625" style="51" customWidth="1"/>
    <col min="13047" max="13047" width="10" style="51" customWidth="1"/>
    <col min="13048" max="13053" width="8.44140625" style="51" customWidth="1"/>
    <col min="13054" max="13054" width="8" style="51" customWidth="1"/>
    <col min="13055" max="13055" width="9" style="51" customWidth="1"/>
    <col min="13056" max="13056" width="8.44140625" style="51" customWidth="1"/>
    <col min="13057" max="13290" width="9.109375" style="51"/>
    <col min="13291" max="13291" width="4.88671875" style="51" customWidth="1"/>
    <col min="13292" max="13292" width="41.88671875" style="51" customWidth="1"/>
    <col min="13293" max="13293" width="10" style="51" customWidth="1"/>
    <col min="13294" max="13295" width="8.6640625" style="51" customWidth="1"/>
    <col min="13296" max="13297" width="7.6640625" style="51" customWidth="1"/>
    <col min="13298" max="13298" width="8.6640625" style="51" customWidth="1"/>
    <col min="13299" max="13302" width="7.6640625" style="51" customWidth="1"/>
    <col min="13303" max="13303" width="10" style="51" customWidth="1"/>
    <col min="13304" max="13309" width="8.44140625" style="51" customWidth="1"/>
    <col min="13310" max="13310" width="8" style="51" customWidth="1"/>
    <col min="13311" max="13311" width="9" style="51" customWidth="1"/>
    <col min="13312" max="13312" width="8.44140625" style="51" customWidth="1"/>
    <col min="13313" max="13546" width="9.109375" style="51"/>
    <col min="13547" max="13547" width="4.88671875" style="51" customWidth="1"/>
    <col min="13548" max="13548" width="41.88671875" style="51" customWidth="1"/>
    <col min="13549" max="13549" width="10" style="51" customWidth="1"/>
    <col min="13550" max="13551" width="8.6640625" style="51" customWidth="1"/>
    <col min="13552" max="13553" width="7.6640625" style="51" customWidth="1"/>
    <col min="13554" max="13554" width="8.6640625" style="51" customWidth="1"/>
    <col min="13555" max="13558" width="7.6640625" style="51" customWidth="1"/>
    <col min="13559" max="13559" width="10" style="51" customWidth="1"/>
    <col min="13560" max="13565" width="8.44140625" style="51" customWidth="1"/>
    <col min="13566" max="13566" width="8" style="51" customWidth="1"/>
    <col min="13567" max="13567" width="9" style="51" customWidth="1"/>
    <col min="13568" max="13568" width="8.44140625" style="51" customWidth="1"/>
    <col min="13569" max="13802" width="9.109375" style="51"/>
    <col min="13803" max="13803" width="4.88671875" style="51" customWidth="1"/>
    <col min="13804" max="13804" width="41.88671875" style="51" customWidth="1"/>
    <col min="13805" max="13805" width="10" style="51" customWidth="1"/>
    <col min="13806" max="13807" width="8.6640625" style="51" customWidth="1"/>
    <col min="13808" max="13809" width="7.6640625" style="51" customWidth="1"/>
    <col min="13810" max="13810" width="8.6640625" style="51" customWidth="1"/>
    <col min="13811" max="13814" width="7.6640625" style="51" customWidth="1"/>
    <col min="13815" max="13815" width="10" style="51" customWidth="1"/>
    <col min="13816" max="13821" width="8.44140625" style="51" customWidth="1"/>
    <col min="13822" max="13822" width="8" style="51" customWidth="1"/>
    <col min="13823" max="13823" width="9" style="51" customWidth="1"/>
    <col min="13824" max="13824" width="8.44140625" style="51" customWidth="1"/>
    <col min="13825" max="14058" width="9.109375" style="51"/>
    <col min="14059" max="14059" width="4.88671875" style="51" customWidth="1"/>
    <col min="14060" max="14060" width="41.88671875" style="51" customWidth="1"/>
    <col min="14061" max="14061" width="10" style="51" customWidth="1"/>
    <col min="14062" max="14063" width="8.6640625" style="51" customWidth="1"/>
    <col min="14064" max="14065" width="7.6640625" style="51" customWidth="1"/>
    <col min="14066" max="14066" width="8.6640625" style="51" customWidth="1"/>
    <col min="14067" max="14070" width="7.6640625" style="51" customWidth="1"/>
    <col min="14071" max="14071" width="10" style="51" customWidth="1"/>
    <col min="14072" max="14077" width="8.44140625" style="51" customWidth="1"/>
    <col min="14078" max="14078" width="8" style="51" customWidth="1"/>
    <col min="14079" max="14079" width="9" style="51" customWidth="1"/>
    <col min="14080" max="14080" width="8.44140625" style="51" customWidth="1"/>
    <col min="14081" max="14314" width="9.109375" style="51"/>
    <col min="14315" max="14315" width="4.88671875" style="51" customWidth="1"/>
    <col min="14316" max="14316" width="41.88671875" style="51" customWidth="1"/>
    <col min="14317" max="14317" width="10" style="51" customWidth="1"/>
    <col min="14318" max="14319" width="8.6640625" style="51" customWidth="1"/>
    <col min="14320" max="14321" width="7.6640625" style="51" customWidth="1"/>
    <col min="14322" max="14322" width="8.6640625" style="51" customWidth="1"/>
    <col min="14323" max="14326" width="7.6640625" style="51" customWidth="1"/>
    <col min="14327" max="14327" width="10" style="51" customWidth="1"/>
    <col min="14328" max="14333" width="8.44140625" style="51" customWidth="1"/>
    <col min="14334" max="14334" width="8" style="51" customWidth="1"/>
    <col min="14335" max="14335" width="9" style="51" customWidth="1"/>
    <col min="14336" max="14336" width="8.44140625" style="51" customWidth="1"/>
    <col min="14337" max="14570" width="9.109375" style="51"/>
    <col min="14571" max="14571" width="4.88671875" style="51" customWidth="1"/>
    <col min="14572" max="14572" width="41.88671875" style="51" customWidth="1"/>
    <col min="14573" max="14573" width="10" style="51" customWidth="1"/>
    <col min="14574" max="14575" width="8.6640625" style="51" customWidth="1"/>
    <col min="14576" max="14577" width="7.6640625" style="51" customWidth="1"/>
    <col min="14578" max="14578" width="8.6640625" style="51" customWidth="1"/>
    <col min="14579" max="14582" width="7.6640625" style="51" customWidth="1"/>
    <col min="14583" max="14583" width="10" style="51" customWidth="1"/>
    <col min="14584" max="14589" width="8.44140625" style="51" customWidth="1"/>
    <col min="14590" max="14590" width="8" style="51" customWidth="1"/>
    <col min="14591" max="14591" width="9" style="51" customWidth="1"/>
    <col min="14592" max="14592" width="8.44140625" style="51" customWidth="1"/>
    <col min="14593" max="14826" width="9.109375" style="51"/>
    <col min="14827" max="14827" width="4.88671875" style="51" customWidth="1"/>
    <col min="14828" max="14828" width="41.88671875" style="51" customWidth="1"/>
    <col min="14829" max="14829" width="10" style="51" customWidth="1"/>
    <col min="14830" max="14831" width="8.6640625" style="51" customWidth="1"/>
    <col min="14832" max="14833" width="7.6640625" style="51" customWidth="1"/>
    <col min="14834" max="14834" width="8.6640625" style="51" customWidth="1"/>
    <col min="14835" max="14838" width="7.6640625" style="51" customWidth="1"/>
    <col min="14839" max="14839" width="10" style="51" customWidth="1"/>
    <col min="14840" max="14845" width="8.44140625" style="51" customWidth="1"/>
    <col min="14846" max="14846" width="8" style="51" customWidth="1"/>
    <col min="14847" max="14847" width="9" style="51" customWidth="1"/>
    <col min="14848" max="14848" width="8.44140625" style="51" customWidth="1"/>
    <col min="14849" max="15082" width="9.109375" style="51"/>
    <col min="15083" max="15083" width="4.88671875" style="51" customWidth="1"/>
    <col min="15084" max="15084" width="41.88671875" style="51" customWidth="1"/>
    <col min="15085" max="15085" width="10" style="51" customWidth="1"/>
    <col min="15086" max="15087" width="8.6640625" style="51" customWidth="1"/>
    <col min="15088" max="15089" width="7.6640625" style="51" customWidth="1"/>
    <col min="15090" max="15090" width="8.6640625" style="51" customWidth="1"/>
    <col min="15091" max="15094" width="7.6640625" style="51" customWidth="1"/>
    <col min="15095" max="15095" width="10" style="51" customWidth="1"/>
    <col min="15096" max="15101" width="8.44140625" style="51" customWidth="1"/>
    <col min="15102" max="15102" width="8" style="51" customWidth="1"/>
    <col min="15103" max="15103" width="9" style="51" customWidth="1"/>
    <col min="15104" max="15104" width="8.44140625" style="51" customWidth="1"/>
    <col min="15105" max="15338" width="9.109375" style="51"/>
    <col min="15339" max="15339" width="4.88671875" style="51" customWidth="1"/>
    <col min="15340" max="15340" width="41.88671875" style="51" customWidth="1"/>
    <col min="15341" max="15341" width="10" style="51" customWidth="1"/>
    <col min="15342" max="15343" width="8.6640625" style="51" customWidth="1"/>
    <col min="15344" max="15345" width="7.6640625" style="51" customWidth="1"/>
    <col min="15346" max="15346" width="8.6640625" style="51" customWidth="1"/>
    <col min="15347" max="15350" width="7.6640625" style="51" customWidth="1"/>
    <col min="15351" max="15351" width="10" style="51" customWidth="1"/>
    <col min="15352" max="15357" width="8.44140625" style="51" customWidth="1"/>
    <col min="15358" max="15358" width="8" style="51" customWidth="1"/>
    <col min="15359" max="15359" width="9" style="51" customWidth="1"/>
    <col min="15360" max="15360" width="8.44140625" style="51" customWidth="1"/>
    <col min="15361" max="15594" width="9.109375" style="51"/>
    <col min="15595" max="15595" width="4.88671875" style="51" customWidth="1"/>
    <col min="15596" max="15596" width="41.88671875" style="51" customWidth="1"/>
    <col min="15597" max="15597" width="10" style="51" customWidth="1"/>
    <col min="15598" max="15599" width="8.6640625" style="51" customWidth="1"/>
    <col min="15600" max="15601" width="7.6640625" style="51" customWidth="1"/>
    <col min="15602" max="15602" width="8.6640625" style="51" customWidth="1"/>
    <col min="15603" max="15606" width="7.6640625" style="51" customWidth="1"/>
    <col min="15607" max="15607" width="10" style="51" customWidth="1"/>
    <col min="15608" max="15613" width="8.44140625" style="51" customWidth="1"/>
    <col min="15614" max="15614" width="8" style="51" customWidth="1"/>
    <col min="15615" max="15615" width="9" style="51" customWidth="1"/>
    <col min="15616" max="15616" width="8.44140625" style="51" customWidth="1"/>
    <col min="15617" max="15850" width="9.109375" style="51"/>
    <col min="15851" max="15851" width="4.88671875" style="51" customWidth="1"/>
    <col min="15852" max="15852" width="41.88671875" style="51" customWidth="1"/>
    <col min="15853" max="15853" width="10" style="51" customWidth="1"/>
    <col min="15854" max="15855" width="8.6640625" style="51" customWidth="1"/>
    <col min="15856" max="15857" width="7.6640625" style="51" customWidth="1"/>
    <col min="15858" max="15858" width="8.6640625" style="51" customWidth="1"/>
    <col min="15859" max="15862" width="7.6640625" style="51" customWidth="1"/>
    <col min="15863" max="15863" width="10" style="51" customWidth="1"/>
    <col min="15864" max="15869" width="8.44140625" style="51" customWidth="1"/>
    <col min="15870" max="15870" width="8" style="51" customWidth="1"/>
    <col min="15871" max="15871" width="9" style="51" customWidth="1"/>
    <col min="15872" max="15872" width="8.44140625" style="51" customWidth="1"/>
    <col min="15873" max="16106" width="9.109375" style="51"/>
    <col min="16107" max="16107" width="4.88671875" style="51" customWidth="1"/>
    <col min="16108" max="16108" width="41.88671875" style="51" customWidth="1"/>
    <col min="16109" max="16109" width="10" style="51" customWidth="1"/>
    <col min="16110" max="16111" width="8.6640625" style="51" customWidth="1"/>
    <col min="16112" max="16113" width="7.6640625" style="51" customWidth="1"/>
    <col min="16114" max="16114" width="8.6640625" style="51" customWidth="1"/>
    <col min="16115" max="16118" width="7.6640625" style="51" customWidth="1"/>
    <col min="16119" max="16119" width="10" style="51" customWidth="1"/>
    <col min="16120" max="16125" width="8.44140625" style="51" customWidth="1"/>
    <col min="16126" max="16126" width="8" style="51" customWidth="1"/>
    <col min="16127" max="16127" width="9" style="51" customWidth="1"/>
    <col min="16128" max="16128" width="8.44140625" style="51" customWidth="1"/>
    <col min="16129" max="16384" width="9.109375" style="51"/>
  </cols>
  <sheetData>
    <row r="1" spans="1:17">
      <c r="C1" s="49"/>
      <c r="D1" s="49"/>
      <c r="E1" s="50"/>
      <c r="F1" s="50"/>
      <c r="G1" s="50"/>
      <c r="H1" s="50"/>
      <c r="I1" s="50"/>
      <c r="J1" s="50"/>
      <c r="K1" s="50"/>
      <c r="L1" s="50"/>
      <c r="M1" s="50"/>
      <c r="N1" s="50"/>
      <c r="O1" s="50"/>
    </row>
    <row r="2" spans="1:17">
      <c r="E2" s="52"/>
      <c r="F2" s="52"/>
      <c r="G2" s="52"/>
      <c r="H2" s="52"/>
      <c r="I2" s="52"/>
      <c r="J2" s="52"/>
      <c r="K2" s="52"/>
      <c r="L2" s="52"/>
      <c r="M2" s="52"/>
      <c r="N2" s="52"/>
      <c r="O2" s="52"/>
    </row>
    <row r="3" spans="1:17" ht="40.5" customHeight="1">
      <c r="A3" s="1746" t="s">
        <v>676</v>
      </c>
      <c r="B3" s="1746"/>
      <c r="C3" s="1746"/>
      <c r="D3" s="1746"/>
      <c r="E3" s="1746"/>
      <c r="F3" s="1746"/>
      <c r="G3" s="1746"/>
      <c r="H3" s="1746"/>
      <c r="I3" s="1746"/>
      <c r="J3" s="1746"/>
      <c r="K3" s="1746"/>
      <c r="L3" s="1746"/>
      <c r="M3" s="1746"/>
      <c r="N3" s="1746"/>
      <c r="O3" s="1746"/>
    </row>
    <row r="4" spans="1:17">
      <c r="B4" s="55"/>
      <c r="F4" s="52"/>
      <c r="G4" s="52"/>
      <c r="H4" s="52"/>
      <c r="I4" s="57"/>
      <c r="J4" s="52"/>
      <c r="K4" s="52"/>
      <c r="L4" s="52"/>
      <c r="M4" s="52" t="s">
        <v>0</v>
      </c>
      <c r="N4" s="52"/>
      <c r="O4" s="52"/>
    </row>
    <row r="5" spans="1:17" s="58" customFormat="1" ht="15.75" customHeight="1">
      <c r="A5" s="1744" t="s">
        <v>1</v>
      </c>
      <c r="B5" s="1745" t="s">
        <v>62</v>
      </c>
      <c r="C5" s="1737" t="s">
        <v>466</v>
      </c>
      <c r="D5" s="1740" t="s">
        <v>65</v>
      </c>
      <c r="E5" s="1741"/>
      <c r="F5" s="1742" t="s">
        <v>4</v>
      </c>
      <c r="G5" s="1737" t="s">
        <v>5</v>
      </c>
      <c r="H5" s="1737" t="s">
        <v>6</v>
      </c>
      <c r="I5" s="1737" t="s">
        <v>7</v>
      </c>
      <c r="J5" s="1737" t="s">
        <v>8</v>
      </c>
      <c r="K5" s="1737" t="s">
        <v>9</v>
      </c>
      <c r="L5" s="1737" t="s">
        <v>66</v>
      </c>
      <c r="M5" s="1737" t="s">
        <v>11</v>
      </c>
      <c r="N5" s="1737" t="s">
        <v>12</v>
      </c>
      <c r="O5" s="1737" t="s">
        <v>13</v>
      </c>
    </row>
    <row r="6" spans="1:17" s="58" customFormat="1" ht="102.75" customHeight="1">
      <c r="A6" s="1744"/>
      <c r="B6" s="1745"/>
      <c r="C6" s="1737"/>
      <c r="D6" s="194" t="s">
        <v>67</v>
      </c>
      <c r="E6" s="194" t="s">
        <v>677</v>
      </c>
      <c r="F6" s="1743"/>
      <c r="G6" s="1737"/>
      <c r="H6" s="1737"/>
      <c r="I6" s="1737"/>
      <c r="J6" s="1737"/>
      <c r="K6" s="1737"/>
      <c r="L6" s="1737"/>
      <c r="M6" s="1737"/>
      <c r="N6" s="1737"/>
      <c r="O6" s="1737"/>
    </row>
    <row r="7" spans="1:17">
      <c r="A7" s="59" t="s">
        <v>14</v>
      </c>
      <c r="B7" s="60" t="s">
        <v>69</v>
      </c>
      <c r="C7" s="61" t="s">
        <v>18</v>
      </c>
      <c r="D7" s="61" t="s">
        <v>72</v>
      </c>
      <c r="E7" s="61" t="s">
        <v>59</v>
      </c>
      <c r="F7" s="61" t="s">
        <v>73</v>
      </c>
      <c r="G7" s="61" t="s">
        <v>74</v>
      </c>
      <c r="H7" s="61" t="s">
        <v>75</v>
      </c>
      <c r="I7" s="61" t="s">
        <v>76</v>
      </c>
      <c r="J7" s="61" t="s">
        <v>77</v>
      </c>
      <c r="K7" s="61" t="s">
        <v>78</v>
      </c>
      <c r="L7" s="61" t="s">
        <v>79</v>
      </c>
      <c r="M7" s="61" t="s">
        <v>80</v>
      </c>
      <c r="N7" s="61" t="s">
        <v>81</v>
      </c>
      <c r="O7" s="61" t="s">
        <v>82</v>
      </c>
    </row>
    <row r="8" spans="1:17" s="96" customFormat="1" ht="39" customHeight="1">
      <c r="A8" s="101"/>
      <c r="B8" s="195" t="s">
        <v>675</v>
      </c>
      <c r="C8" s="105">
        <f>C9+C41</f>
        <v>704421.90929999994</v>
      </c>
      <c r="D8" s="105">
        <f t="shared" ref="D8:O8" si="0">D9+D41</f>
        <v>324544.99840000004</v>
      </c>
      <c r="E8" s="105">
        <f t="shared" si="0"/>
        <v>379876.91089999996</v>
      </c>
      <c r="F8" s="105">
        <f t="shared" si="0"/>
        <v>60595.142800000001</v>
      </c>
      <c r="G8" s="105">
        <f t="shared" si="0"/>
        <v>47150.801299999992</v>
      </c>
      <c r="H8" s="105">
        <f t="shared" si="0"/>
        <v>31231.334199999998</v>
      </c>
      <c r="I8" s="105">
        <f t="shared" si="0"/>
        <v>26025.752800000002</v>
      </c>
      <c r="J8" s="105">
        <f t="shared" si="0"/>
        <v>55077.9761</v>
      </c>
      <c r="K8" s="105">
        <f t="shared" si="0"/>
        <v>38469.160499999998</v>
      </c>
      <c r="L8" s="105">
        <f t="shared" si="0"/>
        <v>9524.5584999999992</v>
      </c>
      <c r="M8" s="105">
        <f t="shared" si="0"/>
        <v>25682.355</v>
      </c>
      <c r="N8" s="105">
        <f t="shared" si="0"/>
        <v>40220.360200000003</v>
      </c>
      <c r="O8" s="105">
        <f t="shared" si="0"/>
        <v>45899.469500000007</v>
      </c>
      <c r="P8" s="58"/>
      <c r="Q8" s="196"/>
    </row>
    <row r="9" spans="1:17" s="96" customFormat="1" ht="29.25" customHeight="1">
      <c r="A9" s="101" t="s">
        <v>14</v>
      </c>
      <c r="B9" s="197" t="s">
        <v>678</v>
      </c>
      <c r="C9" s="105">
        <f>C10+C20</f>
        <v>614939.3469</v>
      </c>
      <c r="D9" s="105">
        <f t="shared" ref="D9:O9" si="1">D10+D20</f>
        <v>308076.99840000004</v>
      </c>
      <c r="E9" s="105">
        <f t="shared" si="1"/>
        <v>306862.34849999996</v>
      </c>
      <c r="F9" s="105">
        <f t="shared" si="1"/>
        <v>47862.498</v>
      </c>
      <c r="G9" s="105">
        <f t="shared" si="1"/>
        <v>37990.144499999995</v>
      </c>
      <c r="H9" s="105">
        <f t="shared" si="1"/>
        <v>24636.762999999999</v>
      </c>
      <c r="I9" s="105">
        <f t="shared" si="1"/>
        <v>18958.580000000002</v>
      </c>
      <c r="J9" s="105">
        <f t="shared" si="1"/>
        <v>45904.650500000003</v>
      </c>
      <c r="K9" s="105">
        <f t="shared" si="1"/>
        <v>31212.9005</v>
      </c>
      <c r="L9" s="105">
        <f t="shared" si="1"/>
        <v>7478.1424999999999</v>
      </c>
      <c r="M9" s="105">
        <f t="shared" si="1"/>
        <v>21010.003000000001</v>
      </c>
      <c r="N9" s="105">
        <f t="shared" si="1"/>
        <v>33305.857000000004</v>
      </c>
      <c r="O9" s="105">
        <f t="shared" si="1"/>
        <v>38502.809500000003</v>
      </c>
      <c r="P9" s="58"/>
      <c r="Q9" s="196"/>
    </row>
    <row r="10" spans="1:17" s="96" customFormat="1" ht="31.2">
      <c r="A10" s="101" t="s">
        <v>16</v>
      </c>
      <c r="B10" s="197" t="s">
        <v>679</v>
      </c>
      <c r="C10" s="105">
        <f t="shared" ref="C10:O10" si="2">C11+C17</f>
        <v>26420.6</v>
      </c>
      <c r="D10" s="105">
        <f t="shared" si="2"/>
        <v>23665.599999999999</v>
      </c>
      <c r="E10" s="105">
        <f t="shared" si="2"/>
        <v>2755</v>
      </c>
      <c r="F10" s="105">
        <f t="shared" si="2"/>
        <v>114.5</v>
      </c>
      <c r="G10" s="105">
        <f t="shared" si="2"/>
        <v>106</v>
      </c>
      <c r="H10" s="105">
        <f t="shared" si="2"/>
        <v>71</v>
      </c>
      <c r="I10" s="105">
        <f t="shared" si="2"/>
        <v>746</v>
      </c>
      <c r="J10" s="105">
        <f t="shared" si="2"/>
        <v>205</v>
      </c>
      <c r="K10" s="105">
        <f t="shared" si="2"/>
        <v>1181</v>
      </c>
      <c r="L10" s="105">
        <f t="shared" si="2"/>
        <v>6.5</v>
      </c>
      <c r="M10" s="105">
        <f t="shared" si="2"/>
        <v>75</v>
      </c>
      <c r="N10" s="105">
        <f t="shared" si="2"/>
        <v>122</v>
      </c>
      <c r="O10" s="105">
        <f t="shared" si="2"/>
        <v>128</v>
      </c>
      <c r="P10" s="58"/>
      <c r="Q10" s="196"/>
    </row>
    <row r="11" spans="1:17" s="58" customFormat="1">
      <c r="A11" s="76" t="s">
        <v>18</v>
      </c>
      <c r="B11" s="68" t="s">
        <v>126</v>
      </c>
      <c r="C11" s="71">
        <f>SUM(C12:C16)</f>
        <v>8475.6</v>
      </c>
      <c r="D11" s="71">
        <f t="shared" ref="D11:O11" si="3">SUM(D12:D16)</f>
        <v>6714.6</v>
      </c>
      <c r="E11" s="71">
        <f t="shared" si="3"/>
        <v>1761</v>
      </c>
      <c r="F11" s="71">
        <f t="shared" si="3"/>
        <v>24</v>
      </c>
      <c r="G11" s="71">
        <f t="shared" si="3"/>
        <v>0</v>
      </c>
      <c r="H11" s="71">
        <f t="shared" si="3"/>
        <v>0</v>
      </c>
      <c r="I11" s="71">
        <f t="shared" si="3"/>
        <v>663</v>
      </c>
      <c r="J11" s="71">
        <f t="shared" si="3"/>
        <v>0</v>
      </c>
      <c r="K11" s="71">
        <f t="shared" si="3"/>
        <v>1074</v>
      </c>
      <c r="L11" s="71">
        <f t="shared" si="3"/>
        <v>0</v>
      </c>
      <c r="M11" s="71">
        <f t="shared" si="3"/>
        <v>0</v>
      </c>
      <c r="N11" s="71">
        <f t="shared" si="3"/>
        <v>0</v>
      </c>
      <c r="O11" s="71">
        <f t="shared" si="3"/>
        <v>0</v>
      </c>
    </row>
    <row r="12" spans="1:17" s="206" customFormat="1" ht="31.2" hidden="1">
      <c r="A12" s="203" t="s">
        <v>23</v>
      </c>
      <c r="B12" s="200" t="s">
        <v>680</v>
      </c>
      <c r="C12" s="201">
        <f t="shared" ref="C12:C13" si="4">D12+E12</f>
        <v>0</v>
      </c>
      <c r="D12" s="202"/>
      <c r="E12" s="204">
        <f t="shared" ref="E12:E16" si="5">SUM(F12:O12)</f>
        <v>0</v>
      </c>
      <c r="F12" s="204"/>
      <c r="G12" s="204"/>
      <c r="H12" s="204"/>
      <c r="I12" s="204"/>
      <c r="J12" s="204"/>
      <c r="K12" s="204"/>
      <c r="L12" s="204"/>
      <c r="M12" s="204"/>
      <c r="N12" s="204"/>
      <c r="O12" s="204"/>
      <c r="P12" s="207" t="s">
        <v>1357</v>
      </c>
      <c r="Q12" s="205"/>
    </row>
    <row r="13" spans="1:17" s="116" customFormat="1" ht="46.8">
      <c r="A13" s="111" t="s">
        <v>23</v>
      </c>
      <c r="B13" s="124" t="s">
        <v>681</v>
      </c>
      <c r="C13" s="110">
        <f t="shared" si="4"/>
        <v>9</v>
      </c>
      <c r="D13" s="75">
        <v>9</v>
      </c>
      <c r="E13" s="70">
        <f t="shared" si="5"/>
        <v>0</v>
      </c>
      <c r="F13" s="70"/>
      <c r="G13" s="70"/>
      <c r="H13" s="70"/>
      <c r="I13" s="70"/>
      <c r="J13" s="70"/>
      <c r="K13" s="70"/>
      <c r="L13" s="70"/>
      <c r="M13" s="70"/>
      <c r="N13" s="70"/>
      <c r="O13" s="70"/>
      <c r="P13" s="58"/>
      <c r="Q13" s="126"/>
    </row>
    <row r="14" spans="1:17" s="116" customFormat="1" ht="31.2">
      <c r="A14" s="111" t="s">
        <v>23</v>
      </c>
      <c r="B14" s="124" t="s">
        <v>682</v>
      </c>
      <c r="C14" s="110">
        <f>D14+E14</f>
        <v>2331</v>
      </c>
      <c r="D14" s="75">
        <v>570</v>
      </c>
      <c r="E14" s="70">
        <f>SUM(F14:O14)</f>
        <v>1761</v>
      </c>
      <c r="F14" s="70">
        <v>24</v>
      </c>
      <c r="G14" s="70"/>
      <c r="H14" s="70"/>
      <c r="I14" s="70">
        <v>663</v>
      </c>
      <c r="J14" s="70"/>
      <c r="K14" s="70">
        <v>1074</v>
      </c>
      <c r="L14" s="70"/>
      <c r="M14" s="70"/>
      <c r="N14" s="70"/>
      <c r="O14" s="70"/>
      <c r="P14" s="58"/>
      <c r="Q14" s="126"/>
    </row>
    <row r="15" spans="1:17" s="116" customFormat="1" ht="69.75" customHeight="1">
      <c r="A15" s="111" t="s">
        <v>23</v>
      </c>
      <c r="B15" s="124" t="s">
        <v>683</v>
      </c>
      <c r="C15" s="110">
        <f t="shared" ref="C15:C16" si="6">D15+E15</f>
        <v>5375.6</v>
      </c>
      <c r="D15" s="75">
        <v>5375.6</v>
      </c>
      <c r="E15" s="70">
        <f t="shared" si="5"/>
        <v>0</v>
      </c>
      <c r="F15" s="70"/>
      <c r="G15" s="70"/>
      <c r="H15" s="70"/>
      <c r="I15" s="70"/>
      <c r="J15" s="70"/>
      <c r="K15" s="70"/>
      <c r="L15" s="70"/>
      <c r="M15" s="70"/>
      <c r="N15" s="70"/>
      <c r="O15" s="70"/>
      <c r="P15" s="58"/>
      <c r="Q15" s="126"/>
    </row>
    <row r="16" spans="1:17" s="116" customFormat="1" ht="31.2">
      <c r="A16" s="111" t="s">
        <v>23</v>
      </c>
      <c r="B16" s="124" t="s">
        <v>684</v>
      </c>
      <c r="C16" s="110">
        <f t="shared" si="6"/>
        <v>760</v>
      </c>
      <c r="D16" s="75">
        <v>760</v>
      </c>
      <c r="E16" s="70">
        <f t="shared" si="5"/>
        <v>0</v>
      </c>
      <c r="F16" s="70"/>
      <c r="G16" s="70"/>
      <c r="H16" s="70"/>
      <c r="I16" s="70"/>
      <c r="J16" s="70"/>
      <c r="K16" s="70"/>
      <c r="L16" s="70"/>
      <c r="M16" s="70"/>
      <c r="N16" s="70"/>
      <c r="O16" s="70"/>
      <c r="P16" s="58"/>
      <c r="Q16" s="126"/>
    </row>
    <row r="17" spans="1:17" s="58" customFormat="1">
      <c r="A17" s="76" t="s">
        <v>26</v>
      </c>
      <c r="B17" s="68" t="s">
        <v>233</v>
      </c>
      <c r="C17" s="71">
        <f>C19+C18</f>
        <v>17945</v>
      </c>
      <c r="D17" s="71">
        <f t="shared" ref="D17:O17" si="7">D19+D18</f>
        <v>16951</v>
      </c>
      <c r="E17" s="71">
        <f t="shared" si="7"/>
        <v>994</v>
      </c>
      <c r="F17" s="71">
        <f t="shared" si="7"/>
        <v>90.5</v>
      </c>
      <c r="G17" s="71">
        <f t="shared" si="7"/>
        <v>106</v>
      </c>
      <c r="H17" s="71">
        <f t="shared" si="7"/>
        <v>71</v>
      </c>
      <c r="I17" s="71">
        <f t="shared" si="7"/>
        <v>83</v>
      </c>
      <c r="J17" s="71">
        <f t="shared" si="7"/>
        <v>205</v>
      </c>
      <c r="K17" s="71">
        <f t="shared" si="7"/>
        <v>107</v>
      </c>
      <c r="L17" s="71">
        <f t="shared" si="7"/>
        <v>6.5</v>
      </c>
      <c r="M17" s="71">
        <f t="shared" si="7"/>
        <v>75</v>
      </c>
      <c r="N17" s="71">
        <f t="shared" si="7"/>
        <v>122</v>
      </c>
      <c r="O17" s="71">
        <f t="shared" si="7"/>
        <v>128</v>
      </c>
    </row>
    <row r="18" spans="1:17" s="116" customFormat="1" ht="31.2">
      <c r="A18" s="111" t="s">
        <v>23</v>
      </c>
      <c r="B18" s="124" t="s">
        <v>685</v>
      </c>
      <c r="C18" s="110">
        <f>D18+E18</f>
        <v>15921</v>
      </c>
      <c r="D18" s="75">
        <v>15921</v>
      </c>
      <c r="E18" s="70">
        <f>SUM(F18:O18)</f>
        <v>0</v>
      </c>
      <c r="F18" s="70"/>
      <c r="G18" s="70"/>
      <c r="H18" s="70"/>
      <c r="I18" s="70"/>
      <c r="J18" s="70"/>
      <c r="K18" s="70"/>
      <c r="L18" s="70"/>
      <c r="M18" s="70"/>
      <c r="N18" s="70"/>
      <c r="O18" s="70"/>
      <c r="P18" s="58"/>
      <c r="Q18" s="126"/>
    </row>
    <row r="19" spans="1:17" s="116" customFormat="1" ht="31.2">
      <c r="A19" s="111" t="s">
        <v>23</v>
      </c>
      <c r="B19" s="124" t="s">
        <v>686</v>
      </c>
      <c r="C19" s="110">
        <f>D19+E19</f>
        <v>2024</v>
      </c>
      <c r="D19" s="75">
        <v>1030</v>
      </c>
      <c r="E19" s="70">
        <f>SUM(F19:O19)</f>
        <v>994</v>
      </c>
      <c r="F19" s="70">
        <v>90.5</v>
      </c>
      <c r="G19" s="70">
        <v>106</v>
      </c>
      <c r="H19" s="70">
        <v>71</v>
      </c>
      <c r="I19" s="70">
        <v>83</v>
      </c>
      <c r="J19" s="70">
        <v>205</v>
      </c>
      <c r="K19" s="70">
        <v>107</v>
      </c>
      <c r="L19" s="70">
        <v>6.5</v>
      </c>
      <c r="M19" s="70">
        <v>75</v>
      </c>
      <c r="N19" s="70">
        <v>122</v>
      </c>
      <c r="O19" s="70">
        <v>128</v>
      </c>
      <c r="P19" s="58"/>
      <c r="Q19" s="126"/>
    </row>
    <row r="20" spans="1:17" s="96" customFormat="1" ht="33.75" customHeight="1">
      <c r="A20" s="76" t="s">
        <v>28</v>
      </c>
      <c r="B20" s="94" t="s">
        <v>687</v>
      </c>
      <c r="C20" s="72">
        <f>C21+C26+C35+C38</f>
        <v>588518.74690000003</v>
      </c>
      <c r="D20" s="72">
        <f t="shared" ref="D20:O20" si="8">D21+D26+D35+D38</f>
        <v>284411.39840000006</v>
      </c>
      <c r="E20" s="72">
        <f t="shared" si="8"/>
        <v>304107.34849999996</v>
      </c>
      <c r="F20" s="72">
        <f t="shared" si="8"/>
        <v>47747.998</v>
      </c>
      <c r="G20" s="72">
        <f t="shared" si="8"/>
        <v>37884.144499999995</v>
      </c>
      <c r="H20" s="72">
        <f t="shared" si="8"/>
        <v>24565.762999999999</v>
      </c>
      <c r="I20" s="72">
        <f t="shared" si="8"/>
        <v>18212.580000000002</v>
      </c>
      <c r="J20" s="72">
        <f t="shared" si="8"/>
        <v>45699.650500000003</v>
      </c>
      <c r="K20" s="72">
        <f t="shared" si="8"/>
        <v>30031.9005</v>
      </c>
      <c r="L20" s="72">
        <f t="shared" si="8"/>
        <v>7471.6424999999999</v>
      </c>
      <c r="M20" s="72">
        <f t="shared" si="8"/>
        <v>20935.003000000001</v>
      </c>
      <c r="N20" s="72">
        <f t="shared" si="8"/>
        <v>33183.857000000004</v>
      </c>
      <c r="O20" s="72">
        <f t="shared" si="8"/>
        <v>38374.809500000003</v>
      </c>
      <c r="P20" s="58"/>
    </row>
    <row r="21" spans="1:17" s="58" customFormat="1">
      <c r="A21" s="76" t="s">
        <v>18</v>
      </c>
      <c r="B21" s="68" t="s">
        <v>126</v>
      </c>
      <c r="C21" s="71">
        <f>SUM(C22:C25)</f>
        <v>161190.84849999999</v>
      </c>
      <c r="D21" s="71">
        <f t="shared" ref="D21:O21" si="9">SUM(D22:D25)</f>
        <v>12279.5</v>
      </c>
      <c r="E21" s="71">
        <f t="shared" si="9"/>
        <v>148911.34849999999</v>
      </c>
      <c r="F21" s="71">
        <f t="shared" si="9"/>
        <v>5891.9980000000005</v>
      </c>
      <c r="G21" s="71">
        <f t="shared" si="9"/>
        <v>17401.144499999999</v>
      </c>
      <c r="H21" s="71">
        <f t="shared" si="9"/>
        <v>11009.762999999999</v>
      </c>
      <c r="I21" s="71">
        <f t="shared" si="9"/>
        <v>7524.58</v>
      </c>
      <c r="J21" s="71">
        <f t="shared" si="9"/>
        <v>28543.6505</v>
      </c>
      <c r="K21" s="71">
        <f t="shared" si="9"/>
        <v>14792.9005</v>
      </c>
      <c r="L21" s="71">
        <f t="shared" si="9"/>
        <v>6417.6424999999999</v>
      </c>
      <c r="M21" s="71">
        <f t="shared" si="9"/>
        <v>13735.003000000001</v>
      </c>
      <c r="N21" s="71">
        <f t="shared" si="9"/>
        <v>17359.857</v>
      </c>
      <c r="O21" s="71">
        <f t="shared" si="9"/>
        <v>26234.809499999999</v>
      </c>
    </row>
    <row r="22" spans="1:17" s="116" customFormat="1" ht="31.2">
      <c r="A22" s="111" t="s">
        <v>23</v>
      </c>
      <c r="B22" s="124" t="s">
        <v>269</v>
      </c>
      <c r="C22" s="110">
        <f>D22+E22</f>
        <v>28003.85</v>
      </c>
      <c r="D22" s="75">
        <v>9.5</v>
      </c>
      <c r="E22" s="70">
        <f>SUM(F22:O22)</f>
        <v>27994.35</v>
      </c>
      <c r="F22" s="70">
        <v>1465.85</v>
      </c>
      <c r="G22" s="70">
        <v>3562.5</v>
      </c>
      <c r="H22" s="70">
        <v>3230</v>
      </c>
      <c r="I22" s="70">
        <v>1045</v>
      </c>
      <c r="J22" s="70">
        <v>4626.5</v>
      </c>
      <c r="K22" s="70">
        <v>3890</v>
      </c>
      <c r="L22" s="70">
        <v>874</v>
      </c>
      <c r="M22" s="70">
        <v>2755</v>
      </c>
      <c r="N22" s="70">
        <v>2897.5</v>
      </c>
      <c r="O22" s="70">
        <v>3648</v>
      </c>
      <c r="P22" s="58"/>
      <c r="Q22" s="126"/>
    </row>
    <row r="23" spans="1:17" s="116" customFormat="1" ht="31.2">
      <c r="A23" s="111" t="s">
        <v>23</v>
      </c>
      <c r="B23" s="124" t="s">
        <v>153</v>
      </c>
      <c r="C23" s="110">
        <f t="shared" ref="C23:C25" si="10">D23+E23</f>
        <v>7519</v>
      </c>
      <c r="D23" s="75">
        <v>1263</v>
      </c>
      <c r="E23" s="70">
        <f t="shared" ref="E23:E25" si="11">SUM(F23:O23)</f>
        <v>6256</v>
      </c>
      <c r="F23" s="70">
        <v>573</v>
      </c>
      <c r="G23" s="70">
        <v>700</v>
      </c>
      <c r="H23" s="70">
        <v>192</v>
      </c>
      <c r="I23" s="70">
        <v>486</v>
      </c>
      <c r="J23" s="70">
        <v>1440</v>
      </c>
      <c r="K23" s="70">
        <v>790</v>
      </c>
      <c r="L23" s="70">
        <v>184</v>
      </c>
      <c r="M23" s="70">
        <v>1054</v>
      </c>
      <c r="N23" s="70">
        <v>503</v>
      </c>
      <c r="O23" s="70">
        <v>334</v>
      </c>
      <c r="P23" s="58"/>
      <c r="Q23" s="126"/>
    </row>
    <row r="24" spans="1:17" s="54" customFormat="1" ht="42.6" customHeight="1">
      <c r="A24" s="111" t="s">
        <v>23</v>
      </c>
      <c r="B24" s="124" t="s">
        <v>154</v>
      </c>
      <c r="C24" s="110">
        <f t="shared" si="10"/>
        <v>95741</v>
      </c>
      <c r="D24" s="75">
        <v>8256</v>
      </c>
      <c r="E24" s="70">
        <f t="shared" si="11"/>
        <v>87485</v>
      </c>
      <c r="F24" s="70">
        <v>2200</v>
      </c>
      <c r="G24" s="70">
        <v>8500</v>
      </c>
      <c r="H24" s="70">
        <v>5200</v>
      </c>
      <c r="I24" s="70">
        <v>5000</v>
      </c>
      <c r="J24" s="70">
        <v>18200</v>
      </c>
      <c r="K24" s="70">
        <v>6100</v>
      </c>
      <c r="L24" s="70">
        <v>4300</v>
      </c>
      <c r="M24" s="70">
        <v>7200</v>
      </c>
      <c r="N24" s="70">
        <v>11950</v>
      </c>
      <c r="O24" s="70">
        <v>18835</v>
      </c>
      <c r="P24" s="51"/>
      <c r="Q24" s="126"/>
    </row>
    <row r="25" spans="1:17" s="54" customFormat="1" ht="42.6" customHeight="1">
      <c r="A25" s="111" t="s">
        <v>23</v>
      </c>
      <c r="B25" s="124" t="s">
        <v>155</v>
      </c>
      <c r="C25" s="110">
        <f t="shared" si="10"/>
        <v>29926.998499999998</v>
      </c>
      <c r="D25" s="75">
        <v>2751</v>
      </c>
      <c r="E25" s="70">
        <f t="shared" si="11"/>
        <v>27175.998499999998</v>
      </c>
      <c r="F25" s="70">
        <v>1653.1479999999999</v>
      </c>
      <c r="G25" s="70">
        <v>4638.6444999999994</v>
      </c>
      <c r="H25" s="70">
        <v>2387.7629999999999</v>
      </c>
      <c r="I25" s="70">
        <v>993.57999999999993</v>
      </c>
      <c r="J25" s="70">
        <v>4277.1504999999997</v>
      </c>
      <c r="K25" s="70">
        <v>4012.9004999999997</v>
      </c>
      <c r="L25" s="70">
        <v>1059.6424999999999</v>
      </c>
      <c r="M25" s="70">
        <v>2726.0029999999997</v>
      </c>
      <c r="N25" s="70">
        <v>2009.357</v>
      </c>
      <c r="O25" s="70">
        <v>3417.8094999999998</v>
      </c>
      <c r="P25" s="51"/>
      <c r="Q25" s="126"/>
    </row>
    <row r="26" spans="1:17" s="58" customFormat="1">
      <c r="A26" s="76" t="s">
        <v>26</v>
      </c>
      <c r="B26" s="68" t="s">
        <v>166</v>
      </c>
      <c r="C26" s="71">
        <f>SUM(C27:C34)</f>
        <v>262577.89840000001</v>
      </c>
      <c r="D26" s="71">
        <f t="shared" ref="D26:O26" si="12">SUM(D27:D34)</f>
        <v>254226.89840000003</v>
      </c>
      <c r="E26" s="71">
        <f t="shared" si="12"/>
        <v>8351</v>
      </c>
      <c r="F26" s="71">
        <f t="shared" si="12"/>
        <v>3207</v>
      </c>
      <c r="G26" s="71">
        <f t="shared" si="12"/>
        <v>1285</v>
      </c>
      <c r="H26" s="71">
        <f t="shared" si="12"/>
        <v>865</v>
      </c>
      <c r="I26" s="71">
        <f t="shared" si="12"/>
        <v>934</v>
      </c>
      <c r="J26" s="71">
        <f t="shared" si="12"/>
        <v>507</v>
      </c>
      <c r="K26" s="71">
        <f t="shared" si="12"/>
        <v>941</v>
      </c>
      <c r="L26" s="71">
        <f t="shared" si="12"/>
        <v>10</v>
      </c>
      <c r="M26" s="71">
        <f t="shared" si="12"/>
        <v>187</v>
      </c>
      <c r="N26" s="71">
        <f t="shared" si="12"/>
        <v>405</v>
      </c>
      <c r="O26" s="71">
        <f t="shared" si="12"/>
        <v>10</v>
      </c>
      <c r="P26" s="58">
        <f>E26-SUM(F26:O26)</f>
        <v>0</v>
      </c>
    </row>
    <row r="27" spans="1:17">
      <c r="A27" s="73" t="s">
        <v>23</v>
      </c>
      <c r="B27" s="198" t="s">
        <v>167</v>
      </c>
      <c r="C27" s="75">
        <f>D27+E27</f>
        <v>5074</v>
      </c>
      <c r="D27" s="110">
        <v>131</v>
      </c>
      <c r="E27" s="70">
        <f>SUM(F27:O27)</f>
        <v>4943</v>
      </c>
      <c r="F27" s="70">
        <v>1918</v>
      </c>
      <c r="G27" s="70">
        <v>846</v>
      </c>
      <c r="H27" s="70">
        <v>570</v>
      </c>
      <c r="I27" s="70">
        <v>520</v>
      </c>
      <c r="J27" s="70">
        <v>472</v>
      </c>
      <c r="K27" s="70">
        <v>255</v>
      </c>
      <c r="L27" s="70">
        <v>0</v>
      </c>
      <c r="M27" s="70">
        <v>61</v>
      </c>
      <c r="N27" s="70">
        <v>296</v>
      </c>
      <c r="O27" s="70">
        <v>5</v>
      </c>
      <c r="P27" s="58"/>
    </row>
    <row r="28" spans="1:17" ht="50.25" customHeight="1">
      <c r="A28" s="73" t="s">
        <v>23</v>
      </c>
      <c r="B28" s="198" t="s">
        <v>168</v>
      </c>
      <c r="C28" s="75">
        <f t="shared" ref="C28:C34" si="13">D28+E28</f>
        <v>3408</v>
      </c>
      <c r="D28" s="110"/>
      <c r="E28" s="70">
        <f t="shared" ref="E28" si="14">SUM(F28:O28)</f>
        <v>3408</v>
      </c>
      <c r="F28" s="70">
        <v>1289</v>
      </c>
      <c r="G28" s="70">
        <v>439</v>
      </c>
      <c r="H28" s="70">
        <v>295</v>
      </c>
      <c r="I28" s="70">
        <v>414</v>
      </c>
      <c r="J28" s="70">
        <v>35</v>
      </c>
      <c r="K28" s="70">
        <v>686</v>
      </c>
      <c r="L28" s="70">
        <v>10</v>
      </c>
      <c r="M28" s="70">
        <v>126</v>
      </c>
      <c r="N28" s="70">
        <v>109</v>
      </c>
      <c r="O28" s="70">
        <v>5</v>
      </c>
      <c r="P28" s="58"/>
    </row>
    <row r="29" spans="1:17">
      <c r="A29" s="73" t="s">
        <v>23</v>
      </c>
      <c r="B29" s="198" t="s">
        <v>354</v>
      </c>
      <c r="C29" s="75">
        <f t="shared" si="13"/>
        <v>61363.623600000006</v>
      </c>
      <c r="D29" s="110">
        <v>61363.623600000006</v>
      </c>
      <c r="E29" s="70"/>
      <c r="F29" s="70"/>
      <c r="G29" s="70"/>
      <c r="H29" s="70"/>
      <c r="I29" s="70"/>
      <c r="J29" s="70"/>
      <c r="K29" s="70"/>
      <c r="L29" s="70"/>
      <c r="M29" s="70"/>
      <c r="N29" s="70"/>
      <c r="O29" s="70"/>
      <c r="P29" s="58"/>
    </row>
    <row r="30" spans="1:17" ht="46.8">
      <c r="A30" s="73" t="s">
        <v>23</v>
      </c>
      <c r="B30" s="198" t="s">
        <v>355</v>
      </c>
      <c r="C30" s="75">
        <f t="shared" si="13"/>
        <v>177831.08280000003</v>
      </c>
      <c r="D30" s="110">
        <v>177831.08280000003</v>
      </c>
      <c r="E30" s="70"/>
      <c r="F30" s="70"/>
      <c r="G30" s="70"/>
      <c r="H30" s="70"/>
      <c r="I30" s="70"/>
      <c r="J30" s="70"/>
      <c r="K30" s="70"/>
      <c r="L30" s="70"/>
      <c r="M30" s="70"/>
      <c r="N30" s="70"/>
      <c r="O30" s="70"/>
      <c r="P30" s="58"/>
    </row>
    <row r="31" spans="1:17">
      <c r="A31" s="73" t="s">
        <v>23</v>
      </c>
      <c r="B31" s="198" t="s">
        <v>356</v>
      </c>
      <c r="C31" s="75">
        <f t="shared" si="13"/>
        <v>11.264400000000002</v>
      </c>
      <c r="D31" s="110">
        <v>11.264400000000002</v>
      </c>
      <c r="E31" s="70"/>
      <c r="F31" s="70"/>
      <c r="G31" s="70"/>
      <c r="H31" s="70"/>
      <c r="I31" s="70"/>
      <c r="J31" s="70"/>
      <c r="K31" s="70"/>
      <c r="L31" s="70"/>
      <c r="M31" s="70"/>
      <c r="N31" s="70"/>
      <c r="O31" s="70"/>
      <c r="P31" s="58"/>
    </row>
    <row r="32" spans="1:17">
      <c r="A32" s="73" t="s">
        <v>23</v>
      </c>
      <c r="B32" s="198" t="s">
        <v>357</v>
      </c>
      <c r="C32" s="75">
        <f t="shared" si="13"/>
        <v>11575.86066</v>
      </c>
      <c r="D32" s="110">
        <v>11575.86066</v>
      </c>
      <c r="E32" s="70"/>
      <c r="F32" s="70"/>
      <c r="G32" s="70"/>
      <c r="H32" s="70"/>
      <c r="I32" s="70"/>
      <c r="J32" s="70"/>
      <c r="K32" s="70"/>
      <c r="L32" s="70"/>
      <c r="M32" s="70"/>
      <c r="N32" s="70"/>
      <c r="O32" s="70"/>
      <c r="P32" s="58"/>
    </row>
    <row r="33" spans="1:16" ht="31.2">
      <c r="A33" s="73" t="s">
        <v>23</v>
      </c>
      <c r="B33" s="198" t="s">
        <v>358</v>
      </c>
      <c r="C33" s="75">
        <f t="shared" si="13"/>
        <v>3236.8253400000003</v>
      </c>
      <c r="D33" s="110">
        <v>3236.8253400000003</v>
      </c>
      <c r="E33" s="70"/>
      <c r="F33" s="70"/>
      <c r="G33" s="70"/>
      <c r="H33" s="70"/>
      <c r="I33" s="70"/>
      <c r="J33" s="70"/>
      <c r="K33" s="70"/>
      <c r="L33" s="70"/>
      <c r="M33" s="70"/>
      <c r="N33" s="70"/>
      <c r="O33" s="70"/>
      <c r="P33" s="58"/>
    </row>
    <row r="34" spans="1:16" ht="31.2">
      <c r="A34" s="73" t="s">
        <v>23</v>
      </c>
      <c r="B34" s="198" t="s">
        <v>359</v>
      </c>
      <c r="C34" s="75">
        <f t="shared" si="13"/>
        <v>77.241600000000005</v>
      </c>
      <c r="D34" s="110">
        <v>77.241600000000005</v>
      </c>
      <c r="E34" s="70"/>
      <c r="F34" s="70"/>
      <c r="G34" s="70"/>
      <c r="H34" s="70"/>
      <c r="I34" s="70"/>
      <c r="J34" s="70"/>
      <c r="K34" s="70"/>
      <c r="L34" s="70"/>
      <c r="M34" s="70"/>
      <c r="N34" s="70"/>
      <c r="O34" s="70"/>
      <c r="P34" s="58"/>
    </row>
    <row r="35" spans="1:16" s="58" customFormat="1">
      <c r="A35" s="76" t="s">
        <v>59</v>
      </c>
      <c r="B35" s="68" t="s">
        <v>233</v>
      </c>
      <c r="C35" s="71">
        <f>SUM(C36:C37)</f>
        <v>128385</v>
      </c>
      <c r="D35" s="71">
        <f t="shared" ref="D35:O35" si="15">SUM(D36:D37)</f>
        <v>2817</v>
      </c>
      <c r="E35" s="71">
        <f t="shared" si="15"/>
        <v>125568</v>
      </c>
      <c r="F35" s="71">
        <f t="shared" si="15"/>
        <v>36609</v>
      </c>
      <c r="G35" s="71">
        <f t="shared" si="15"/>
        <v>16070</v>
      </c>
      <c r="H35" s="71">
        <f t="shared" si="15"/>
        <v>11286</v>
      </c>
      <c r="I35" s="71">
        <f t="shared" si="15"/>
        <v>8107</v>
      </c>
      <c r="J35" s="71">
        <f t="shared" si="15"/>
        <v>12820</v>
      </c>
      <c r="K35" s="71">
        <f t="shared" si="15"/>
        <v>13221</v>
      </c>
      <c r="L35" s="71">
        <f t="shared" si="15"/>
        <v>984</v>
      </c>
      <c r="M35" s="71">
        <f t="shared" si="15"/>
        <v>5974</v>
      </c>
      <c r="N35" s="71">
        <f t="shared" si="15"/>
        <v>11079</v>
      </c>
      <c r="O35" s="71">
        <f t="shared" si="15"/>
        <v>9418</v>
      </c>
    </row>
    <row r="36" spans="1:16" ht="31.2">
      <c r="A36" s="73" t="s">
        <v>23</v>
      </c>
      <c r="B36" s="83" t="s">
        <v>234</v>
      </c>
      <c r="C36" s="75">
        <f>D36+E36</f>
        <v>117147</v>
      </c>
      <c r="D36" s="75">
        <v>2817</v>
      </c>
      <c r="E36" s="70">
        <f t="shared" ref="E36:E37" si="16">SUM(F36:O36)</f>
        <v>114330</v>
      </c>
      <c r="F36" s="70">
        <v>35709</v>
      </c>
      <c r="G36" s="70">
        <v>14523</v>
      </c>
      <c r="H36" s="70">
        <v>10597</v>
      </c>
      <c r="I36" s="70">
        <v>7691</v>
      </c>
      <c r="J36" s="70">
        <v>10661</v>
      </c>
      <c r="K36" s="70">
        <v>11845</v>
      </c>
      <c r="L36" s="70">
        <v>625</v>
      </c>
      <c r="M36" s="70">
        <v>4968</v>
      </c>
      <c r="N36" s="70">
        <v>9924</v>
      </c>
      <c r="O36" s="70">
        <v>7787</v>
      </c>
    </row>
    <row r="37" spans="1:16">
      <c r="A37" s="73" t="s">
        <v>23</v>
      </c>
      <c r="B37" s="83" t="s">
        <v>235</v>
      </c>
      <c r="C37" s="75">
        <f>D37+E37</f>
        <v>11238</v>
      </c>
      <c r="D37" s="75"/>
      <c r="E37" s="70">
        <f t="shared" si="16"/>
        <v>11238</v>
      </c>
      <c r="F37" s="70">
        <v>900</v>
      </c>
      <c r="G37" s="70">
        <v>1547</v>
      </c>
      <c r="H37" s="70">
        <v>689</v>
      </c>
      <c r="I37" s="70">
        <v>416</v>
      </c>
      <c r="J37" s="70">
        <v>2159</v>
      </c>
      <c r="K37" s="70">
        <v>1376</v>
      </c>
      <c r="L37" s="70">
        <v>359</v>
      </c>
      <c r="M37" s="70">
        <v>1006</v>
      </c>
      <c r="N37" s="70">
        <v>1155</v>
      </c>
      <c r="O37" s="70">
        <v>1631</v>
      </c>
    </row>
    <row r="38" spans="1:16" s="58" customFormat="1">
      <c r="A38" s="76" t="s">
        <v>73</v>
      </c>
      <c r="B38" s="68" t="s">
        <v>250</v>
      </c>
      <c r="C38" s="71">
        <f>C39+C40</f>
        <v>36365</v>
      </c>
      <c r="D38" s="71">
        <f t="shared" ref="D38:O38" si="17">D39+D40</f>
        <v>15088</v>
      </c>
      <c r="E38" s="71">
        <f t="shared" si="17"/>
        <v>21277</v>
      </c>
      <c r="F38" s="71">
        <f t="shared" si="17"/>
        <v>2040</v>
      </c>
      <c r="G38" s="71">
        <f t="shared" si="17"/>
        <v>3128</v>
      </c>
      <c r="H38" s="71">
        <f t="shared" si="17"/>
        <v>1405</v>
      </c>
      <c r="I38" s="71">
        <f t="shared" si="17"/>
        <v>1647</v>
      </c>
      <c r="J38" s="71">
        <f t="shared" si="17"/>
        <v>3829</v>
      </c>
      <c r="K38" s="71">
        <f t="shared" si="17"/>
        <v>1077</v>
      </c>
      <c r="L38" s="71">
        <f t="shared" si="17"/>
        <v>60</v>
      </c>
      <c r="M38" s="71">
        <f t="shared" si="17"/>
        <v>1039</v>
      </c>
      <c r="N38" s="71">
        <f t="shared" si="17"/>
        <v>4340</v>
      </c>
      <c r="O38" s="71">
        <f t="shared" si="17"/>
        <v>2712</v>
      </c>
    </row>
    <row r="39" spans="1:16">
      <c r="A39" s="73" t="s">
        <v>23</v>
      </c>
      <c r="B39" s="78" t="s">
        <v>255</v>
      </c>
      <c r="C39" s="75">
        <f>D39+E39</f>
        <v>20737</v>
      </c>
      <c r="D39" s="75">
        <v>15088</v>
      </c>
      <c r="E39" s="70">
        <f t="shared" ref="E39:E40" si="18">SUM(F39:O39)</f>
        <v>5649</v>
      </c>
      <c r="F39" s="70">
        <v>223</v>
      </c>
      <c r="G39" s="70">
        <v>1098</v>
      </c>
      <c r="H39" s="70">
        <v>534</v>
      </c>
      <c r="I39" s="70">
        <v>351</v>
      </c>
      <c r="J39" s="70">
        <v>1388</v>
      </c>
      <c r="K39" s="70">
        <v>134</v>
      </c>
      <c r="L39" s="70">
        <v>0</v>
      </c>
      <c r="M39" s="70">
        <v>281</v>
      </c>
      <c r="N39" s="70">
        <v>808</v>
      </c>
      <c r="O39" s="70">
        <v>832</v>
      </c>
    </row>
    <row r="40" spans="1:16">
      <c r="A40" s="73" t="s">
        <v>23</v>
      </c>
      <c r="B40" s="78" t="s">
        <v>366</v>
      </c>
      <c r="C40" s="75">
        <f>D40+E40</f>
        <v>15628</v>
      </c>
      <c r="D40" s="75"/>
      <c r="E40" s="70">
        <f t="shared" si="18"/>
        <v>15628</v>
      </c>
      <c r="F40" s="70">
        <f>1674+141+2</f>
        <v>1817</v>
      </c>
      <c r="G40" s="70">
        <f>1979+51</f>
        <v>2030</v>
      </c>
      <c r="H40" s="70">
        <f>730+141</f>
        <v>871</v>
      </c>
      <c r="I40" s="70">
        <f>1182+114</f>
        <v>1296</v>
      </c>
      <c r="J40" s="70">
        <f>1900+541</f>
        <v>2441</v>
      </c>
      <c r="K40" s="70">
        <f>912+31</f>
        <v>943</v>
      </c>
      <c r="L40" s="70">
        <f>13+47</f>
        <v>60</v>
      </c>
      <c r="M40" s="70">
        <f>738+20</f>
        <v>758</v>
      </c>
      <c r="N40" s="70">
        <f>3240+292</f>
        <v>3532</v>
      </c>
      <c r="O40" s="70">
        <f>1837+43</f>
        <v>1880</v>
      </c>
    </row>
    <row r="41" spans="1:16" s="58" customFormat="1" ht="31.2">
      <c r="A41" s="76" t="s">
        <v>69</v>
      </c>
      <c r="B41" s="173" t="s">
        <v>688</v>
      </c>
      <c r="C41" s="71">
        <f>C42+C45+C60</f>
        <v>89482.562399999995</v>
      </c>
      <c r="D41" s="71">
        <f t="shared" ref="D41:O41" si="19">D42+D45+D60</f>
        <v>16468</v>
      </c>
      <c r="E41" s="71">
        <f t="shared" si="19"/>
        <v>73014.562399999995</v>
      </c>
      <c r="F41" s="71">
        <f t="shared" si="19"/>
        <v>12732.644799999998</v>
      </c>
      <c r="G41" s="71">
        <f t="shared" si="19"/>
        <v>9160.6568000000007</v>
      </c>
      <c r="H41" s="71">
        <f t="shared" si="19"/>
        <v>6594.5712000000003</v>
      </c>
      <c r="I41" s="71">
        <f t="shared" si="19"/>
        <v>7067.1728000000003</v>
      </c>
      <c r="J41" s="71">
        <f t="shared" si="19"/>
        <v>9173.3256000000001</v>
      </c>
      <c r="K41" s="71">
        <f t="shared" si="19"/>
        <v>7256.26</v>
      </c>
      <c r="L41" s="71">
        <f t="shared" si="19"/>
        <v>2046.4159999999999</v>
      </c>
      <c r="M41" s="71">
        <f t="shared" si="19"/>
        <v>4672.3519999999999</v>
      </c>
      <c r="N41" s="71">
        <f t="shared" si="19"/>
        <v>6914.503200000001</v>
      </c>
      <c r="O41" s="71">
        <f t="shared" si="19"/>
        <v>7396.6600000000008</v>
      </c>
    </row>
    <row r="42" spans="1:16" s="99" customFormat="1">
      <c r="A42" s="101" t="s">
        <v>18</v>
      </c>
      <c r="B42" s="121" t="s">
        <v>126</v>
      </c>
      <c r="C42" s="72">
        <f>C43+C44</f>
        <v>45385</v>
      </c>
      <c r="D42" s="72">
        <f t="shared" ref="D42:O42" si="20">D43+D44</f>
        <v>11468</v>
      </c>
      <c r="E42" s="72">
        <f t="shared" si="20"/>
        <v>33917</v>
      </c>
      <c r="F42" s="72">
        <f t="shared" si="20"/>
        <v>5189</v>
      </c>
      <c r="G42" s="72">
        <f t="shared" si="20"/>
        <v>4479</v>
      </c>
      <c r="H42" s="72">
        <f t="shared" si="20"/>
        <v>3317</v>
      </c>
      <c r="I42" s="72">
        <f t="shared" si="20"/>
        <v>3308</v>
      </c>
      <c r="J42" s="72">
        <f t="shared" si="20"/>
        <v>4264</v>
      </c>
      <c r="K42" s="72">
        <f t="shared" si="20"/>
        <v>3737</v>
      </c>
      <c r="L42" s="72">
        <f t="shared" si="20"/>
        <v>895</v>
      </c>
      <c r="M42" s="72">
        <f t="shared" si="20"/>
        <v>2315</v>
      </c>
      <c r="N42" s="72">
        <f t="shared" si="20"/>
        <v>3338</v>
      </c>
      <c r="O42" s="72">
        <f t="shared" si="20"/>
        <v>3075</v>
      </c>
      <c r="P42" s="58"/>
    </row>
    <row r="43" spans="1:16" s="54" customFormat="1">
      <c r="A43" s="111" t="s">
        <v>23</v>
      </c>
      <c r="B43" s="122" t="s">
        <v>150</v>
      </c>
      <c r="C43" s="110">
        <f>D43+E43</f>
        <v>28419</v>
      </c>
      <c r="D43" s="75">
        <v>2986</v>
      </c>
      <c r="E43" s="70">
        <f>SUM(F43:O43)</f>
        <v>25433</v>
      </c>
      <c r="F43" s="70">
        <v>4520</v>
      </c>
      <c r="G43" s="70">
        <v>3102</v>
      </c>
      <c r="H43" s="70">
        <v>2367</v>
      </c>
      <c r="I43" s="70">
        <v>2312</v>
      </c>
      <c r="J43" s="70">
        <v>3322</v>
      </c>
      <c r="K43" s="70">
        <v>2524</v>
      </c>
      <c r="L43" s="70">
        <v>677</v>
      </c>
      <c r="M43" s="70">
        <v>1782</v>
      </c>
      <c r="N43" s="70">
        <v>2580</v>
      </c>
      <c r="O43" s="70">
        <v>2247</v>
      </c>
      <c r="P43" s="58"/>
    </row>
    <row r="44" spans="1:16" s="54" customFormat="1" ht="31.2">
      <c r="A44" s="111" t="s">
        <v>23</v>
      </c>
      <c r="B44" s="122" t="s">
        <v>350</v>
      </c>
      <c r="C44" s="110">
        <f>D44+E44</f>
        <v>16966</v>
      </c>
      <c r="D44" s="75">
        <v>8482</v>
      </c>
      <c r="E44" s="70">
        <f>SUM(F44:O44)</f>
        <v>8484</v>
      </c>
      <c r="F44" s="70">
        <v>669</v>
      </c>
      <c r="G44" s="70">
        <v>1377</v>
      </c>
      <c r="H44" s="70">
        <v>950</v>
      </c>
      <c r="I44" s="70">
        <v>996</v>
      </c>
      <c r="J44" s="70">
        <v>942</v>
      </c>
      <c r="K44" s="70">
        <v>1213</v>
      </c>
      <c r="L44" s="70">
        <v>218</v>
      </c>
      <c r="M44" s="70">
        <v>533</v>
      </c>
      <c r="N44" s="70">
        <v>758</v>
      </c>
      <c r="O44" s="70">
        <v>828</v>
      </c>
      <c r="P44" s="58"/>
    </row>
    <row r="45" spans="1:16" s="58" customFormat="1" ht="29.25" customHeight="1">
      <c r="A45" s="76" t="s">
        <v>26</v>
      </c>
      <c r="B45" s="68" t="s">
        <v>169</v>
      </c>
      <c r="C45" s="105">
        <f t="shared" ref="C45:C64" si="21">D45+E45</f>
        <v>31298.682399999998</v>
      </c>
      <c r="D45" s="105"/>
      <c r="E45" s="72">
        <f>E46+E55+E56</f>
        <v>31298.682399999998</v>
      </c>
      <c r="F45" s="72">
        <f t="shared" ref="F45:O45" si="22">F46+F55+F56</f>
        <v>6244.8447999999999</v>
      </c>
      <c r="G45" s="72">
        <f t="shared" si="22"/>
        <v>3692.4168</v>
      </c>
      <c r="H45" s="72">
        <f t="shared" si="22"/>
        <v>2421.6511999999998</v>
      </c>
      <c r="I45" s="72">
        <f t="shared" si="22"/>
        <v>3063.5128</v>
      </c>
      <c r="J45" s="72">
        <f t="shared" si="22"/>
        <v>4012.1655999999998</v>
      </c>
      <c r="K45" s="72">
        <f t="shared" si="22"/>
        <v>2667.18</v>
      </c>
      <c r="L45" s="72">
        <f t="shared" si="22"/>
        <v>988.596</v>
      </c>
      <c r="M45" s="72">
        <f t="shared" si="22"/>
        <v>1924.8120000000001</v>
      </c>
      <c r="N45" s="72">
        <f t="shared" si="22"/>
        <v>3000.5632000000001</v>
      </c>
      <c r="O45" s="72">
        <f t="shared" si="22"/>
        <v>3282.94</v>
      </c>
    </row>
    <row r="46" spans="1:16" s="58" customFormat="1">
      <c r="A46" s="76" t="s">
        <v>42</v>
      </c>
      <c r="B46" s="102" t="s">
        <v>214</v>
      </c>
      <c r="C46" s="105">
        <f t="shared" si="21"/>
        <v>16863.9624</v>
      </c>
      <c r="D46" s="71"/>
      <c r="E46" s="72">
        <f>E47+E50+E52</f>
        <v>16863.9624</v>
      </c>
      <c r="F46" s="72">
        <f t="shared" ref="F46:O46" si="23">F47+F50+F52</f>
        <v>3418.3208</v>
      </c>
      <c r="G46" s="72">
        <f t="shared" si="23"/>
        <v>1885.3127999999999</v>
      </c>
      <c r="H46" s="72">
        <f t="shared" si="23"/>
        <v>1353.1171999999999</v>
      </c>
      <c r="I46" s="72">
        <f t="shared" si="23"/>
        <v>1544.7208000000001</v>
      </c>
      <c r="J46" s="72">
        <f t="shared" si="23"/>
        <v>2092.0236</v>
      </c>
      <c r="K46" s="72">
        <f t="shared" si="23"/>
        <v>1435.9639999999999</v>
      </c>
      <c r="L46" s="72">
        <f t="shared" si="23"/>
        <v>480.822</v>
      </c>
      <c r="M46" s="72">
        <f t="shared" si="23"/>
        <v>1079.0060000000001</v>
      </c>
      <c r="N46" s="72">
        <f t="shared" si="23"/>
        <v>1682.6192000000001</v>
      </c>
      <c r="O46" s="72">
        <f t="shared" si="23"/>
        <v>1892.056</v>
      </c>
    </row>
    <row r="47" spans="1:16" ht="31.2">
      <c r="A47" s="73" t="s">
        <v>23</v>
      </c>
      <c r="B47" s="74" t="s">
        <v>215</v>
      </c>
      <c r="C47" s="110">
        <f t="shared" si="21"/>
        <v>15120</v>
      </c>
      <c r="D47" s="75"/>
      <c r="E47" s="70">
        <f t="shared" ref="E47:E55" si="24">SUM(F47:O47)</f>
        <v>15120</v>
      </c>
      <c r="F47" s="70">
        <f>F48*F49</f>
        <v>3080</v>
      </c>
      <c r="G47" s="70">
        <f t="shared" ref="G47:O47" si="25">G48*G49</f>
        <v>1680</v>
      </c>
      <c r="H47" s="70">
        <f t="shared" si="25"/>
        <v>1220</v>
      </c>
      <c r="I47" s="70">
        <f t="shared" si="25"/>
        <v>1360</v>
      </c>
      <c r="J47" s="70">
        <f t="shared" si="25"/>
        <v>1860</v>
      </c>
      <c r="K47" s="70">
        <f t="shared" si="25"/>
        <v>1280</v>
      </c>
      <c r="L47" s="70">
        <f t="shared" si="25"/>
        <v>420</v>
      </c>
      <c r="M47" s="70">
        <f t="shared" si="25"/>
        <v>980</v>
      </c>
      <c r="N47" s="70">
        <f t="shared" si="25"/>
        <v>1520</v>
      </c>
      <c r="O47" s="70">
        <f t="shared" si="25"/>
        <v>1720</v>
      </c>
    </row>
    <row r="48" spans="1:16" s="132" customFormat="1">
      <c r="A48" s="128"/>
      <c r="B48" s="159" t="s">
        <v>216</v>
      </c>
      <c r="C48" s="110">
        <f t="shared" si="21"/>
        <v>756</v>
      </c>
      <c r="D48" s="87"/>
      <c r="E48" s="152">
        <f t="shared" si="24"/>
        <v>756</v>
      </c>
      <c r="F48" s="152">
        <v>154</v>
      </c>
      <c r="G48" s="152">
        <v>84</v>
      </c>
      <c r="H48" s="152">
        <v>61</v>
      </c>
      <c r="I48" s="152">
        <v>68</v>
      </c>
      <c r="J48" s="152">
        <v>93</v>
      </c>
      <c r="K48" s="152">
        <v>64</v>
      </c>
      <c r="L48" s="152">
        <v>21</v>
      </c>
      <c r="M48" s="152">
        <v>49</v>
      </c>
      <c r="N48" s="152">
        <v>76</v>
      </c>
      <c r="O48" s="152">
        <v>86</v>
      </c>
    </row>
    <row r="49" spans="1:16" s="132" customFormat="1">
      <c r="A49" s="128"/>
      <c r="B49" s="159" t="s">
        <v>674</v>
      </c>
      <c r="C49" s="110">
        <f t="shared" si="21"/>
        <v>0</v>
      </c>
      <c r="D49" s="87"/>
      <c r="E49" s="152"/>
      <c r="F49" s="152">
        <v>20</v>
      </c>
      <c r="G49" s="152">
        <v>20</v>
      </c>
      <c r="H49" s="152">
        <v>20</v>
      </c>
      <c r="I49" s="152">
        <v>20</v>
      </c>
      <c r="J49" s="152">
        <v>20</v>
      </c>
      <c r="K49" s="152">
        <v>20</v>
      </c>
      <c r="L49" s="152">
        <v>20</v>
      </c>
      <c r="M49" s="152">
        <v>20</v>
      </c>
      <c r="N49" s="152">
        <v>20</v>
      </c>
      <c r="O49" s="152">
        <v>20</v>
      </c>
    </row>
    <row r="50" spans="1:16" s="147" customFormat="1" ht="31.2">
      <c r="A50" s="73" t="s">
        <v>200</v>
      </c>
      <c r="B50" s="74" t="s">
        <v>217</v>
      </c>
      <c r="C50" s="110">
        <f t="shared" si="21"/>
        <v>153</v>
      </c>
      <c r="D50" s="134"/>
      <c r="E50" s="123">
        <f t="shared" si="24"/>
        <v>153</v>
      </c>
      <c r="F50" s="123">
        <f>F51*1.5</f>
        <v>31.5</v>
      </c>
      <c r="G50" s="123">
        <f t="shared" ref="G50:O50" si="26">G51*1.5</f>
        <v>16.5</v>
      </c>
      <c r="H50" s="123">
        <f t="shared" si="26"/>
        <v>13.5</v>
      </c>
      <c r="I50" s="123">
        <f t="shared" si="26"/>
        <v>12</v>
      </c>
      <c r="J50" s="123">
        <f t="shared" si="26"/>
        <v>18</v>
      </c>
      <c r="K50" s="123">
        <f t="shared" si="26"/>
        <v>16.5</v>
      </c>
      <c r="L50" s="123">
        <f t="shared" si="26"/>
        <v>4.5</v>
      </c>
      <c r="M50" s="123">
        <f t="shared" si="26"/>
        <v>10.5</v>
      </c>
      <c r="N50" s="123">
        <f t="shared" si="26"/>
        <v>13.5</v>
      </c>
      <c r="O50" s="123">
        <f t="shared" si="26"/>
        <v>16.5</v>
      </c>
      <c r="P50" s="146"/>
    </row>
    <row r="51" spans="1:16" s="165" customFormat="1" ht="25.5" customHeight="1">
      <c r="A51" s="128"/>
      <c r="B51" s="159" t="s">
        <v>218</v>
      </c>
      <c r="C51" s="110">
        <f t="shared" si="21"/>
        <v>102</v>
      </c>
      <c r="D51" s="162"/>
      <c r="E51" s="163">
        <f t="shared" si="24"/>
        <v>102</v>
      </c>
      <c r="F51" s="161">
        <v>21</v>
      </c>
      <c r="G51" s="161">
        <v>11</v>
      </c>
      <c r="H51" s="161">
        <v>9</v>
      </c>
      <c r="I51" s="161">
        <v>8</v>
      </c>
      <c r="J51" s="161">
        <v>12</v>
      </c>
      <c r="K51" s="161">
        <v>11</v>
      </c>
      <c r="L51" s="161">
        <v>3</v>
      </c>
      <c r="M51" s="161">
        <v>7</v>
      </c>
      <c r="N51" s="161">
        <v>9</v>
      </c>
      <c r="O51" s="161">
        <v>11</v>
      </c>
      <c r="P51" s="164"/>
    </row>
    <row r="52" spans="1:16" s="147" customFormat="1" ht="32.4" customHeight="1">
      <c r="A52" s="73" t="s">
        <v>200</v>
      </c>
      <c r="B52" s="74" t="s">
        <v>219</v>
      </c>
      <c r="C52" s="110">
        <f t="shared" si="21"/>
        <v>1590.9624000000001</v>
      </c>
      <c r="D52" s="134"/>
      <c r="E52" s="123">
        <f t="shared" si="24"/>
        <v>1590.9624000000001</v>
      </c>
      <c r="F52" s="122">
        <f>(F53*5+F54*3)*12*1.49*3%</f>
        <v>306.82080000000002</v>
      </c>
      <c r="G52" s="122">
        <f t="shared" ref="G52:O52" si="27">(G53*5+G54*3)*12*1.49*3%</f>
        <v>188.81280000000001</v>
      </c>
      <c r="H52" s="122">
        <f t="shared" si="27"/>
        <v>119.61719999999998</v>
      </c>
      <c r="I52" s="122">
        <f t="shared" si="27"/>
        <v>172.7208</v>
      </c>
      <c r="J52" s="122">
        <f t="shared" si="27"/>
        <v>214.02359999999999</v>
      </c>
      <c r="K52" s="122">
        <f t="shared" si="27"/>
        <v>139.464</v>
      </c>
      <c r="L52" s="122">
        <f t="shared" si="27"/>
        <v>56.322000000000003</v>
      </c>
      <c r="M52" s="122">
        <f t="shared" si="27"/>
        <v>88.505999999999986</v>
      </c>
      <c r="N52" s="122">
        <f t="shared" si="27"/>
        <v>149.11920000000001</v>
      </c>
      <c r="O52" s="122">
        <f t="shared" si="27"/>
        <v>155.55599999999998</v>
      </c>
      <c r="P52" s="146"/>
    </row>
    <row r="53" spans="1:16" s="132" customFormat="1" ht="62.4">
      <c r="A53" s="128"/>
      <c r="B53" s="159" t="s">
        <v>201</v>
      </c>
      <c r="C53" s="110">
        <f t="shared" si="21"/>
        <v>349</v>
      </c>
      <c r="D53" s="87"/>
      <c r="E53" s="163">
        <f t="shared" si="24"/>
        <v>349</v>
      </c>
      <c r="F53" s="152">
        <v>55</v>
      </c>
      <c r="G53" s="152">
        <v>50</v>
      </c>
      <c r="H53" s="152">
        <v>20</v>
      </c>
      <c r="I53" s="152">
        <v>59</v>
      </c>
      <c r="J53" s="152">
        <v>60</v>
      </c>
      <c r="K53" s="152">
        <v>34</v>
      </c>
      <c r="L53" s="152">
        <v>21</v>
      </c>
      <c r="M53" s="152">
        <v>9</v>
      </c>
      <c r="N53" s="152">
        <v>25</v>
      </c>
      <c r="O53" s="152">
        <v>16</v>
      </c>
    </row>
    <row r="54" spans="1:16" s="132" customFormat="1">
      <c r="A54" s="128"/>
      <c r="B54" s="159" t="s">
        <v>203</v>
      </c>
      <c r="C54" s="110">
        <f t="shared" si="21"/>
        <v>407</v>
      </c>
      <c r="D54" s="87"/>
      <c r="E54" s="163">
        <f t="shared" si="24"/>
        <v>407</v>
      </c>
      <c r="F54" s="152">
        <v>99</v>
      </c>
      <c r="G54" s="152">
        <v>34</v>
      </c>
      <c r="H54" s="152">
        <v>41</v>
      </c>
      <c r="I54" s="152">
        <v>9</v>
      </c>
      <c r="J54" s="152">
        <v>33</v>
      </c>
      <c r="K54" s="152">
        <v>30</v>
      </c>
      <c r="L54" s="152"/>
      <c r="M54" s="152">
        <v>40</v>
      </c>
      <c r="N54" s="152">
        <v>51</v>
      </c>
      <c r="O54" s="152">
        <v>70</v>
      </c>
    </row>
    <row r="55" spans="1:16" ht="31.2">
      <c r="A55" s="101" t="s">
        <v>52</v>
      </c>
      <c r="B55" s="102" t="s">
        <v>689</v>
      </c>
      <c r="C55" s="105">
        <f t="shared" si="21"/>
        <v>4327</v>
      </c>
      <c r="D55" s="71"/>
      <c r="E55" s="105">
        <f t="shared" si="24"/>
        <v>4327</v>
      </c>
      <c r="F55" s="105">
        <v>608</v>
      </c>
      <c r="G55" s="105">
        <v>597</v>
      </c>
      <c r="H55" s="105">
        <v>282</v>
      </c>
      <c r="I55" s="105">
        <v>642</v>
      </c>
      <c r="J55" s="105">
        <v>721</v>
      </c>
      <c r="K55" s="105">
        <v>406</v>
      </c>
      <c r="L55" s="105">
        <v>237</v>
      </c>
      <c r="M55" s="105">
        <v>214</v>
      </c>
      <c r="N55" s="105">
        <v>338</v>
      </c>
      <c r="O55" s="105">
        <v>282</v>
      </c>
      <c r="P55" s="58"/>
    </row>
    <row r="56" spans="1:16" s="58" customFormat="1" ht="45.75" customHeight="1">
      <c r="A56" s="101" t="s">
        <v>53</v>
      </c>
      <c r="B56" s="102" t="s">
        <v>220</v>
      </c>
      <c r="C56" s="105">
        <f t="shared" si="21"/>
        <v>10107.719999999999</v>
      </c>
      <c r="D56" s="71"/>
      <c r="E56" s="105">
        <f t="shared" ref="E56:O56" si="28">E58+E59</f>
        <v>10107.719999999999</v>
      </c>
      <c r="F56" s="105">
        <f t="shared" si="28"/>
        <v>2218.5239999999999</v>
      </c>
      <c r="G56" s="105">
        <f t="shared" si="28"/>
        <v>1210.104</v>
      </c>
      <c r="H56" s="105">
        <f t="shared" si="28"/>
        <v>786.53399999999999</v>
      </c>
      <c r="I56" s="105">
        <f t="shared" si="28"/>
        <v>876.79199999999992</v>
      </c>
      <c r="J56" s="105">
        <f t="shared" si="28"/>
        <v>1199.1419999999998</v>
      </c>
      <c r="K56" s="105">
        <f t="shared" si="28"/>
        <v>825.21600000000001</v>
      </c>
      <c r="L56" s="105">
        <f t="shared" si="28"/>
        <v>270.774</v>
      </c>
      <c r="M56" s="105">
        <f t="shared" si="28"/>
        <v>631.80600000000004</v>
      </c>
      <c r="N56" s="105">
        <f t="shared" si="28"/>
        <v>979.94400000000007</v>
      </c>
      <c r="O56" s="105">
        <f t="shared" si="28"/>
        <v>1108.884</v>
      </c>
    </row>
    <row r="57" spans="1:16">
      <c r="A57" s="118"/>
      <c r="B57" s="148" t="s">
        <v>216</v>
      </c>
      <c r="C57" s="110">
        <f t="shared" si="21"/>
        <v>756</v>
      </c>
      <c r="D57" s="71"/>
      <c r="E57" s="110">
        <f>SUM(F57:O57)</f>
        <v>756</v>
      </c>
      <c r="F57" s="110">
        <v>154</v>
      </c>
      <c r="G57" s="110">
        <v>84</v>
      </c>
      <c r="H57" s="110">
        <v>61</v>
      </c>
      <c r="I57" s="110">
        <v>68</v>
      </c>
      <c r="J57" s="110">
        <v>93</v>
      </c>
      <c r="K57" s="110">
        <v>64</v>
      </c>
      <c r="L57" s="110">
        <v>21</v>
      </c>
      <c r="M57" s="110">
        <v>49</v>
      </c>
      <c r="N57" s="110">
        <v>76</v>
      </c>
      <c r="O57" s="110">
        <v>86</v>
      </c>
      <c r="P57" s="58"/>
    </row>
    <row r="58" spans="1:16">
      <c r="A58" s="118"/>
      <c r="B58" s="148" t="s">
        <v>221</v>
      </c>
      <c r="C58" s="110">
        <f t="shared" si="21"/>
        <v>5775.84</v>
      </c>
      <c r="D58" s="71"/>
      <c r="E58" s="110">
        <f>SUM(F58:O58)</f>
        <v>5775.84</v>
      </c>
      <c r="F58" s="110">
        <f>154*20%*3.43*12</f>
        <v>1267.7280000000001</v>
      </c>
      <c r="G58" s="110">
        <f>G57*20%*3.43*12</f>
        <v>691.48800000000006</v>
      </c>
      <c r="H58" s="110">
        <f t="shared" ref="H58:O58" si="29">H57*20%*3.07*12</f>
        <v>449.44799999999998</v>
      </c>
      <c r="I58" s="110">
        <f t="shared" si="29"/>
        <v>501.024</v>
      </c>
      <c r="J58" s="110">
        <f t="shared" si="29"/>
        <v>685.22400000000005</v>
      </c>
      <c r="K58" s="110">
        <f t="shared" si="29"/>
        <v>471.55200000000002</v>
      </c>
      <c r="L58" s="110">
        <f t="shared" si="29"/>
        <v>154.72800000000001</v>
      </c>
      <c r="M58" s="110">
        <f t="shared" si="29"/>
        <v>361.03200000000004</v>
      </c>
      <c r="N58" s="110">
        <f t="shared" si="29"/>
        <v>559.96800000000007</v>
      </c>
      <c r="O58" s="110">
        <f t="shared" si="29"/>
        <v>633.64799999999991</v>
      </c>
      <c r="P58" s="58"/>
    </row>
    <row r="59" spans="1:16">
      <c r="A59" s="118"/>
      <c r="B59" s="148" t="s">
        <v>222</v>
      </c>
      <c r="C59" s="110">
        <f t="shared" si="21"/>
        <v>4331.8799999999992</v>
      </c>
      <c r="D59" s="71"/>
      <c r="E59" s="110">
        <f>SUM(F59:O59)</f>
        <v>4331.8799999999992</v>
      </c>
      <c r="F59" s="110">
        <f>154*15%*3.43*12</f>
        <v>950.79599999999982</v>
      </c>
      <c r="G59" s="110">
        <f>G57*15%*3.43*12</f>
        <v>518.61599999999999</v>
      </c>
      <c r="H59" s="110">
        <f t="shared" ref="H59:O59" si="30">H57*15%*3.07*12</f>
        <v>337.08600000000001</v>
      </c>
      <c r="I59" s="110">
        <f t="shared" si="30"/>
        <v>375.76799999999997</v>
      </c>
      <c r="J59" s="110">
        <f t="shared" si="30"/>
        <v>513.91799999999989</v>
      </c>
      <c r="K59" s="110">
        <f t="shared" si="30"/>
        <v>353.66399999999999</v>
      </c>
      <c r="L59" s="110">
        <f t="shared" si="30"/>
        <v>116.04599999999999</v>
      </c>
      <c r="M59" s="110">
        <f t="shared" si="30"/>
        <v>270.774</v>
      </c>
      <c r="N59" s="110">
        <f t="shared" si="30"/>
        <v>419.976</v>
      </c>
      <c r="O59" s="110">
        <f t="shared" si="30"/>
        <v>475.23599999999999</v>
      </c>
      <c r="P59" s="58"/>
    </row>
    <row r="60" spans="1:16" s="58" customFormat="1">
      <c r="A60" s="76" t="s">
        <v>59</v>
      </c>
      <c r="B60" s="68" t="s">
        <v>233</v>
      </c>
      <c r="C60" s="105">
        <f>D60+E60</f>
        <v>12798.880000000001</v>
      </c>
      <c r="D60" s="72">
        <f>D61+D62+D63+D64+D65</f>
        <v>5000</v>
      </c>
      <c r="E60" s="72">
        <f>E61+E62+E63+E64+E65</f>
        <v>7798.88</v>
      </c>
      <c r="F60" s="72">
        <f t="shared" ref="F60:O60" si="31">F61+F62+F63+F64</f>
        <v>1298.8</v>
      </c>
      <c r="G60" s="72">
        <f t="shared" si="31"/>
        <v>989.24</v>
      </c>
      <c r="H60" s="72">
        <f t="shared" si="31"/>
        <v>855.92</v>
      </c>
      <c r="I60" s="72">
        <f t="shared" si="31"/>
        <v>695.66</v>
      </c>
      <c r="J60" s="72">
        <f t="shared" si="31"/>
        <v>897.16</v>
      </c>
      <c r="K60" s="72">
        <f t="shared" si="31"/>
        <v>852.08</v>
      </c>
      <c r="L60" s="72">
        <f t="shared" si="31"/>
        <v>162.82</v>
      </c>
      <c r="M60" s="72">
        <f t="shared" si="31"/>
        <v>432.53999999999996</v>
      </c>
      <c r="N60" s="72">
        <f t="shared" si="31"/>
        <v>575.94000000000005</v>
      </c>
      <c r="O60" s="72">
        <f t="shared" si="31"/>
        <v>1038.72</v>
      </c>
    </row>
    <row r="61" spans="1:16" ht="46.8">
      <c r="A61" s="73" t="s">
        <v>23</v>
      </c>
      <c r="B61" s="83" t="s">
        <v>363</v>
      </c>
      <c r="C61" s="110">
        <f t="shared" si="21"/>
        <v>2918</v>
      </c>
      <c r="D61" s="75"/>
      <c r="E61" s="70">
        <f>SUM(F61:O61)</f>
        <v>2918</v>
      </c>
      <c r="F61" s="70">
        <v>282</v>
      </c>
      <c r="G61" s="70">
        <v>317</v>
      </c>
      <c r="H61" s="70">
        <v>221</v>
      </c>
      <c r="I61" s="70">
        <v>290</v>
      </c>
      <c r="J61" s="70">
        <v>444</v>
      </c>
      <c r="K61" s="70">
        <v>307</v>
      </c>
      <c r="L61" s="70">
        <v>107</v>
      </c>
      <c r="M61" s="70">
        <v>212</v>
      </c>
      <c r="N61" s="70">
        <v>344</v>
      </c>
      <c r="O61" s="70">
        <v>394</v>
      </c>
    </row>
    <row r="62" spans="1:16" ht="31.2">
      <c r="A62" s="73" t="s">
        <v>23</v>
      </c>
      <c r="B62" s="83" t="s">
        <v>364</v>
      </c>
      <c r="C62" s="110">
        <f t="shared" si="21"/>
        <v>911.88000000000022</v>
      </c>
      <c r="D62" s="75"/>
      <c r="E62" s="70">
        <f>SUM(F62:O62)</f>
        <v>911.88000000000022</v>
      </c>
      <c r="F62" s="70">
        <v>187.74</v>
      </c>
      <c r="G62" s="70">
        <v>98.34</v>
      </c>
      <c r="H62" s="70">
        <v>80.459999999999994</v>
      </c>
      <c r="I62" s="70">
        <v>71.52</v>
      </c>
      <c r="J62" s="70">
        <v>107.28</v>
      </c>
      <c r="K62" s="70">
        <v>98.34</v>
      </c>
      <c r="L62" s="70">
        <v>26.82</v>
      </c>
      <c r="M62" s="70">
        <v>62.58</v>
      </c>
      <c r="N62" s="70">
        <v>80.459999999999994</v>
      </c>
      <c r="O62" s="70">
        <v>98.34</v>
      </c>
    </row>
    <row r="63" spans="1:16" ht="45.75" customHeight="1">
      <c r="A63" s="73" t="s">
        <v>23</v>
      </c>
      <c r="B63" s="83" t="s">
        <v>365</v>
      </c>
      <c r="C63" s="110">
        <f t="shared" si="21"/>
        <v>1620.0000000000002</v>
      </c>
      <c r="D63" s="75"/>
      <c r="E63" s="70">
        <f>SUM(F63:O63)</f>
        <v>1620.0000000000002</v>
      </c>
      <c r="F63" s="70">
        <v>466.56</v>
      </c>
      <c r="G63" s="70">
        <v>356.4</v>
      </c>
      <c r="H63" s="70">
        <v>336.96</v>
      </c>
      <c r="I63" s="70">
        <v>116.64</v>
      </c>
      <c r="J63" s="70">
        <v>200.88</v>
      </c>
      <c r="K63" s="70">
        <v>84.24</v>
      </c>
      <c r="L63" s="70">
        <v>0</v>
      </c>
      <c r="M63" s="70">
        <v>12.96</v>
      </c>
      <c r="N63" s="70">
        <v>6.48</v>
      </c>
      <c r="O63" s="70">
        <v>38.880000000000003</v>
      </c>
    </row>
    <row r="64" spans="1:16">
      <c r="A64" s="73" t="s">
        <v>23</v>
      </c>
      <c r="B64" s="83" t="s">
        <v>361</v>
      </c>
      <c r="C64" s="110">
        <f t="shared" si="21"/>
        <v>2349</v>
      </c>
      <c r="D64" s="75"/>
      <c r="E64" s="70">
        <f>SUM(F64:O64)</f>
        <v>2349</v>
      </c>
      <c r="F64" s="70">
        <v>362.5</v>
      </c>
      <c r="G64" s="70">
        <v>217.5</v>
      </c>
      <c r="H64" s="70">
        <v>217.5</v>
      </c>
      <c r="I64" s="70">
        <v>217.5</v>
      </c>
      <c r="J64" s="70">
        <v>145</v>
      </c>
      <c r="K64" s="70">
        <v>362.5</v>
      </c>
      <c r="L64" s="70">
        <v>29</v>
      </c>
      <c r="M64" s="70">
        <v>145</v>
      </c>
      <c r="N64" s="70">
        <v>145</v>
      </c>
      <c r="O64" s="70">
        <v>507.5</v>
      </c>
    </row>
    <row r="65" spans="1:16">
      <c r="A65" s="208" t="s">
        <v>23</v>
      </c>
      <c r="B65" s="209" t="s">
        <v>1388</v>
      </c>
      <c r="C65" s="210">
        <v>5000</v>
      </c>
      <c r="D65" s="211">
        <v>5000</v>
      </c>
      <c r="E65" s="212"/>
      <c r="F65" s="212"/>
      <c r="G65" s="212"/>
      <c r="H65" s="212"/>
      <c r="I65" s="212"/>
      <c r="J65" s="212"/>
      <c r="K65" s="212"/>
      <c r="L65" s="212"/>
      <c r="M65" s="212"/>
      <c r="N65" s="212"/>
      <c r="O65" s="212"/>
    </row>
    <row r="66" spans="1:16" s="54" customFormat="1">
      <c r="A66" s="178"/>
      <c r="B66" s="179"/>
      <c r="C66" s="181"/>
      <c r="D66" s="181"/>
      <c r="E66" s="182"/>
      <c r="F66" s="182"/>
      <c r="G66" s="182"/>
      <c r="H66" s="182"/>
      <c r="I66" s="182"/>
      <c r="J66" s="182"/>
      <c r="K66" s="182"/>
      <c r="L66" s="182"/>
      <c r="M66" s="182"/>
      <c r="N66" s="182"/>
      <c r="O66" s="182"/>
      <c r="P66" s="51"/>
    </row>
    <row r="68" spans="1:16" ht="42" customHeight="1">
      <c r="B68" s="1738"/>
      <c r="C68" s="1739"/>
      <c r="D68" s="1739"/>
      <c r="E68" s="1739"/>
      <c r="F68" s="1739"/>
      <c r="G68" s="1739"/>
      <c r="H68" s="1739"/>
      <c r="I68" s="1739"/>
      <c r="J68" s="1739"/>
      <c r="K68" s="1739"/>
      <c r="L68" s="1739"/>
      <c r="M68" s="1739"/>
      <c r="N68" s="1739"/>
      <c r="O68" s="1739"/>
      <c r="P68" s="1739"/>
    </row>
    <row r="70" spans="1:16" s="96" customFormat="1">
      <c r="A70" s="188"/>
      <c r="B70" s="191"/>
      <c r="C70" s="189"/>
      <c r="D70" s="189"/>
      <c r="E70" s="190"/>
      <c r="F70" s="190"/>
      <c r="G70" s="190"/>
      <c r="H70" s="190"/>
      <c r="I70" s="190"/>
      <c r="J70" s="190"/>
      <c r="K70" s="190"/>
      <c r="L70" s="190"/>
      <c r="M70" s="190"/>
      <c r="N70" s="190"/>
      <c r="O70" s="190"/>
    </row>
  </sheetData>
  <mergeCells count="16">
    <mergeCell ref="B68:P68"/>
    <mergeCell ref="A3:O3"/>
    <mergeCell ref="A5:A6"/>
    <mergeCell ref="B5:B6"/>
    <mergeCell ref="C5:C6"/>
    <mergeCell ref="D5:E5"/>
    <mergeCell ref="F5:F6"/>
    <mergeCell ref="G5:G6"/>
    <mergeCell ref="H5:H6"/>
    <mergeCell ref="I5:I6"/>
    <mergeCell ref="J5:J6"/>
    <mergeCell ref="K5:K6"/>
    <mergeCell ref="L5:L6"/>
    <mergeCell ref="M5:M6"/>
    <mergeCell ref="N5:N6"/>
    <mergeCell ref="O5:O6"/>
  </mergeCells>
  <printOptions horizontalCentered="1"/>
  <pageMargins left="0" right="0" top="0.51181102362204722" bottom="0.23622047244094491" header="0.31496062992125984" footer="0.31496062992125984"/>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I213"/>
  <sheetViews>
    <sheetView zoomScaleNormal="100" workbookViewId="0">
      <pane xSplit="2" ySplit="14" topLeftCell="K109" activePane="bottomRight" state="frozen"/>
      <selection pane="topRight" activeCell="C1" sqref="C1"/>
      <selection pane="bottomLeft" activeCell="A15" sqref="A15"/>
      <selection pane="bottomRight" activeCell="AJ26" sqref="AJ26"/>
    </sheetView>
  </sheetViews>
  <sheetFormatPr defaultColWidth="9" defaultRowHeight="20.25" customHeight="1" outlineLevelRow="1" outlineLevelCol="2"/>
  <cols>
    <col min="1" max="1" width="3.88671875" style="1120" customWidth="1"/>
    <col min="2" max="2" width="33.33203125" style="1120" customWidth="1"/>
    <col min="3" max="3" width="3.5546875" style="1120" hidden="1" customWidth="1" outlineLevel="2"/>
    <col min="4" max="4" width="4.33203125" style="1120" hidden="1" customWidth="1" outlineLevel="2"/>
    <col min="5" max="5" width="4.88671875" style="1120" hidden="1" customWidth="1" outlineLevel="2"/>
    <col min="6" max="6" width="4.109375" style="1120" hidden="1" customWidth="1" outlineLevel="2"/>
    <col min="7" max="7" width="4.6640625" style="1120" hidden="1" customWidth="1" outlineLevel="2"/>
    <col min="8" max="8" width="5.44140625" style="1120" hidden="1" customWidth="1" outlineLevel="2"/>
    <col min="9" max="9" width="8.33203125" style="1120" hidden="1" customWidth="1" outlineLevel="2"/>
    <col min="10" max="10" width="8.88671875" style="1120" customWidth="1" collapsed="1"/>
    <col min="11" max="13" width="8.44140625" style="1120" customWidth="1"/>
    <col min="14" max="14" width="7.33203125" style="1120" hidden="1" customWidth="1" outlineLevel="1"/>
    <col min="15" max="15" width="11" style="1120" hidden="1" customWidth="1" outlineLevel="1"/>
    <col min="16" max="16" width="11.44140625" style="1120" hidden="1" customWidth="1" outlineLevel="1"/>
    <col min="17" max="17" width="8.88671875" style="1120" hidden="1" customWidth="1" outlineLevel="1"/>
    <col min="18" max="18" width="9.33203125" style="1120" hidden="1" customWidth="1" outlineLevel="1"/>
    <col min="19" max="19" width="8.88671875" style="1120" customWidth="1" collapsed="1"/>
    <col min="20" max="20" width="8" style="1120" customWidth="1"/>
    <col min="21" max="21" width="7.44140625" style="1120" customWidth="1"/>
    <col min="22" max="23" width="8.33203125" style="1120" hidden="1" customWidth="1" outlineLevel="1"/>
    <col min="24" max="24" width="10.5546875" style="1120" hidden="1" customWidth="1" outlineLevel="1"/>
    <col min="25" max="25" width="8.33203125" style="1120" hidden="1" customWidth="1" outlineLevel="1"/>
    <col min="26" max="26" width="7.88671875" style="1120" hidden="1" customWidth="1" outlineLevel="1"/>
    <col min="27" max="27" width="7.88671875" style="1120" customWidth="1" collapsed="1"/>
    <col min="28" max="28" width="7.6640625" style="1120" customWidth="1"/>
    <col min="29" max="29" width="6.88671875" style="1120" customWidth="1"/>
    <col min="30" max="30" width="7.6640625" style="1120" hidden="1" customWidth="1" outlineLevel="1"/>
    <col min="31" max="33" width="8.33203125" style="1120" hidden="1" customWidth="1" outlineLevel="1"/>
    <col min="34" max="34" width="6.6640625" style="1120" hidden="1" customWidth="1" outlineLevel="1"/>
    <col min="35" max="35" width="6.44140625" style="1407" customWidth="1" collapsed="1"/>
    <col min="36" max="37" width="6.44140625" style="1407" customWidth="1"/>
    <col min="38" max="38" width="6.44140625" style="1120" hidden="1" customWidth="1" outlineLevel="1"/>
    <col min="39" max="39" width="7.5546875" style="1120" hidden="1" customWidth="1" outlineLevel="1"/>
    <col min="40" max="40" width="6.44140625" style="1120" hidden="1" customWidth="1" outlineLevel="1"/>
    <col min="41" max="42" width="7.88671875" style="1120" hidden="1" customWidth="1" outlineLevel="1"/>
    <col min="43" max="43" width="6.44140625" style="1120" customWidth="1" collapsed="1"/>
    <col min="44" max="45" width="6.44140625" style="1120" customWidth="1"/>
    <col min="46" max="46" width="6.44140625" style="1120" hidden="1" customWidth="1" outlineLevel="1"/>
    <col min="47" max="47" width="7.88671875" style="1120" hidden="1" customWidth="1" outlineLevel="1"/>
    <col min="48" max="48" width="6.44140625" style="1120" hidden="1" customWidth="1" outlineLevel="1"/>
    <col min="49" max="49" width="10.44140625" style="1120" hidden="1" customWidth="1" outlineLevel="1"/>
    <col min="50" max="50" width="7" style="1120" hidden="1" customWidth="1" outlineLevel="1"/>
    <col min="51" max="51" width="6.44140625" style="1120" customWidth="1" collapsed="1"/>
    <col min="52" max="52" width="7.5546875" style="1120" customWidth="1"/>
    <col min="53" max="53" width="6.44140625" style="1120" customWidth="1"/>
    <col min="54" max="56" width="6.44140625" style="1120" hidden="1" customWidth="1" outlineLevel="1"/>
    <col min="57" max="57" width="8.6640625" style="1120" hidden="1" customWidth="1" outlineLevel="1"/>
    <col min="58" max="58" width="7" style="1120" hidden="1" customWidth="1" outlineLevel="1"/>
    <col min="59" max="59" width="7.33203125" style="1120" customWidth="1" collapsed="1"/>
    <col min="60" max="60" width="7.33203125" style="1120" customWidth="1"/>
    <col min="61" max="61" width="6.44140625" style="1120" customWidth="1"/>
    <col min="62" max="62" width="6.44140625" style="1120" hidden="1" customWidth="1" outlineLevel="1"/>
    <col min="63" max="63" width="7.44140625" style="1120" hidden="1" customWidth="1" outlineLevel="1"/>
    <col min="64" max="64" width="6.44140625" style="1120" hidden="1" customWidth="1" outlineLevel="1"/>
    <col min="65" max="66" width="8.44140625" style="1120" hidden="1" customWidth="1" outlineLevel="1"/>
    <col min="67" max="67" width="6.6640625" style="1120" customWidth="1" collapsed="1"/>
    <col min="68" max="68" width="6.44140625" style="1120" customWidth="1"/>
    <col min="69" max="69" width="7" style="1120" customWidth="1"/>
    <col min="70" max="73" width="8.33203125" style="1120" hidden="1" customWidth="1" outlineLevel="1"/>
    <col min="74" max="74" width="7" style="1120" hidden="1" customWidth="1" outlineLevel="1"/>
    <col min="75" max="75" width="6.6640625" style="1120" customWidth="1" collapsed="1"/>
    <col min="76" max="77" width="6.6640625" style="1120" customWidth="1"/>
    <col min="78" max="80" width="6.44140625" style="1120" hidden="1" customWidth="1" outlineLevel="1"/>
    <col min="81" max="81" width="8.109375" style="1120" hidden="1" customWidth="1" outlineLevel="1"/>
    <col min="82" max="82" width="7.88671875" style="1120" hidden="1" customWidth="1" outlineLevel="1"/>
    <col min="83" max="83" width="6.6640625" style="1120" customWidth="1" collapsed="1"/>
    <col min="84" max="85" width="6.6640625" style="1120" customWidth="1"/>
    <col min="86" max="86" width="6.44140625" style="1120" hidden="1" customWidth="1" outlineLevel="1"/>
    <col min="87" max="87" width="8" style="1120" hidden="1" customWidth="1" outlineLevel="1"/>
    <col min="88" max="88" width="6.44140625" style="1120" hidden="1" customWidth="1" outlineLevel="1"/>
    <col min="89" max="89" width="8.33203125" style="1120" hidden="1" customWidth="1" outlineLevel="1"/>
    <col min="90" max="90" width="7.109375" style="1120" hidden="1" customWidth="1" outlineLevel="1"/>
    <col min="91" max="91" width="6.6640625" style="1120" customWidth="1" collapsed="1"/>
    <col min="92" max="93" width="6.6640625" style="1120" customWidth="1"/>
    <col min="94" max="97" width="8.33203125" style="1120" hidden="1" customWidth="1" outlineLevel="1"/>
    <col min="98" max="98" width="9" style="1120" collapsed="1"/>
    <col min="99" max="99" width="9" style="1120"/>
    <col min="100" max="100" width="9.88671875" style="1120" customWidth="1"/>
    <col min="101" max="16384" width="9" style="1120"/>
  </cols>
  <sheetData>
    <row r="1" spans="1:113" ht="14.4">
      <c r="A1" s="1118" t="s">
        <v>2437</v>
      </c>
      <c r="B1" s="1119"/>
      <c r="C1" s="1119"/>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388"/>
      <c r="AJ1" s="1388"/>
      <c r="AK1" s="1388"/>
      <c r="AL1" s="1121"/>
      <c r="AM1" s="1121"/>
      <c r="AN1" s="1121"/>
      <c r="AO1" s="1121"/>
      <c r="AP1" s="1121"/>
      <c r="AQ1" s="1121"/>
      <c r="AR1" s="1121"/>
      <c r="AS1" s="1121"/>
      <c r="AT1" s="1121"/>
      <c r="AU1" s="1121"/>
      <c r="AV1" s="1121"/>
      <c r="AW1" s="1121"/>
      <c r="AX1" s="1121"/>
      <c r="AY1" s="1121"/>
      <c r="AZ1" s="1121"/>
      <c r="BA1" s="1121"/>
      <c r="BB1" s="1121"/>
      <c r="BC1" s="1121"/>
      <c r="BD1" s="1121"/>
      <c r="BE1" s="1121"/>
      <c r="BF1" s="1121"/>
      <c r="BG1" s="1121"/>
      <c r="BH1" s="1121"/>
      <c r="BI1" s="1121"/>
      <c r="BJ1" s="1121"/>
      <c r="BK1" s="1121"/>
      <c r="BL1" s="1121"/>
      <c r="BM1" s="1121"/>
      <c r="BN1" s="1121"/>
      <c r="BO1" s="1121"/>
      <c r="BP1" s="1121"/>
      <c r="BQ1" s="1121"/>
      <c r="BR1" s="1121"/>
      <c r="BS1" s="1121"/>
      <c r="BT1" s="1121"/>
      <c r="BU1" s="1121"/>
      <c r="BV1" s="1121"/>
      <c r="BW1" s="1121"/>
      <c r="BX1" s="1121"/>
      <c r="BY1" s="1121"/>
      <c r="BZ1" s="1121"/>
      <c r="CA1" s="1121"/>
      <c r="CB1" s="1121"/>
      <c r="CC1" s="1121"/>
      <c r="CD1" s="1121"/>
      <c r="CE1" s="1121"/>
      <c r="CF1" s="1121"/>
      <c r="CG1" s="1121"/>
      <c r="CH1" s="1121"/>
      <c r="CI1" s="1121"/>
      <c r="CJ1" s="1121"/>
      <c r="CK1" s="1121"/>
      <c r="CL1" s="1121"/>
      <c r="CM1" s="1121"/>
      <c r="CN1" s="1121"/>
      <c r="CO1" s="1121"/>
      <c r="CP1" s="1121"/>
      <c r="CQ1" s="1121"/>
      <c r="CR1" s="1121"/>
      <c r="CS1" s="1121"/>
    </row>
    <row r="2" spans="1:113" ht="15.6">
      <c r="A2" s="1122" t="s">
        <v>1993</v>
      </c>
      <c r="B2" s="1123" t="s">
        <v>1994</v>
      </c>
      <c r="C2" s="1123"/>
      <c r="I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389"/>
      <c r="AJ2" s="1389"/>
      <c r="AK2" s="1389"/>
      <c r="AL2" s="1124"/>
      <c r="AM2" s="1124"/>
      <c r="AN2" s="1124"/>
      <c r="AO2" s="1124"/>
      <c r="AP2" s="1124"/>
      <c r="AQ2" s="1124"/>
      <c r="AR2" s="1124"/>
      <c r="AS2" s="1124"/>
      <c r="AT2" s="1124"/>
      <c r="AU2" s="1124"/>
      <c r="AV2" s="1124"/>
      <c r="AW2" s="1124"/>
      <c r="AX2" s="1124"/>
      <c r="AY2" s="1124"/>
      <c r="AZ2" s="1124"/>
      <c r="BA2" s="1124"/>
      <c r="BB2" s="1124"/>
      <c r="BC2" s="1124"/>
      <c r="BD2" s="1124"/>
      <c r="BE2" s="1124"/>
      <c r="BF2" s="1124"/>
      <c r="BG2" s="1124"/>
      <c r="BH2" s="1124"/>
      <c r="BI2" s="1124"/>
      <c r="BJ2" s="1124"/>
      <c r="BK2" s="1124"/>
      <c r="BL2" s="1124"/>
      <c r="BM2" s="1124"/>
      <c r="BN2" s="1124"/>
      <c r="BO2" s="1124"/>
      <c r="BP2" s="1124"/>
      <c r="BQ2" s="1124"/>
      <c r="BR2" s="1124"/>
      <c r="BS2" s="1124"/>
      <c r="BT2" s="1124"/>
      <c r="BU2" s="1124"/>
      <c r="BV2" s="1124"/>
      <c r="BW2" s="1124"/>
      <c r="BX2" s="1124"/>
      <c r="BY2" s="1124"/>
      <c r="BZ2" s="1124"/>
      <c r="CA2" s="1124"/>
      <c r="CB2" s="1124"/>
      <c r="CC2" s="1124"/>
      <c r="CD2" s="1124"/>
      <c r="CE2" s="1124"/>
      <c r="CF2" s="1124"/>
      <c r="CG2" s="1124"/>
      <c r="CH2" s="1124"/>
      <c r="CI2" s="1124"/>
      <c r="CJ2" s="1124"/>
      <c r="CK2" s="1124"/>
      <c r="CL2" s="1124"/>
      <c r="CM2" s="1124"/>
      <c r="CN2" s="1124"/>
      <c r="CO2" s="1124"/>
      <c r="CP2" s="1124"/>
      <c r="CQ2" s="1124"/>
      <c r="CR2" s="1124"/>
      <c r="CS2" s="1124"/>
    </row>
    <row r="3" spans="1:113" s="1126" customFormat="1" ht="12.75" hidden="1" customHeight="1" outlineLevel="1">
      <c r="A3" s="1125"/>
      <c r="I3" s="1127">
        <v>2425000</v>
      </c>
      <c r="J3" s="1126">
        <v>1810000</v>
      </c>
      <c r="K3" s="1126">
        <v>1817000</v>
      </c>
      <c r="L3" s="1126">
        <v>1245950</v>
      </c>
      <c r="M3" s="1126">
        <v>571050</v>
      </c>
      <c r="N3" s="1128">
        <v>212215</v>
      </c>
      <c r="O3" s="1128">
        <v>1604785</v>
      </c>
      <c r="P3" s="1128">
        <v>883883</v>
      </c>
      <c r="Q3" s="1128">
        <v>720902</v>
      </c>
      <c r="R3" s="1128">
        <v>1639290</v>
      </c>
      <c r="S3" s="1128">
        <v>1214970</v>
      </c>
      <c r="T3" s="1128">
        <v>953560</v>
      </c>
      <c r="U3" s="1128">
        <v>261410</v>
      </c>
      <c r="V3" s="1128">
        <v>117140</v>
      </c>
      <c r="W3" s="1128">
        <v>1097830</v>
      </c>
      <c r="X3" s="1128">
        <v>766551.3</v>
      </c>
      <c r="Y3" s="1128">
        <v>331278.69999999995</v>
      </c>
      <c r="Z3" s="1128">
        <v>84290</v>
      </c>
      <c r="AA3" s="1128">
        <v>89550</v>
      </c>
      <c r="AB3" s="1128">
        <v>19130</v>
      </c>
      <c r="AC3" s="1128">
        <v>70420</v>
      </c>
      <c r="AD3" s="1128">
        <v>10325</v>
      </c>
      <c r="AE3" s="1128">
        <v>79225</v>
      </c>
      <c r="AF3" s="1128">
        <v>15136</v>
      </c>
      <c r="AG3" s="1128">
        <v>64089</v>
      </c>
      <c r="AH3" s="1128">
        <v>93250</v>
      </c>
      <c r="AI3" s="1390">
        <v>88880</v>
      </c>
      <c r="AJ3" s="1390">
        <v>50970</v>
      </c>
      <c r="AK3" s="1390">
        <v>37910</v>
      </c>
      <c r="AL3" s="1128">
        <v>690</v>
      </c>
      <c r="AM3" s="1128">
        <v>88190</v>
      </c>
      <c r="AN3" s="1128">
        <v>13648</v>
      </c>
      <c r="AO3" s="1128">
        <v>74542</v>
      </c>
      <c r="AP3" s="1128">
        <v>357630</v>
      </c>
      <c r="AQ3" s="1128">
        <v>155765</v>
      </c>
      <c r="AR3" s="1128">
        <v>98785</v>
      </c>
      <c r="AS3" s="1128">
        <v>56980</v>
      </c>
      <c r="AT3" s="1128">
        <v>81970</v>
      </c>
      <c r="AU3" s="1128">
        <v>73795</v>
      </c>
      <c r="AV3" s="1128">
        <v>19342.7</v>
      </c>
      <c r="AW3" s="1128">
        <v>54452.3</v>
      </c>
      <c r="AX3" s="1128">
        <v>21360</v>
      </c>
      <c r="AY3" s="1128">
        <v>20540</v>
      </c>
      <c r="AZ3" s="1128">
        <v>2490</v>
      </c>
      <c r="BA3" s="1128">
        <v>18050</v>
      </c>
      <c r="BB3" s="1128">
        <v>460</v>
      </c>
      <c r="BC3" s="1128">
        <v>20080</v>
      </c>
      <c r="BD3" s="1128">
        <v>2298</v>
      </c>
      <c r="BE3" s="1128">
        <v>17782</v>
      </c>
      <c r="BF3" s="1128">
        <v>60030</v>
      </c>
      <c r="BG3" s="1128">
        <v>54880</v>
      </c>
      <c r="BH3" s="1128">
        <v>34750</v>
      </c>
      <c r="BI3" s="1128">
        <v>20130</v>
      </c>
      <c r="BJ3" s="1128">
        <v>645</v>
      </c>
      <c r="BK3" s="1128">
        <v>54235</v>
      </c>
      <c r="BL3" s="1128">
        <v>6059</v>
      </c>
      <c r="BM3" s="1128">
        <v>48176</v>
      </c>
      <c r="BN3" s="1128">
        <v>16520</v>
      </c>
      <c r="BO3" s="1128">
        <v>19090</v>
      </c>
      <c r="BP3" s="1128">
        <v>6890</v>
      </c>
      <c r="BQ3" s="1128">
        <v>12200</v>
      </c>
      <c r="BR3" s="1128">
        <v>65</v>
      </c>
      <c r="BS3" s="1128">
        <v>19025</v>
      </c>
      <c r="BT3" s="1128">
        <v>3029</v>
      </c>
      <c r="BU3" s="1128">
        <v>15996</v>
      </c>
      <c r="BV3" s="1128">
        <v>17260</v>
      </c>
      <c r="BW3" s="1128">
        <v>31095</v>
      </c>
      <c r="BX3" s="1128">
        <v>18395</v>
      </c>
      <c r="BY3" s="1128">
        <v>12700</v>
      </c>
      <c r="BZ3" s="1128">
        <v>290</v>
      </c>
      <c r="CA3" s="1128">
        <v>30805</v>
      </c>
      <c r="CB3" s="1128">
        <v>5312</v>
      </c>
      <c r="CC3" s="1128">
        <v>25493</v>
      </c>
      <c r="CD3" s="1128">
        <v>84610</v>
      </c>
      <c r="CE3" s="1128">
        <v>96910</v>
      </c>
      <c r="CF3" s="1128">
        <v>55650</v>
      </c>
      <c r="CG3" s="1128">
        <v>41260</v>
      </c>
      <c r="CH3" s="1128">
        <v>470</v>
      </c>
      <c r="CI3" s="1128">
        <v>96440</v>
      </c>
      <c r="CJ3" s="1128">
        <v>45011</v>
      </c>
      <c r="CK3" s="1128">
        <v>51429</v>
      </c>
      <c r="CL3" s="1128">
        <v>50760</v>
      </c>
      <c r="CM3" s="1128">
        <v>45320</v>
      </c>
      <c r="CN3" s="1128">
        <v>5330</v>
      </c>
      <c r="CO3" s="1128">
        <v>39990</v>
      </c>
      <c r="CP3" s="1128">
        <v>160</v>
      </c>
      <c r="CQ3" s="1128">
        <v>45160</v>
      </c>
      <c r="CR3" s="1128">
        <v>7496</v>
      </c>
      <c r="CS3" s="1128">
        <v>37664</v>
      </c>
    </row>
    <row r="4" spans="1:113" s="1126" customFormat="1" ht="12.75" hidden="1" customHeight="1" outlineLevel="1">
      <c r="A4" s="1125"/>
      <c r="I4" s="1127">
        <f t="shared" ref="I4:BT4" si="0">I3-I15</f>
        <v>-2075000</v>
      </c>
      <c r="J4" s="1127">
        <f t="shared" si="0"/>
        <v>-1443000</v>
      </c>
      <c r="K4" s="1127">
        <f t="shared" si="0"/>
        <v>-2783000</v>
      </c>
      <c r="L4" s="1127">
        <f t="shared" si="0"/>
        <v>-2187049.9</v>
      </c>
      <c r="M4" s="1127">
        <f t="shared" si="0"/>
        <v>-595950.10000000009</v>
      </c>
      <c r="N4" s="1127">
        <f t="shared" si="0"/>
        <v>-257185</v>
      </c>
      <c r="O4" s="1127">
        <f t="shared" si="0"/>
        <v>-2525815</v>
      </c>
      <c r="P4" s="1127">
        <f t="shared" si="0"/>
        <v>-1907635</v>
      </c>
      <c r="Q4" s="1127">
        <f t="shared" si="0"/>
        <v>-836138</v>
      </c>
      <c r="R4" s="1127">
        <f t="shared" si="0"/>
        <v>-1287610</v>
      </c>
      <c r="S4" s="1127">
        <f t="shared" si="0"/>
        <v>-1776610</v>
      </c>
      <c r="T4" s="1127">
        <f t="shared" si="0"/>
        <v>-1434820</v>
      </c>
      <c r="U4" s="1127">
        <f t="shared" si="0"/>
        <v>-341790</v>
      </c>
      <c r="V4" s="1127">
        <f t="shared" si="0"/>
        <v>2304</v>
      </c>
      <c r="W4" s="1127">
        <f t="shared" si="0"/>
        <v>-1778914</v>
      </c>
      <c r="X4" s="1127">
        <f t="shared" si="0"/>
        <v>-1462961.7</v>
      </c>
      <c r="Y4" s="1127">
        <f t="shared" si="0"/>
        <v>-315952.30000000005</v>
      </c>
      <c r="Z4" s="1127">
        <f t="shared" si="0"/>
        <v>-84280</v>
      </c>
      <c r="AA4" s="1127">
        <f t="shared" si="0"/>
        <v>-44110</v>
      </c>
      <c r="AB4" s="1127">
        <f t="shared" si="0"/>
        <v>-51530</v>
      </c>
      <c r="AC4" s="1127">
        <f t="shared" si="0"/>
        <v>7420</v>
      </c>
      <c r="AD4" s="1127">
        <f t="shared" si="0"/>
        <v>-8461</v>
      </c>
      <c r="AE4" s="1127">
        <f t="shared" si="0"/>
        <v>-35649</v>
      </c>
      <c r="AF4" s="1127">
        <f t="shared" si="0"/>
        <v>-25321</v>
      </c>
      <c r="AG4" s="1127">
        <f t="shared" si="0"/>
        <v>-10328</v>
      </c>
      <c r="AH4" s="1127">
        <f t="shared" si="0"/>
        <v>-31330</v>
      </c>
      <c r="AI4" s="1391">
        <f t="shared" si="0"/>
        <v>-37720</v>
      </c>
      <c r="AJ4" s="1391">
        <f t="shared" si="0"/>
        <v>-9830</v>
      </c>
      <c r="AK4" s="1391">
        <f t="shared" si="0"/>
        <v>-27890</v>
      </c>
      <c r="AL4" s="1127">
        <f t="shared" si="0"/>
        <v>-5613.9</v>
      </c>
      <c r="AM4" s="1127">
        <f t="shared" si="0"/>
        <v>-32106</v>
      </c>
      <c r="AN4" s="1127">
        <f t="shared" si="0"/>
        <v>-10269</v>
      </c>
      <c r="AO4" s="1127">
        <f t="shared" si="0"/>
        <v>-21837</v>
      </c>
      <c r="AP4" s="1127">
        <f t="shared" si="0"/>
        <v>-77230</v>
      </c>
      <c r="AQ4" s="1127">
        <f t="shared" si="0"/>
        <v>-274735</v>
      </c>
      <c r="AR4" s="1127">
        <f t="shared" si="0"/>
        <v>-235415</v>
      </c>
      <c r="AS4" s="1127">
        <f t="shared" si="0"/>
        <v>-39320</v>
      </c>
      <c r="AT4" s="1127">
        <f t="shared" si="0"/>
        <v>-218645</v>
      </c>
      <c r="AU4" s="1127">
        <f t="shared" si="0"/>
        <v>-56090</v>
      </c>
      <c r="AV4" s="1127">
        <f t="shared" si="0"/>
        <v>-16133.3</v>
      </c>
      <c r="AW4" s="1127">
        <f t="shared" si="0"/>
        <v>-39956.699999999997</v>
      </c>
      <c r="AX4" s="1127">
        <f t="shared" si="0"/>
        <v>-6770</v>
      </c>
      <c r="AY4" s="1127">
        <f t="shared" si="0"/>
        <v>-9960</v>
      </c>
      <c r="AZ4" s="1127">
        <f t="shared" si="0"/>
        <v>-5410</v>
      </c>
      <c r="BA4" s="1127">
        <f t="shared" si="0"/>
        <v>-4550</v>
      </c>
      <c r="BB4" s="1127">
        <f t="shared" si="0"/>
        <v>-1463</v>
      </c>
      <c r="BC4" s="1127">
        <f t="shared" si="0"/>
        <v>-8496.5999999999985</v>
      </c>
      <c r="BD4" s="1127">
        <f t="shared" si="0"/>
        <v>-2449.5</v>
      </c>
      <c r="BE4" s="1127">
        <f t="shared" si="0"/>
        <v>-6047</v>
      </c>
      <c r="BF4" s="1127">
        <f t="shared" si="0"/>
        <v>-52600</v>
      </c>
      <c r="BG4" s="1127">
        <f t="shared" si="0"/>
        <v>-59780</v>
      </c>
      <c r="BH4" s="1127">
        <f t="shared" si="0"/>
        <v>16790</v>
      </c>
      <c r="BI4" s="1127">
        <f t="shared" si="0"/>
        <v>-76570</v>
      </c>
      <c r="BJ4" s="1127">
        <f t="shared" si="0"/>
        <v>-850</v>
      </c>
      <c r="BK4" s="1127">
        <f t="shared" si="0"/>
        <v>-58930</v>
      </c>
      <c r="BL4" s="1127">
        <f t="shared" si="0"/>
        <v>-18884</v>
      </c>
      <c r="BM4" s="1127">
        <f t="shared" si="0"/>
        <v>-40046</v>
      </c>
      <c r="BN4" s="1127">
        <f t="shared" si="0"/>
        <v>-51080</v>
      </c>
      <c r="BO4" s="1127">
        <f t="shared" si="0"/>
        <v>-70610</v>
      </c>
      <c r="BP4" s="1127">
        <f t="shared" si="0"/>
        <v>-57310</v>
      </c>
      <c r="BQ4" s="1127">
        <f t="shared" si="0"/>
        <v>-13300</v>
      </c>
      <c r="BR4" s="1127">
        <f t="shared" si="0"/>
        <v>-5338</v>
      </c>
      <c r="BS4" s="1127">
        <f t="shared" si="0"/>
        <v>-65272</v>
      </c>
      <c r="BT4" s="1127">
        <f t="shared" si="0"/>
        <v>-40385</v>
      </c>
      <c r="BU4" s="1127">
        <f t="shared" ref="BU4:CS4" si="1">BU3-BU15</f>
        <v>-24887</v>
      </c>
      <c r="BV4" s="1127">
        <f t="shared" si="1"/>
        <v>-59050</v>
      </c>
      <c r="BW4" s="1127">
        <f t="shared" si="1"/>
        <v>-52805</v>
      </c>
      <c r="BX4" s="1127">
        <f t="shared" si="1"/>
        <v>-54805</v>
      </c>
      <c r="BY4" s="1127">
        <f t="shared" si="1"/>
        <v>2000</v>
      </c>
      <c r="BZ4" s="1127">
        <f t="shared" si="1"/>
        <v>-2761</v>
      </c>
      <c r="CA4" s="1127">
        <f t="shared" si="1"/>
        <v>-50044</v>
      </c>
      <c r="CB4" s="1127">
        <f t="shared" si="1"/>
        <v>-10776</v>
      </c>
      <c r="CC4" s="1127">
        <f t="shared" si="1"/>
        <v>-39268</v>
      </c>
      <c r="CD4" s="1127">
        <f t="shared" si="1"/>
        <v>-415650</v>
      </c>
      <c r="CE4" s="1127">
        <f t="shared" si="1"/>
        <v>-441190</v>
      </c>
      <c r="CF4" s="1127">
        <f t="shared" si="1"/>
        <v>-305650</v>
      </c>
      <c r="CG4" s="1127">
        <f t="shared" si="1"/>
        <v>-135540</v>
      </c>
      <c r="CH4" s="1127">
        <f t="shared" si="1"/>
        <v>-13709</v>
      </c>
      <c r="CI4" s="1127">
        <f t="shared" si="1"/>
        <v>-427481</v>
      </c>
      <c r="CJ4" s="1127">
        <f t="shared" si="1"/>
        <v>-93372</v>
      </c>
      <c r="CK4" s="1127">
        <f t="shared" si="1"/>
        <v>-334109</v>
      </c>
      <c r="CL4" s="1127">
        <f t="shared" si="1"/>
        <v>-9400</v>
      </c>
      <c r="CM4" s="1127">
        <f t="shared" si="1"/>
        <v>-15480</v>
      </c>
      <c r="CN4" s="1127">
        <f t="shared" si="1"/>
        <v>-49070</v>
      </c>
      <c r="CO4" s="1127">
        <f t="shared" si="1"/>
        <v>33590</v>
      </c>
      <c r="CP4" s="1127">
        <f t="shared" si="1"/>
        <v>-2648</v>
      </c>
      <c r="CQ4" s="1127">
        <f t="shared" si="1"/>
        <v>-12832</v>
      </c>
      <c r="CR4" s="1127">
        <f t="shared" si="1"/>
        <v>-9125</v>
      </c>
      <c r="CS4" s="1127">
        <f t="shared" si="1"/>
        <v>-3707</v>
      </c>
    </row>
    <row r="5" spans="1:113" s="1126" customFormat="1" ht="12.75" hidden="1" customHeight="1" outlineLevel="1">
      <c r="A5" s="1125"/>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391"/>
      <c r="AJ5" s="1391"/>
      <c r="AK5" s="1391"/>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27"/>
      <c r="BS5" s="1127"/>
      <c r="BT5" s="1127"/>
      <c r="BU5" s="1127"/>
      <c r="BV5" s="1127"/>
      <c r="BW5" s="1127"/>
      <c r="BX5" s="1127"/>
      <c r="BY5" s="1127"/>
      <c r="BZ5" s="1127"/>
      <c r="CA5" s="1127"/>
      <c r="CB5" s="1127"/>
      <c r="CC5" s="1127"/>
      <c r="CD5" s="1127"/>
      <c r="CE5" s="1127"/>
      <c r="CF5" s="1127"/>
      <c r="CG5" s="1127"/>
      <c r="CH5" s="1127"/>
      <c r="CI5" s="1127"/>
      <c r="CJ5" s="1127"/>
      <c r="CK5" s="1127"/>
      <c r="CL5" s="1127"/>
      <c r="CM5" s="1127"/>
      <c r="CN5" s="1127"/>
      <c r="CO5" s="1127"/>
      <c r="CP5" s="1127"/>
      <c r="CQ5" s="1127"/>
      <c r="CR5" s="1127"/>
      <c r="CS5" s="1127"/>
    </row>
    <row r="6" spans="1:113" s="1126" customFormat="1" ht="12.75" hidden="1" customHeight="1" outlineLevel="1">
      <c r="A6" s="1125"/>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391"/>
      <c r="AJ6" s="1391"/>
      <c r="AK6" s="1391"/>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1127"/>
      <c r="CJ6" s="1127"/>
      <c r="CK6" s="1127"/>
      <c r="CL6" s="1127"/>
      <c r="CM6" s="1127"/>
      <c r="CN6" s="1127"/>
      <c r="CO6" s="1127"/>
      <c r="CP6" s="1127"/>
      <c r="CQ6" s="1127"/>
      <c r="CR6" s="1127"/>
      <c r="CS6" s="1127"/>
    </row>
    <row r="7" spans="1:113" s="1126" customFormat="1" ht="12.75" hidden="1" customHeight="1" outlineLevel="1">
      <c r="A7" s="1125"/>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391"/>
      <c r="AJ7" s="1391"/>
      <c r="AK7" s="1391"/>
      <c r="AL7" s="1127"/>
      <c r="AM7" s="1127"/>
      <c r="AN7" s="1127"/>
      <c r="AO7" s="1127"/>
      <c r="AP7" s="1127"/>
      <c r="AQ7" s="1127"/>
      <c r="AR7" s="1127"/>
      <c r="AS7" s="1127"/>
      <c r="AT7" s="1127"/>
      <c r="AU7" s="1127"/>
      <c r="AV7" s="1127"/>
      <c r="AW7" s="1127"/>
      <c r="AX7" s="1127"/>
      <c r="AY7" s="1127"/>
      <c r="AZ7" s="1127"/>
      <c r="BA7" s="1127"/>
      <c r="BB7" s="1127"/>
      <c r="BC7" s="1127"/>
      <c r="BD7" s="1127"/>
      <c r="BE7" s="1127"/>
      <c r="BF7" s="1127"/>
      <c r="BG7" s="1127"/>
      <c r="BH7" s="1127"/>
      <c r="BI7" s="1127"/>
      <c r="BJ7" s="1127"/>
      <c r="BK7" s="1127"/>
      <c r="BL7" s="1127"/>
      <c r="BM7" s="1127"/>
      <c r="BN7" s="1127"/>
      <c r="BO7" s="1127"/>
      <c r="BP7" s="1127"/>
      <c r="BQ7" s="1127"/>
      <c r="BR7" s="1127"/>
      <c r="BS7" s="1127"/>
      <c r="BT7" s="1127"/>
      <c r="BU7" s="1127"/>
      <c r="BV7" s="1127"/>
      <c r="BW7" s="1127"/>
      <c r="BX7" s="1127"/>
      <c r="BY7" s="1127"/>
      <c r="BZ7" s="1127"/>
      <c r="CA7" s="1127"/>
      <c r="CB7" s="1127"/>
      <c r="CC7" s="1127"/>
      <c r="CD7" s="1127"/>
      <c r="CE7" s="1127"/>
      <c r="CF7" s="1127"/>
      <c r="CG7" s="1127"/>
      <c r="CH7" s="1127"/>
      <c r="CI7" s="1127"/>
      <c r="CJ7" s="1127"/>
      <c r="CK7" s="1127"/>
      <c r="CL7" s="1127"/>
      <c r="CM7" s="1127"/>
      <c r="CN7" s="1127"/>
      <c r="CO7" s="1127"/>
      <c r="CP7" s="1127"/>
      <c r="CQ7" s="1127"/>
      <c r="CR7" s="1127"/>
      <c r="CS7" s="1127"/>
    </row>
    <row r="8" spans="1:113" s="1126" customFormat="1" ht="12.75" hidden="1" customHeight="1" outlineLevel="1">
      <c r="A8" s="1125"/>
      <c r="I8" s="1127"/>
      <c r="J8" s="1127"/>
      <c r="K8" s="1129"/>
      <c r="L8" s="1129"/>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391"/>
      <c r="AJ8" s="1391"/>
      <c r="AK8" s="1391"/>
      <c r="AL8" s="1127"/>
      <c r="AM8" s="1127"/>
      <c r="AN8" s="1127"/>
      <c r="AO8" s="1127"/>
      <c r="AP8" s="1127"/>
      <c r="AQ8" s="1127"/>
      <c r="AR8" s="1127"/>
      <c r="AS8" s="1127"/>
      <c r="AT8" s="1127"/>
      <c r="AU8" s="1127"/>
      <c r="AV8" s="1127"/>
      <c r="AW8" s="1127"/>
      <c r="AX8" s="1127"/>
      <c r="AY8" s="1127"/>
      <c r="AZ8" s="1127"/>
      <c r="BA8" s="1127"/>
      <c r="BB8" s="1127"/>
      <c r="BC8" s="1127"/>
      <c r="BD8" s="1127"/>
      <c r="BE8" s="1127"/>
      <c r="BF8" s="1127"/>
      <c r="BG8" s="1127"/>
      <c r="BH8" s="1127"/>
      <c r="BI8" s="1127"/>
      <c r="BJ8" s="1127"/>
      <c r="BK8" s="1127"/>
      <c r="BL8" s="1127"/>
      <c r="BM8" s="1127"/>
      <c r="BN8" s="1127"/>
      <c r="BO8" s="1127"/>
      <c r="BP8" s="1127"/>
      <c r="BQ8" s="1127"/>
      <c r="BR8" s="1127"/>
      <c r="BS8" s="1127"/>
      <c r="BT8" s="1127"/>
      <c r="BU8" s="1127"/>
      <c r="BV8" s="1127"/>
      <c r="BW8" s="1127"/>
      <c r="BX8" s="1127"/>
      <c r="BY8" s="1127"/>
      <c r="BZ8" s="1127"/>
      <c r="CA8" s="1127"/>
      <c r="CB8" s="1127"/>
      <c r="CC8" s="1127"/>
      <c r="CD8" s="1127"/>
      <c r="CE8" s="1127"/>
      <c r="CF8" s="1127"/>
      <c r="CG8" s="1127"/>
      <c r="CH8" s="1127"/>
      <c r="CI8" s="1127"/>
      <c r="CJ8" s="1127"/>
      <c r="CK8" s="1127"/>
      <c r="CL8" s="1127"/>
      <c r="CM8" s="1127"/>
      <c r="CN8" s="1127"/>
      <c r="CO8" s="1127"/>
      <c r="CP8" s="1127"/>
      <c r="CQ8" s="1127"/>
      <c r="CR8" s="1127"/>
      <c r="CS8" s="1127"/>
    </row>
    <row r="9" spans="1:113" ht="14.4" collapsed="1">
      <c r="A9" s="1475" t="s">
        <v>1903</v>
      </c>
      <c r="B9" s="1475"/>
      <c r="C9" s="1475"/>
      <c r="D9" s="1475"/>
      <c r="E9" s="1475"/>
      <c r="F9" s="1475"/>
      <c r="G9" s="1475"/>
      <c r="H9" s="1475"/>
      <c r="I9" s="1475"/>
      <c r="J9" s="1475"/>
      <c r="K9" s="1475"/>
      <c r="L9" s="1475"/>
      <c r="M9" s="1475"/>
      <c r="N9" s="1475"/>
      <c r="O9" s="1475"/>
      <c r="P9" s="1475"/>
      <c r="Q9" s="1475"/>
      <c r="R9" s="1475"/>
      <c r="S9" s="1475"/>
      <c r="T9" s="1475"/>
      <c r="U9" s="1475"/>
      <c r="V9" s="1131">
        <f t="shared" ref="V9:Z9" si="2">V15-V1</f>
        <v>114836</v>
      </c>
      <c r="W9" s="1131">
        <f t="shared" si="2"/>
        <v>2876744</v>
      </c>
      <c r="X9" s="1131">
        <f t="shared" si="2"/>
        <v>2229513</v>
      </c>
      <c r="Y9" s="1131">
        <f t="shared" si="2"/>
        <v>647231</v>
      </c>
      <c r="Z9" s="1131">
        <f t="shared" si="2"/>
        <v>168570</v>
      </c>
      <c r="AA9" s="1131"/>
      <c r="AB9" s="1131"/>
      <c r="AC9" s="1131"/>
      <c r="AD9" s="1131"/>
      <c r="AE9" s="1131"/>
      <c r="AF9" s="1131"/>
      <c r="AG9" s="1131"/>
      <c r="AH9" s="1131"/>
      <c r="AI9" s="1392"/>
      <c r="AJ9" s="1392"/>
      <c r="AK9" s="1392"/>
      <c r="AL9" s="1131"/>
      <c r="AM9" s="1131"/>
      <c r="AN9" s="1131"/>
      <c r="AO9" s="1131"/>
      <c r="AP9" s="1131"/>
      <c r="AQ9" s="1131"/>
      <c r="AR9" s="1131"/>
      <c r="AS9" s="1131"/>
      <c r="AT9" s="1131"/>
      <c r="AU9" s="1131"/>
      <c r="AV9" s="1131"/>
      <c r="AW9" s="1131"/>
      <c r="AX9" s="1131"/>
      <c r="AY9" s="1131"/>
      <c r="AZ9" s="1131"/>
      <c r="BA9" s="1131"/>
      <c r="BB9" s="1131"/>
      <c r="BC9" s="1131"/>
      <c r="BD9" s="1131"/>
      <c r="BE9" s="1131"/>
      <c r="BF9" s="1131"/>
      <c r="BG9" s="1131"/>
      <c r="BH9" s="1131"/>
      <c r="BI9" s="1131"/>
      <c r="BJ9" s="1131"/>
      <c r="BK9" s="1131"/>
      <c r="BL9" s="1131"/>
      <c r="BM9" s="1131"/>
      <c r="BN9" s="1131"/>
      <c r="BO9" s="1131"/>
      <c r="BP9" s="1131"/>
      <c r="BQ9" s="1131"/>
      <c r="BR9" s="1131"/>
      <c r="BS9" s="1131"/>
      <c r="BT9" s="1131"/>
      <c r="BU9" s="1131"/>
      <c r="BV9" s="1131"/>
      <c r="BW9" s="1131"/>
      <c r="BX9" s="1131"/>
      <c r="BY9" s="1131"/>
      <c r="BZ9" s="1131"/>
      <c r="CA9" s="1131"/>
      <c r="CB9" s="1131"/>
      <c r="CC9" s="1131"/>
      <c r="CD9" s="1131"/>
      <c r="CE9" s="1131"/>
      <c r="CF9" s="1131"/>
      <c r="CG9" s="1131"/>
      <c r="CH9" s="1131"/>
      <c r="CI9" s="1131"/>
      <c r="CJ9" s="1131"/>
      <c r="CK9" s="1131"/>
      <c r="CL9" s="1131"/>
      <c r="CM9" s="1131"/>
      <c r="CN9" s="1131"/>
      <c r="CO9" s="1131"/>
      <c r="CP9" s="1131">
        <f t="shared" ref="CP9:CS9" si="3">CP15-CP1</f>
        <v>2808</v>
      </c>
      <c r="CQ9" s="1131">
        <f t="shared" si="3"/>
        <v>57992</v>
      </c>
      <c r="CR9" s="1131">
        <f t="shared" si="3"/>
        <v>16621</v>
      </c>
      <c r="CS9" s="1131">
        <f t="shared" si="3"/>
        <v>41371</v>
      </c>
    </row>
    <row r="10" spans="1:113" ht="14.4">
      <c r="A10" s="1130"/>
      <c r="B10" s="1131"/>
      <c r="C10" s="1131"/>
      <c r="D10" s="1121"/>
      <c r="E10" s="1121"/>
      <c r="F10" s="1121"/>
      <c r="G10" s="1121"/>
      <c r="H10" s="1121"/>
      <c r="I10" s="1131"/>
      <c r="J10" s="1131"/>
      <c r="K10" s="1129"/>
      <c r="L10" s="1129"/>
      <c r="M10" s="1131"/>
      <c r="N10" s="1131"/>
      <c r="O10" s="1132">
        <f>O15-O104</f>
        <v>2785000</v>
      </c>
      <c r="P10" s="1133"/>
      <c r="Q10" s="1133"/>
      <c r="R10" s="1131"/>
      <c r="T10" s="1131" t="s">
        <v>0</v>
      </c>
      <c r="V10" s="1131"/>
      <c r="W10" s="1131"/>
      <c r="X10" s="1131"/>
      <c r="Y10" s="1131"/>
      <c r="Z10" s="1131"/>
      <c r="AA10" s="1131"/>
      <c r="AB10" s="1131"/>
      <c r="AC10" s="1131"/>
      <c r="AD10" s="1131"/>
      <c r="AE10" s="1131"/>
      <c r="AF10" s="1131"/>
      <c r="AG10" s="1131"/>
      <c r="AH10" s="1131"/>
      <c r="AI10" s="1392"/>
      <c r="AJ10" s="1392"/>
      <c r="AK10" s="1392"/>
      <c r="AL10" s="1131"/>
      <c r="AM10" s="1131"/>
      <c r="AN10" s="1131"/>
      <c r="AO10" s="1131"/>
      <c r="AP10" s="1131"/>
      <c r="AQ10" s="1131"/>
      <c r="AR10" s="1131"/>
      <c r="AS10" s="1131"/>
      <c r="AT10" s="1131"/>
      <c r="AU10" s="1131"/>
      <c r="AV10" s="1131"/>
      <c r="AW10" s="1131"/>
      <c r="AX10" s="1131"/>
      <c r="AY10" s="1131"/>
      <c r="AZ10" s="1131"/>
      <c r="BA10" s="1131"/>
      <c r="BB10" s="1131"/>
      <c r="BC10" s="1131"/>
      <c r="BD10" s="1131"/>
      <c r="BE10" s="1131"/>
      <c r="BF10" s="1131"/>
      <c r="BG10" s="1131"/>
      <c r="BH10" s="1131"/>
      <c r="BI10" s="1131"/>
      <c r="BJ10" s="1131"/>
      <c r="BK10" s="1131"/>
      <c r="BL10" s="1131"/>
      <c r="BM10" s="1131"/>
      <c r="BN10" s="1131"/>
      <c r="BO10" s="1131"/>
      <c r="BP10" s="1131"/>
      <c r="BQ10" s="1131"/>
      <c r="BR10" s="1131"/>
      <c r="BS10" s="1131"/>
      <c r="BT10" s="1131"/>
      <c r="BU10" s="1131"/>
      <c r="BV10" s="1131"/>
      <c r="BW10" s="1131"/>
      <c r="BX10" s="1131"/>
      <c r="BY10" s="1131"/>
      <c r="BZ10" s="1131"/>
      <c r="CA10" s="1131"/>
      <c r="CB10" s="1131"/>
      <c r="CC10" s="1131"/>
      <c r="CD10" s="1131"/>
      <c r="CE10" s="1131"/>
      <c r="CF10" s="1131"/>
      <c r="CG10" s="1131"/>
      <c r="CH10" s="1131"/>
      <c r="CI10" s="1131"/>
      <c r="CJ10" s="1131"/>
      <c r="CK10" s="1131"/>
      <c r="CL10" s="1131"/>
      <c r="CM10" s="1131"/>
      <c r="CN10" s="1131"/>
      <c r="CO10" s="1131"/>
      <c r="CP10" s="1131"/>
      <c r="CQ10" s="1131"/>
      <c r="CR10" s="1131"/>
      <c r="CS10" s="1131"/>
    </row>
    <row r="11" spans="1:113" s="1123" customFormat="1" ht="15" customHeight="1">
      <c r="A11" s="1489" t="s">
        <v>1</v>
      </c>
      <c r="B11" s="1492" t="s">
        <v>474</v>
      </c>
      <c r="C11" s="1134"/>
      <c r="D11" s="1495" t="s">
        <v>475</v>
      </c>
      <c r="E11" s="1496"/>
      <c r="F11" s="1496"/>
      <c r="G11" s="1497"/>
      <c r="H11" s="1476" t="s">
        <v>476</v>
      </c>
      <c r="I11" s="1476" t="s">
        <v>1700</v>
      </c>
      <c r="J11" s="1481" t="s">
        <v>1995</v>
      </c>
      <c r="K11" s="1481" t="s">
        <v>1996</v>
      </c>
      <c r="L11" s="1481"/>
      <c r="M11" s="1481"/>
      <c r="N11" s="1481" t="s">
        <v>477</v>
      </c>
      <c r="O11" s="1481"/>
      <c r="P11" s="1481"/>
      <c r="Q11" s="1481"/>
      <c r="R11" s="1135"/>
      <c r="S11" s="1488" t="s">
        <v>478</v>
      </c>
      <c r="T11" s="1488"/>
      <c r="U11" s="1488"/>
      <c r="V11" s="1136"/>
      <c r="W11" s="1136"/>
      <c r="X11" s="1136"/>
      <c r="Y11" s="1137"/>
      <c r="Z11" s="1135"/>
      <c r="AA11" s="1488" t="s">
        <v>479</v>
      </c>
      <c r="AB11" s="1488"/>
      <c r="AC11" s="1488"/>
      <c r="AD11" s="1136"/>
      <c r="AE11" s="1136"/>
      <c r="AF11" s="1136"/>
      <c r="AG11" s="1137"/>
      <c r="AH11" s="1135"/>
      <c r="AI11" s="1503" t="s">
        <v>480</v>
      </c>
      <c r="AJ11" s="1504"/>
      <c r="AK11" s="1505"/>
      <c r="AL11" s="1138"/>
      <c r="AM11" s="1138"/>
      <c r="AN11" s="1138"/>
      <c r="AO11" s="1139"/>
      <c r="AP11" s="1135"/>
      <c r="AQ11" s="1488" t="s">
        <v>481</v>
      </c>
      <c r="AR11" s="1488"/>
      <c r="AS11" s="1488"/>
      <c r="AT11" s="1136"/>
      <c r="AU11" s="1136"/>
      <c r="AV11" s="1136"/>
      <c r="AW11" s="1137"/>
      <c r="AX11" s="1135"/>
      <c r="AY11" s="1488" t="s">
        <v>482</v>
      </c>
      <c r="AZ11" s="1488"/>
      <c r="BA11" s="1488"/>
      <c r="BB11" s="1136"/>
      <c r="BC11" s="1136"/>
      <c r="BD11" s="1136"/>
      <c r="BE11" s="1137"/>
      <c r="BF11" s="1135"/>
      <c r="BG11" s="1488" t="s">
        <v>483</v>
      </c>
      <c r="BH11" s="1488"/>
      <c r="BI11" s="1488"/>
      <c r="BJ11" s="1136"/>
      <c r="BK11" s="1136"/>
      <c r="BL11" s="1136"/>
      <c r="BM11" s="1137"/>
      <c r="BN11" s="1135"/>
      <c r="BO11" s="1488" t="s">
        <v>484</v>
      </c>
      <c r="BP11" s="1488"/>
      <c r="BQ11" s="1488"/>
      <c r="BR11" s="1136"/>
      <c r="BS11" s="1136"/>
      <c r="BT11" s="1136"/>
      <c r="BU11" s="1137"/>
      <c r="BV11" s="1135"/>
      <c r="BW11" s="1488" t="s">
        <v>485</v>
      </c>
      <c r="BX11" s="1488"/>
      <c r="BY11" s="1488"/>
      <c r="BZ11" s="1136"/>
      <c r="CA11" s="1136"/>
      <c r="CB11" s="1136"/>
      <c r="CC11" s="1137"/>
      <c r="CD11" s="1135"/>
      <c r="CE11" s="1488" t="s">
        <v>486</v>
      </c>
      <c r="CF11" s="1488"/>
      <c r="CG11" s="1488"/>
      <c r="CH11" s="1136"/>
      <c r="CI11" s="1136"/>
      <c r="CJ11" s="1136"/>
      <c r="CK11" s="1137"/>
      <c r="CL11" s="1135"/>
      <c r="CM11" s="1488" t="s">
        <v>487</v>
      </c>
      <c r="CN11" s="1488"/>
      <c r="CO11" s="1488"/>
      <c r="CP11" s="1136"/>
      <c r="CQ11" s="1136"/>
      <c r="CR11" s="1136"/>
      <c r="CS11" s="1137"/>
    </row>
    <row r="12" spans="1:113" s="1123" customFormat="1" ht="18" customHeight="1">
      <c r="A12" s="1490"/>
      <c r="B12" s="1493"/>
      <c r="C12" s="1140"/>
      <c r="D12" s="1476" t="s">
        <v>488</v>
      </c>
      <c r="E12" s="1499" t="s">
        <v>489</v>
      </c>
      <c r="F12" s="1500"/>
      <c r="G12" s="1501"/>
      <c r="H12" s="1498"/>
      <c r="I12" s="1498"/>
      <c r="J12" s="1481"/>
      <c r="K12" s="1481" t="s">
        <v>1997</v>
      </c>
      <c r="L12" s="1481" t="s">
        <v>490</v>
      </c>
      <c r="M12" s="1481"/>
      <c r="N12" s="1481" t="s">
        <v>488</v>
      </c>
      <c r="O12" s="1481" t="s">
        <v>491</v>
      </c>
      <c r="P12" s="1481"/>
      <c r="Q12" s="1481"/>
      <c r="R12" s="1481" t="s">
        <v>1700</v>
      </c>
      <c r="S12" s="1481" t="s">
        <v>1998</v>
      </c>
      <c r="T12" s="1481" t="s">
        <v>490</v>
      </c>
      <c r="U12" s="1481"/>
      <c r="V12" s="1483" t="s">
        <v>492</v>
      </c>
      <c r="W12" s="1483"/>
      <c r="X12" s="1483"/>
      <c r="Y12" s="1484"/>
      <c r="Z12" s="1481" t="s">
        <v>1700</v>
      </c>
      <c r="AA12" s="1481" t="s">
        <v>1998</v>
      </c>
      <c r="AB12" s="1481" t="s">
        <v>490</v>
      </c>
      <c r="AC12" s="1481"/>
      <c r="AD12" s="1482" t="s">
        <v>492</v>
      </c>
      <c r="AE12" s="1483"/>
      <c r="AF12" s="1483"/>
      <c r="AG12" s="1484"/>
      <c r="AH12" s="1481" t="s">
        <v>1700</v>
      </c>
      <c r="AI12" s="1502" t="s">
        <v>1998</v>
      </c>
      <c r="AJ12" s="1502" t="s">
        <v>490</v>
      </c>
      <c r="AK12" s="1502"/>
      <c r="AL12" s="1482" t="s">
        <v>492</v>
      </c>
      <c r="AM12" s="1483"/>
      <c r="AN12" s="1483"/>
      <c r="AO12" s="1484"/>
      <c r="AP12" s="1481" t="s">
        <v>1700</v>
      </c>
      <c r="AQ12" s="1481" t="s">
        <v>1998</v>
      </c>
      <c r="AR12" s="1481" t="s">
        <v>490</v>
      </c>
      <c r="AS12" s="1481"/>
      <c r="AT12" s="1482" t="s">
        <v>492</v>
      </c>
      <c r="AU12" s="1483"/>
      <c r="AV12" s="1483"/>
      <c r="AW12" s="1484"/>
      <c r="AX12" s="1481" t="s">
        <v>1700</v>
      </c>
      <c r="AY12" s="1481" t="s">
        <v>1998</v>
      </c>
      <c r="AZ12" s="1481" t="s">
        <v>490</v>
      </c>
      <c r="BA12" s="1481"/>
      <c r="BB12" s="1482" t="s">
        <v>492</v>
      </c>
      <c r="BC12" s="1483"/>
      <c r="BD12" s="1483"/>
      <c r="BE12" s="1484"/>
      <c r="BF12" s="1481" t="s">
        <v>1700</v>
      </c>
      <c r="BG12" s="1481" t="s">
        <v>1998</v>
      </c>
      <c r="BH12" s="1481" t="s">
        <v>490</v>
      </c>
      <c r="BI12" s="1481"/>
      <c r="BJ12" s="1482" t="s">
        <v>492</v>
      </c>
      <c r="BK12" s="1483"/>
      <c r="BL12" s="1483"/>
      <c r="BM12" s="1484"/>
      <c r="BN12" s="1481" t="s">
        <v>1700</v>
      </c>
      <c r="BO12" s="1481" t="s">
        <v>1998</v>
      </c>
      <c r="BP12" s="1481" t="s">
        <v>490</v>
      </c>
      <c r="BQ12" s="1481"/>
      <c r="BR12" s="1482" t="s">
        <v>492</v>
      </c>
      <c r="BS12" s="1483"/>
      <c r="BT12" s="1483"/>
      <c r="BU12" s="1484"/>
      <c r="BV12" s="1481" t="s">
        <v>1700</v>
      </c>
      <c r="BW12" s="1481" t="s">
        <v>1998</v>
      </c>
      <c r="BX12" s="1481" t="s">
        <v>490</v>
      </c>
      <c r="BY12" s="1481"/>
      <c r="BZ12" s="1485" t="s">
        <v>492</v>
      </c>
      <c r="CA12" s="1486"/>
      <c r="CB12" s="1486"/>
      <c r="CC12" s="1487"/>
      <c r="CD12" s="1481" t="s">
        <v>1700</v>
      </c>
      <c r="CE12" s="1481" t="s">
        <v>1998</v>
      </c>
      <c r="CF12" s="1481" t="s">
        <v>490</v>
      </c>
      <c r="CG12" s="1481"/>
      <c r="CH12" s="1485" t="s">
        <v>492</v>
      </c>
      <c r="CI12" s="1486"/>
      <c r="CJ12" s="1486"/>
      <c r="CK12" s="1487"/>
      <c r="CL12" s="1481" t="s">
        <v>1700</v>
      </c>
      <c r="CM12" s="1481" t="s">
        <v>1998</v>
      </c>
      <c r="CN12" s="1481" t="s">
        <v>490</v>
      </c>
      <c r="CO12" s="1481"/>
      <c r="CP12" s="1485" t="s">
        <v>492</v>
      </c>
      <c r="CQ12" s="1486"/>
      <c r="CR12" s="1486"/>
      <c r="CS12" s="1487"/>
    </row>
    <row r="13" spans="1:113" s="1123" customFormat="1" ht="24" customHeight="1">
      <c r="A13" s="1490"/>
      <c r="B13" s="1493"/>
      <c r="C13" s="1140"/>
      <c r="D13" s="1498"/>
      <c r="E13" s="1476" t="s">
        <v>493</v>
      </c>
      <c r="F13" s="1499" t="s">
        <v>65</v>
      </c>
      <c r="G13" s="1501"/>
      <c r="H13" s="1498"/>
      <c r="I13" s="1498"/>
      <c r="J13" s="1481"/>
      <c r="K13" s="1481"/>
      <c r="L13" s="1481" t="s">
        <v>494</v>
      </c>
      <c r="M13" s="1481" t="s">
        <v>495</v>
      </c>
      <c r="N13" s="1481"/>
      <c r="O13" s="1481" t="s">
        <v>496</v>
      </c>
      <c r="P13" s="1481" t="s">
        <v>497</v>
      </c>
      <c r="Q13" s="1481" t="s">
        <v>498</v>
      </c>
      <c r="R13" s="1481"/>
      <c r="S13" s="1481"/>
      <c r="T13" s="1481" t="s">
        <v>494</v>
      </c>
      <c r="U13" s="1481" t="s">
        <v>495</v>
      </c>
      <c r="V13" s="1506" t="s">
        <v>488</v>
      </c>
      <c r="W13" s="1478" t="s">
        <v>491</v>
      </c>
      <c r="X13" s="1479"/>
      <c r="Y13" s="1480"/>
      <c r="Z13" s="1481"/>
      <c r="AA13" s="1481"/>
      <c r="AB13" s="1481" t="s">
        <v>494</v>
      </c>
      <c r="AC13" s="1481" t="s">
        <v>495</v>
      </c>
      <c r="AD13" s="1476" t="s">
        <v>488</v>
      </c>
      <c r="AE13" s="1478" t="s">
        <v>491</v>
      </c>
      <c r="AF13" s="1479"/>
      <c r="AG13" s="1480"/>
      <c r="AH13" s="1481"/>
      <c r="AI13" s="1502"/>
      <c r="AJ13" s="1502" t="s">
        <v>494</v>
      </c>
      <c r="AK13" s="1502" t="s">
        <v>495</v>
      </c>
      <c r="AL13" s="1476" t="s">
        <v>488</v>
      </c>
      <c r="AM13" s="1478" t="s">
        <v>491</v>
      </c>
      <c r="AN13" s="1479"/>
      <c r="AO13" s="1480"/>
      <c r="AP13" s="1481"/>
      <c r="AQ13" s="1481"/>
      <c r="AR13" s="1481" t="s">
        <v>494</v>
      </c>
      <c r="AS13" s="1481" t="s">
        <v>495</v>
      </c>
      <c r="AT13" s="1476" t="s">
        <v>488</v>
      </c>
      <c r="AU13" s="1478" t="s">
        <v>491</v>
      </c>
      <c r="AV13" s="1479"/>
      <c r="AW13" s="1480"/>
      <c r="AX13" s="1481"/>
      <c r="AY13" s="1481"/>
      <c r="AZ13" s="1481" t="s">
        <v>494</v>
      </c>
      <c r="BA13" s="1481" t="s">
        <v>495</v>
      </c>
      <c r="BB13" s="1476" t="s">
        <v>488</v>
      </c>
      <c r="BC13" s="1478" t="s">
        <v>491</v>
      </c>
      <c r="BD13" s="1479"/>
      <c r="BE13" s="1480"/>
      <c r="BF13" s="1481"/>
      <c r="BG13" s="1481"/>
      <c r="BH13" s="1481" t="s">
        <v>494</v>
      </c>
      <c r="BI13" s="1481" t="s">
        <v>495</v>
      </c>
      <c r="BJ13" s="1476" t="s">
        <v>488</v>
      </c>
      <c r="BK13" s="1478" t="s">
        <v>491</v>
      </c>
      <c r="BL13" s="1479"/>
      <c r="BM13" s="1480"/>
      <c r="BN13" s="1481"/>
      <c r="BO13" s="1481"/>
      <c r="BP13" s="1481" t="s">
        <v>494</v>
      </c>
      <c r="BQ13" s="1481" t="s">
        <v>495</v>
      </c>
      <c r="BR13" s="1476" t="s">
        <v>488</v>
      </c>
      <c r="BS13" s="1478" t="s">
        <v>491</v>
      </c>
      <c r="BT13" s="1479"/>
      <c r="BU13" s="1480"/>
      <c r="BV13" s="1481"/>
      <c r="BW13" s="1481"/>
      <c r="BX13" s="1481" t="s">
        <v>494</v>
      </c>
      <c r="BY13" s="1481" t="s">
        <v>495</v>
      </c>
      <c r="BZ13" s="1476" t="s">
        <v>488</v>
      </c>
      <c r="CA13" s="1478" t="s">
        <v>491</v>
      </c>
      <c r="CB13" s="1479"/>
      <c r="CC13" s="1480"/>
      <c r="CD13" s="1481"/>
      <c r="CE13" s="1481"/>
      <c r="CF13" s="1481" t="s">
        <v>494</v>
      </c>
      <c r="CG13" s="1481" t="s">
        <v>495</v>
      </c>
      <c r="CH13" s="1476" t="s">
        <v>488</v>
      </c>
      <c r="CI13" s="1478" t="s">
        <v>491</v>
      </c>
      <c r="CJ13" s="1479"/>
      <c r="CK13" s="1480"/>
      <c r="CL13" s="1481"/>
      <c r="CM13" s="1481"/>
      <c r="CN13" s="1481" t="s">
        <v>494</v>
      </c>
      <c r="CO13" s="1481" t="s">
        <v>495</v>
      </c>
      <c r="CP13" s="1476" t="s">
        <v>488</v>
      </c>
      <c r="CQ13" s="1478" t="s">
        <v>491</v>
      </c>
      <c r="CR13" s="1479"/>
      <c r="CS13" s="1480"/>
    </row>
    <row r="14" spans="1:113" s="1123" customFormat="1" ht="36.75" customHeight="1">
      <c r="A14" s="1491"/>
      <c r="B14" s="1494"/>
      <c r="C14" s="1141"/>
      <c r="D14" s="1477"/>
      <c r="E14" s="1477"/>
      <c r="F14" s="1142" t="s">
        <v>499</v>
      </c>
      <c r="G14" s="1143" t="s">
        <v>498</v>
      </c>
      <c r="H14" s="1477"/>
      <c r="I14" s="1477"/>
      <c r="J14" s="1481"/>
      <c r="K14" s="1481"/>
      <c r="L14" s="1481"/>
      <c r="M14" s="1481"/>
      <c r="N14" s="1481"/>
      <c r="O14" s="1481"/>
      <c r="P14" s="1481"/>
      <c r="Q14" s="1481"/>
      <c r="R14" s="1481"/>
      <c r="S14" s="1481"/>
      <c r="T14" s="1481"/>
      <c r="U14" s="1481"/>
      <c r="V14" s="1507"/>
      <c r="W14" s="1144" t="s">
        <v>496</v>
      </c>
      <c r="X14" s="1145" t="s">
        <v>497</v>
      </c>
      <c r="Y14" s="1144" t="s">
        <v>498</v>
      </c>
      <c r="Z14" s="1481"/>
      <c r="AA14" s="1481"/>
      <c r="AB14" s="1481"/>
      <c r="AC14" s="1481"/>
      <c r="AD14" s="1477"/>
      <c r="AE14" s="1144" t="s">
        <v>496</v>
      </c>
      <c r="AF14" s="1145" t="s">
        <v>497</v>
      </c>
      <c r="AG14" s="1144" t="s">
        <v>498</v>
      </c>
      <c r="AH14" s="1481"/>
      <c r="AI14" s="1502"/>
      <c r="AJ14" s="1502"/>
      <c r="AK14" s="1502"/>
      <c r="AL14" s="1477"/>
      <c r="AM14" s="1144" t="s">
        <v>496</v>
      </c>
      <c r="AN14" s="1145" t="s">
        <v>497</v>
      </c>
      <c r="AO14" s="1144" t="s">
        <v>498</v>
      </c>
      <c r="AP14" s="1481"/>
      <c r="AQ14" s="1481"/>
      <c r="AR14" s="1481"/>
      <c r="AS14" s="1481"/>
      <c r="AT14" s="1477"/>
      <c r="AU14" s="1144" t="s">
        <v>496</v>
      </c>
      <c r="AV14" s="1145" t="s">
        <v>497</v>
      </c>
      <c r="AW14" s="1144" t="s">
        <v>498</v>
      </c>
      <c r="AX14" s="1481"/>
      <c r="AY14" s="1481"/>
      <c r="AZ14" s="1481"/>
      <c r="BA14" s="1481"/>
      <c r="BB14" s="1477"/>
      <c r="BC14" s="1144" t="s">
        <v>496</v>
      </c>
      <c r="BD14" s="1145" t="s">
        <v>497</v>
      </c>
      <c r="BE14" s="1144" t="s">
        <v>498</v>
      </c>
      <c r="BF14" s="1481"/>
      <c r="BG14" s="1481"/>
      <c r="BH14" s="1481"/>
      <c r="BI14" s="1481"/>
      <c r="BJ14" s="1477"/>
      <c r="BK14" s="1144" t="s">
        <v>496</v>
      </c>
      <c r="BL14" s="1145" t="s">
        <v>497</v>
      </c>
      <c r="BM14" s="1144" t="s">
        <v>498</v>
      </c>
      <c r="BN14" s="1481"/>
      <c r="BO14" s="1481"/>
      <c r="BP14" s="1481"/>
      <c r="BQ14" s="1481"/>
      <c r="BR14" s="1477"/>
      <c r="BS14" s="1144" t="s">
        <v>496</v>
      </c>
      <c r="BT14" s="1145" t="s">
        <v>497</v>
      </c>
      <c r="BU14" s="1144" t="s">
        <v>498</v>
      </c>
      <c r="BV14" s="1481"/>
      <c r="BW14" s="1481"/>
      <c r="BX14" s="1481"/>
      <c r="BY14" s="1481"/>
      <c r="BZ14" s="1477"/>
      <c r="CA14" s="1144" t="s">
        <v>496</v>
      </c>
      <c r="CB14" s="1145" t="s">
        <v>497</v>
      </c>
      <c r="CC14" s="1144" t="s">
        <v>498</v>
      </c>
      <c r="CD14" s="1481"/>
      <c r="CE14" s="1481"/>
      <c r="CF14" s="1481"/>
      <c r="CG14" s="1481"/>
      <c r="CH14" s="1477"/>
      <c r="CI14" s="1144" t="s">
        <v>496</v>
      </c>
      <c r="CJ14" s="1145" t="s">
        <v>497</v>
      </c>
      <c r="CK14" s="1144" t="s">
        <v>498</v>
      </c>
      <c r="CL14" s="1481"/>
      <c r="CM14" s="1481"/>
      <c r="CN14" s="1481"/>
      <c r="CO14" s="1481"/>
      <c r="CP14" s="1477"/>
      <c r="CQ14" s="1144" t="s">
        <v>496</v>
      </c>
      <c r="CR14" s="1145" t="s">
        <v>497</v>
      </c>
      <c r="CS14" s="1144" t="s">
        <v>498</v>
      </c>
    </row>
    <row r="15" spans="1:113" ht="13.8">
      <c r="A15" s="1146"/>
      <c r="B15" s="1147" t="s">
        <v>500</v>
      </c>
      <c r="C15" s="1147"/>
      <c r="D15" s="1148"/>
      <c r="E15" s="1148"/>
      <c r="F15" s="1148"/>
      <c r="G15" s="1148"/>
      <c r="H15" s="1149"/>
      <c r="I15" s="1149">
        <f>I20+I114</f>
        <v>4500000</v>
      </c>
      <c r="J15" s="1150">
        <f>J20+J114</f>
        <v>3253000</v>
      </c>
      <c r="K15" s="1150">
        <f>K20+K114</f>
        <v>4600000</v>
      </c>
      <c r="L15" s="1150">
        <f t="shared" ref="L15:Q15" si="4">L20+L114</f>
        <v>3432999.9</v>
      </c>
      <c r="M15" s="1150">
        <f t="shared" si="4"/>
        <v>1167000.1000000001</v>
      </c>
      <c r="N15" s="1150">
        <f>N20+N114</f>
        <v>469400</v>
      </c>
      <c r="O15" s="1150">
        <f t="shared" si="4"/>
        <v>4130600</v>
      </c>
      <c r="P15" s="1151">
        <f t="shared" si="4"/>
        <v>2791518</v>
      </c>
      <c r="Q15" s="1151">
        <f t="shared" si="4"/>
        <v>1557040</v>
      </c>
      <c r="R15" s="1151">
        <v>2926900</v>
      </c>
      <c r="S15" s="1151">
        <f t="shared" ref="S15:X15" si="5">S20+S114</f>
        <v>2991580</v>
      </c>
      <c r="T15" s="1151">
        <f t="shared" si="5"/>
        <v>2388380</v>
      </c>
      <c r="U15" s="1151">
        <f t="shared" si="5"/>
        <v>603200</v>
      </c>
      <c r="V15" s="1151">
        <f>V20+V114</f>
        <v>114836</v>
      </c>
      <c r="W15" s="1151">
        <f t="shared" si="5"/>
        <v>2876744</v>
      </c>
      <c r="X15" s="1151">
        <f t="shared" si="5"/>
        <v>2229513</v>
      </c>
      <c r="Y15" s="1151">
        <f>Y20+Y114</f>
        <v>647231</v>
      </c>
      <c r="Z15" s="1151">
        <v>168570</v>
      </c>
      <c r="AA15" s="1151">
        <f t="shared" ref="AA15:AG15" si="6">AA20+AA114</f>
        <v>133660</v>
      </c>
      <c r="AB15" s="1151">
        <f t="shared" si="6"/>
        <v>70660</v>
      </c>
      <c r="AC15" s="1151">
        <f t="shared" si="6"/>
        <v>63000</v>
      </c>
      <c r="AD15" s="1151">
        <f t="shared" si="6"/>
        <v>18786</v>
      </c>
      <c r="AE15" s="1151">
        <f t="shared" si="6"/>
        <v>114874</v>
      </c>
      <c r="AF15" s="1151">
        <f t="shared" si="6"/>
        <v>40457</v>
      </c>
      <c r="AG15" s="1151">
        <f t="shared" si="6"/>
        <v>74417</v>
      </c>
      <c r="AH15" s="1151">
        <v>124580</v>
      </c>
      <c r="AI15" s="1393">
        <f t="shared" ref="AI15:AO15" si="7">AI20+AI114</f>
        <v>126600</v>
      </c>
      <c r="AJ15" s="1393">
        <f t="shared" si="7"/>
        <v>60800</v>
      </c>
      <c r="AK15" s="1393">
        <f t="shared" si="7"/>
        <v>65800</v>
      </c>
      <c r="AL15" s="1151">
        <f t="shared" si="7"/>
        <v>6303.9</v>
      </c>
      <c r="AM15" s="1151">
        <f t="shared" si="7"/>
        <v>120296</v>
      </c>
      <c r="AN15" s="1151">
        <f t="shared" si="7"/>
        <v>23917</v>
      </c>
      <c r="AO15" s="1151">
        <f t="shared" si="7"/>
        <v>96379</v>
      </c>
      <c r="AP15" s="1151">
        <v>434860</v>
      </c>
      <c r="AQ15" s="1151">
        <f t="shared" ref="AQ15:AW15" si="8">AQ20+AQ114</f>
        <v>430500</v>
      </c>
      <c r="AR15" s="1151">
        <f t="shared" si="8"/>
        <v>334200</v>
      </c>
      <c r="AS15" s="1151">
        <f t="shared" si="8"/>
        <v>96300</v>
      </c>
      <c r="AT15" s="1151">
        <f t="shared" si="8"/>
        <v>300615</v>
      </c>
      <c r="AU15" s="1151">
        <f t="shared" si="8"/>
        <v>129885</v>
      </c>
      <c r="AV15" s="1151">
        <f t="shared" si="8"/>
        <v>35476</v>
      </c>
      <c r="AW15" s="1151">
        <f t="shared" si="8"/>
        <v>94409</v>
      </c>
      <c r="AX15" s="1151">
        <v>28130</v>
      </c>
      <c r="AY15" s="1151">
        <f t="shared" ref="AY15:BE15" si="9">AY20+AY114</f>
        <v>30500</v>
      </c>
      <c r="AZ15" s="1151">
        <f t="shared" si="9"/>
        <v>7900</v>
      </c>
      <c r="BA15" s="1151">
        <f t="shared" si="9"/>
        <v>22600</v>
      </c>
      <c r="BB15" s="1151">
        <f t="shared" si="9"/>
        <v>1923</v>
      </c>
      <c r="BC15" s="1151">
        <f t="shared" si="9"/>
        <v>28576.6</v>
      </c>
      <c r="BD15" s="1151">
        <f t="shared" si="9"/>
        <v>4747.5</v>
      </c>
      <c r="BE15" s="1151">
        <f t="shared" si="9"/>
        <v>23829</v>
      </c>
      <c r="BF15" s="1151">
        <v>112630</v>
      </c>
      <c r="BG15" s="1151">
        <f t="shared" ref="BG15:BM15" si="10">BG20+BG114</f>
        <v>114660</v>
      </c>
      <c r="BH15" s="1151">
        <f t="shared" si="10"/>
        <v>17960</v>
      </c>
      <c r="BI15" s="1151">
        <f t="shared" si="10"/>
        <v>96700</v>
      </c>
      <c r="BJ15" s="1151">
        <f t="shared" si="10"/>
        <v>1495</v>
      </c>
      <c r="BK15" s="1151">
        <f t="shared" si="10"/>
        <v>113165</v>
      </c>
      <c r="BL15" s="1151">
        <f t="shared" si="10"/>
        <v>24943</v>
      </c>
      <c r="BM15" s="1151">
        <f t="shared" si="10"/>
        <v>88222</v>
      </c>
      <c r="BN15" s="1151">
        <v>67600</v>
      </c>
      <c r="BO15" s="1151">
        <f t="shared" ref="BO15:BU15" si="11">BO20+BO114</f>
        <v>89700</v>
      </c>
      <c r="BP15" s="1151">
        <f t="shared" si="11"/>
        <v>64200</v>
      </c>
      <c r="BQ15" s="1151">
        <f t="shared" si="11"/>
        <v>25500</v>
      </c>
      <c r="BR15" s="1151">
        <f t="shared" si="11"/>
        <v>5403</v>
      </c>
      <c r="BS15" s="1151">
        <f t="shared" si="11"/>
        <v>84297</v>
      </c>
      <c r="BT15" s="1151">
        <f t="shared" si="11"/>
        <v>43414</v>
      </c>
      <c r="BU15" s="1151">
        <f t="shared" si="11"/>
        <v>40883</v>
      </c>
      <c r="BV15" s="1151">
        <v>76310</v>
      </c>
      <c r="BW15" s="1151">
        <f t="shared" ref="BW15:CC15" si="12">BW20+BW114</f>
        <v>83900</v>
      </c>
      <c r="BX15" s="1151">
        <f t="shared" si="12"/>
        <v>73200</v>
      </c>
      <c r="BY15" s="1151">
        <f t="shared" si="12"/>
        <v>10700</v>
      </c>
      <c r="BZ15" s="1151">
        <f t="shared" si="12"/>
        <v>3051</v>
      </c>
      <c r="CA15" s="1151">
        <f t="shared" si="12"/>
        <v>80849</v>
      </c>
      <c r="CB15" s="1151">
        <f t="shared" si="12"/>
        <v>16088</v>
      </c>
      <c r="CC15" s="1151">
        <f t="shared" si="12"/>
        <v>64761</v>
      </c>
      <c r="CD15" s="1151">
        <v>500260</v>
      </c>
      <c r="CE15" s="1151">
        <f t="shared" ref="CE15:CK15" si="13">CE20+CE114</f>
        <v>538100</v>
      </c>
      <c r="CF15" s="1151">
        <f t="shared" si="13"/>
        <v>361300</v>
      </c>
      <c r="CG15" s="1151">
        <f t="shared" si="13"/>
        <v>176800</v>
      </c>
      <c r="CH15" s="1151">
        <f t="shared" si="13"/>
        <v>14179</v>
      </c>
      <c r="CI15" s="1151">
        <f t="shared" si="13"/>
        <v>523921</v>
      </c>
      <c r="CJ15" s="1151">
        <f t="shared" si="13"/>
        <v>138383</v>
      </c>
      <c r="CK15" s="1151">
        <f t="shared" si="13"/>
        <v>385538</v>
      </c>
      <c r="CL15" s="1151">
        <v>60160</v>
      </c>
      <c r="CM15" s="1151">
        <f t="shared" ref="CM15:CS15" si="14">CM20+CM114</f>
        <v>60800</v>
      </c>
      <c r="CN15" s="1151">
        <f t="shared" si="14"/>
        <v>54400</v>
      </c>
      <c r="CO15" s="1151">
        <f t="shared" si="14"/>
        <v>6400</v>
      </c>
      <c r="CP15" s="1152">
        <f t="shared" si="14"/>
        <v>2808</v>
      </c>
      <c r="CQ15" s="1152">
        <f t="shared" si="14"/>
        <v>57992</v>
      </c>
      <c r="CR15" s="1152">
        <f t="shared" si="14"/>
        <v>16621</v>
      </c>
      <c r="CS15" s="1152">
        <f t="shared" si="14"/>
        <v>41371</v>
      </c>
      <c r="CT15" s="1124"/>
      <c r="CU15" s="1124"/>
      <c r="CV15" s="1153"/>
      <c r="CW15" s="1153"/>
      <c r="CX15" s="1153"/>
      <c r="CY15" s="1153"/>
      <c r="CZ15" s="1124"/>
      <c r="DA15" s="1124"/>
      <c r="DB15" s="1124"/>
      <c r="DC15" s="1124"/>
      <c r="DD15" s="1124"/>
      <c r="DE15" s="1124"/>
      <c r="DF15" s="1124"/>
      <c r="DG15" s="1124"/>
      <c r="DH15" s="1124"/>
      <c r="DI15" s="1124"/>
    </row>
    <row r="16" spans="1:113" ht="13.8" outlineLevel="1">
      <c r="A16" s="1154" t="s">
        <v>20</v>
      </c>
      <c r="B16" s="1155" t="s">
        <v>501</v>
      </c>
      <c r="C16" s="1155"/>
      <c r="D16" s="1156"/>
      <c r="E16" s="1156"/>
      <c r="F16" s="1156"/>
      <c r="G16" s="1156"/>
      <c r="H16" s="1157"/>
      <c r="I16" s="1157">
        <f>R16+Z16+AH16+AP16+AX16+BF16+BN16+BV16+CD16+CL16</f>
        <v>485698.5</v>
      </c>
      <c r="J16" s="1157"/>
      <c r="K16" s="1157"/>
      <c r="L16" s="1157"/>
      <c r="M16" s="1157"/>
      <c r="N16" s="1157">
        <f>N70+N73+N90+N93+N98+N114+N95</f>
        <v>469400</v>
      </c>
      <c r="O16" s="1157"/>
      <c r="P16" s="1158"/>
      <c r="Q16" s="1158">
        <f>Q70+Q73+Q90+Q93+Q98+Q114</f>
        <v>0</v>
      </c>
      <c r="R16" s="1158">
        <v>137111</v>
      </c>
      <c r="S16" s="1158">
        <f>V16</f>
        <v>114836</v>
      </c>
      <c r="T16" s="1158">
        <f>T70+T73+T90+T93+T98+T114</f>
        <v>119932</v>
      </c>
      <c r="U16" s="1158">
        <f>U70+U73+U90+U93+U98+U114</f>
        <v>11500</v>
      </c>
      <c r="V16" s="1158">
        <f>ROUND(V70+V73+V90+V93+V98+V114+V95,0)</f>
        <v>114836</v>
      </c>
      <c r="W16" s="1158"/>
      <c r="X16" s="1158"/>
      <c r="Y16" s="1158"/>
      <c r="Z16" s="1158">
        <v>23198</v>
      </c>
      <c r="AA16" s="1158">
        <f>AD16</f>
        <v>18786</v>
      </c>
      <c r="AB16" s="1158">
        <f>AB70+AB73+AB90+AB93+AB98+AB114</f>
        <v>16265</v>
      </c>
      <c r="AC16" s="1158">
        <f>AC70+AC73+AC90+AC93+AC98+AC114</f>
        <v>3250</v>
      </c>
      <c r="AD16" s="1158">
        <f>AD70+AD73+AD90+AD93+AD98+AD114</f>
        <v>18786</v>
      </c>
      <c r="AE16" s="1158"/>
      <c r="AF16" s="1158"/>
      <c r="AG16" s="1158"/>
      <c r="AH16" s="1158">
        <v>5756.5</v>
      </c>
      <c r="AI16" s="1394">
        <f>AL16</f>
        <v>6304</v>
      </c>
      <c r="AJ16" s="1394">
        <f>AJ70+AJ73+AJ90+AJ93+AJ98+AJ114</f>
        <v>1282</v>
      </c>
      <c r="AK16" s="1394">
        <f>AK70+AK73+AK90+AK93+AK98+AK114</f>
        <v>5400</v>
      </c>
      <c r="AL16" s="1158">
        <f>AL70+AL73+AL90+AL93+AL98+AL114</f>
        <v>6304</v>
      </c>
      <c r="AM16" s="1158"/>
      <c r="AN16" s="1158"/>
      <c r="AO16" s="1158"/>
      <c r="AP16" s="1158">
        <v>298645</v>
      </c>
      <c r="AQ16" s="1158">
        <f>AT16</f>
        <v>300615</v>
      </c>
      <c r="AR16" s="1158">
        <f>AR70+AR73+AR90+AR93+AR98+AR114</f>
        <v>296210</v>
      </c>
      <c r="AS16" s="1158">
        <f>AS70+AS73+AS90+AS93+AS98+AS114</f>
        <v>4750</v>
      </c>
      <c r="AT16" s="1158">
        <f>AT70+AT73+AT90+AT93+AT98+AT114</f>
        <v>300615</v>
      </c>
      <c r="AU16" s="1158"/>
      <c r="AV16" s="1158"/>
      <c r="AW16" s="1158"/>
      <c r="AX16" s="1158">
        <v>1533</v>
      </c>
      <c r="AY16" s="1158">
        <f>BB16</f>
        <v>1923</v>
      </c>
      <c r="AZ16" s="1158">
        <f>AZ70+AZ73+AZ90+AZ93+AZ98+AZ114</f>
        <v>411</v>
      </c>
      <c r="BA16" s="1158">
        <f>BA70+BA73+BA90+BA93+BA98+BA114</f>
        <v>1620</v>
      </c>
      <c r="BB16" s="1158">
        <f>BB70+BB73+BB90+BB93+BB98+BB114</f>
        <v>1923</v>
      </c>
      <c r="BC16" s="1158"/>
      <c r="BD16" s="1158"/>
      <c r="BE16" s="1158"/>
      <c r="BF16" s="1158">
        <v>825</v>
      </c>
      <c r="BG16" s="1158">
        <f>BJ16</f>
        <v>1495</v>
      </c>
      <c r="BH16" s="1158">
        <f>BH70+BH73+BH90+BH93+BH98+BH114</f>
        <v>205</v>
      </c>
      <c r="BI16" s="1158">
        <f>BI70+BI73+BI90+BI93+BI98+BI114</f>
        <v>1290</v>
      </c>
      <c r="BJ16" s="1158">
        <f>BJ70+BJ73+BJ90+BJ93+BJ98+BJ114</f>
        <v>1495</v>
      </c>
      <c r="BK16" s="1158"/>
      <c r="BL16" s="1158"/>
      <c r="BM16" s="1158"/>
      <c r="BN16" s="1158">
        <v>1268</v>
      </c>
      <c r="BO16" s="1158">
        <f>BR16</f>
        <v>5403</v>
      </c>
      <c r="BP16" s="1158">
        <f>BP70+BP73+BP90+BP93+BP98+BP114</f>
        <v>7112</v>
      </c>
      <c r="BQ16" s="1158">
        <f>BQ70+BQ73+BQ90+BQ93+BQ98+BQ114</f>
        <v>400</v>
      </c>
      <c r="BR16" s="1158">
        <f>BR70+BR73+BR90+BR93+BR98+BR114</f>
        <v>5403</v>
      </c>
      <c r="BS16" s="1158"/>
      <c r="BT16" s="1158"/>
      <c r="BU16" s="1158"/>
      <c r="BV16" s="1158">
        <v>2211</v>
      </c>
      <c r="BW16" s="1158">
        <f>BZ16</f>
        <v>3051</v>
      </c>
      <c r="BX16" s="1158">
        <f>BX70+BX73+BX90+BX93+BX98+BX114</f>
        <v>1942</v>
      </c>
      <c r="BY16" s="1158">
        <f>BY70+BY73+BY90+BY93+BY98+BY114</f>
        <v>1670</v>
      </c>
      <c r="BZ16" s="1158">
        <f>BZ70+BZ73+BZ90+BZ93+BZ98+BZ114</f>
        <v>3051</v>
      </c>
      <c r="CA16" s="1158"/>
      <c r="CB16" s="1158"/>
      <c r="CC16" s="1158"/>
      <c r="CD16" s="1158">
        <v>12486</v>
      </c>
      <c r="CE16" s="1158">
        <f>CH16</f>
        <v>14179</v>
      </c>
      <c r="CF16" s="1158">
        <f>CF70+CF73+CF90+CF93+CF98+CF114</f>
        <v>14511</v>
      </c>
      <c r="CG16" s="1158">
        <f>CG70+CG73+CG90+CG93+CG98+CG114</f>
        <v>4870</v>
      </c>
      <c r="CH16" s="1158">
        <f>CH70+CH73+CH90+CH93+CH98+CH114</f>
        <v>14179</v>
      </c>
      <c r="CI16" s="1158"/>
      <c r="CJ16" s="1158"/>
      <c r="CK16" s="1158"/>
      <c r="CL16" s="1158">
        <v>2665</v>
      </c>
      <c r="CM16" s="1158">
        <f>CP16</f>
        <v>2808</v>
      </c>
      <c r="CN16" s="1158">
        <f>CN70+CN73+CN90+CN93+CN98+CN114</f>
        <v>3260</v>
      </c>
      <c r="CO16" s="1158">
        <f>CO70+CO73+CO90+CO93+CO98+CO114</f>
        <v>520</v>
      </c>
      <c r="CP16" s="1158">
        <f>CP70+CP73+CP90+CP93+CP98+CP114</f>
        <v>2808</v>
      </c>
      <c r="CQ16" s="1158"/>
      <c r="CR16" s="1158"/>
      <c r="CS16" s="1158"/>
      <c r="CT16" s="1124"/>
      <c r="CU16" s="1124"/>
      <c r="CV16" s="1153"/>
      <c r="CW16" s="1153"/>
      <c r="CX16" s="1153"/>
      <c r="CY16" s="1153"/>
      <c r="CZ16" s="1124"/>
      <c r="DA16" s="1124"/>
      <c r="DB16" s="1124"/>
      <c r="DC16" s="1124"/>
      <c r="DD16" s="1124"/>
      <c r="DE16" s="1124"/>
      <c r="DF16" s="1124"/>
      <c r="DG16" s="1124"/>
      <c r="DH16" s="1124"/>
      <c r="DI16" s="1124"/>
    </row>
    <row r="17" spans="1:113" ht="13.8" outlineLevel="1">
      <c r="A17" s="1154" t="s">
        <v>20</v>
      </c>
      <c r="B17" s="1155" t="s">
        <v>502</v>
      </c>
      <c r="C17" s="1155"/>
      <c r="D17" s="1156"/>
      <c r="E17" s="1156"/>
      <c r="F17" s="1156"/>
      <c r="G17" s="1156"/>
      <c r="H17" s="1157"/>
      <c r="I17" s="1157">
        <f>I19+I18</f>
        <v>4014302.5</v>
      </c>
      <c r="J17" s="1157"/>
      <c r="K17" s="1157"/>
      <c r="L17" s="1157"/>
      <c r="M17" s="1157"/>
      <c r="N17" s="1157">
        <f t="shared" ref="N17:BY17" si="15">N15-N16</f>
        <v>0</v>
      </c>
      <c r="O17" s="1159">
        <f>O15-O16</f>
        <v>4130600</v>
      </c>
      <c r="P17" s="1158">
        <f t="shared" si="15"/>
        <v>2791518</v>
      </c>
      <c r="Q17" s="1158">
        <f>Q15-Q16</f>
        <v>1557040</v>
      </c>
      <c r="R17" s="1158">
        <v>2789790</v>
      </c>
      <c r="S17" s="1158">
        <f>ROUND(S15-S16,-1)</f>
        <v>2876740</v>
      </c>
      <c r="T17" s="1158">
        <f t="shared" si="15"/>
        <v>2268448</v>
      </c>
      <c r="U17" s="1158">
        <f t="shared" si="15"/>
        <v>591700</v>
      </c>
      <c r="V17" s="1158">
        <f>V15-V16</f>
        <v>0</v>
      </c>
      <c r="W17" s="1158">
        <f t="shared" si="15"/>
        <v>2876744</v>
      </c>
      <c r="X17" s="1158">
        <f t="shared" si="15"/>
        <v>2229513</v>
      </c>
      <c r="Y17" s="1158">
        <f>Y15-Y16</f>
        <v>647231</v>
      </c>
      <c r="Z17" s="1158">
        <v>145372</v>
      </c>
      <c r="AA17" s="1158">
        <f t="shared" si="15"/>
        <v>114874</v>
      </c>
      <c r="AB17" s="1158">
        <f t="shared" si="15"/>
        <v>54395</v>
      </c>
      <c r="AC17" s="1158">
        <f t="shared" si="15"/>
        <v>59750</v>
      </c>
      <c r="AD17" s="1158">
        <f>AD15-AD16</f>
        <v>0</v>
      </c>
      <c r="AE17" s="1158">
        <f t="shared" si="15"/>
        <v>114874</v>
      </c>
      <c r="AF17" s="1158">
        <f t="shared" si="15"/>
        <v>40457</v>
      </c>
      <c r="AG17" s="1158">
        <f t="shared" si="15"/>
        <v>74417</v>
      </c>
      <c r="AH17" s="1158">
        <v>118823.5</v>
      </c>
      <c r="AI17" s="1394">
        <f t="shared" si="15"/>
        <v>120296</v>
      </c>
      <c r="AJ17" s="1394">
        <f t="shared" si="15"/>
        <v>59518</v>
      </c>
      <c r="AK17" s="1394">
        <f t="shared" si="15"/>
        <v>60400</v>
      </c>
      <c r="AL17" s="1158">
        <f t="shared" si="15"/>
        <v>-0.1000000000003638</v>
      </c>
      <c r="AM17" s="1158">
        <f t="shared" si="15"/>
        <v>120296</v>
      </c>
      <c r="AN17" s="1158">
        <f t="shared" si="15"/>
        <v>23917</v>
      </c>
      <c r="AO17" s="1158">
        <f t="shared" si="15"/>
        <v>96379</v>
      </c>
      <c r="AP17" s="1158">
        <v>136215</v>
      </c>
      <c r="AQ17" s="1158">
        <f>AQ15-AQ16</f>
        <v>129885</v>
      </c>
      <c r="AR17" s="1158">
        <f t="shared" si="15"/>
        <v>37990</v>
      </c>
      <c r="AS17" s="1158">
        <f t="shared" si="15"/>
        <v>91550</v>
      </c>
      <c r="AT17" s="1158">
        <f t="shared" si="15"/>
        <v>0</v>
      </c>
      <c r="AU17" s="1158">
        <f t="shared" si="15"/>
        <v>129885</v>
      </c>
      <c r="AV17" s="1158">
        <f t="shared" si="15"/>
        <v>35476</v>
      </c>
      <c r="AW17" s="1158">
        <f t="shared" si="15"/>
        <v>94409</v>
      </c>
      <c r="AX17" s="1158">
        <v>26597</v>
      </c>
      <c r="AY17" s="1158">
        <f t="shared" si="15"/>
        <v>28577</v>
      </c>
      <c r="AZ17" s="1158">
        <f t="shared" si="15"/>
        <v>7489</v>
      </c>
      <c r="BA17" s="1158">
        <f t="shared" si="15"/>
        <v>20980</v>
      </c>
      <c r="BB17" s="1158">
        <f t="shared" si="15"/>
        <v>0</v>
      </c>
      <c r="BC17" s="1158">
        <f t="shared" si="15"/>
        <v>28576.6</v>
      </c>
      <c r="BD17" s="1158">
        <f t="shared" si="15"/>
        <v>4747.5</v>
      </c>
      <c r="BE17" s="1158">
        <f t="shared" si="15"/>
        <v>23829</v>
      </c>
      <c r="BF17" s="1158">
        <v>111805</v>
      </c>
      <c r="BG17" s="1158">
        <f t="shared" si="15"/>
        <v>113165</v>
      </c>
      <c r="BH17" s="1158">
        <f t="shared" si="15"/>
        <v>17755</v>
      </c>
      <c r="BI17" s="1158">
        <f t="shared" si="15"/>
        <v>95410</v>
      </c>
      <c r="BJ17" s="1158">
        <f t="shared" si="15"/>
        <v>0</v>
      </c>
      <c r="BK17" s="1158">
        <f t="shared" si="15"/>
        <v>113165</v>
      </c>
      <c r="BL17" s="1158">
        <f t="shared" si="15"/>
        <v>24943</v>
      </c>
      <c r="BM17" s="1158">
        <f t="shared" si="15"/>
        <v>88222</v>
      </c>
      <c r="BN17" s="1158">
        <v>66332</v>
      </c>
      <c r="BO17" s="1158">
        <f t="shared" si="15"/>
        <v>84297</v>
      </c>
      <c r="BP17" s="1158">
        <f t="shared" si="15"/>
        <v>57088</v>
      </c>
      <c r="BQ17" s="1158">
        <f t="shared" si="15"/>
        <v>25100</v>
      </c>
      <c r="BR17" s="1158">
        <f t="shared" si="15"/>
        <v>0</v>
      </c>
      <c r="BS17" s="1158">
        <f t="shared" si="15"/>
        <v>84297</v>
      </c>
      <c r="BT17" s="1158">
        <f t="shared" si="15"/>
        <v>43414</v>
      </c>
      <c r="BU17" s="1158">
        <f t="shared" si="15"/>
        <v>40883</v>
      </c>
      <c r="BV17" s="1158">
        <v>74099</v>
      </c>
      <c r="BW17" s="1158">
        <f t="shared" si="15"/>
        <v>80849</v>
      </c>
      <c r="BX17" s="1158">
        <f t="shared" si="15"/>
        <v>71258</v>
      </c>
      <c r="BY17" s="1158">
        <f t="shared" si="15"/>
        <v>9030</v>
      </c>
      <c r="BZ17" s="1158">
        <f t="shared" ref="BZ17:CS17" si="16">BZ15-BZ16</f>
        <v>0</v>
      </c>
      <c r="CA17" s="1158">
        <f t="shared" si="16"/>
        <v>80849</v>
      </c>
      <c r="CB17" s="1158">
        <f t="shared" si="16"/>
        <v>16088</v>
      </c>
      <c r="CC17" s="1158">
        <f t="shared" si="16"/>
        <v>64761</v>
      </c>
      <c r="CD17" s="1158">
        <v>487774</v>
      </c>
      <c r="CE17" s="1158">
        <f t="shared" si="16"/>
        <v>523921</v>
      </c>
      <c r="CF17" s="1158">
        <f t="shared" si="16"/>
        <v>346789</v>
      </c>
      <c r="CG17" s="1158">
        <f t="shared" si="16"/>
        <v>171930</v>
      </c>
      <c r="CH17" s="1158">
        <f t="shared" si="16"/>
        <v>0</v>
      </c>
      <c r="CI17" s="1158">
        <f t="shared" si="16"/>
        <v>523921</v>
      </c>
      <c r="CJ17" s="1158">
        <f t="shared" si="16"/>
        <v>138383</v>
      </c>
      <c r="CK17" s="1158">
        <f t="shared" si="16"/>
        <v>385538</v>
      </c>
      <c r="CL17" s="1158">
        <v>57495</v>
      </c>
      <c r="CM17" s="1158">
        <f t="shared" si="16"/>
        <v>57992</v>
      </c>
      <c r="CN17" s="1158">
        <f t="shared" si="16"/>
        <v>51140</v>
      </c>
      <c r="CO17" s="1158">
        <f t="shared" si="16"/>
        <v>5880</v>
      </c>
      <c r="CP17" s="1158">
        <f t="shared" si="16"/>
        <v>0</v>
      </c>
      <c r="CQ17" s="1158">
        <f t="shared" si="16"/>
        <v>57992</v>
      </c>
      <c r="CR17" s="1158">
        <f t="shared" si="16"/>
        <v>16621</v>
      </c>
      <c r="CS17" s="1158">
        <f t="shared" si="16"/>
        <v>41371</v>
      </c>
      <c r="CT17" s="1124"/>
      <c r="CU17" s="1124"/>
      <c r="CV17" s="1153"/>
      <c r="CW17" s="1153"/>
      <c r="CX17" s="1153"/>
      <c r="CY17" s="1153"/>
      <c r="CZ17" s="1124"/>
      <c r="DA17" s="1124"/>
      <c r="DB17" s="1124"/>
      <c r="DC17" s="1124"/>
      <c r="DD17" s="1124"/>
      <c r="DE17" s="1124"/>
      <c r="DF17" s="1124"/>
      <c r="DG17" s="1124"/>
      <c r="DH17" s="1124"/>
      <c r="DI17" s="1124"/>
    </row>
    <row r="18" spans="1:113" s="1123" customFormat="1" ht="13.8" outlineLevel="1">
      <c r="A18" s="1154"/>
      <c r="B18" s="1155" t="s">
        <v>503</v>
      </c>
      <c r="C18" s="1155"/>
      <c r="D18" s="1156"/>
      <c r="E18" s="1156"/>
      <c r="F18" s="1156"/>
      <c r="G18" s="1156"/>
      <c r="H18" s="1157"/>
      <c r="I18" s="1157">
        <f>R18+Z18+AH18+AP18+AX18+BF18+BN18+BV18+CD18+CL18</f>
        <v>1397800</v>
      </c>
      <c r="J18" s="1157"/>
      <c r="K18" s="1157"/>
      <c r="L18" s="1157"/>
      <c r="M18" s="1157"/>
      <c r="N18" s="1157">
        <f>N27+N29+N44+N45+N36+N52+N58+N37+N68+N71+N59</f>
        <v>0</v>
      </c>
      <c r="O18" s="1159">
        <f>ROUND(O27+O29+O44+O45+O36+O52+O58+O37+O68+O71+O59,0)</f>
        <v>1351100</v>
      </c>
      <c r="P18" s="1158">
        <f>O18-Q18</f>
        <v>603075</v>
      </c>
      <c r="Q18" s="1158">
        <f>Y18+AG18+AO18+AW18+BE18+BM18+BU18+CC18+CK18+CS18</f>
        <v>748025</v>
      </c>
      <c r="R18" s="1158">
        <v>729420</v>
      </c>
      <c r="S18" s="1158">
        <f>ROUND(S27+S29+S44+S45+S36+S52+S58+S37+S68+S71+S59,0)</f>
        <v>689040</v>
      </c>
      <c r="T18" s="1158">
        <f>ROUND(T27+T29+T44+T45+T36+T52+T58+T37+T68+T71+T59,0)</f>
        <v>495740</v>
      </c>
      <c r="U18" s="1158">
        <f t="shared" ref="U18:X18" si="17">ROUND(U27+U29+U44+U45+U36+U52+U58+U37+U68+U71+U59,0)</f>
        <v>193300</v>
      </c>
      <c r="V18" s="1158">
        <f>ROUND(V27+V29+V44+V45+V36+V52+V58+V37+V68+V71+V59,0)</f>
        <v>0</v>
      </c>
      <c r="W18" s="1158">
        <f t="shared" si="17"/>
        <v>689040</v>
      </c>
      <c r="X18" s="1158">
        <f t="shared" si="17"/>
        <v>420559</v>
      </c>
      <c r="Y18" s="1158">
        <f>ROUND(Y27+Y29+Y44+Y45+Y36+Y52+Y58+Y37+Y68+Y71+Y59,0)</f>
        <v>268481</v>
      </c>
      <c r="Z18" s="1158">
        <v>90240</v>
      </c>
      <c r="AA18" s="1158">
        <f>ROUND(AA27+AA29+AA44+AA45+AA36+AA52+AA58+AA37+AA68+AA71+AA59,0)</f>
        <v>62820</v>
      </c>
      <c r="AB18" s="1158">
        <f t="shared" ref="AB18:CK18" si="18">ROUND(AB27+AB29+AB44+AB45+AB36+AB52+AB58+AB37+AB68+AB71+AB59,0)</f>
        <v>41070</v>
      </c>
      <c r="AC18" s="1158">
        <f t="shared" si="18"/>
        <v>21750</v>
      </c>
      <c r="AD18" s="1158">
        <f t="shared" si="18"/>
        <v>0</v>
      </c>
      <c r="AE18" s="1158">
        <f t="shared" si="18"/>
        <v>62820</v>
      </c>
      <c r="AF18" s="1158">
        <f t="shared" si="18"/>
        <v>32703</v>
      </c>
      <c r="AG18" s="1158">
        <f t="shared" si="18"/>
        <v>30117</v>
      </c>
      <c r="AH18" s="1158">
        <v>83490</v>
      </c>
      <c r="AI18" s="1394">
        <f t="shared" si="18"/>
        <v>85370</v>
      </c>
      <c r="AJ18" s="1394">
        <f t="shared" si="18"/>
        <v>56770</v>
      </c>
      <c r="AK18" s="1394">
        <f t="shared" si="18"/>
        <v>28600</v>
      </c>
      <c r="AL18" s="1158">
        <f t="shared" si="18"/>
        <v>0</v>
      </c>
      <c r="AM18" s="1158">
        <f t="shared" si="18"/>
        <v>85370</v>
      </c>
      <c r="AN18" s="1158">
        <f t="shared" si="18"/>
        <v>17739</v>
      </c>
      <c r="AO18" s="1158">
        <f t="shared" si="18"/>
        <v>67631</v>
      </c>
      <c r="AP18" s="1158">
        <v>71970</v>
      </c>
      <c r="AQ18" s="1158">
        <f>ROUND(AQ27+AQ29+AQ44+AQ45+AQ36+AQ52+AQ58+AQ37+AQ68+AQ71+AQ59,0)</f>
        <v>65900</v>
      </c>
      <c r="AR18" s="1158">
        <f t="shared" si="18"/>
        <v>17320</v>
      </c>
      <c r="AS18" s="1158">
        <f t="shared" si="18"/>
        <v>48580</v>
      </c>
      <c r="AT18" s="1158">
        <f t="shared" si="18"/>
        <v>0</v>
      </c>
      <c r="AU18" s="1158">
        <f t="shared" si="18"/>
        <v>65900</v>
      </c>
      <c r="AV18" s="1158">
        <f t="shared" si="18"/>
        <v>16671</v>
      </c>
      <c r="AW18" s="1158">
        <f t="shared" si="18"/>
        <v>49229</v>
      </c>
      <c r="AX18" s="1158">
        <v>9360</v>
      </c>
      <c r="AY18" s="1158">
        <f t="shared" si="18"/>
        <v>11060</v>
      </c>
      <c r="AZ18" s="1158">
        <f t="shared" si="18"/>
        <v>4660</v>
      </c>
      <c r="BA18" s="1158">
        <f t="shared" si="18"/>
        <v>6400</v>
      </c>
      <c r="BB18" s="1158">
        <f t="shared" si="18"/>
        <v>0</v>
      </c>
      <c r="BC18" s="1158">
        <f t="shared" si="18"/>
        <v>11060</v>
      </c>
      <c r="BD18" s="1158">
        <f t="shared" si="18"/>
        <v>2613</v>
      </c>
      <c r="BE18" s="1158">
        <f t="shared" si="18"/>
        <v>8446</v>
      </c>
      <c r="BF18" s="1158">
        <v>83040</v>
      </c>
      <c r="BG18" s="1158">
        <f t="shared" si="18"/>
        <v>76520</v>
      </c>
      <c r="BH18" s="1158">
        <f t="shared" si="18"/>
        <v>14400</v>
      </c>
      <c r="BI18" s="1158">
        <f t="shared" si="18"/>
        <v>62120</v>
      </c>
      <c r="BJ18" s="1158">
        <f t="shared" si="18"/>
        <v>0</v>
      </c>
      <c r="BK18" s="1158">
        <f t="shared" si="18"/>
        <v>76520</v>
      </c>
      <c r="BL18" s="1158">
        <f t="shared" si="18"/>
        <v>21163</v>
      </c>
      <c r="BM18" s="1158">
        <f t="shared" si="18"/>
        <v>55357</v>
      </c>
      <c r="BN18" s="1158">
        <v>43600</v>
      </c>
      <c r="BO18" s="1158">
        <f t="shared" si="18"/>
        <v>63860</v>
      </c>
      <c r="BP18" s="1158">
        <f t="shared" si="18"/>
        <v>46360</v>
      </c>
      <c r="BQ18" s="1158">
        <f t="shared" si="18"/>
        <v>17500</v>
      </c>
      <c r="BR18" s="1158">
        <f t="shared" si="18"/>
        <v>0</v>
      </c>
      <c r="BS18" s="1158">
        <f t="shared" si="18"/>
        <v>63860</v>
      </c>
      <c r="BT18" s="1158">
        <f t="shared" si="18"/>
        <v>37662</v>
      </c>
      <c r="BU18" s="1158">
        <f t="shared" si="18"/>
        <v>26199</v>
      </c>
      <c r="BV18" s="1158">
        <v>32930</v>
      </c>
      <c r="BW18" s="1158">
        <f t="shared" si="18"/>
        <v>51900</v>
      </c>
      <c r="BX18" s="1158">
        <f t="shared" si="18"/>
        <v>47320</v>
      </c>
      <c r="BY18" s="1158">
        <f t="shared" si="18"/>
        <v>4580</v>
      </c>
      <c r="BZ18" s="1158">
        <f t="shared" si="18"/>
        <v>0</v>
      </c>
      <c r="CA18" s="1158">
        <f t="shared" si="18"/>
        <v>51900</v>
      </c>
      <c r="CB18" s="1158">
        <f t="shared" si="18"/>
        <v>8427</v>
      </c>
      <c r="CC18" s="1158">
        <f t="shared" si="18"/>
        <v>43473</v>
      </c>
      <c r="CD18" s="1158">
        <v>224200</v>
      </c>
      <c r="CE18" s="1158">
        <f t="shared" si="18"/>
        <v>215060</v>
      </c>
      <c r="CF18" s="1158">
        <f t="shared" si="18"/>
        <v>184650</v>
      </c>
      <c r="CG18" s="1158">
        <f t="shared" si="18"/>
        <v>30410</v>
      </c>
      <c r="CH18" s="1158">
        <f t="shared" si="18"/>
        <v>0</v>
      </c>
      <c r="CI18" s="1158">
        <f t="shared" si="18"/>
        <v>215060</v>
      </c>
      <c r="CJ18" s="1158">
        <f t="shared" si="18"/>
        <v>40801</v>
      </c>
      <c r="CK18" s="1158">
        <f t="shared" si="18"/>
        <v>174259</v>
      </c>
      <c r="CL18" s="1158">
        <v>29550</v>
      </c>
      <c r="CM18" s="1158">
        <f t="shared" ref="CM18:CS18" si="19">ROUND(CM27+CM29+CM44+CM45+CM36+CM52+CM58+CM37+CM68+CM71+CM59,0)</f>
        <v>29570</v>
      </c>
      <c r="CN18" s="1158">
        <f t="shared" si="19"/>
        <v>25920</v>
      </c>
      <c r="CO18" s="1158">
        <f t="shared" si="19"/>
        <v>3650</v>
      </c>
      <c r="CP18" s="1158">
        <f t="shared" si="19"/>
        <v>0</v>
      </c>
      <c r="CQ18" s="1158">
        <f t="shared" si="19"/>
        <v>29570</v>
      </c>
      <c r="CR18" s="1158">
        <f t="shared" si="19"/>
        <v>4737</v>
      </c>
      <c r="CS18" s="1158">
        <f t="shared" si="19"/>
        <v>24833</v>
      </c>
      <c r="CT18" s="1160"/>
      <c r="CU18" s="1160"/>
      <c r="CV18" s="1161"/>
      <c r="CW18" s="1161"/>
      <c r="CX18" s="1161"/>
      <c r="CY18" s="1161"/>
      <c r="CZ18" s="1160"/>
      <c r="DA18" s="1160"/>
      <c r="DB18" s="1160"/>
      <c r="DC18" s="1160"/>
      <c r="DD18" s="1160"/>
      <c r="DE18" s="1160"/>
      <c r="DF18" s="1160"/>
      <c r="DG18" s="1160"/>
      <c r="DH18" s="1160"/>
      <c r="DI18" s="1160"/>
    </row>
    <row r="19" spans="1:113" s="1123" customFormat="1" ht="13.8" outlineLevel="1">
      <c r="A19" s="1154"/>
      <c r="B19" s="1155" t="s">
        <v>504</v>
      </c>
      <c r="C19" s="1155"/>
      <c r="D19" s="1156"/>
      <c r="E19" s="1156"/>
      <c r="F19" s="1156"/>
      <c r="G19" s="1156"/>
      <c r="H19" s="1157"/>
      <c r="I19" s="1157">
        <f>R19+Z19+AH19+AP19+AX19+BF19+BN19+BV19+CD19+CL19</f>
        <v>2616502.5</v>
      </c>
      <c r="J19" s="1157"/>
      <c r="K19" s="1157"/>
      <c r="L19" s="1157"/>
      <c r="M19" s="1157"/>
      <c r="N19" s="1157">
        <f t="shared" ref="N19:BY19" si="20">N17-N18</f>
        <v>0</v>
      </c>
      <c r="O19" s="1159">
        <f>O17-O18</f>
        <v>2779500</v>
      </c>
      <c r="P19" s="1158">
        <f>O19-Q19</f>
        <v>1970485</v>
      </c>
      <c r="Q19" s="1158">
        <f>Y19+AG19+AO19+AW19+BE19+BM19+BU19+CC19+CK19+CS19</f>
        <v>809015</v>
      </c>
      <c r="R19" s="1158">
        <v>2060370</v>
      </c>
      <c r="S19" s="1158">
        <f>S17-S18</f>
        <v>2187700</v>
      </c>
      <c r="T19" s="1158">
        <f t="shared" si="20"/>
        <v>1772708</v>
      </c>
      <c r="U19" s="1158">
        <f>U17-U18</f>
        <v>398400</v>
      </c>
      <c r="V19" s="1158">
        <f>V17-V18</f>
        <v>0</v>
      </c>
      <c r="W19" s="1158">
        <f t="shared" si="20"/>
        <v>2187704</v>
      </c>
      <c r="X19" s="1158">
        <f t="shared" si="20"/>
        <v>1808954</v>
      </c>
      <c r="Y19" s="1158">
        <f>Y17-Y18</f>
        <v>378750</v>
      </c>
      <c r="Z19" s="1158">
        <v>55132</v>
      </c>
      <c r="AA19" s="1158">
        <f>AA17-AA18</f>
        <v>52054</v>
      </c>
      <c r="AB19" s="1158">
        <f t="shared" si="20"/>
        <v>13325</v>
      </c>
      <c r="AC19" s="1158">
        <f t="shared" si="20"/>
        <v>38000</v>
      </c>
      <c r="AD19" s="1158">
        <f>AD17-AD18</f>
        <v>0</v>
      </c>
      <c r="AE19" s="1158">
        <f t="shared" si="20"/>
        <v>52054</v>
      </c>
      <c r="AF19" s="1158">
        <f t="shared" si="20"/>
        <v>7754</v>
      </c>
      <c r="AG19" s="1158">
        <f t="shared" si="20"/>
        <v>44300</v>
      </c>
      <c r="AH19" s="1158">
        <v>35333.5</v>
      </c>
      <c r="AI19" s="1394">
        <f t="shared" si="20"/>
        <v>34926</v>
      </c>
      <c r="AJ19" s="1394">
        <f t="shared" si="20"/>
        <v>2748</v>
      </c>
      <c r="AK19" s="1394">
        <f t="shared" si="20"/>
        <v>31800</v>
      </c>
      <c r="AL19" s="1158">
        <f>AL17-AL18</f>
        <v>-0.1000000000003638</v>
      </c>
      <c r="AM19" s="1158">
        <f t="shared" si="20"/>
        <v>34926</v>
      </c>
      <c r="AN19" s="1158">
        <f t="shared" si="20"/>
        <v>6178</v>
      </c>
      <c r="AO19" s="1158">
        <f t="shared" si="20"/>
        <v>28748</v>
      </c>
      <c r="AP19" s="1158">
        <v>64245</v>
      </c>
      <c r="AQ19" s="1158">
        <f>AQ17-AQ18</f>
        <v>63985</v>
      </c>
      <c r="AR19" s="1158">
        <f t="shared" si="20"/>
        <v>20670</v>
      </c>
      <c r="AS19" s="1158">
        <f t="shared" si="20"/>
        <v>42970</v>
      </c>
      <c r="AT19" s="1158">
        <f t="shared" si="20"/>
        <v>0</v>
      </c>
      <c r="AU19" s="1158">
        <f t="shared" si="20"/>
        <v>63985</v>
      </c>
      <c r="AV19" s="1158">
        <f t="shared" si="20"/>
        <v>18805</v>
      </c>
      <c r="AW19" s="1158">
        <f t="shared" si="20"/>
        <v>45180</v>
      </c>
      <c r="AX19" s="1158">
        <v>17237</v>
      </c>
      <c r="AY19" s="1158">
        <f t="shared" si="20"/>
        <v>17517</v>
      </c>
      <c r="AZ19" s="1158">
        <f t="shared" si="20"/>
        <v>2829</v>
      </c>
      <c r="BA19" s="1158">
        <f t="shared" si="20"/>
        <v>14580</v>
      </c>
      <c r="BB19" s="1158">
        <f t="shared" si="20"/>
        <v>0</v>
      </c>
      <c r="BC19" s="1158">
        <f t="shared" si="20"/>
        <v>17516.599999999999</v>
      </c>
      <c r="BD19" s="1158">
        <f t="shared" si="20"/>
        <v>2134.5</v>
      </c>
      <c r="BE19" s="1158">
        <f t="shared" si="20"/>
        <v>15383</v>
      </c>
      <c r="BF19" s="1158">
        <v>28765</v>
      </c>
      <c r="BG19" s="1158">
        <f t="shared" si="20"/>
        <v>36645</v>
      </c>
      <c r="BH19" s="1158">
        <f t="shared" si="20"/>
        <v>3355</v>
      </c>
      <c r="BI19" s="1158">
        <f t="shared" si="20"/>
        <v>33290</v>
      </c>
      <c r="BJ19" s="1158">
        <f t="shared" si="20"/>
        <v>0</v>
      </c>
      <c r="BK19" s="1158">
        <f t="shared" si="20"/>
        <v>36645</v>
      </c>
      <c r="BL19" s="1158">
        <f t="shared" si="20"/>
        <v>3780</v>
      </c>
      <c r="BM19" s="1158">
        <f t="shared" si="20"/>
        <v>32865</v>
      </c>
      <c r="BN19" s="1158">
        <v>22732</v>
      </c>
      <c r="BO19" s="1158">
        <f t="shared" si="20"/>
        <v>20437</v>
      </c>
      <c r="BP19" s="1158">
        <f t="shared" si="20"/>
        <v>10728</v>
      </c>
      <c r="BQ19" s="1158">
        <f t="shared" si="20"/>
        <v>7600</v>
      </c>
      <c r="BR19" s="1158">
        <f t="shared" si="20"/>
        <v>0</v>
      </c>
      <c r="BS19" s="1158">
        <f t="shared" si="20"/>
        <v>20437</v>
      </c>
      <c r="BT19" s="1158">
        <f t="shared" si="20"/>
        <v>5752</v>
      </c>
      <c r="BU19" s="1158">
        <f t="shared" si="20"/>
        <v>14684</v>
      </c>
      <c r="BV19" s="1158">
        <v>41169</v>
      </c>
      <c r="BW19" s="1158">
        <f t="shared" si="20"/>
        <v>28949</v>
      </c>
      <c r="BX19" s="1158">
        <f t="shared" si="20"/>
        <v>23938</v>
      </c>
      <c r="BY19" s="1158">
        <f t="shared" si="20"/>
        <v>4450</v>
      </c>
      <c r="BZ19" s="1158">
        <f t="shared" ref="BZ19:CS19" si="21">BZ17-BZ18</f>
        <v>0</v>
      </c>
      <c r="CA19" s="1158">
        <f t="shared" si="21"/>
        <v>28949</v>
      </c>
      <c r="CB19" s="1158">
        <f t="shared" si="21"/>
        <v>7661</v>
      </c>
      <c r="CC19" s="1158">
        <f t="shared" si="21"/>
        <v>21288</v>
      </c>
      <c r="CD19" s="1158">
        <v>263574</v>
      </c>
      <c r="CE19" s="1158">
        <f t="shared" si="21"/>
        <v>308861</v>
      </c>
      <c r="CF19" s="1158">
        <f t="shared" si="21"/>
        <v>162139</v>
      </c>
      <c r="CG19" s="1158">
        <f t="shared" si="21"/>
        <v>141520</v>
      </c>
      <c r="CH19" s="1158">
        <f t="shared" si="21"/>
        <v>0</v>
      </c>
      <c r="CI19" s="1158">
        <f t="shared" si="21"/>
        <v>308861</v>
      </c>
      <c r="CJ19" s="1158">
        <f t="shared" si="21"/>
        <v>97582</v>
      </c>
      <c r="CK19" s="1158">
        <f t="shared" si="21"/>
        <v>211279</v>
      </c>
      <c r="CL19" s="1158">
        <v>27945</v>
      </c>
      <c r="CM19" s="1158">
        <f t="shared" si="21"/>
        <v>28422</v>
      </c>
      <c r="CN19" s="1158">
        <f t="shared" si="21"/>
        <v>25220</v>
      </c>
      <c r="CO19" s="1158">
        <f t="shared" si="21"/>
        <v>2230</v>
      </c>
      <c r="CP19" s="1158">
        <f t="shared" si="21"/>
        <v>0</v>
      </c>
      <c r="CQ19" s="1158">
        <f t="shared" si="21"/>
        <v>28422</v>
      </c>
      <c r="CR19" s="1158">
        <f t="shared" si="21"/>
        <v>11884</v>
      </c>
      <c r="CS19" s="1158">
        <f t="shared" si="21"/>
        <v>16538</v>
      </c>
      <c r="CT19" s="1160"/>
      <c r="CU19" s="1160"/>
      <c r="CV19" s="1161"/>
      <c r="CW19" s="1161"/>
      <c r="CX19" s="1161"/>
      <c r="CY19" s="1161"/>
      <c r="CZ19" s="1160"/>
      <c r="DA19" s="1160"/>
      <c r="DB19" s="1160"/>
      <c r="DC19" s="1160"/>
      <c r="DD19" s="1160"/>
      <c r="DE19" s="1160"/>
      <c r="DF19" s="1160"/>
      <c r="DG19" s="1160"/>
      <c r="DH19" s="1160"/>
      <c r="DI19" s="1160"/>
    </row>
    <row r="20" spans="1:113" ht="23.25" customHeight="1">
      <c r="A20" s="1154" t="s">
        <v>16</v>
      </c>
      <c r="B20" s="1155" t="s">
        <v>378</v>
      </c>
      <c r="C20" s="1155"/>
      <c r="D20" s="1156"/>
      <c r="E20" s="1156"/>
      <c r="F20" s="1156"/>
      <c r="G20" s="1156"/>
      <c r="H20" s="1157"/>
      <c r="I20" s="1157">
        <f>I26+I35+I43+I51+I65+I66+I67+I68+I69+I72+I80+I83+I86+I87+I97+I101+I102+I103+I104+I113</f>
        <v>4207000</v>
      </c>
      <c r="J20" s="1157">
        <f t="shared" ref="J20:M20" si="22">J26+J35+J43+J51+J65+J66+J67+J68+J69+J72+J80+J83+J86+J87+J97+J101+J102+J103+J104+J113</f>
        <v>2958000</v>
      </c>
      <c r="K20" s="1157">
        <f>K26+K35+K43+K51+K65+K66+K67+K68+K69+K72+K80+K83+K86+K87+K97+K101+K102+K103+K104+K113</f>
        <v>4305000</v>
      </c>
      <c r="L20" s="1157">
        <f t="shared" si="22"/>
        <v>3137999.9</v>
      </c>
      <c r="M20" s="1157">
        <f t="shared" si="22"/>
        <v>1167000.1000000001</v>
      </c>
      <c r="N20" s="1157">
        <f>N26+N35+N43+N51+N65+N66+N67+N68+N69+N72+N80+N83+N86+N87+N97+N101+N102+N103+N104+N113</f>
        <v>174400</v>
      </c>
      <c r="O20" s="1159">
        <f>ROUND(O26+O35+O43+O51+O65+O66+O67+O68+O69+O72+O80+O83+O86+O87+O97+O101+O102+O103+O104+O113,0)</f>
        <v>4130600</v>
      </c>
      <c r="P20" s="1158">
        <f>ROUND(P26+P35+P43+P51+P65+P66+P67+P68+P69+P72+P80+P83+P86+P87+P97+P101+P102+P103+P104+P113+P112+P111,0)</f>
        <v>2791518</v>
      </c>
      <c r="Q20" s="1158">
        <f>ROUND(Q26+Q35+Q43+Q51+Q65+Q66+Q67+Q68+Q69+Q72+Q80+Q83+Q86+Q87+Q97+Q101+Q102+Q103+Q104+Q113+Q112+Q111,0)</f>
        <v>1557040</v>
      </c>
      <c r="R20" s="1158">
        <v>2926900</v>
      </c>
      <c r="S20" s="1158">
        <f t="shared" ref="S20:U20" si="23">ROUND(S26+S35+S43+S51+S65+S66+S67+S68+S69+S72+S80+S83+S86+S87+S97+S101+S102+S103+S104+S113,0)</f>
        <v>2991580</v>
      </c>
      <c r="T20" s="1158">
        <f t="shared" si="23"/>
        <v>2388380</v>
      </c>
      <c r="U20" s="1158">
        <f t="shared" si="23"/>
        <v>603200</v>
      </c>
      <c r="V20" s="1158">
        <f>ROUND(V26+V35+V43+V51+V65+V66+V67+V68+V69+V72+V80+V83+V86+V87+V97+V101+V102+V103+V104+V113,0)</f>
        <v>114836</v>
      </c>
      <c r="W20" s="1158">
        <f>ROUND(W26+W35+W43+W51+W65+W66+W67+W68+W69+W72+W80+W83+W86+W87+W97+W101+W102+W103+W104+W113,0)</f>
        <v>2876744</v>
      </c>
      <c r="X20" s="1158">
        <f>ROUND(X26+X35+X43+X51+X65+X66+X67+X68+X69+X72+X80+X83+X86+X87+X97+X101+X102+X103+X104+X113,0)</f>
        <v>2229513</v>
      </c>
      <c r="Y20" s="1158">
        <f>ROUND(Y26+Y35+Y43+Y51+Y65+Y66+Y67+Y68+Y69+Y72+Y80+Y83+Y86+Y87+Y97+Y101+Y102+Y103+Y104+Y113,0)</f>
        <v>647231</v>
      </c>
      <c r="Z20" s="1158">
        <v>168570</v>
      </c>
      <c r="AA20" s="1158">
        <f t="shared" ref="AA20:AG20" si="24">ROUND(AA26+AA35+AA43+AA51+AA65+AA66+AA67+AA68+AA69+AA72+AA80+AA83+AA86+AA87+AA97+AA101+AA102+AA103+AA104+AA113+AA112+AA111,0)</f>
        <v>133660</v>
      </c>
      <c r="AB20" s="1158">
        <f t="shared" si="24"/>
        <v>70660</v>
      </c>
      <c r="AC20" s="1158">
        <f t="shared" si="24"/>
        <v>63000</v>
      </c>
      <c r="AD20" s="1158">
        <f t="shared" si="24"/>
        <v>18786</v>
      </c>
      <c r="AE20" s="1158">
        <f>ROUND(AE26+AE35+AE43+AE51+AE65+AE66+AE67+AE68+AE69+AE72+AE80+AE83+AE86+AE87+AE97+AE101+AE102+AE103+AE104+AE113+AE112+AE111,0)</f>
        <v>114874</v>
      </c>
      <c r="AF20" s="1158">
        <f t="shared" si="24"/>
        <v>40457</v>
      </c>
      <c r="AG20" s="1158">
        <f t="shared" si="24"/>
        <v>74417</v>
      </c>
      <c r="AH20" s="1158">
        <v>124580</v>
      </c>
      <c r="AI20" s="1394">
        <f t="shared" ref="AI20:AO20" si="25">ROUND(AI26+AI35+AI43+AI51+AI65+AI66+AI67+AI68+AI69+AI72+AI80+AI83+AI86+AI87+AI97+AI101+AI102+AI103+AI104+AI113+AI112+AI111,0)</f>
        <v>126600</v>
      </c>
      <c r="AJ20" s="1394">
        <f t="shared" si="25"/>
        <v>60800</v>
      </c>
      <c r="AK20" s="1394">
        <f t="shared" si="25"/>
        <v>65800</v>
      </c>
      <c r="AL20" s="1158">
        <f>ROUND(AL26+AL35+AL43+AL51+AL65+AL66+AL67+AL68+AL69+AL72+AL80+AL83+AL86+AL87+AL97+AL101+AL102+AL103+AL104+AL113+AL112+AL111,0)-0.1</f>
        <v>6303.9</v>
      </c>
      <c r="AM20" s="1158">
        <f t="shared" si="25"/>
        <v>120296</v>
      </c>
      <c r="AN20" s="1158">
        <f t="shared" si="25"/>
        <v>23917</v>
      </c>
      <c r="AO20" s="1158">
        <f t="shared" si="25"/>
        <v>96379</v>
      </c>
      <c r="AP20" s="1158">
        <v>141860</v>
      </c>
      <c r="AQ20" s="1158">
        <f t="shared" ref="AQ20:AW20" si="26">ROUND(AQ26+AQ35+AQ43+AQ51+AQ65+AQ66+AQ67+AQ68+AQ69+AQ72+AQ80+AQ83+AQ86+AQ87+AQ97+AQ101+AQ102+AQ103+AQ104+AQ113+AQ112+AQ111,0)</f>
        <v>135500</v>
      </c>
      <c r="AR20" s="1158">
        <f t="shared" si="26"/>
        <v>39200</v>
      </c>
      <c r="AS20" s="1158">
        <f t="shared" si="26"/>
        <v>96300</v>
      </c>
      <c r="AT20" s="1158">
        <f t="shared" si="26"/>
        <v>5615</v>
      </c>
      <c r="AU20" s="1158">
        <f t="shared" si="26"/>
        <v>129885</v>
      </c>
      <c r="AV20" s="1158">
        <f t="shared" si="26"/>
        <v>35476</v>
      </c>
      <c r="AW20" s="1158">
        <f t="shared" si="26"/>
        <v>94409</v>
      </c>
      <c r="AX20" s="1158">
        <v>28130</v>
      </c>
      <c r="AY20" s="1158">
        <f t="shared" ref="AY20:BE20" si="27">ROUND(AY26+AY35+AY43+AY51+AY65+AY66+AY67+AY68+AY69+AY72+AY80+AY83+AY86+AY87+AY97+AY101+AY102+AY103+AY104+AY113+AY112+AY111,0)</f>
        <v>30500</v>
      </c>
      <c r="AZ20" s="1158">
        <f t="shared" si="27"/>
        <v>7900</v>
      </c>
      <c r="BA20" s="1158">
        <f t="shared" si="27"/>
        <v>22600</v>
      </c>
      <c r="BB20" s="1158">
        <f t="shared" si="27"/>
        <v>1923</v>
      </c>
      <c r="BC20" s="1158">
        <f>ROUND(BC26+BC35+BC43+BC51+BC65+BC66+BC67+BC68+BC69+BC72+BC80+BC83+BC86+BC87+BC97+BC101+BC102+BC103+BC104+BC113+BC112+BC111,0)-0.4</f>
        <v>28576.6</v>
      </c>
      <c r="BD20" s="1158">
        <f>ROUND(BD26+BD35+BD43+BD51+BD65+BD66+BD67+BD68+BD69+BD72+BD80+BD83+BD86+BD87+BD97+BD101+BD102+BD103+BD104+BD113+BD112+BD111,0)+0.5</f>
        <v>4747.5</v>
      </c>
      <c r="BE20" s="1158">
        <f t="shared" si="27"/>
        <v>23829</v>
      </c>
      <c r="BF20" s="1158">
        <v>112630</v>
      </c>
      <c r="BG20" s="1158">
        <f t="shared" ref="BG20:BM20" si="28">ROUND(BG26+BG35+BG43+BG51+BG65+BG66+BG67+BG68+BG69+BG72+BG80+BG83+BG86+BG87+BG97+BG101+BG102+BG103+BG104+BG113+BG112+BG111,0)</f>
        <v>114660</v>
      </c>
      <c r="BH20" s="1158">
        <f t="shared" si="28"/>
        <v>17960</v>
      </c>
      <c r="BI20" s="1158">
        <f t="shared" si="28"/>
        <v>96700</v>
      </c>
      <c r="BJ20" s="1158">
        <f t="shared" si="28"/>
        <v>1495</v>
      </c>
      <c r="BK20" s="1158">
        <f t="shared" si="28"/>
        <v>113165</v>
      </c>
      <c r="BL20" s="1158">
        <f t="shared" si="28"/>
        <v>24943</v>
      </c>
      <c r="BM20" s="1158">
        <f t="shared" si="28"/>
        <v>88222</v>
      </c>
      <c r="BN20" s="1158">
        <v>67600</v>
      </c>
      <c r="BO20" s="1158">
        <f t="shared" ref="BO20:BT20" si="29">ROUND(BO26+BO35+BO43+BO51+BO65+BO66+BO67+BO68+BO69+BO72+BO80+BO83+BO86+BO87+BO97+BO101+BO102+BO103+BO104+BO113+BO112+BO111,0)</f>
        <v>89700</v>
      </c>
      <c r="BP20" s="1158">
        <f t="shared" si="29"/>
        <v>64200</v>
      </c>
      <c r="BQ20" s="1158">
        <f t="shared" si="29"/>
        <v>25500</v>
      </c>
      <c r="BR20" s="1158">
        <f t="shared" si="29"/>
        <v>5403</v>
      </c>
      <c r="BS20" s="1158">
        <f t="shared" si="29"/>
        <v>84297</v>
      </c>
      <c r="BT20" s="1158">
        <f t="shared" si="29"/>
        <v>43414</v>
      </c>
      <c r="BU20" s="1158">
        <f>ROUND(BU26+BU35+BU43+BU51+BU65+BU66+BU67+BU68+BU69+BU72+BU80+BU83+BU86+BU87+BU97+BU101+BU102+BU103+BU104+BU113+BU112+BU111,0)-1</f>
        <v>40883</v>
      </c>
      <c r="BV20" s="1158">
        <v>76310</v>
      </c>
      <c r="BW20" s="1158">
        <f t="shared" ref="BW20:CB20" si="30">ROUND(BW26+BW35+BW43+BW51+BW65+BW66+BW67+BW68+BW69+BW72+BW80+BW83+BW86+BW87+BW97+BW101+BW102+BW103+BW104+BW113+BW112+BW111,0)</f>
        <v>83900</v>
      </c>
      <c r="BX20" s="1158">
        <f t="shared" si="30"/>
        <v>73200</v>
      </c>
      <c r="BY20" s="1158">
        <f t="shared" si="30"/>
        <v>10700</v>
      </c>
      <c r="BZ20" s="1158">
        <f t="shared" si="30"/>
        <v>3051</v>
      </c>
      <c r="CA20" s="1158">
        <f t="shared" si="30"/>
        <v>80849</v>
      </c>
      <c r="CB20" s="1158">
        <f t="shared" si="30"/>
        <v>16088</v>
      </c>
      <c r="CC20" s="1158">
        <f>ROUND(CC26+CC35+CC43+CC51+CC65+CC66+CC67+CC68+CC69+CC72+CC80+CC83+CC86+CC87+CC97+CC101+CC102+CC103+CC104+CC113+CC112+CC111,0)</f>
        <v>64761</v>
      </c>
      <c r="CD20" s="1158">
        <v>500260</v>
      </c>
      <c r="CE20" s="1158">
        <f t="shared" ref="CE20:CK20" si="31">ROUND(CE26+CE35+CE43+CE51+CE65+CE66+CE67+CE68+CE69+CE72+CE80+CE83+CE86+CE87+CE97+CE101+CE102+CE103+CE104+CE113+CE112+CE111,0)</f>
        <v>538100</v>
      </c>
      <c r="CF20" s="1158">
        <f t="shared" si="31"/>
        <v>361300</v>
      </c>
      <c r="CG20" s="1158">
        <f t="shared" si="31"/>
        <v>176800</v>
      </c>
      <c r="CH20" s="1158">
        <f t="shared" si="31"/>
        <v>14179</v>
      </c>
      <c r="CI20" s="1158">
        <f t="shared" si="31"/>
        <v>523921</v>
      </c>
      <c r="CJ20" s="1158">
        <f>ROUND(CJ26+CJ35+CJ43+CJ51+CJ65+CJ66+CJ67+CJ68+CJ69+CJ72+CJ80+CJ83+CJ86+CJ87+CJ97+CJ101+CJ102+CJ103+CJ104+CJ113+CJ112+CJ111,0)</f>
        <v>138383</v>
      </c>
      <c r="CK20" s="1158">
        <f t="shared" si="31"/>
        <v>385538</v>
      </c>
      <c r="CL20" s="1158">
        <v>60160</v>
      </c>
      <c r="CM20" s="1158">
        <f t="shared" ref="CM20:CR20" si="32">ROUND(CM26+CM35+CM43+CM51+CM65+CM66+CM67+CM68+CM69+CM72+CM80+CM83+CM86+CM87+CM97+CM101+CM102+CM103+CM104+CM113+CM112+CM111,0)</f>
        <v>60800</v>
      </c>
      <c r="CN20" s="1158">
        <f t="shared" si="32"/>
        <v>54400</v>
      </c>
      <c r="CO20" s="1158">
        <f t="shared" si="32"/>
        <v>6400</v>
      </c>
      <c r="CP20" s="1158">
        <f t="shared" si="32"/>
        <v>2808</v>
      </c>
      <c r="CQ20" s="1158">
        <f t="shared" si="32"/>
        <v>57992</v>
      </c>
      <c r="CR20" s="1158">
        <f t="shared" si="32"/>
        <v>16621</v>
      </c>
      <c r="CS20" s="1158">
        <f>ROUND(CS26+CS35+CS43+CS51+CS65+CS66+CS67+CS68+CS69+CS72+CS80+CS83+CS86+CS87+CS97+CS101+CS102+CS103+CS104+CS113+CS112+CS111,0)</f>
        <v>41371</v>
      </c>
      <c r="CT20" s="1124"/>
      <c r="CU20" s="1124"/>
      <c r="CV20" s="1153"/>
      <c r="CW20" s="1153"/>
      <c r="CX20" s="1153"/>
      <c r="CY20" s="1153"/>
      <c r="CZ20" s="1124"/>
      <c r="DA20" s="1124"/>
      <c r="DB20" s="1124"/>
      <c r="DC20" s="1124"/>
      <c r="DD20" s="1124"/>
    </row>
    <row r="21" spans="1:113" s="1123" customFormat="1" ht="14.4" hidden="1" outlineLevel="1">
      <c r="A21" s="1154" t="s">
        <v>20</v>
      </c>
      <c r="B21" s="1155" t="s">
        <v>505</v>
      </c>
      <c r="C21" s="1155"/>
      <c r="D21" s="1162"/>
      <c r="E21" s="1162"/>
      <c r="F21" s="1162"/>
      <c r="G21" s="1162"/>
      <c r="H21" s="1162"/>
      <c r="I21" s="1162"/>
      <c r="J21" s="1157">
        <f>J20-J70-J73-J90-J93-J95-J98*0.7</f>
        <v>2881600</v>
      </c>
      <c r="K21" s="1157">
        <f>S21+AA21+AI21+AQ21+AY21+BG21+BO21+BW21+CE21+CM21+0.4</f>
        <v>4130599.9</v>
      </c>
      <c r="L21" s="1162"/>
      <c r="M21" s="1162"/>
      <c r="N21" s="1162"/>
      <c r="O21" s="1162"/>
      <c r="P21" s="1163"/>
      <c r="Q21" s="1163"/>
      <c r="R21" s="1164">
        <v>2789789</v>
      </c>
      <c r="S21" s="1158">
        <f>S22+S23</f>
        <v>2876744</v>
      </c>
      <c r="T21" s="1163"/>
      <c r="U21" s="1163"/>
      <c r="V21" s="1163"/>
      <c r="W21" s="1163"/>
      <c r="X21" s="1163"/>
      <c r="Y21" s="1163"/>
      <c r="Z21" s="1164">
        <v>145372</v>
      </c>
      <c r="AA21" s="1158">
        <f>AA22+AA23</f>
        <v>114874</v>
      </c>
      <c r="AB21" s="1163"/>
      <c r="AC21" s="1163"/>
      <c r="AD21" s="1163"/>
      <c r="AE21" s="1163"/>
      <c r="AF21" s="1163"/>
      <c r="AG21" s="1163"/>
      <c r="AH21" s="1164">
        <v>118823</v>
      </c>
      <c r="AI21" s="1394">
        <f>AI22+AI23</f>
        <v>120296</v>
      </c>
      <c r="AJ21" s="1395"/>
      <c r="AK21" s="1395"/>
      <c r="AL21" s="1163"/>
      <c r="AM21" s="1163"/>
      <c r="AN21" s="1163"/>
      <c r="AO21" s="1163"/>
      <c r="AP21" s="1164">
        <v>136215</v>
      </c>
      <c r="AQ21" s="1158">
        <f>AQ22+AQ23</f>
        <v>129885</v>
      </c>
      <c r="AR21" s="1163"/>
      <c r="AS21" s="1163"/>
      <c r="AT21" s="1163"/>
      <c r="AU21" s="1163"/>
      <c r="AV21" s="1163"/>
      <c r="AW21" s="1163"/>
      <c r="AX21" s="1164">
        <v>26597</v>
      </c>
      <c r="AY21" s="1158">
        <f>AY22+AY23</f>
        <v>28576.5</v>
      </c>
      <c r="AZ21" s="1163"/>
      <c r="BA21" s="1163"/>
      <c r="BB21" s="1163"/>
      <c r="BC21" s="1163"/>
      <c r="BD21" s="1163"/>
      <c r="BE21" s="1163"/>
      <c r="BF21" s="1164">
        <v>111805</v>
      </c>
      <c r="BG21" s="1158">
        <f>BG22+BG23</f>
        <v>113165</v>
      </c>
      <c r="BH21" s="1163"/>
      <c r="BI21" s="1163"/>
      <c r="BJ21" s="1163"/>
      <c r="BK21" s="1163"/>
      <c r="BL21" s="1163"/>
      <c r="BM21" s="1163"/>
      <c r="BN21" s="1164">
        <v>66332</v>
      </c>
      <c r="BO21" s="1158">
        <f>BO22+BO23</f>
        <v>84297</v>
      </c>
      <c r="BP21" s="1163"/>
      <c r="BQ21" s="1163"/>
      <c r="BR21" s="1163"/>
      <c r="BS21" s="1163"/>
      <c r="BT21" s="1163"/>
      <c r="BU21" s="1163"/>
      <c r="BV21" s="1164">
        <v>74099</v>
      </c>
      <c r="BW21" s="1158">
        <f>BW22+BW23</f>
        <v>80849</v>
      </c>
      <c r="BX21" s="1163"/>
      <c r="BY21" s="1163"/>
      <c r="BZ21" s="1163"/>
      <c r="CA21" s="1163"/>
      <c r="CB21" s="1163"/>
      <c r="CC21" s="1163"/>
      <c r="CD21" s="1164">
        <v>487774</v>
      </c>
      <c r="CE21" s="1158">
        <f>CE22+CE23</f>
        <v>523921</v>
      </c>
      <c r="CF21" s="1163"/>
      <c r="CG21" s="1163"/>
      <c r="CH21" s="1163"/>
      <c r="CI21" s="1163"/>
      <c r="CJ21" s="1163"/>
      <c r="CK21" s="1163"/>
      <c r="CL21" s="1164">
        <v>57495</v>
      </c>
      <c r="CM21" s="1158">
        <f>CM22+CM23</f>
        <v>57992</v>
      </c>
      <c r="CN21" s="1163"/>
      <c r="CO21" s="1163"/>
      <c r="CP21" s="1163"/>
      <c r="CQ21" s="1163"/>
      <c r="CR21" s="1163"/>
      <c r="CS21" s="1163"/>
      <c r="CT21" s="1160"/>
      <c r="CU21" s="1160"/>
      <c r="CV21" s="1165"/>
      <c r="CW21" s="1165"/>
      <c r="CX21" s="1165"/>
      <c r="CY21" s="1165"/>
    </row>
    <row r="22" spans="1:113" ht="14.4" hidden="1" outlineLevel="1">
      <c r="A22" s="1166"/>
      <c r="B22" s="1167" t="s">
        <v>506</v>
      </c>
      <c r="C22" s="1167"/>
      <c r="D22" s="1168"/>
      <c r="E22" s="1168"/>
      <c r="F22" s="1168"/>
      <c r="G22" s="1168"/>
      <c r="H22" s="1168"/>
      <c r="I22" s="1157">
        <f>R22+Z22+AH22+AP22+AX22+BF22+BN22+BV22+CD22+CL22</f>
        <v>2501841</v>
      </c>
      <c r="J22" s="1168"/>
      <c r="K22" s="1169">
        <f>S22+AA22+AI22+AQ22+AY22+BG22+BO22+BW22+CE22+CM22</f>
        <v>2573559.5</v>
      </c>
      <c r="L22" s="1168"/>
      <c r="M22" s="1168"/>
      <c r="N22" s="1170">
        <f>V20+AD20+AL20+AT20+BB20+BJ20+BR20+BZ20+CH20+CP20</f>
        <v>174399.9</v>
      </c>
      <c r="O22" s="1170">
        <f>W20+AE20+AM20+AU20+BC20+BK20+BS20+CA20+CI20+CQ20-1</f>
        <v>4130598.6</v>
      </c>
      <c r="P22" s="1171">
        <f>X20+AF20+AN20+AV20+BD20+BL20+BT20+CB20+CJ20+CR20</f>
        <v>2573559.5</v>
      </c>
      <c r="Q22" s="1171">
        <f>Y20+AG20+AO20+AW20+BE20+BM20+BU20+CC20+CK20+CS20</f>
        <v>1557040</v>
      </c>
      <c r="R22" s="1172">
        <v>2176874</v>
      </c>
      <c r="S22" s="1173">
        <f>X20</f>
        <v>2229513</v>
      </c>
      <c r="T22" s="1171"/>
      <c r="U22" s="1171"/>
      <c r="V22" s="1171"/>
      <c r="W22" s="1171"/>
      <c r="X22" s="1171"/>
      <c r="Y22" s="1171"/>
      <c r="Z22" s="1164">
        <v>52326</v>
      </c>
      <c r="AA22" s="1173">
        <f>AF20</f>
        <v>40457</v>
      </c>
      <c r="AB22" s="1171"/>
      <c r="AC22" s="1171"/>
      <c r="AD22" s="1171"/>
      <c r="AE22" s="1171"/>
      <c r="AF22" s="1171"/>
      <c r="AG22" s="1171"/>
      <c r="AH22" s="1164">
        <v>25080</v>
      </c>
      <c r="AI22" s="1396">
        <f>AN20</f>
        <v>23917</v>
      </c>
      <c r="AJ22" s="1397"/>
      <c r="AK22" s="1397"/>
      <c r="AL22" s="1171"/>
      <c r="AM22" s="1171"/>
      <c r="AN22" s="1171"/>
      <c r="AO22" s="1171"/>
      <c r="AP22" s="1164">
        <v>35254</v>
      </c>
      <c r="AQ22" s="1173">
        <f>AV20</f>
        <v>35476</v>
      </c>
      <c r="AR22" s="1171"/>
      <c r="AS22" s="1171"/>
      <c r="AT22" s="1171"/>
      <c r="AU22" s="1171"/>
      <c r="AV22" s="1171"/>
      <c r="AW22" s="1171"/>
      <c r="AX22" s="1164">
        <v>4742</v>
      </c>
      <c r="AY22" s="1173">
        <f>BD20</f>
        <v>4747.5</v>
      </c>
      <c r="AZ22" s="1171"/>
      <c r="BA22" s="1171"/>
      <c r="BB22" s="1171"/>
      <c r="BC22" s="1171"/>
      <c r="BD22" s="1171"/>
      <c r="BE22" s="1171"/>
      <c r="BF22" s="1164">
        <v>23102</v>
      </c>
      <c r="BG22" s="1173">
        <f>BL20</f>
        <v>24943</v>
      </c>
      <c r="BH22" s="1171"/>
      <c r="BI22" s="1171"/>
      <c r="BJ22" s="1171"/>
      <c r="BK22" s="1171"/>
      <c r="BL22" s="1171"/>
      <c r="BM22" s="1171"/>
      <c r="BN22" s="1164">
        <v>31103</v>
      </c>
      <c r="BO22" s="1173">
        <f>BT20</f>
        <v>43414</v>
      </c>
      <c r="BP22" s="1171"/>
      <c r="BQ22" s="1171"/>
      <c r="BR22" s="1171"/>
      <c r="BS22" s="1171"/>
      <c r="BT22" s="1171"/>
      <c r="BU22" s="1171"/>
      <c r="BV22" s="1164">
        <v>16487</v>
      </c>
      <c r="BW22" s="1173">
        <f>CB20</f>
        <v>16088</v>
      </c>
      <c r="BX22" s="1171"/>
      <c r="BY22" s="1171"/>
      <c r="BZ22" s="1171"/>
      <c r="CA22" s="1171"/>
      <c r="CB22" s="1171"/>
      <c r="CC22" s="1171"/>
      <c r="CD22" s="1164">
        <v>121235</v>
      </c>
      <c r="CE22" s="1173">
        <f>CJ20</f>
        <v>138383</v>
      </c>
      <c r="CF22" s="1171"/>
      <c r="CG22" s="1171"/>
      <c r="CH22" s="1171"/>
      <c r="CI22" s="1171"/>
      <c r="CJ22" s="1171"/>
      <c r="CK22" s="1171"/>
      <c r="CL22" s="1164">
        <v>15638</v>
      </c>
      <c r="CM22" s="1173">
        <f>CR20</f>
        <v>16621</v>
      </c>
      <c r="CN22" s="1171"/>
      <c r="CO22" s="1171"/>
      <c r="CP22" s="1171"/>
      <c r="CQ22" s="1171"/>
      <c r="CR22" s="1171"/>
      <c r="CS22" s="1171"/>
      <c r="CT22" s="1124"/>
      <c r="CU22" s="1124"/>
      <c r="CV22" s="1174"/>
      <c r="CW22" s="1174"/>
      <c r="CX22" s="1174"/>
      <c r="CY22" s="1174"/>
    </row>
    <row r="23" spans="1:113" ht="14.4" hidden="1" outlineLevel="1">
      <c r="A23" s="1166"/>
      <c r="B23" s="1167" t="s">
        <v>507</v>
      </c>
      <c r="C23" s="1167"/>
      <c r="D23" s="1168"/>
      <c r="E23" s="1168"/>
      <c r="F23" s="1168"/>
      <c r="G23" s="1168"/>
      <c r="H23" s="1168"/>
      <c r="I23" s="1157">
        <f>R23+Z23+AH23+AP23+AX23+BF23+BN23+BV23+CD23+CL23</f>
        <v>1512460</v>
      </c>
      <c r="J23" s="1168"/>
      <c r="K23" s="1169">
        <f>S23+AA23+AI23+AQ23+AY23+BG23+BO23+BW23+CE23+CM23</f>
        <v>1557040</v>
      </c>
      <c r="L23" s="1168"/>
      <c r="M23" s="1168"/>
      <c r="N23" s="1168"/>
      <c r="O23" s="1168"/>
      <c r="P23" s="1171">
        <f>P20-P22</f>
        <v>217958.5</v>
      </c>
      <c r="Q23" s="1171"/>
      <c r="R23" s="1172">
        <v>612915</v>
      </c>
      <c r="S23" s="1173">
        <f>Y20</f>
        <v>647231</v>
      </c>
      <c r="T23" s="1171"/>
      <c r="U23" s="1171"/>
      <c r="V23" s="1158"/>
      <c r="W23" s="1158"/>
      <c r="X23" s="1175"/>
      <c r="Y23" s="1158"/>
      <c r="Z23" s="1164">
        <v>93046</v>
      </c>
      <c r="AA23" s="1173">
        <f>AG20</f>
        <v>74417</v>
      </c>
      <c r="AB23" s="1171"/>
      <c r="AC23" s="1171"/>
      <c r="AD23" s="1158"/>
      <c r="AE23" s="1158"/>
      <c r="AF23" s="1175"/>
      <c r="AG23" s="1158"/>
      <c r="AH23" s="1164">
        <v>93743</v>
      </c>
      <c r="AI23" s="1396">
        <f>AO20</f>
        <v>96379</v>
      </c>
      <c r="AJ23" s="1397"/>
      <c r="AK23" s="1397"/>
      <c r="AL23" s="1158"/>
      <c r="AM23" s="1158"/>
      <c r="AN23" s="1175"/>
      <c r="AO23" s="1158"/>
      <c r="AP23" s="1164">
        <v>100961</v>
      </c>
      <c r="AQ23" s="1173">
        <f>AW20</f>
        <v>94409</v>
      </c>
      <c r="AR23" s="1171"/>
      <c r="AS23" s="1171"/>
      <c r="AT23" s="1158"/>
      <c r="AU23" s="1158"/>
      <c r="AV23" s="1175"/>
      <c r="AW23" s="1158"/>
      <c r="AX23" s="1164">
        <v>21855</v>
      </c>
      <c r="AY23" s="1173">
        <f>BE20</f>
        <v>23829</v>
      </c>
      <c r="AZ23" s="1171"/>
      <c r="BA23" s="1171"/>
      <c r="BB23" s="1158"/>
      <c r="BC23" s="1158"/>
      <c r="BD23" s="1175"/>
      <c r="BE23" s="1158"/>
      <c r="BF23" s="1164">
        <v>88703</v>
      </c>
      <c r="BG23" s="1173">
        <f>BM20</f>
        <v>88222</v>
      </c>
      <c r="BH23" s="1171"/>
      <c r="BI23" s="1171"/>
      <c r="BJ23" s="1158"/>
      <c r="BK23" s="1158"/>
      <c r="BL23" s="1175"/>
      <c r="BM23" s="1158"/>
      <c r="BN23" s="1164">
        <v>35229</v>
      </c>
      <c r="BO23" s="1173">
        <f>BU20</f>
        <v>40883</v>
      </c>
      <c r="BP23" s="1171"/>
      <c r="BQ23" s="1171"/>
      <c r="BR23" s="1158"/>
      <c r="BS23" s="1158"/>
      <c r="BT23" s="1175"/>
      <c r="BU23" s="1158"/>
      <c r="BV23" s="1164">
        <v>57612</v>
      </c>
      <c r="BW23" s="1173">
        <f>CC20</f>
        <v>64761</v>
      </c>
      <c r="BX23" s="1171"/>
      <c r="BY23" s="1171"/>
      <c r="BZ23" s="1158"/>
      <c r="CA23" s="1158"/>
      <c r="CB23" s="1175"/>
      <c r="CC23" s="1158"/>
      <c r="CD23" s="1164">
        <v>366539</v>
      </c>
      <c r="CE23" s="1173">
        <f>CK20</f>
        <v>385538</v>
      </c>
      <c r="CF23" s="1171"/>
      <c r="CG23" s="1171"/>
      <c r="CH23" s="1158"/>
      <c r="CI23" s="1158"/>
      <c r="CJ23" s="1175"/>
      <c r="CK23" s="1158"/>
      <c r="CL23" s="1164">
        <v>41857</v>
      </c>
      <c r="CM23" s="1173">
        <f>CS20</f>
        <v>41371</v>
      </c>
      <c r="CN23" s="1171"/>
      <c r="CO23" s="1171"/>
      <c r="CP23" s="1158"/>
      <c r="CQ23" s="1158"/>
      <c r="CR23" s="1175"/>
      <c r="CS23" s="1158"/>
    </row>
    <row r="24" spans="1:113" ht="15" hidden="1" customHeight="1" outlineLevel="1">
      <c r="A24" s="1166"/>
      <c r="B24" s="1176"/>
      <c r="C24" s="1176"/>
      <c r="D24" s="1168"/>
      <c r="E24" s="1168"/>
      <c r="F24" s="1168"/>
      <c r="G24" s="1168"/>
      <c r="H24" s="1168"/>
      <c r="I24" s="1168"/>
      <c r="J24" s="1168"/>
      <c r="K24" s="1168"/>
      <c r="L24" s="1177">
        <f>O20-K21</f>
        <v>0.10000000009313226</v>
      </c>
      <c r="M24" s="1178"/>
      <c r="N24" s="1178"/>
      <c r="O24" s="1170">
        <f>O22-O80-O103-O104</f>
        <v>2304998.6</v>
      </c>
      <c r="P24" s="1171">
        <f>P22-P80-P103-P104-P112</f>
        <v>1157959.5</v>
      </c>
      <c r="Q24" s="1171">
        <f>Q22-Q80-Q103-Q104</f>
        <v>1117040</v>
      </c>
      <c r="R24" s="1171">
        <v>0</v>
      </c>
      <c r="S24" s="1171">
        <f>S21-W20</f>
        <v>0</v>
      </c>
      <c r="T24" s="1171"/>
      <c r="U24" s="1171"/>
      <c r="V24" s="1171"/>
      <c r="W24" s="1171"/>
      <c r="X24" s="1171"/>
      <c r="Y24" s="1171"/>
      <c r="Z24" s="1164">
        <v>0</v>
      </c>
      <c r="AA24" s="1171">
        <f>AA21-AE20</f>
        <v>0</v>
      </c>
      <c r="AB24" s="1171"/>
      <c r="AC24" s="1171"/>
      <c r="AD24" s="1171"/>
      <c r="AE24" s="1171"/>
      <c r="AF24" s="1171"/>
      <c r="AG24" s="1171"/>
      <c r="AH24" s="1164">
        <v>0</v>
      </c>
      <c r="AI24" s="1397">
        <f>AI21-AM20</f>
        <v>0</v>
      </c>
      <c r="AJ24" s="1397"/>
      <c r="AK24" s="1397"/>
      <c r="AL24" s="1171"/>
      <c r="AM24" s="1171"/>
      <c r="AN24" s="1171"/>
      <c r="AO24" s="1171"/>
      <c r="AP24" s="1164">
        <v>0</v>
      </c>
      <c r="AQ24" s="1171">
        <f>AQ21-AU20</f>
        <v>0</v>
      </c>
      <c r="AR24" s="1171"/>
      <c r="AS24" s="1171"/>
      <c r="AT24" s="1171"/>
      <c r="AU24" s="1171"/>
      <c r="AV24" s="1171"/>
      <c r="AW24" s="1171"/>
      <c r="AX24" s="1164">
        <v>0</v>
      </c>
      <c r="AY24" s="1171">
        <f>AY21-BC20</f>
        <v>-9.9999999998544808E-2</v>
      </c>
      <c r="AZ24" s="1171"/>
      <c r="BA24" s="1171"/>
      <c r="BB24" s="1171"/>
      <c r="BC24" s="1171"/>
      <c r="BD24" s="1171"/>
      <c r="BE24" s="1171"/>
      <c r="BF24" s="1164">
        <v>0</v>
      </c>
      <c r="BG24" s="1171">
        <f>BG21-BK20</f>
        <v>0</v>
      </c>
      <c r="BH24" s="1171"/>
      <c r="BI24" s="1171"/>
      <c r="BJ24" s="1171"/>
      <c r="BK24" s="1171"/>
      <c r="BL24" s="1171"/>
      <c r="BM24" s="1171"/>
      <c r="BN24" s="1164">
        <v>0</v>
      </c>
      <c r="BO24" s="1171">
        <f>BO21-BS20</f>
        <v>0</v>
      </c>
      <c r="BP24" s="1171"/>
      <c r="BQ24" s="1171"/>
      <c r="BR24" s="1171"/>
      <c r="BS24" s="1171"/>
      <c r="BT24" s="1171"/>
      <c r="BU24" s="1171"/>
      <c r="BV24" s="1164">
        <v>0</v>
      </c>
      <c r="BW24" s="1171">
        <f>BW21-CA20</f>
        <v>0</v>
      </c>
      <c r="BX24" s="1171"/>
      <c r="BY24" s="1171"/>
      <c r="BZ24" s="1171"/>
      <c r="CA24" s="1171"/>
      <c r="CB24" s="1171"/>
      <c r="CC24" s="1171"/>
      <c r="CD24" s="1164">
        <v>0</v>
      </c>
      <c r="CE24" s="1171">
        <f>CE21-CI20</f>
        <v>0</v>
      </c>
      <c r="CF24" s="1171"/>
      <c r="CG24" s="1171"/>
      <c r="CH24" s="1171"/>
      <c r="CI24" s="1171"/>
      <c r="CJ24" s="1171"/>
      <c r="CK24" s="1171"/>
      <c r="CL24" s="1164">
        <v>0</v>
      </c>
      <c r="CM24" s="1171">
        <f>CM21-CQ20</f>
        <v>0</v>
      </c>
      <c r="CN24" s="1171"/>
      <c r="CO24" s="1171"/>
      <c r="CP24" s="1171"/>
      <c r="CQ24" s="1171"/>
      <c r="CR24" s="1171"/>
      <c r="CS24" s="1171"/>
    </row>
    <row r="25" spans="1:113" ht="14.4" hidden="1" outlineLevel="1">
      <c r="A25" s="1166"/>
      <c r="B25" s="1176"/>
      <c r="C25" s="1176"/>
      <c r="D25" s="1168"/>
      <c r="E25" s="1168"/>
      <c r="F25" s="1168"/>
      <c r="G25" s="1168"/>
      <c r="H25" s="1168"/>
      <c r="I25" s="1168"/>
      <c r="J25" s="1168"/>
      <c r="K25" s="1168"/>
      <c r="L25" s="1168"/>
      <c r="M25" s="1168"/>
      <c r="N25" s="1168"/>
      <c r="O25" s="1168"/>
      <c r="P25" s="1171"/>
      <c r="Q25" s="1171"/>
      <c r="R25" s="1171"/>
      <c r="S25" s="1171"/>
      <c r="T25" s="1171"/>
      <c r="U25" s="1171"/>
      <c r="V25" s="1171"/>
      <c r="W25" s="1171"/>
      <c r="X25" s="1171"/>
      <c r="Y25" s="1171"/>
      <c r="Z25" s="1164"/>
      <c r="AA25" s="1171"/>
      <c r="AB25" s="1171"/>
      <c r="AC25" s="1171"/>
      <c r="AD25" s="1171"/>
      <c r="AE25" s="1171"/>
      <c r="AF25" s="1171"/>
      <c r="AG25" s="1171"/>
      <c r="AH25" s="1164"/>
      <c r="AI25" s="1397"/>
      <c r="AJ25" s="1397"/>
      <c r="AK25" s="1397"/>
      <c r="AL25" s="1171"/>
      <c r="AM25" s="1171"/>
      <c r="AN25" s="1171"/>
      <c r="AO25" s="1171"/>
      <c r="AP25" s="1164"/>
      <c r="AQ25" s="1171"/>
      <c r="AR25" s="1171"/>
      <c r="AS25" s="1171"/>
      <c r="AT25" s="1171"/>
      <c r="AU25" s="1171"/>
      <c r="AV25" s="1171"/>
      <c r="AW25" s="1171"/>
      <c r="AX25" s="1164"/>
      <c r="AY25" s="1171"/>
      <c r="AZ25" s="1171"/>
      <c r="BA25" s="1171"/>
      <c r="BB25" s="1171"/>
      <c r="BC25" s="1171"/>
      <c r="BD25" s="1171"/>
      <c r="BE25" s="1171"/>
      <c r="BF25" s="1164"/>
      <c r="BG25" s="1171"/>
      <c r="BH25" s="1171"/>
      <c r="BI25" s="1171"/>
      <c r="BJ25" s="1171"/>
      <c r="BK25" s="1171"/>
      <c r="BL25" s="1171"/>
      <c r="BM25" s="1171"/>
      <c r="BN25" s="1164"/>
      <c r="BO25" s="1171"/>
      <c r="BP25" s="1171"/>
      <c r="BQ25" s="1171"/>
      <c r="BR25" s="1171"/>
      <c r="BS25" s="1171"/>
      <c r="BT25" s="1171"/>
      <c r="BU25" s="1171"/>
      <c r="BV25" s="1164"/>
      <c r="BW25" s="1171"/>
      <c r="BX25" s="1171"/>
      <c r="BY25" s="1171"/>
      <c r="BZ25" s="1171"/>
      <c r="CA25" s="1171"/>
      <c r="CB25" s="1171"/>
      <c r="CC25" s="1171"/>
      <c r="CD25" s="1164"/>
      <c r="CE25" s="1171"/>
      <c r="CF25" s="1171"/>
      <c r="CG25" s="1171"/>
      <c r="CH25" s="1171"/>
      <c r="CI25" s="1171"/>
      <c r="CJ25" s="1171"/>
      <c r="CK25" s="1171"/>
      <c r="CL25" s="1164"/>
      <c r="CM25" s="1171"/>
      <c r="CN25" s="1171"/>
      <c r="CO25" s="1171"/>
      <c r="CP25" s="1171"/>
      <c r="CQ25" s="1171"/>
      <c r="CR25" s="1171"/>
      <c r="CS25" s="1171"/>
    </row>
    <row r="26" spans="1:113" ht="27.6" collapsed="1">
      <c r="A26" s="1179" t="s">
        <v>18</v>
      </c>
      <c r="B26" s="1180" t="s">
        <v>1394</v>
      </c>
      <c r="C26" s="1180" t="s">
        <v>508</v>
      </c>
      <c r="D26" s="1156"/>
      <c r="E26" s="1156"/>
      <c r="F26" s="1156"/>
      <c r="G26" s="1156"/>
      <c r="H26" s="1181"/>
      <c r="I26" s="1181">
        <f>I27+I29+I30</f>
        <v>702000</v>
      </c>
      <c r="J26" s="1181">
        <f t="shared" ref="J26:Q26" si="33">J27+J29+J30</f>
        <v>788000</v>
      </c>
      <c r="K26" s="1181">
        <f>K27+K29+K30</f>
        <v>788000</v>
      </c>
      <c r="L26" s="1181">
        <f t="shared" si="33"/>
        <v>783420</v>
      </c>
      <c r="M26" s="1181">
        <f t="shared" si="33"/>
        <v>4580</v>
      </c>
      <c r="N26" s="1181">
        <f t="shared" si="33"/>
        <v>0</v>
      </c>
      <c r="O26" s="1181">
        <f>O27+O29+O30</f>
        <v>788000</v>
      </c>
      <c r="P26" s="1181">
        <f>P27+P29+P30</f>
        <v>733150.9</v>
      </c>
      <c r="Q26" s="1181">
        <f t="shared" si="33"/>
        <v>54849.1</v>
      </c>
      <c r="R26" s="1181">
        <v>633860</v>
      </c>
      <c r="S26" s="1181">
        <f t="shared" ref="S26:Y26" si="34">S27+S29+S30</f>
        <v>702860</v>
      </c>
      <c r="T26" s="1181">
        <f t="shared" si="34"/>
        <v>702760</v>
      </c>
      <c r="U26" s="1181">
        <f t="shared" si="34"/>
        <v>100</v>
      </c>
      <c r="V26" s="1181">
        <f t="shared" si="34"/>
        <v>0</v>
      </c>
      <c r="W26" s="1181">
        <f>W27+W29+W30</f>
        <v>702860</v>
      </c>
      <c r="X26" s="1181">
        <f>X27+X29+X30</f>
        <v>656282</v>
      </c>
      <c r="Y26" s="1181">
        <f t="shared" si="34"/>
        <v>46578</v>
      </c>
      <c r="Z26" s="1182">
        <v>340</v>
      </c>
      <c r="AA26" s="1181">
        <f t="shared" ref="AA26:AF26" si="35">AA27+AA29+AA30</f>
        <v>610</v>
      </c>
      <c r="AB26" s="1181">
        <f t="shared" si="35"/>
        <v>550</v>
      </c>
      <c r="AC26" s="1181">
        <f t="shared" si="35"/>
        <v>60</v>
      </c>
      <c r="AD26" s="1181">
        <f t="shared" si="35"/>
        <v>0</v>
      </c>
      <c r="AE26" s="1181">
        <f t="shared" si="35"/>
        <v>609.6</v>
      </c>
      <c r="AF26" s="1181">
        <f t="shared" si="35"/>
        <v>518.5</v>
      </c>
      <c r="AG26" s="1181">
        <f>AG27+AG29+AG30</f>
        <v>91.1</v>
      </c>
      <c r="AH26" s="1182">
        <v>3620</v>
      </c>
      <c r="AI26" s="1398">
        <f t="shared" ref="AI26:AO26" si="36">AI27+AI29+AI30</f>
        <v>2430</v>
      </c>
      <c r="AJ26" s="1398">
        <f t="shared" si="36"/>
        <v>1030</v>
      </c>
      <c r="AK26" s="1398">
        <f t="shared" si="36"/>
        <v>1400</v>
      </c>
      <c r="AL26" s="1181">
        <f t="shared" si="36"/>
        <v>0</v>
      </c>
      <c r="AM26" s="1181">
        <f t="shared" si="36"/>
        <v>2429.6</v>
      </c>
      <c r="AN26" s="1181">
        <f t="shared" si="36"/>
        <v>1940.1</v>
      </c>
      <c r="AO26" s="1181">
        <f t="shared" si="36"/>
        <v>489.5</v>
      </c>
      <c r="AP26" s="1182">
        <v>8580</v>
      </c>
      <c r="AQ26" s="1181">
        <f t="shared" ref="AQ26:AW26" si="37">AQ27+AQ29+AQ30</f>
        <v>9040</v>
      </c>
      <c r="AR26" s="1181">
        <f t="shared" si="37"/>
        <v>8740</v>
      </c>
      <c r="AS26" s="1181">
        <f t="shared" si="37"/>
        <v>300</v>
      </c>
      <c r="AT26" s="1181">
        <f t="shared" si="37"/>
        <v>0</v>
      </c>
      <c r="AU26" s="1181">
        <f t="shared" si="37"/>
        <v>9040</v>
      </c>
      <c r="AV26" s="1181">
        <f t="shared" si="37"/>
        <v>7750</v>
      </c>
      <c r="AW26" s="1181">
        <f t="shared" si="37"/>
        <v>1290</v>
      </c>
      <c r="AX26" s="1182">
        <v>300</v>
      </c>
      <c r="AY26" s="1181">
        <f t="shared" ref="AY26:BE26" si="38">AY27+AY29+AY30</f>
        <v>550</v>
      </c>
      <c r="AZ26" s="1181">
        <f t="shared" si="38"/>
        <v>330</v>
      </c>
      <c r="BA26" s="1181">
        <f t="shared" si="38"/>
        <v>220</v>
      </c>
      <c r="BB26" s="1181">
        <f t="shared" si="38"/>
        <v>0</v>
      </c>
      <c r="BC26" s="1181">
        <f t="shared" si="38"/>
        <v>549.6</v>
      </c>
      <c r="BD26" s="1181">
        <f t="shared" si="38"/>
        <v>467.5</v>
      </c>
      <c r="BE26" s="1181">
        <f t="shared" si="38"/>
        <v>82.1</v>
      </c>
      <c r="BF26" s="1182">
        <v>11100</v>
      </c>
      <c r="BG26" s="1181">
        <f t="shared" ref="BG26:BM26" si="39">BG27+BG29+BG30</f>
        <v>13660</v>
      </c>
      <c r="BH26" s="1181">
        <f t="shared" si="39"/>
        <v>11160</v>
      </c>
      <c r="BI26" s="1181">
        <f t="shared" si="39"/>
        <v>2500</v>
      </c>
      <c r="BJ26" s="1181">
        <f t="shared" si="39"/>
        <v>0</v>
      </c>
      <c r="BK26" s="1181">
        <f t="shared" si="39"/>
        <v>13660</v>
      </c>
      <c r="BL26" s="1181">
        <f t="shared" si="39"/>
        <v>11594</v>
      </c>
      <c r="BM26" s="1181">
        <f t="shared" si="39"/>
        <v>2066</v>
      </c>
      <c r="BN26" s="1182">
        <v>12800</v>
      </c>
      <c r="BO26" s="1181">
        <f t="shared" ref="BO26:BU26" si="40">BO27+BO29+BO30</f>
        <v>19500</v>
      </c>
      <c r="BP26" s="1181">
        <f t="shared" si="40"/>
        <v>19500</v>
      </c>
      <c r="BQ26" s="1181">
        <f t="shared" si="40"/>
        <v>0</v>
      </c>
      <c r="BR26" s="1181">
        <f t="shared" si="40"/>
        <v>0</v>
      </c>
      <c r="BS26" s="1181">
        <f t="shared" si="40"/>
        <v>19500</v>
      </c>
      <c r="BT26" s="1181">
        <f t="shared" si="40"/>
        <v>16575</v>
      </c>
      <c r="BU26" s="1181">
        <f t="shared" si="40"/>
        <v>2925</v>
      </c>
      <c r="BV26" s="1182">
        <v>300</v>
      </c>
      <c r="BW26" s="1181">
        <f t="shared" ref="BW26:CC26" si="41">BW27+BW29+BW30</f>
        <v>350</v>
      </c>
      <c r="BX26" s="1181">
        <f t="shared" si="41"/>
        <v>350</v>
      </c>
      <c r="BY26" s="1181">
        <f t="shared" si="41"/>
        <v>0</v>
      </c>
      <c r="BZ26" s="1181">
        <f t="shared" si="41"/>
        <v>0</v>
      </c>
      <c r="CA26" s="1181">
        <f t="shared" si="41"/>
        <v>349.9</v>
      </c>
      <c r="CB26" s="1181">
        <f t="shared" si="41"/>
        <v>297.5</v>
      </c>
      <c r="CC26" s="1181">
        <f t="shared" si="41"/>
        <v>52.4</v>
      </c>
      <c r="CD26" s="1182">
        <v>31100</v>
      </c>
      <c r="CE26" s="1181">
        <f t="shared" ref="CE26:CK26" si="42">CE27+CE29+CE30</f>
        <v>39000</v>
      </c>
      <c r="CF26" s="1181">
        <f t="shared" si="42"/>
        <v>39000</v>
      </c>
      <c r="CG26" s="1181">
        <f t="shared" si="42"/>
        <v>0</v>
      </c>
      <c r="CH26" s="1181">
        <f t="shared" si="42"/>
        <v>0</v>
      </c>
      <c r="CI26" s="1181">
        <f t="shared" si="42"/>
        <v>39000</v>
      </c>
      <c r="CJ26" s="1181">
        <f t="shared" si="42"/>
        <v>37725</v>
      </c>
      <c r="CK26" s="1181">
        <f t="shared" si="42"/>
        <v>1275</v>
      </c>
      <c r="CL26" s="1182">
        <v>0</v>
      </c>
      <c r="CM26" s="1181">
        <f t="shared" ref="CM26:CS26" si="43">CM27+CM29+CM30</f>
        <v>0</v>
      </c>
      <c r="CN26" s="1181">
        <f t="shared" si="43"/>
        <v>0</v>
      </c>
      <c r="CO26" s="1181">
        <f t="shared" si="43"/>
        <v>0</v>
      </c>
      <c r="CP26" s="1181">
        <f t="shared" si="43"/>
        <v>0</v>
      </c>
      <c r="CQ26" s="1181">
        <f t="shared" si="43"/>
        <v>0</v>
      </c>
      <c r="CR26" s="1181">
        <f t="shared" si="43"/>
        <v>0</v>
      </c>
      <c r="CS26" s="1181">
        <f t="shared" si="43"/>
        <v>0</v>
      </c>
      <c r="CT26" s="1124"/>
      <c r="CU26" s="1124"/>
      <c r="CV26" s="1153"/>
      <c r="CW26" s="1153"/>
      <c r="CX26" s="1153"/>
      <c r="CY26" s="1153"/>
      <c r="CZ26" s="1124"/>
      <c r="DA26" s="1124"/>
      <c r="DB26" s="1124"/>
      <c r="DC26" s="1124"/>
      <c r="DD26" s="1124"/>
    </row>
    <row r="27" spans="1:113" ht="16.5" customHeight="1">
      <c r="A27" s="1183" t="s">
        <v>34</v>
      </c>
      <c r="B27" s="1184" t="s">
        <v>379</v>
      </c>
      <c r="C27" s="1184" t="s">
        <v>509</v>
      </c>
      <c r="D27" s="1185"/>
      <c r="E27" s="1185">
        <f>F27+G27</f>
        <v>1</v>
      </c>
      <c r="F27" s="1185">
        <v>0.85</v>
      </c>
      <c r="G27" s="1185">
        <v>0.15</v>
      </c>
      <c r="H27" s="1169">
        <f>IF(E27=0,P27/L27*100,IF(K27=0,0,P27/K27*100))</f>
        <v>85.000262390670557</v>
      </c>
      <c r="I27" s="1169">
        <f>R27+Z27+AH27+AP27+AX27+BF27+BN27+BV27+CD27+CL27</f>
        <v>304000</v>
      </c>
      <c r="J27" s="1169">
        <v>343000</v>
      </c>
      <c r="K27" s="1169">
        <f>S27+AA27+AI27+AQ27+AY27+BG27+BO27+BW27+CE27+CM27</f>
        <v>343000</v>
      </c>
      <c r="L27" s="1169">
        <f t="shared" ref="K27:M29" si="44">T27+AB27+AJ27+AR27+AZ27+BH27+BP27+BX27+CF27+CN27</f>
        <v>338680</v>
      </c>
      <c r="M27" s="1169">
        <f t="shared" si="44"/>
        <v>4320</v>
      </c>
      <c r="N27" s="1169"/>
      <c r="O27" s="1169">
        <f>K27-N27</f>
        <v>343000</v>
      </c>
      <c r="P27" s="1169">
        <f>O27-Q27</f>
        <v>291550.90000000002</v>
      </c>
      <c r="Q27" s="1169">
        <f>Y27+AG27+AO27+AW27+BE27+BM27+BU27+CC27+CK27+CS27</f>
        <v>51449.1</v>
      </c>
      <c r="R27" s="1186">
        <v>265490</v>
      </c>
      <c r="S27" s="1169">
        <f>T27+U27</f>
        <v>292220</v>
      </c>
      <c r="T27" s="1169">
        <v>292120</v>
      </c>
      <c r="U27" s="1169">
        <v>100</v>
      </c>
      <c r="V27" s="1169"/>
      <c r="W27" s="1169">
        <f>X27+Y27</f>
        <v>292220</v>
      </c>
      <c r="X27" s="1169">
        <f>S27*85%</f>
        <v>248387</v>
      </c>
      <c r="Y27" s="1169">
        <f>S27*15%</f>
        <v>43833</v>
      </c>
      <c r="Z27" s="1182">
        <v>290</v>
      </c>
      <c r="AA27" s="1169">
        <f t="shared" ref="AA27:AA34" si="45">AB27+AC27</f>
        <v>550</v>
      </c>
      <c r="AB27" s="1169">
        <v>550</v>
      </c>
      <c r="AC27" s="1169">
        <v>0</v>
      </c>
      <c r="AD27" s="1169"/>
      <c r="AE27" s="1169">
        <f>AF27+AG27</f>
        <v>549.6</v>
      </c>
      <c r="AF27" s="1169">
        <f>AA27*85%</f>
        <v>467.5</v>
      </c>
      <c r="AG27" s="1169">
        <f>AA27*15%-0.4</f>
        <v>82.1</v>
      </c>
      <c r="AH27" s="1182">
        <v>3220</v>
      </c>
      <c r="AI27" s="1399">
        <f t="shared" ref="AI27:AI34" si="46">AJ27+AK27</f>
        <v>1930</v>
      </c>
      <c r="AJ27" s="1399">
        <v>730</v>
      </c>
      <c r="AK27" s="1399">
        <v>1200</v>
      </c>
      <c r="AL27" s="1169"/>
      <c r="AM27" s="1169">
        <f>AN27+AO27</f>
        <v>1929.6</v>
      </c>
      <c r="AN27" s="1169">
        <f>AI27*85%-0.4</f>
        <v>1640.1</v>
      </c>
      <c r="AO27" s="1169">
        <f>AI27*15%</f>
        <v>289.5</v>
      </c>
      <c r="AP27" s="1182">
        <v>6500</v>
      </c>
      <c r="AQ27" s="1169">
        <f t="shared" ref="AQ27:AQ34" si="47">AR27+AS27</f>
        <v>7000</v>
      </c>
      <c r="AR27" s="1169">
        <v>6700</v>
      </c>
      <c r="AS27" s="1169">
        <v>300</v>
      </c>
      <c r="AT27" s="1169"/>
      <c r="AU27" s="1169">
        <f>AV27+AW27</f>
        <v>7000</v>
      </c>
      <c r="AV27" s="1169">
        <f>AQ27*85%</f>
        <v>5950</v>
      </c>
      <c r="AW27" s="1169">
        <f>AQ27*15%</f>
        <v>1050</v>
      </c>
      <c r="AX27" s="1182">
        <v>300</v>
      </c>
      <c r="AY27" s="1169">
        <f t="shared" ref="AY27:AY34" si="48">AZ27+BA27</f>
        <v>550</v>
      </c>
      <c r="AZ27" s="1169">
        <v>330</v>
      </c>
      <c r="BA27" s="1169">
        <v>220</v>
      </c>
      <c r="BB27" s="1169"/>
      <c r="BC27" s="1169">
        <f>BD27+BE27</f>
        <v>549.6</v>
      </c>
      <c r="BD27" s="1169">
        <f>AY27*85%</f>
        <v>467.5</v>
      </c>
      <c r="BE27" s="1169">
        <f>AY27*15%-0.4</f>
        <v>82.1</v>
      </c>
      <c r="BF27" s="1182">
        <v>9200</v>
      </c>
      <c r="BG27" s="1169">
        <f t="shared" ref="BG27:BG34" si="49">BH27+BI27</f>
        <v>12400</v>
      </c>
      <c r="BH27" s="1169">
        <v>9900</v>
      </c>
      <c r="BI27" s="1169">
        <v>2500</v>
      </c>
      <c r="BJ27" s="1169"/>
      <c r="BK27" s="1169">
        <f>BL27+BM27</f>
        <v>12400</v>
      </c>
      <c r="BL27" s="1169">
        <f>BG27*85%</f>
        <v>10540</v>
      </c>
      <c r="BM27" s="1169">
        <f>BG27*15%</f>
        <v>1860</v>
      </c>
      <c r="BN27" s="1182">
        <v>12800</v>
      </c>
      <c r="BO27" s="1169">
        <f t="shared" ref="BO27:BO34" si="50">BP27+BQ27</f>
        <v>19500</v>
      </c>
      <c r="BP27" s="1169">
        <v>19500</v>
      </c>
      <c r="BQ27" s="1169">
        <v>0</v>
      </c>
      <c r="BR27" s="1169"/>
      <c r="BS27" s="1169">
        <f>BT27+BU27</f>
        <v>19500</v>
      </c>
      <c r="BT27" s="1169">
        <f>BO27*85%</f>
        <v>16575</v>
      </c>
      <c r="BU27" s="1169">
        <f>BO27*15%</f>
        <v>2925</v>
      </c>
      <c r="BV27" s="1182">
        <v>300</v>
      </c>
      <c r="BW27" s="1169">
        <f t="shared" ref="BW27:BW34" si="51">BX27+BY27</f>
        <v>350</v>
      </c>
      <c r="BX27" s="1169">
        <v>350</v>
      </c>
      <c r="BY27" s="1169">
        <v>0</v>
      </c>
      <c r="BZ27" s="1169"/>
      <c r="CA27" s="1169">
        <f>CB27+CC27</f>
        <v>349.9</v>
      </c>
      <c r="CB27" s="1169">
        <f>BW27*85%</f>
        <v>297.5</v>
      </c>
      <c r="CC27" s="1169">
        <f>BW27*15%-0.1</f>
        <v>52.4</v>
      </c>
      <c r="CD27" s="1182">
        <v>5900</v>
      </c>
      <c r="CE27" s="1169">
        <f t="shared" ref="CE27:CE34" si="52">CF27+CG27</f>
        <v>8500</v>
      </c>
      <c r="CF27" s="1169">
        <v>8500</v>
      </c>
      <c r="CG27" s="1169">
        <v>0</v>
      </c>
      <c r="CH27" s="1169"/>
      <c r="CI27" s="1169">
        <f>CJ27+CK27</f>
        <v>8500</v>
      </c>
      <c r="CJ27" s="1169">
        <f>CE27*85%</f>
        <v>7225</v>
      </c>
      <c r="CK27" s="1169">
        <f>CE27*15%</f>
        <v>1275</v>
      </c>
      <c r="CL27" s="1182">
        <v>0</v>
      </c>
      <c r="CM27" s="1169">
        <f t="shared" ref="CM27:CM34" si="53">CN27+CO27</f>
        <v>0</v>
      </c>
      <c r="CN27" s="1169">
        <v>0</v>
      </c>
      <c r="CO27" s="1169">
        <v>0</v>
      </c>
      <c r="CP27" s="1169"/>
      <c r="CQ27" s="1169">
        <f>CR27+CS27</f>
        <v>0</v>
      </c>
      <c r="CR27" s="1169">
        <f>CM27*85%</f>
        <v>0</v>
      </c>
      <c r="CS27" s="1169">
        <f>CM27*15%</f>
        <v>0</v>
      </c>
      <c r="CZ27" s="1124"/>
      <c r="DA27" s="1124"/>
      <c r="DB27" s="1124"/>
      <c r="DC27" s="1124"/>
      <c r="DD27" s="1124"/>
    </row>
    <row r="28" spans="1:113" s="1194" customFormat="1" ht="16.5" customHeight="1">
      <c r="A28" s="1187"/>
      <c r="B28" s="1188" t="s">
        <v>380</v>
      </c>
      <c r="C28" s="1180" t="s">
        <v>510</v>
      </c>
      <c r="D28" s="1189"/>
      <c r="E28" s="1189"/>
      <c r="F28" s="1189"/>
      <c r="G28" s="1189"/>
      <c r="H28" s="1190"/>
      <c r="I28" s="1190">
        <f>R28+Z28+AH28+AP28+AX28+BF28+BN28+BV28+CD28+CL28</f>
        <v>185000</v>
      </c>
      <c r="J28" s="1190"/>
      <c r="K28" s="1190">
        <f t="shared" si="44"/>
        <v>229500</v>
      </c>
      <c r="L28" s="1190">
        <f>T28+AB28+AJ28+AR28+AZ28+BH28+BP28+BX28+CF28+CN28</f>
        <v>229500</v>
      </c>
      <c r="M28" s="1190">
        <f t="shared" si="44"/>
        <v>0</v>
      </c>
      <c r="N28" s="1190"/>
      <c r="O28" s="1190"/>
      <c r="P28" s="1190"/>
      <c r="Q28" s="1190"/>
      <c r="R28" s="1191">
        <v>179100</v>
      </c>
      <c r="S28" s="1190">
        <f t="shared" ref="S28:S34" si="54">T28+U28</f>
        <v>220700</v>
      </c>
      <c r="T28" s="1169">
        <v>220700</v>
      </c>
      <c r="U28" s="1169">
        <v>0</v>
      </c>
      <c r="V28" s="1190"/>
      <c r="W28" s="1190"/>
      <c r="X28" s="1190"/>
      <c r="Y28" s="1190"/>
      <c r="Z28" s="1182">
        <v>0</v>
      </c>
      <c r="AA28" s="1190">
        <f t="shared" si="45"/>
        <v>0</v>
      </c>
      <c r="AB28" s="1169">
        <v>0</v>
      </c>
      <c r="AC28" s="1169">
        <v>0</v>
      </c>
      <c r="AD28" s="1190"/>
      <c r="AE28" s="1190"/>
      <c r="AF28" s="1190"/>
      <c r="AG28" s="1190"/>
      <c r="AH28" s="1182">
        <v>0</v>
      </c>
      <c r="AI28" s="1400">
        <f t="shared" si="46"/>
        <v>300</v>
      </c>
      <c r="AJ28" s="1399">
        <v>300</v>
      </c>
      <c r="AK28" s="1399">
        <v>0</v>
      </c>
      <c r="AL28" s="1190"/>
      <c r="AM28" s="1190"/>
      <c r="AN28" s="1190"/>
      <c r="AO28" s="1190"/>
      <c r="AP28" s="1182">
        <v>0</v>
      </c>
      <c r="AQ28" s="1190">
        <f t="shared" si="47"/>
        <v>0</v>
      </c>
      <c r="AR28" s="1169">
        <v>0</v>
      </c>
      <c r="AS28" s="1169">
        <v>0</v>
      </c>
      <c r="AT28" s="1190"/>
      <c r="AU28" s="1190"/>
      <c r="AV28" s="1190"/>
      <c r="AW28" s="1190"/>
      <c r="AX28" s="1182">
        <v>0</v>
      </c>
      <c r="AY28" s="1190">
        <f t="shared" si="48"/>
        <v>0</v>
      </c>
      <c r="AZ28" s="1169">
        <v>0</v>
      </c>
      <c r="BA28" s="1169">
        <v>0</v>
      </c>
      <c r="BB28" s="1190"/>
      <c r="BC28" s="1190"/>
      <c r="BD28" s="1190"/>
      <c r="BE28" s="1190"/>
      <c r="BF28" s="1182">
        <v>0</v>
      </c>
      <c r="BG28" s="1190">
        <f t="shared" si="49"/>
        <v>0</v>
      </c>
      <c r="BH28" s="1169">
        <v>0</v>
      </c>
      <c r="BI28" s="1169">
        <v>0</v>
      </c>
      <c r="BJ28" s="1190"/>
      <c r="BK28" s="1190"/>
      <c r="BL28" s="1190"/>
      <c r="BM28" s="1190"/>
      <c r="BN28" s="1182">
        <v>0</v>
      </c>
      <c r="BO28" s="1190">
        <f t="shared" si="50"/>
        <v>0</v>
      </c>
      <c r="BP28" s="1169">
        <v>0</v>
      </c>
      <c r="BQ28" s="1169">
        <v>0</v>
      </c>
      <c r="BR28" s="1190"/>
      <c r="BS28" s="1190"/>
      <c r="BT28" s="1190"/>
      <c r="BU28" s="1190"/>
      <c r="BV28" s="1182">
        <v>0</v>
      </c>
      <c r="BW28" s="1190">
        <f t="shared" si="51"/>
        <v>0</v>
      </c>
      <c r="BX28" s="1169">
        <v>0</v>
      </c>
      <c r="BY28" s="1169">
        <v>0</v>
      </c>
      <c r="BZ28" s="1190"/>
      <c r="CA28" s="1190"/>
      <c r="CB28" s="1190"/>
      <c r="CC28" s="1190"/>
      <c r="CD28" s="1182">
        <v>5900</v>
      </c>
      <c r="CE28" s="1190">
        <f t="shared" si="52"/>
        <v>8500</v>
      </c>
      <c r="CF28" s="1169">
        <v>8500</v>
      </c>
      <c r="CG28" s="1169">
        <v>0</v>
      </c>
      <c r="CH28" s="1190"/>
      <c r="CI28" s="1190"/>
      <c r="CJ28" s="1190"/>
      <c r="CK28" s="1190"/>
      <c r="CL28" s="1182">
        <v>0</v>
      </c>
      <c r="CM28" s="1190">
        <f t="shared" si="53"/>
        <v>0</v>
      </c>
      <c r="CN28" s="1169">
        <v>0</v>
      </c>
      <c r="CO28" s="1169">
        <v>0</v>
      </c>
      <c r="CP28" s="1190"/>
      <c r="CQ28" s="1190"/>
      <c r="CR28" s="1190"/>
      <c r="CS28" s="1190"/>
      <c r="CT28" s="1192"/>
      <c r="CU28" s="1192"/>
      <c r="CV28" s="1193"/>
      <c r="CW28" s="1193"/>
      <c r="CX28" s="1193"/>
      <c r="CY28" s="1193"/>
      <c r="CZ28" s="1192"/>
      <c r="DA28" s="1192"/>
      <c r="DB28" s="1192"/>
      <c r="DC28" s="1192"/>
      <c r="DD28" s="1192"/>
    </row>
    <row r="29" spans="1:113" ht="16.5" customHeight="1">
      <c r="A29" s="1183" t="s">
        <v>36</v>
      </c>
      <c r="B29" s="1184" t="s">
        <v>381</v>
      </c>
      <c r="C29" s="1184" t="s">
        <v>511</v>
      </c>
      <c r="D29" s="1185"/>
      <c r="E29" s="1185">
        <f>F29+G29</f>
        <v>1</v>
      </c>
      <c r="F29" s="1185">
        <v>0.85</v>
      </c>
      <c r="G29" s="1185">
        <v>0.15</v>
      </c>
      <c r="H29" s="1169">
        <f t="shared" ref="H29:H34" si="55">IF(E29=0,P29/L29*100,IF(K29=0,0,P29/K29*100))</f>
        <v>85.5</v>
      </c>
      <c r="I29" s="1169">
        <f>R29+Z29+AH29+AP29+AX29+BF29+BN29+BV29+CD29+CL29</f>
        <v>15000</v>
      </c>
      <c r="J29" s="1169">
        <v>20000</v>
      </c>
      <c r="K29" s="1169">
        <f t="shared" si="44"/>
        <v>20000</v>
      </c>
      <c r="L29" s="1169">
        <f t="shared" si="44"/>
        <v>19940</v>
      </c>
      <c r="M29" s="1169">
        <f t="shared" si="44"/>
        <v>60</v>
      </c>
      <c r="N29" s="1169"/>
      <c r="O29" s="1169">
        <f>K29-N29</f>
        <v>20000</v>
      </c>
      <c r="P29" s="1169">
        <f>O29-Q29</f>
        <v>17100</v>
      </c>
      <c r="Q29" s="1169">
        <f>Y29+AG29+AO29+AW29+BE29+BM29+BU29+CC29+CK29+CS29</f>
        <v>2900</v>
      </c>
      <c r="R29" s="1186">
        <v>11030</v>
      </c>
      <c r="S29" s="1169">
        <f t="shared" si="54"/>
        <v>16700</v>
      </c>
      <c r="T29" s="1169">
        <v>16700</v>
      </c>
      <c r="U29" s="1169">
        <v>0</v>
      </c>
      <c r="V29" s="1169"/>
      <c r="W29" s="1169">
        <f>X29+Y29</f>
        <v>16700</v>
      </c>
      <c r="X29" s="1169">
        <f>S29*85%</f>
        <v>14195</v>
      </c>
      <c r="Y29" s="1169">
        <f>S29*15%</f>
        <v>2505</v>
      </c>
      <c r="Z29" s="1182">
        <v>50</v>
      </c>
      <c r="AA29" s="1169">
        <f t="shared" si="45"/>
        <v>60</v>
      </c>
      <c r="AB29" s="1169">
        <v>0</v>
      </c>
      <c r="AC29" s="1169">
        <v>60</v>
      </c>
      <c r="AD29" s="1169"/>
      <c r="AE29" s="1169">
        <f>AF29+AG29</f>
        <v>60</v>
      </c>
      <c r="AF29" s="1169">
        <f>AA29*85%</f>
        <v>51</v>
      </c>
      <c r="AG29" s="1169">
        <f>AA29*15%</f>
        <v>9</v>
      </c>
      <c r="AH29" s="1182">
        <v>0</v>
      </c>
      <c r="AI29" s="1399">
        <f t="shared" si="46"/>
        <v>0</v>
      </c>
      <c r="AJ29" s="1399">
        <v>0</v>
      </c>
      <c r="AK29" s="1399">
        <v>0</v>
      </c>
      <c r="AL29" s="1169"/>
      <c r="AM29" s="1169">
        <f>AN29+AO29</f>
        <v>0</v>
      </c>
      <c r="AN29" s="1169">
        <f>AI29*85%</f>
        <v>0</v>
      </c>
      <c r="AO29" s="1169">
        <f>AI29*15%</f>
        <v>0</v>
      </c>
      <c r="AP29" s="1182">
        <v>2040</v>
      </c>
      <c r="AQ29" s="1169">
        <f t="shared" si="47"/>
        <v>2000</v>
      </c>
      <c r="AR29" s="1169">
        <v>2000</v>
      </c>
      <c r="AS29" s="1169">
        <v>0</v>
      </c>
      <c r="AT29" s="1169"/>
      <c r="AU29" s="1169">
        <f>AV29+AW29</f>
        <v>2000</v>
      </c>
      <c r="AV29" s="1169">
        <f>AQ29*90%</f>
        <v>1800</v>
      </c>
      <c r="AW29" s="1169">
        <f>AQ29*10%</f>
        <v>200</v>
      </c>
      <c r="AX29" s="1182">
        <v>0</v>
      </c>
      <c r="AY29" s="1169">
        <f t="shared" si="48"/>
        <v>0</v>
      </c>
      <c r="AZ29" s="1169">
        <v>0</v>
      </c>
      <c r="BA29" s="1169">
        <v>0</v>
      </c>
      <c r="BB29" s="1169"/>
      <c r="BC29" s="1169">
        <f>BD29+BE29</f>
        <v>0</v>
      </c>
      <c r="BD29" s="1169">
        <f>AY29*85%</f>
        <v>0</v>
      </c>
      <c r="BE29" s="1169">
        <f>AY29*15%</f>
        <v>0</v>
      </c>
      <c r="BF29" s="1182">
        <v>1880</v>
      </c>
      <c r="BG29" s="1169">
        <f t="shared" si="49"/>
        <v>1240</v>
      </c>
      <c r="BH29" s="1169">
        <v>1240</v>
      </c>
      <c r="BI29" s="1169">
        <v>0</v>
      </c>
      <c r="BJ29" s="1169"/>
      <c r="BK29" s="1169">
        <f>BL29+BM29</f>
        <v>1240</v>
      </c>
      <c r="BL29" s="1169">
        <f>BG29*85%</f>
        <v>1054</v>
      </c>
      <c r="BM29" s="1169">
        <f>BG29*15%</f>
        <v>186</v>
      </c>
      <c r="BN29" s="1182">
        <v>0</v>
      </c>
      <c r="BO29" s="1169">
        <f t="shared" si="50"/>
        <v>0</v>
      </c>
      <c r="BP29" s="1169">
        <v>0</v>
      </c>
      <c r="BQ29" s="1169">
        <v>0</v>
      </c>
      <c r="BR29" s="1169"/>
      <c r="BS29" s="1169">
        <f>BT29+BU29</f>
        <v>0</v>
      </c>
      <c r="BT29" s="1169">
        <f>BO29*85%</f>
        <v>0</v>
      </c>
      <c r="BU29" s="1169">
        <f>BO29*15%</f>
        <v>0</v>
      </c>
      <c r="BV29" s="1182">
        <v>0</v>
      </c>
      <c r="BW29" s="1169">
        <f t="shared" si="51"/>
        <v>0</v>
      </c>
      <c r="BX29" s="1169">
        <v>0</v>
      </c>
      <c r="BY29" s="1169">
        <v>0</v>
      </c>
      <c r="BZ29" s="1169"/>
      <c r="CA29" s="1169">
        <f>CB29+CC29</f>
        <v>0</v>
      </c>
      <c r="CB29" s="1169">
        <f>BW29*85%</f>
        <v>0</v>
      </c>
      <c r="CC29" s="1169">
        <f>BW29*15%</f>
        <v>0</v>
      </c>
      <c r="CD29" s="1182">
        <v>0</v>
      </c>
      <c r="CE29" s="1169">
        <f t="shared" si="52"/>
        <v>0</v>
      </c>
      <c r="CF29" s="1169">
        <v>0</v>
      </c>
      <c r="CG29" s="1169">
        <v>0</v>
      </c>
      <c r="CH29" s="1169"/>
      <c r="CI29" s="1169">
        <f>CJ29+CK29</f>
        <v>0</v>
      </c>
      <c r="CJ29" s="1169">
        <f>CE29*85%</f>
        <v>0</v>
      </c>
      <c r="CK29" s="1169">
        <f>CE29*15%</f>
        <v>0</v>
      </c>
      <c r="CL29" s="1182">
        <v>0</v>
      </c>
      <c r="CM29" s="1169">
        <f t="shared" si="53"/>
        <v>0</v>
      </c>
      <c r="CN29" s="1169">
        <v>0</v>
      </c>
      <c r="CO29" s="1169">
        <v>0</v>
      </c>
      <c r="CP29" s="1169"/>
      <c r="CQ29" s="1169">
        <f>CR29+CS29</f>
        <v>0</v>
      </c>
      <c r="CR29" s="1169">
        <f>CM29*85%</f>
        <v>0</v>
      </c>
      <c r="CS29" s="1169">
        <f>CM29*15%</f>
        <v>0</v>
      </c>
      <c r="CZ29" s="1124"/>
      <c r="DA29" s="1124"/>
      <c r="DB29" s="1124"/>
      <c r="DC29" s="1124"/>
      <c r="DD29" s="1124"/>
    </row>
    <row r="30" spans="1:113" ht="16.5" customHeight="1">
      <c r="A30" s="1183" t="s">
        <v>38</v>
      </c>
      <c r="B30" s="1184" t="s">
        <v>382</v>
      </c>
      <c r="C30" s="1180" t="s">
        <v>512</v>
      </c>
      <c r="D30" s="1185"/>
      <c r="E30" s="1185"/>
      <c r="F30" s="1185"/>
      <c r="G30" s="1185"/>
      <c r="H30" s="1169">
        <f t="shared" si="55"/>
        <v>99.929378531073439</v>
      </c>
      <c r="I30" s="1195">
        <f>I31+I32+I33+I34</f>
        <v>383000</v>
      </c>
      <c r="J30" s="1195">
        <v>425000</v>
      </c>
      <c r="K30" s="1195">
        <f>K31+K33+K32+K34</f>
        <v>425000</v>
      </c>
      <c r="L30" s="1195">
        <f>L31+L33+L32+L34</f>
        <v>424800</v>
      </c>
      <c r="M30" s="1195">
        <f>M31+M33+M32+M34</f>
        <v>200</v>
      </c>
      <c r="N30" s="1195"/>
      <c r="O30" s="1195">
        <f>O31+O33+O32+O34</f>
        <v>425000</v>
      </c>
      <c r="P30" s="1195">
        <f>P31+P33+P32+P34</f>
        <v>424500</v>
      </c>
      <c r="Q30" s="1195">
        <f>Q31+Q33+Q32+Q34</f>
        <v>500</v>
      </c>
      <c r="R30" s="1195">
        <v>357340</v>
      </c>
      <c r="S30" s="1169">
        <f t="shared" si="54"/>
        <v>393940</v>
      </c>
      <c r="T30" s="1169">
        <v>393940</v>
      </c>
      <c r="U30" s="1169">
        <v>0</v>
      </c>
      <c r="V30" s="1195">
        <f t="shared" ref="V30:CK30" si="56">V31+V32+V33+V34</f>
        <v>0</v>
      </c>
      <c r="W30" s="1195">
        <f t="shared" si="56"/>
        <v>393940</v>
      </c>
      <c r="X30" s="1195">
        <f t="shared" si="56"/>
        <v>393700</v>
      </c>
      <c r="Y30" s="1195">
        <f t="shared" si="56"/>
        <v>240</v>
      </c>
      <c r="Z30" s="1182">
        <v>0</v>
      </c>
      <c r="AA30" s="1169">
        <f t="shared" si="45"/>
        <v>0</v>
      </c>
      <c r="AB30" s="1169">
        <v>0</v>
      </c>
      <c r="AC30" s="1169">
        <v>0</v>
      </c>
      <c r="AD30" s="1195">
        <f t="shared" si="56"/>
        <v>0</v>
      </c>
      <c r="AE30" s="1195">
        <f t="shared" si="56"/>
        <v>0</v>
      </c>
      <c r="AF30" s="1195">
        <f t="shared" si="56"/>
        <v>0</v>
      </c>
      <c r="AG30" s="1195">
        <f>AG31+AG32+AG33+AG34</f>
        <v>0</v>
      </c>
      <c r="AH30" s="1182">
        <v>400</v>
      </c>
      <c r="AI30" s="1399">
        <f t="shared" si="46"/>
        <v>500</v>
      </c>
      <c r="AJ30" s="1399">
        <v>300</v>
      </c>
      <c r="AK30" s="1399">
        <v>200</v>
      </c>
      <c r="AL30" s="1195">
        <f t="shared" si="56"/>
        <v>0</v>
      </c>
      <c r="AM30" s="1195">
        <f t="shared" si="56"/>
        <v>500</v>
      </c>
      <c r="AN30" s="1195">
        <f t="shared" si="56"/>
        <v>300</v>
      </c>
      <c r="AO30" s="1195">
        <f t="shared" si="56"/>
        <v>200</v>
      </c>
      <c r="AP30" s="1182">
        <v>40</v>
      </c>
      <c r="AQ30" s="1169">
        <f t="shared" si="47"/>
        <v>40</v>
      </c>
      <c r="AR30" s="1169">
        <v>40</v>
      </c>
      <c r="AS30" s="1169">
        <v>0</v>
      </c>
      <c r="AT30" s="1195">
        <f t="shared" si="56"/>
        <v>0</v>
      </c>
      <c r="AU30" s="1195">
        <f t="shared" si="56"/>
        <v>40</v>
      </c>
      <c r="AV30" s="1195">
        <f t="shared" si="56"/>
        <v>0</v>
      </c>
      <c r="AW30" s="1195">
        <f t="shared" si="56"/>
        <v>40</v>
      </c>
      <c r="AX30" s="1182">
        <v>0</v>
      </c>
      <c r="AY30" s="1169">
        <f t="shared" si="48"/>
        <v>0</v>
      </c>
      <c r="AZ30" s="1169">
        <v>0</v>
      </c>
      <c r="BA30" s="1169">
        <v>0</v>
      </c>
      <c r="BB30" s="1195">
        <f t="shared" si="56"/>
        <v>0</v>
      </c>
      <c r="BC30" s="1195">
        <f t="shared" si="56"/>
        <v>0</v>
      </c>
      <c r="BD30" s="1195">
        <f t="shared" si="56"/>
        <v>0</v>
      </c>
      <c r="BE30" s="1195">
        <f t="shared" si="56"/>
        <v>0</v>
      </c>
      <c r="BF30" s="1182">
        <v>20</v>
      </c>
      <c r="BG30" s="1169">
        <f t="shared" si="49"/>
        <v>20</v>
      </c>
      <c r="BH30" s="1169">
        <v>20</v>
      </c>
      <c r="BI30" s="1169">
        <v>0</v>
      </c>
      <c r="BJ30" s="1195">
        <f t="shared" si="56"/>
        <v>0</v>
      </c>
      <c r="BK30" s="1195">
        <f t="shared" si="56"/>
        <v>20</v>
      </c>
      <c r="BL30" s="1195">
        <f t="shared" si="56"/>
        <v>0</v>
      </c>
      <c r="BM30" s="1195">
        <f t="shared" si="56"/>
        <v>20</v>
      </c>
      <c r="BN30" s="1182">
        <v>0</v>
      </c>
      <c r="BO30" s="1169">
        <f t="shared" si="50"/>
        <v>0</v>
      </c>
      <c r="BP30" s="1169">
        <v>0</v>
      </c>
      <c r="BQ30" s="1169">
        <v>0</v>
      </c>
      <c r="BR30" s="1195">
        <f t="shared" si="56"/>
        <v>0</v>
      </c>
      <c r="BS30" s="1195">
        <f t="shared" si="56"/>
        <v>0</v>
      </c>
      <c r="BT30" s="1195">
        <f t="shared" si="56"/>
        <v>0</v>
      </c>
      <c r="BU30" s="1195">
        <f t="shared" si="56"/>
        <v>0</v>
      </c>
      <c r="BV30" s="1182">
        <v>0</v>
      </c>
      <c r="BW30" s="1169">
        <f t="shared" si="51"/>
        <v>0</v>
      </c>
      <c r="BX30" s="1169">
        <v>0</v>
      </c>
      <c r="BY30" s="1169">
        <v>0</v>
      </c>
      <c r="BZ30" s="1195">
        <f t="shared" si="56"/>
        <v>0</v>
      </c>
      <c r="CA30" s="1195">
        <f t="shared" si="56"/>
        <v>0</v>
      </c>
      <c r="CB30" s="1195">
        <f t="shared" si="56"/>
        <v>0</v>
      </c>
      <c r="CC30" s="1195">
        <f t="shared" si="56"/>
        <v>0</v>
      </c>
      <c r="CD30" s="1182">
        <v>25200</v>
      </c>
      <c r="CE30" s="1169">
        <f t="shared" si="52"/>
        <v>30500</v>
      </c>
      <c r="CF30" s="1169">
        <v>30500</v>
      </c>
      <c r="CG30" s="1169">
        <v>0</v>
      </c>
      <c r="CH30" s="1195">
        <f t="shared" si="56"/>
        <v>0</v>
      </c>
      <c r="CI30" s="1195">
        <f t="shared" si="56"/>
        <v>30500</v>
      </c>
      <c r="CJ30" s="1195">
        <f t="shared" si="56"/>
        <v>30500</v>
      </c>
      <c r="CK30" s="1195">
        <f t="shared" si="56"/>
        <v>0</v>
      </c>
      <c r="CL30" s="1182">
        <v>0</v>
      </c>
      <c r="CM30" s="1169">
        <f t="shared" si="53"/>
        <v>0</v>
      </c>
      <c r="CN30" s="1169">
        <v>0</v>
      </c>
      <c r="CO30" s="1169">
        <v>0</v>
      </c>
      <c r="CP30" s="1195">
        <f>CP31+CP32+CP33+CP34</f>
        <v>0</v>
      </c>
      <c r="CQ30" s="1195">
        <f>CQ31+CQ32+CQ33+CQ34</f>
        <v>0</v>
      </c>
      <c r="CR30" s="1195">
        <f>CR31+CR32+CR33+CR34</f>
        <v>0</v>
      </c>
      <c r="CS30" s="1195">
        <f>CS31+CS32+CS33+CS34</f>
        <v>0</v>
      </c>
      <c r="CT30" s="1124"/>
      <c r="CU30" s="1124"/>
      <c r="CV30" s="1153"/>
      <c r="CW30" s="1153"/>
      <c r="CX30" s="1153"/>
      <c r="CY30" s="1153"/>
      <c r="CZ30" s="1124"/>
      <c r="DA30" s="1124"/>
      <c r="DB30" s="1124"/>
      <c r="DC30" s="1124"/>
      <c r="DD30" s="1124"/>
    </row>
    <row r="31" spans="1:113" ht="16.5" customHeight="1">
      <c r="A31" s="1183" t="s">
        <v>281</v>
      </c>
      <c r="B31" s="1184" t="s">
        <v>383</v>
      </c>
      <c r="C31" s="1184" t="s">
        <v>513</v>
      </c>
      <c r="D31" s="1185"/>
      <c r="E31" s="1185">
        <f>F31+G31</f>
        <v>1</v>
      </c>
      <c r="F31" s="1185">
        <v>1</v>
      </c>
      <c r="G31" s="1185"/>
      <c r="H31" s="1169">
        <f t="shared" si="55"/>
        <v>100</v>
      </c>
      <c r="I31" s="1169">
        <f>R31+Z31+AH31+AP31+AX31+BF31+BN31+BV31+CD31+CL31</f>
        <v>382500</v>
      </c>
      <c r="J31" s="1169"/>
      <c r="K31" s="1169">
        <f t="shared" ref="K31:M34" si="57">S31+AA31+AI31+AQ31+AY31+BG31+BO31+BW31+CE31+CM31</f>
        <v>424500</v>
      </c>
      <c r="L31" s="1169">
        <f t="shared" si="57"/>
        <v>424500</v>
      </c>
      <c r="M31" s="1169">
        <f t="shared" si="57"/>
        <v>0</v>
      </c>
      <c r="N31" s="1169"/>
      <c r="O31" s="1169">
        <f>K31-N31</f>
        <v>424500</v>
      </c>
      <c r="P31" s="1169">
        <f>O31-Q31</f>
        <v>424500</v>
      </c>
      <c r="Q31" s="1169">
        <f>Y31+AG31+AO31+AW31+BE31+BM31+BU31+CC31+CK31+CS31</f>
        <v>0</v>
      </c>
      <c r="R31" s="1186">
        <v>357000</v>
      </c>
      <c r="S31" s="1169">
        <f t="shared" si="54"/>
        <v>393700</v>
      </c>
      <c r="T31" s="1169">
        <v>393700</v>
      </c>
      <c r="U31" s="1169">
        <v>0</v>
      </c>
      <c r="V31" s="1169"/>
      <c r="W31" s="1169">
        <f>X31+Y31</f>
        <v>393700</v>
      </c>
      <c r="X31" s="1169">
        <f>S31*100%</f>
        <v>393700</v>
      </c>
      <c r="Y31" s="1169"/>
      <c r="Z31" s="1182">
        <v>0</v>
      </c>
      <c r="AA31" s="1169">
        <f t="shared" si="45"/>
        <v>0</v>
      </c>
      <c r="AB31" s="1169">
        <v>0</v>
      </c>
      <c r="AC31" s="1169">
        <v>0</v>
      </c>
      <c r="AD31" s="1169"/>
      <c r="AE31" s="1169">
        <f>AF31+AG31</f>
        <v>0</v>
      </c>
      <c r="AF31" s="1169">
        <f>AA31*100%</f>
        <v>0</v>
      </c>
      <c r="AG31" s="1169"/>
      <c r="AH31" s="1182">
        <v>300</v>
      </c>
      <c r="AI31" s="1399">
        <f t="shared" si="46"/>
        <v>300</v>
      </c>
      <c r="AJ31" s="1399">
        <v>300</v>
      </c>
      <c r="AK31" s="1399">
        <v>0</v>
      </c>
      <c r="AL31" s="1169"/>
      <c r="AM31" s="1169">
        <f>AN31+AO31</f>
        <v>300</v>
      </c>
      <c r="AN31" s="1169">
        <f>AI31*100%</f>
        <v>300</v>
      </c>
      <c r="AO31" s="1169"/>
      <c r="AP31" s="1182">
        <v>0</v>
      </c>
      <c r="AQ31" s="1169">
        <f t="shared" si="47"/>
        <v>0</v>
      </c>
      <c r="AR31" s="1169">
        <v>0</v>
      </c>
      <c r="AS31" s="1169">
        <v>0</v>
      </c>
      <c r="AT31" s="1169"/>
      <c r="AU31" s="1169">
        <f>AV31+AW31</f>
        <v>0</v>
      </c>
      <c r="AV31" s="1169">
        <f>AQ31*100%</f>
        <v>0</v>
      </c>
      <c r="AW31" s="1169"/>
      <c r="AX31" s="1182">
        <v>0</v>
      </c>
      <c r="AY31" s="1169">
        <f t="shared" si="48"/>
        <v>0</v>
      </c>
      <c r="AZ31" s="1169">
        <v>0</v>
      </c>
      <c r="BA31" s="1169">
        <v>0</v>
      </c>
      <c r="BB31" s="1169"/>
      <c r="BC31" s="1169">
        <f>BD31+BE31</f>
        <v>0</v>
      </c>
      <c r="BD31" s="1169">
        <f>AY31*100%</f>
        <v>0</v>
      </c>
      <c r="BE31" s="1169"/>
      <c r="BF31" s="1182">
        <v>0</v>
      </c>
      <c r="BG31" s="1169">
        <f t="shared" si="49"/>
        <v>0</v>
      </c>
      <c r="BH31" s="1169">
        <v>0</v>
      </c>
      <c r="BI31" s="1169">
        <v>0</v>
      </c>
      <c r="BJ31" s="1169"/>
      <c r="BK31" s="1169">
        <f>BL31+BM31</f>
        <v>0</v>
      </c>
      <c r="BL31" s="1169">
        <f>BG31*100%</f>
        <v>0</v>
      </c>
      <c r="BM31" s="1169"/>
      <c r="BN31" s="1182">
        <v>0</v>
      </c>
      <c r="BO31" s="1169">
        <f t="shared" si="50"/>
        <v>0</v>
      </c>
      <c r="BP31" s="1169">
        <v>0</v>
      </c>
      <c r="BQ31" s="1169">
        <v>0</v>
      </c>
      <c r="BR31" s="1169"/>
      <c r="BS31" s="1169">
        <f>BT31+BU31</f>
        <v>0</v>
      </c>
      <c r="BT31" s="1169">
        <f>BO31*100%</f>
        <v>0</v>
      </c>
      <c r="BU31" s="1169"/>
      <c r="BV31" s="1182">
        <v>0</v>
      </c>
      <c r="BW31" s="1169">
        <f t="shared" si="51"/>
        <v>0</v>
      </c>
      <c r="BX31" s="1169">
        <v>0</v>
      </c>
      <c r="BY31" s="1169">
        <v>0</v>
      </c>
      <c r="BZ31" s="1169"/>
      <c r="CA31" s="1169">
        <f>CB31+CC31</f>
        <v>0</v>
      </c>
      <c r="CB31" s="1169">
        <f>BW31*100%</f>
        <v>0</v>
      </c>
      <c r="CC31" s="1169"/>
      <c r="CD31" s="1182">
        <v>25200</v>
      </c>
      <c r="CE31" s="1169">
        <f t="shared" si="52"/>
        <v>30500</v>
      </c>
      <c r="CF31" s="1169">
        <v>30500</v>
      </c>
      <c r="CG31" s="1169">
        <v>0</v>
      </c>
      <c r="CH31" s="1169"/>
      <c r="CI31" s="1169">
        <f>CJ31+CK31</f>
        <v>30500</v>
      </c>
      <c r="CJ31" s="1169">
        <f>CE31*100%</f>
        <v>30500</v>
      </c>
      <c r="CK31" s="1169"/>
      <c r="CL31" s="1182">
        <v>0</v>
      </c>
      <c r="CM31" s="1169">
        <f t="shared" si="53"/>
        <v>0</v>
      </c>
      <c r="CN31" s="1169">
        <v>0</v>
      </c>
      <c r="CO31" s="1169">
        <v>0</v>
      </c>
      <c r="CP31" s="1169"/>
      <c r="CQ31" s="1169">
        <f>CR31+CS31</f>
        <v>0</v>
      </c>
      <c r="CR31" s="1169">
        <f>CM31*100%</f>
        <v>0</v>
      </c>
      <c r="CS31" s="1169"/>
      <c r="CT31" s="1124"/>
      <c r="CU31" s="1124"/>
      <c r="CV31" s="1153"/>
      <c r="CW31" s="1153"/>
      <c r="CX31" s="1153"/>
      <c r="CY31" s="1153"/>
      <c r="CZ31" s="1124"/>
      <c r="DA31" s="1124"/>
      <c r="DB31" s="1124"/>
      <c r="DC31" s="1124"/>
      <c r="DD31" s="1124"/>
    </row>
    <row r="32" spans="1:113" ht="16.5" customHeight="1">
      <c r="A32" s="1183" t="s">
        <v>281</v>
      </c>
      <c r="B32" s="1184" t="s">
        <v>384</v>
      </c>
      <c r="C32" s="1180" t="s">
        <v>514</v>
      </c>
      <c r="D32" s="1185"/>
      <c r="E32" s="1185">
        <f>F32+G32</f>
        <v>1</v>
      </c>
      <c r="F32" s="1185">
        <v>1</v>
      </c>
      <c r="G32" s="1185"/>
      <c r="H32" s="1169">
        <f t="shared" si="55"/>
        <v>0</v>
      </c>
      <c r="I32" s="1169">
        <f>R32+Z32+AH32+AP32+AX32+BF32+BN32+BV32+CD32+CL32</f>
        <v>0</v>
      </c>
      <c r="J32" s="1169"/>
      <c r="K32" s="1169">
        <f t="shared" si="57"/>
        <v>0</v>
      </c>
      <c r="L32" s="1169">
        <f t="shared" si="57"/>
        <v>0</v>
      </c>
      <c r="M32" s="1169">
        <f t="shared" si="57"/>
        <v>0</v>
      </c>
      <c r="N32" s="1169"/>
      <c r="O32" s="1169">
        <f>K32-N32</f>
        <v>0</v>
      </c>
      <c r="P32" s="1169">
        <f>O32-Q32</f>
        <v>0</v>
      </c>
      <c r="Q32" s="1169">
        <f>Y32+AG32+AO32+AW32+BE32+BM32+BU32+CC32+CK32+CS32</f>
        <v>0</v>
      </c>
      <c r="R32" s="1186">
        <v>0</v>
      </c>
      <c r="S32" s="1169">
        <f t="shared" si="54"/>
        <v>0</v>
      </c>
      <c r="T32" s="1169"/>
      <c r="U32" s="1169"/>
      <c r="V32" s="1169"/>
      <c r="W32" s="1169">
        <f>X32+Y32</f>
        <v>0</v>
      </c>
      <c r="X32" s="1169">
        <f>S32*100%</f>
        <v>0</v>
      </c>
      <c r="Y32" s="1169"/>
      <c r="Z32" s="1182">
        <v>0</v>
      </c>
      <c r="AA32" s="1169">
        <f t="shared" si="45"/>
        <v>0</v>
      </c>
      <c r="AB32" s="1169"/>
      <c r="AC32" s="1169"/>
      <c r="AD32" s="1169"/>
      <c r="AE32" s="1169">
        <f>AF32+AG32</f>
        <v>0</v>
      </c>
      <c r="AF32" s="1169">
        <f>AA32*100%</f>
        <v>0</v>
      </c>
      <c r="AG32" s="1169"/>
      <c r="AH32" s="1182">
        <v>0</v>
      </c>
      <c r="AI32" s="1399">
        <f t="shared" si="46"/>
        <v>0</v>
      </c>
      <c r="AJ32" s="1399"/>
      <c r="AK32" s="1399"/>
      <c r="AL32" s="1169"/>
      <c r="AM32" s="1169">
        <f>AN32+AO32</f>
        <v>0</v>
      </c>
      <c r="AN32" s="1169">
        <f>AI32*100%</f>
        <v>0</v>
      </c>
      <c r="AO32" s="1169"/>
      <c r="AP32" s="1182">
        <v>0</v>
      </c>
      <c r="AQ32" s="1169">
        <f t="shared" si="47"/>
        <v>0</v>
      </c>
      <c r="AR32" s="1169"/>
      <c r="AS32" s="1169"/>
      <c r="AT32" s="1169"/>
      <c r="AU32" s="1169">
        <f>AV32+AW32</f>
        <v>0</v>
      </c>
      <c r="AV32" s="1169">
        <f>AQ32*100%</f>
        <v>0</v>
      </c>
      <c r="AW32" s="1169"/>
      <c r="AX32" s="1182">
        <v>0</v>
      </c>
      <c r="AY32" s="1169">
        <f t="shared" si="48"/>
        <v>0</v>
      </c>
      <c r="AZ32" s="1169"/>
      <c r="BA32" s="1169"/>
      <c r="BB32" s="1169"/>
      <c r="BC32" s="1169">
        <f>BD32+BE32</f>
        <v>0</v>
      </c>
      <c r="BD32" s="1169">
        <f>AY32*100%</f>
        <v>0</v>
      </c>
      <c r="BE32" s="1169"/>
      <c r="BF32" s="1182">
        <v>0</v>
      </c>
      <c r="BG32" s="1169">
        <f t="shared" si="49"/>
        <v>0</v>
      </c>
      <c r="BH32" s="1169"/>
      <c r="BI32" s="1169"/>
      <c r="BJ32" s="1169"/>
      <c r="BK32" s="1169">
        <f>BL32+BM32</f>
        <v>0</v>
      </c>
      <c r="BL32" s="1169">
        <f>BG32*100%</f>
        <v>0</v>
      </c>
      <c r="BM32" s="1169"/>
      <c r="BN32" s="1182">
        <v>0</v>
      </c>
      <c r="BO32" s="1169">
        <f t="shared" si="50"/>
        <v>0</v>
      </c>
      <c r="BP32" s="1169"/>
      <c r="BQ32" s="1169"/>
      <c r="BR32" s="1169"/>
      <c r="BS32" s="1169">
        <f>BT32+BU32</f>
        <v>0</v>
      </c>
      <c r="BT32" s="1169">
        <f>BO32*100%</f>
        <v>0</v>
      </c>
      <c r="BU32" s="1169"/>
      <c r="BV32" s="1182">
        <v>0</v>
      </c>
      <c r="BW32" s="1169">
        <f t="shared" si="51"/>
        <v>0</v>
      </c>
      <c r="BX32" s="1169"/>
      <c r="BY32" s="1169"/>
      <c r="BZ32" s="1169"/>
      <c r="CA32" s="1169">
        <f>CB32+CC32</f>
        <v>0</v>
      </c>
      <c r="CB32" s="1169">
        <f>BW32*100%</f>
        <v>0</v>
      </c>
      <c r="CC32" s="1169"/>
      <c r="CD32" s="1182">
        <v>0</v>
      </c>
      <c r="CE32" s="1169">
        <f t="shared" si="52"/>
        <v>0</v>
      </c>
      <c r="CF32" s="1169"/>
      <c r="CG32" s="1169"/>
      <c r="CH32" s="1169"/>
      <c r="CI32" s="1169">
        <f>CJ32+CK32</f>
        <v>0</v>
      </c>
      <c r="CJ32" s="1169">
        <f>CE32*100%</f>
        <v>0</v>
      </c>
      <c r="CK32" s="1169"/>
      <c r="CL32" s="1182">
        <v>0</v>
      </c>
      <c r="CM32" s="1169">
        <f t="shared" si="53"/>
        <v>0</v>
      </c>
      <c r="CN32" s="1169"/>
      <c r="CO32" s="1169"/>
      <c r="CP32" s="1169"/>
      <c r="CQ32" s="1169">
        <f>CR32+CS32</f>
        <v>0</v>
      </c>
      <c r="CR32" s="1169">
        <f>CM32*100%</f>
        <v>0</v>
      </c>
      <c r="CS32" s="1169"/>
      <c r="CT32" s="1124"/>
      <c r="CU32" s="1124"/>
      <c r="CV32" s="1153"/>
      <c r="CW32" s="1153"/>
      <c r="CX32" s="1153"/>
      <c r="CY32" s="1153"/>
      <c r="CZ32" s="1124"/>
      <c r="DA32" s="1124"/>
      <c r="DB32" s="1124"/>
      <c r="DC32" s="1124"/>
      <c r="DD32" s="1124"/>
    </row>
    <row r="33" spans="1:108" ht="16.5" customHeight="1">
      <c r="A33" s="1183" t="s">
        <v>281</v>
      </c>
      <c r="B33" s="1184" t="s">
        <v>385</v>
      </c>
      <c r="C33" s="1184" t="s">
        <v>515</v>
      </c>
      <c r="D33" s="1185"/>
      <c r="E33" s="1185">
        <f>F33+G33</f>
        <v>1</v>
      </c>
      <c r="F33" s="1185"/>
      <c r="G33" s="1185">
        <v>1</v>
      </c>
      <c r="H33" s="1169">
        <f t="shared" si="55"/>
        <v>0</v>
      </c>
      <c r="I33" s="1169">
        <f>R33+Z33+AH33+AP33+AX33+BF33+BN33+BV33+CD33+CL33</f>
        <v>0</v>
      </c>
      <c r="J33" s="1169"/>
      <c r="K33" s="1169">
        <f t="shared" si="57"/>
        <v>0</v>
      </c>
      <c r="L33" s="1169">
        <f t="shared" si="57"/>
        <v>0</v>
      </c>
      <c r="M33" s="1169">
        <f t="shared" si="57"/>
        <v>0</v>
      </c>
      <c r="N33" s="1169"/>
      <c r="O33" s="1169">
        <f>K33-N33</f>
        <v>0</v>
      </c>
      <c r="P33" s="1169">
        <f>O33-Q33</f>
        <v>0</v>
      </c>
      <c r="Q33" s="1169">
        <f>Y33+AG33+AO33+AW33+BE33+BM33+BU33+CC33+CK33+CS33</f>
        <v>0</v>
      </c>
      <c r="R33" s="1186">
        <v>0</v>
      </c>
      <c r="S33" s="1169">
        <f t="shared" si="54"/>
        <v>0</v>
      </c>
      <c r="T33" s="1169"/>
      <c r="U33" s="1169"/>
      <c r="V33" s="1169"/>
      <c r="W33" s="1169">
        <f>X33+Y33</f>
        <v>0</v>
      </c>
      <c r="X33" s="1169"/>
      <c r="Y33" s="1169">
        <f>S33*100%</f>
        <v>0</v>
      </c>
      <c r="Z33" s="1182">
        <v>0</v>
      </c>
      <c r="AA33" s="1169">
        <f t="shared" si="45"/>
        <v>0</v>
      </c>
      <c r="AB33" s="1169"/>
      <c r="AC33" s="1169"/>
      <c r="AD33" s="1169"/>
      <c r="AE33" s="1169">
        <f>AF33+AG33</f>
        <v>0</v>
      </c>
      <c r="AF33" s="1169"/>
      <c r="AG33" s="1169">
        <f>AA33*100%</f>
        <v>0</v>
      </c>
      <c r="AH33" s="1182">
        <v>0</v>
      </c>
      <c r="AI33" s="1399">
        <f t="shared" si="46"/>
        <v>0</v>
      </c>
      <c r="AJ33" s="1399"/>
      <c r="AK33" s="1399"/>
      <c r="AL33" s="1169"/>
      <c r="AM33" s="1169">
        <f>AN33+AO33</f>
        <v>0</v>
      </c>
      <c r="AN33" s="1169"/>
      <c r="AO33" s="1169">
        <f>AI33*100%</f>
        <v>0</v>
      </c>
      <c r="AP33" s="1182">
        <v>0</v>
      </c>
      <c r="AQ33" s="1169">
        <f t="shared" si="47"/>
        <v>0</v>
      </c>
      <c r="AR33" s="1169"/>
      <c r="AS33" s="1169"/>
      <c r="AT33" s="1169"/>
      <c r="AU33" s="1169">
        <f>AV33+AW33</f>
        <v>0</v>
      </c>
      <c r="AV33" s="1169"/>
      <c r="AW33" s="1169">
        <f>AQ33*100%</f>
        <v>0</v>
      </c>
      <c r="AX33" s="1182">
        <v>0</v>
      </c>
      <c r="AY33" s="1169">
        <f t="shared" si="48"/>
        <v>0</v>
      </c>
      <c r="AZ33" s="1169"/>
      <c r="BA33" s="1169"/>
      <c r="BB33" s="1169"/>
      <c r="BC33" s="1169">
        <f>BD33+BE33</f>
        <v>0</v>
      </c>
      <c r="BD33" s="1169"/>
      <c r="BE33" s="1169">
        <f>AY33*100%</f>
        <v>0</v>
      </c>
      <c r="BF33" s="1182">
        <v>0</v>
      </c>
      <c r="BG33" s="1169">
        <f t="shared" si="49"/>
        <v>0</v>
      </c>
      <c r="BH33" s="1169"/>
      <c r="BI33" s="1169"/>
      <c r="BJ33" s="1169"/>
      <c r="BK33" s="1169">
        <f>BL33+BM33</f>
        <v>0</v>
      </c>
      <c r="BL33" s="1169"/>
      <c r="BM33" s="1169">
        <f>BG33*100%</f>
        <v>0</v>
      </c>
      <c r="BN33" s="1182">
        <v>0</v>
      </c>
      <c r="BO33" s="1169">
        <f t="shared" si="50"/>
        <v>0</v>
      </c>
      <c r="BP33" s="1169"/>
      <c r="BQ33" s="1169"/>
      <c r="BR33" s="1169"/>
      <c r="BS33" s="1169">
        <f>BT33+BU33</f>
        <v>0</v>
      </c>
      <c r="BT33" s="1169"/>
      <c r="BU33" s="1169">
        <f>BO33*100%</f>
        <v>0</v>
      </c>
      <c r="BV33" s="1182">
        <v>0</v>
      </c>
      <c r="BW33" s="1169">
        <f t="shared" si="51"/>
        <v>0</v>
      </c>
      <c r="BX33" s="1169"/>
      <c r="BY33" s="1169"/>
      <c r="BZ33" s="1169"/>
      <c r="CA33" s="1169">
        <f>CB33+CC33</f>
        <v>0</v>
      </c>
      <c r="CB33" s="1169"/>
      <c r="CC33" s="1169">
        <f>BW33*100%</f>
        <v>0</v>
      </c>
      <c r="CD33" s="1182">
        <v>0</v>
      </c>
      <c r="CE33" s="1169">
        <f t="shared" si="52"/>
        <v>0</v>
      </c>
      <c r="CF33" s="1169"/>
      <c r="CG33" s="1169"/>
      <c r="CH33" s="1169"/>
      <c r="CI33" s="1169">
        <f>CJ33+CK33</f>
        <v>0</v>
      </c>
      <c r="CJ33" s="1169"/>
      <c r="CK33" s="1169">
        <f>CE33*100%</f>
        <v>0</v>
      </c>
      <c r="CL33" s="1182">
        <v>0</v>
      </c>
      <c r="CM33" s="1169">
        <f t="shared" si="53"/>
        <v>0</v>
      </c>
      <c r="CN33" s="1169"/>
      <c r="CO33" s="1169"/>
      <c r="CP33" s="1169"/>
      <c r="CQ33" s="1169">
        <f>CR33+CS33</f>
        <v>0</v>
      </c>
      <c r="CR33" s="1169"/>
      <c r="CS33" s="1169">
        <f>CM33*100%</f>
        <v>0</v>
      </c>
      <c r="CZ33" s="1124"/>
      <c r="DA33" s="1124"/>
      <c r="DB33" s="1124"/>
      <c r="DC33" s="1124"/>
      <c r="DD33" s="1124"/>
    </row>
    <row r="34" spans="1:108" ht="16.5" customHeight="1">
      <c r="A34" s="1183" t="s">
        <v>281</v>
      </c>
      <c r="B34" s="1184" t="s">
        <v>386</v>
      </c>
      <c r="C34" s="1180" t="s">
        <v>516</v>
      </c>
      <c r="D34" s="1185"/>
      <c r="E34" s="1185">
        <f>F34+G34</f>
        <v>1</v>
      </c>
      <c r="F34" s="1185"/>
      <c r="G34" s="1185">
        <v>1</v>
      </c>
      <c r="H34" s="1169">
        <f t="shared" si="55"/>
        <v>0</v>
      </c>
      <c r="I34" s="1169">
        <f>R34+Z34+AH34+AP34+AX34+BF34+BN34+BV34+CD34+CL34</f>
        <v>500</v>
      </c>
      <c r="J34" s="1169"/>
      <c r="K34" s="1169">
        <f t="shared" si="57"/>
        <v>500</v>
      </c>
      <c r="L34" s="1169">
        <f t="shared" si="57"/>
        <v>300</v>
      </c>
      <c r="M34" s="1169">
        <f t="shared" si="57"/>
        <v>200</v>
      </c>
      <c r="N34" s="1169"/>
      <c r="O34" s="1169">
        <f>K34-N34</f>
        <v>500</v>
      </c>
      <c r="P34" s="1169">
        <f>O34-Q34</f>
        <v>0</v>
      </c>
      <c r="Q34" s="1169">
        <f>Y34+AG34+AO34+AW34+BE34+BM34+BU34+CC34+CK34+CS34</f>
        <v>500</v>
      </c>
      <c r="R34" s="1186">
        <v>340</v>
      </c>
      <c r="S34" s="1169">
        <f t="shared" si="54"/>
        <v>240</v>
      </c>
      <c r="T34" s="1169">
        <f>T30-T31</f>
        <v>240</v>
      </c>
      <c r="U34" s="1169">
        <f>U30-U31</f>
        <v>0</v>
      </c>
      <c r="V34" s="1169"/>
      <c r="W34" s="1169">
        <f>X34+Y34</f>
        <v>240</v>
      </c>
      <c r="X34" s="1169"/>
      <c r="Y34" s="1169">
        <f>S34*100%</f>
        <v>240</v>
      </c>
      <c r="Z34" s="1182">
        <v>0</v>
      </c>
      <c r="AA34" s="1169">
        <f t="shared" si="45"/>
        <v>0</v>
      </c>
      <c r="AB34" s="1169">
        <f>AB30-AB31</f>
        <v>0</v>
      </c>
      <c r="AC34" s="1169">
        <f>AC30-AC31</f>
        <v>0</v>
      </c>
      <c r="AD34" s="1169"/>
      <c r="AE34" s="1169">
        <f>AF34+AG34</f>
        <v>0</v>
      </c>
      <c r="AF34" s="1169"/>
      <c r="AG34" s="1169">
        <f>AA34*100%</f>
        <v>0</v>
      </c>
      <c r="AH34" s="1182">
        <v>100</v>
      </c>
      <c r="AI34" s="1399">
        <f t="shared" si="46"/>
        <v>200</v>
      </c>
      <c r="AJ34" s="1399">
        <f>AJ30-AJ31</f>
        <v>0</v>
      </c>
      <c r="AK34" s="1399">
        <f>AK30-AK31</f>
        <v>200</v>
      </c>
      <c r="AL34" s="1169"/>
      <c r="AM34" s="1169">
        <f>AN34+AO34</f>
        <v>200</v>
      </c>
      <c r="AN34" s="1169"/>
      <c r="AO34" s="1169">
        <f>AI34*100%</f>
        <v>200</v>
      </c>
      <c r="AP34" s="1182">
        <v>40</v>
      </c>
      <c r="AQ34" s="1169">
        <f t="shared" si="47"/>
        <v>40</v>
      </c>
      <c r="AR34" s="1169">
        <f>AR30-AR31</f>
        <v>40</v>
      </c>
      <c r="AS34" s="1169">
        <f>AS30-AS31</f>
        <v>0</v>
      </c>
      <c r="AT34" s="1169"/>
      <c r="AU34" s="1169">
        <f>AV34+AW34</f>
        <v>40</v>
      </c>
      <c r="AV34" s="1169"/>
      <c r="AW34" s="1169">
        <f>AQ34*100%</f>
        <v>40</v>
      </c>
      <c r="AX34" s="1182">
        <v>0</v>
      </c>
      <c r="AY34" s="1169">
        <f t="shared" si="48"/>
        <v>0</v>
      </c>
      <c r="AZ34" s="1169">
        <f>AZ30-AZ31</f>
        <v>0</v>
      </c>
      <c r="BA34" s="1169">
        <f>BA30-BA31</f>
        <v>0</v>
      </c>
      <c r="BB34" s="1169"/>
      <c r="BC34" s="1169">
        <f>BD34+BE34</f>
        <v>0</v>
      </c>
      <c r="BD34" s="1169"/>
      <c r="BE34" s="1169">
        <f>AY34*100%</f>
        <v>0</v>
      </c>
      <c r="BF34" s="1182">
        <v>20</v>
      </c>
      <c r="BG34" s="1169">
        <f t="shared" si="49"/>
        <v>20</v>
      </c>
      <c r="BH34" s="1169">
        <f>BH30-BH31</f>
        <v>20</v>
      </c>
      <c r="BI34" s="1169">
        <f>BI30-BI31</f>
        <v>0</v>
      </c>
      <c r="BJ34" s="1169"/>
      <c r="BK34" s="1169">
        <f>BL34+BM34</f>
        <v>20</v>
      </c>
      <c r="BL34" s="1169"/>
      <c r="BM34" s="1169">
        <f>BG34*100%</f>
        <v>20</v>
      </c>
      <c r="BN34" s="1182">
        <v>0</v>
      </c>
      <c r="BO34" s="1169">
        <f t="shared" si="50"/>
        <v>0</v>
      </c>
      <c r="BP34" s="1169">
        <f>BP30-BP31</f>
        <v>0</v>
      </c>
      <c r="BQ34" s="1169">
        <f>BQ30-BQ31</f>
        <v>0</v>
      </c>
      <c r="BR34" s="1169"/>
      <c r="BS34" s="1169">
        <f>BT34+BU34</f>
        <v>0</v>
      </c>
      <c r="BT34" s="1169"/>
      <c r="BU34" s="1169">
        <f>BO34*100%</f>
        <v>0</v>
      </c>
      <c r="BV34" s="1182">
        <v>0</v>
      </c>
      <c r="BW34" s="1169">
        <f t="shared" si="51"/>
        <v>0</v>
      </c>
      <c r="BX34" s="1169">
        <f>BX30-BX31</f>
        <v>0</v>
      </c>
      <c r="BY34" s="1169">
        <f>BY30-BY31</f>
        <v>0</v>
      </c>
      <c r="BZ34" s="1169"/>
      <c r="CA34" s="1169">
        <f>CB34+CC34</f>
        <v>0</v>
      </c>
      <c r="CB34" s="1169"/>
      <c r="CC34" s="1169">
        <f>BW34*100%</f>
        <v>0</v>
      </c>
      <c r="CD34" s="1182">
        <v>0</v>
      </c>
      <c r="CE34" s="1169">
        <f t="shared" si="52"/>
        <v>0</v>
      </c>
      <c r="CF34" s="1169">
        <f>CF30-CF31</f>
        <v>0</v>
      </c>
      <c r="CG34" s="1169">
        <f>CG30-CG31</f>
        <v>0</v>
      </c>
      <c r="CH34" s="1169"/>
      <c r="CI34" s="1169">
        <f>CJ34+CK34</f>
        <v>0</v>
      </c>
      <c r="CJ34" s="1169"/>
      <c r="CK34" s="1169">
        <f>CE34*100%</f>
        <v>0</v>
      </c>
      <c r="CL34" s="1182">
        <v>0</v>
      </c>
      <c r="CM34" s="1169">
        <f t="shared" si="53"/>
        <v>0</v>
      </c>
      <c r="CN34" s="1169">
        <f>CN30-CN31</f>
        <v>0</v>
      </c>
      <c r="CO34" s="1169">
        <f>CO30-CO31</f>
        <v>0</v>
      </c>
      <c r="CP34" s="1169"/>
      <c r="CQ34" s="1169">
        <f>CR34+CS34</f>
        <v>0</v>
      </c>
      <c r="CR34" s="1169"/>
      <c r="CS34" s="1169">
        <f>CM34*100%</f>
        <v>0</v>
      </c>
      <c r="CZ34" s="1124"/>
      <c r="DA34" s="1124"/>
      <c r="DB34" s="1124"/>
      <c r="DC34" s="1124"/>
      <c r="DD34" s="1124"/>
    </row>
    <row r="35" spans="1:108" ht="41.4">
      <c r="A35" s="1179" t="s">
        <v>26</v>
      </c>
      <c r="B35" s="1180" t="s">
        <v>1395</v>
      </c>
      <c r="C35" s="1180" t="s">
        <v>517</v>
      </c>
      <c r="D35" s="1156"/>
      <c r="E35" s="1156"/>
      <c r="F35" s="1156"/>
      <c r="G35" s="1156"/>
      <c r="H35" s="1169"/>
      <c r="I35" s="1181">
        <f>I36+I37+I38+I39</f>
        <v>50000</v>
      </c>
      <c r="J35" s="1181">
        <f t="shared" ref="J35:Q35" si="58">J36+J37+J39</f>
        <v>50000</v>
      </c>
      <c r="K35" s="1181">
        <f t="shared" si="58"/>
        <v>50000</v>
      </c>
      <c r="L35" s="1181">
        <f t="shared" si="58"/>
        <v>43810</v>
      </c>
      <c r="M35" s="1181">
        <f t="shared" si="58"/>
        <v>6190</v>
      </c>
      <c r="N35" s="1181">
        <f t="shared" si="58"/>
        <v>0</v>
      </c>
      <c r="O35" s="1181">
        <f t="shared" si="58"/>
        <v>50000</v>
      </c>
      <c r="P35" s="1181">
        <f t="shared" si="58"/>
        <v>42235.1</v>
      </c>
      <c r="Q35" s="1181">
        <f t="shared" si="58"/>
        <v>7764.9</v>
      </c>
      <c r="R35" s="1181">
        <v>15280</v>
      </c>
      <c r="S35" s="1181">
        <f t="shared" ref="S35:Y35" si="59">S36+S37+S38+S39</f>
        <v>11440</v>
      </c>
      <c r="T35" s="1181">
        <f t="shared" si="59"/>
        <v>10440</v>
      </c>
      <c r="U35" s="1181">
        <f t="shared" si="59"/>
        <v>1000</v>
      </c>
      <c r="V35" s="1181">
        <f t="shared" si="59"/>
        <v>0</v>
      </c>
      <c r="W35" s="1181">
        <f t="shared" si="59"/>
        <v>11440.5</v>
      </c>
      <c r="X35" s="1181">
        <f t="shared" si="59"/>
        <v>9656.5</v>
      </c>
      <c r="Y35" s="1181">
        <f t="shared" si="59"/>
        <v>1784</v>
      </c>
      <c r="Z35" s="1182">
        <v>9700</v>
      </c>
      <c r="AA35" s="1181">
        <f t="shared" ref="AA35:AG35" si="60">AA36+AA37+AA38+AA39</f>
        <v>8600</v>
      </c>
      <c r="AB35" s="1181">
        <f t="shared" si="60"/>
        <v>7200</v>
      </c>
      <c r="AC35" s="1181">
        <f t="shared" si="60"/>
        <v>1400</v>
      </c>
      <c r="AD35" s="1181">
        <f t="shared" si="60"/>
        <v>0</v>
      </c>
      <c r="AE35" s="1181">
        <f t="shared" si="60"/>
        <v>8600</v>
      </c>
      <c r="AF35" s="1181">
        <f t="shared" si="60"/>
        <v>7242</v>
      </c>
      <c r="AG35" s="1181">
        <f t="shared" si="60"/>
        <v>1358</v>
      </c>
      <c r="AH35" s="1182">
        <v>560</v>
      </c>
      <c r="AI35" s="1398">
        <f t="shared" ref="AI35:AO35" si="61">AI36+AI37+AI38+AI39</f>
        <v>780</v>
      </c>
      <c r="AJ35" s="1398">
        <f t="shared" si="61"/>
        <v>280</v>
      </c>
      <c r="AK35" s="1398">
        <f t="shared" si="61"/>
        <v>500</v>
      </c>
      <c r="AL35" s="1181">
        <f t="shared" si="61"/>
        <v>0</v>
      </c>
      <c r="AM35" s="1181">
        <f t="shared" si="61"/>
        <v>780</v>
      </c>
      <c r="AN35" s="1181">
        <f t="shared" si="61"/>
        <v>629</v>
      </c>
      <c r="AO35" s="1181">
        <f t="shared" si="61"/>
        <v>151</v>
      </c>
      <c r="AP35" s="1182">
        <v>930</v>
      </c>
      <c r="AQ35" s="1181">
        <f t="shared" ref="AQ35:AW35" si="62">AQ36+AQ37+AQ38+AQ39</f>
        <v>1100</v>
      </c>
      <c r="AR35" s="1181">
        <f t="shared" si="62"/>
        <v>500</v>
      </c>
      <c r="AS35" s="1181">
        <f t="shared" si="62"/>
        <v>600</v>
      </c>
      <c r="AT35" s="1181">
        <f t="shared" si="62"/>
        <v>0</v>
      </c>
      <c r="AU35" s="1181">
        <f>AU36+AU37+AU38+AU39</f>
        <v>1100</v>
      </c>
      <c r="AV35" s="1181">
        <f t="shared" si="62"/>
        <v>918</v>
      </c>
      <c r="AW35" s="1181">
        <f t="shared" si="62"/>
        <v>182</v>
      </c>
      <c r="AX35" s="1182">
        <v>1840</v>
      </c>
      <c r="AY35" s="1181">
        <f t="shared" ref="AY35:BE35" si="63">AY36+AY37+AY38+AY39</f>
        <v>1080</v>
      </c>
      <c r="AZ35" s="1181">
        <f t="shared" si="63"/>
        <v>80</v>
      </c>
      <c r="BA35" s="1181">
        <f t="shared" si="63"/>
        <v>1000</v>
      </c>
      <c r="BB35" s="1181">
        <f t="shared" si="63"/>
        <v>0</v>
      </c>
      <c r="BC35" s="1181">
        <f t="shared" si="63"/>
        <v>1080</v>
      </c>
      <c r="BD35" s="1181">
        <f t="shared" si="63"/>
        <v>926</v>
      </c>
      <c r="BE35" s="1181">
        <f t="shared" si="63"/>
        <v>154</v>
      </c>
      <c r="BF35" s="1182">
        <v>620</v>
      </c>
      <c r="BG35" s="1181">
        <f t="shared" ref="BG35:BM35" si="64">BG36+BG37+BG38+BG39</f>
        <v>600</v>
      </c>
      <c r="BH35" s="1181">
        <f t="shared" si="64"/>
        <v>260</v>
      </c>
      <c r="BI35" s="1181">
        <f t="shared" si="64"/>
        <v>340</v>
      </c>
      <c r="BJ35" s="1181">
        <f t="shared" si="64"/>
        <v>0</v>
      </c>
      <c r="BK35" s="1181">
        <f t="shared" si="64"/>
        <v>600</v>
      </c>
      <c r="BL35" s="1181">
        <f t="shared" si="64"/>
        <v>513</v>
      </c>
      <c r="BM35" s="1181">
        <f t="shared" si="64"/>
        <v>87</v>
      </c>
      <c r="BN35" s="1182">
        <v>15720</v>
      </c>
      <c r="BO35" s="1181">
        <f t="shared" ref="BO35:BU35" si="65">BO36+BO37+BO38+BO39</f>
        <v>20800</v>
      </c>
      <c r="BP35" s="1181">
        <f t="shared" si="65"/>
        <v>20800</v>
      </c>
      <c r="BQ35" s="1181">
        <f t="shared" si="65"/>
        <v>0</v>
      </c>
      <c r="BR35" s="1181">
        <f t="shared" si="65"/>
        <v>0</v>
      </c>
      <c r="BS35" s="1181">
        <f t="shared" si="65"/>
        <v>20800</v>
      </c>
      <c r="BT35" s="1181">
        <f t="shared" si="65"/>
        <v>17612</v>
      </c>
      <c r="BU35" s="1181">
        <f t="shared" si="65"/>
        <v>3188</v>
      </c>
      <c r="BV35" s="1182">
        <v>600</v>
      </c>
      <c r="BW35" s="1181">
        <f t="shared" ref="BW35:CC35" si="66">BW36+BW37+BW38+BW39</f>
        <v>850</v>
      </c>
      <c r="BX35" s="1181">
        <f t="shared" si="66"/>
        <v>250</v>
      </c>
      <c r="BY35" s="1181">
        <f t="shared" si="66"/>
        <v>600</v>
      </c>
      <c r="BZ35" s="1181">
        <f t="shared" si="66"/>
        <v>0</v>
      </c>
      <c r="CA35" s="1181">
        <f t="shared" si="66"/>
        <v>849.9</v>
      </c>
      <c r="CB35" s="1181">
        <f t="shared" si="66"/>
        <v>705.5</v>
      </c>
      <c r="CC35" s="1181">
        <f t="shared" si="66"/>
        <v>144.4</v>
      </c>
      <c r="CD35" s="1182">
        <v>4300</v>
      </c>
      <c r="CE35" s="1181">
        <f t="shared" ref="CE35:CK35" si="67">CE36+CE37+CE38+CE39</f>
        <v>4250</v>
      </c>
      <c r="CF35" s="1181">
        <f t="shared" si="67"/>
        <v>4000</v>
      </c>
      <c r="CG35" s="1181">
        <f t="shared" si="67"/>
        <v>250</v>
      </c>
      <c r="CH35" s="1181">
        <f t="shared" si="67"/>
        <v>0</v>
      </c>
      <c r="CI35" s="1181">
        <f t="shared" si="67"/>
        <v>4250</v>
      </c>
      <c r="CJ35" s="1181">
        <f t="shared" si="67"/>
        <v>3607.5</v>
      </c>
      <c r="CK35" s="1181">
        <f t="shared" si="67"/>
        <v>641.5</v>
      </c>
      <c r="CL35" s="1182">
        <v>450</v>
      </c>
      <c r="CM35" s="1181">
        <f t="shared" ref="CM35:CS35" si="68">CM36+CM37+CM38+CM39</f>
        <v>500</v>
      </c>
      <c r="CN35" s="1181">
        <f t="shared" si="68"/>
        <v>0</v>
      </c>
      <c r="CO35" s="1181">
        <f t="shared" si="68"/>
        <v>500</v>
      </c>
      <c r="CP35" s="1181">
        <f t="shared" si="68"/>
        <v>0</v>
      </c>
      <c r="CQ35" s="1181">
        <f t="shared" si="68"/>
        <v>500</v>
      </c>
      <c r="CR35" s="1181">
        <f t="shared" si="68"/>
        <v>425</v>
      </c>
      <c r="CS35" s="1181">
        <f t="shared" si="68"/>
        <v>75</v>
      </c>
      <c r="CT35" s="1124"/>
      <c r="CU35" s="1124"/>
      <c r="CV35" s="1153"/>
      <c r="CW35" s="1153"/>
      <c r="CX35" s="1153"/>
      <c r="CY35" s="1153"/>
      <c r="CZ35" s="1124"/>
      <c r="DA35" s="1124"/>
      <c r="DB35" s="1124"/>
      <c r="DC35" s="1124"/>
      <c r="DD35" s="1124"/>
    </row>
    <row r="36" spans="1:108" ht="16.5" customHeight="1">
      <c r="A36" s="1183" t="s">
        <v>42</v>
      </c>
      <c r="B36" s="1184" t="s">
        <v>379</v>
      </c>
      <c r="C36" s="1184" t="s">
        <v>518</v>
      </c>
      <c r="D36" s="1185"/>
      <c r="E36" s="1185">
        <f>F36+G36</f>
        <v>1</v>
      </c>
      <c r="F36" s="1185">
        <v>0.85</v>
      </c>
      <c r="G36" s="1185">
        <v>0.15</v>
      </c>
      <c r="H36" s="1169">
        <f>IF(E36=0,P36/L36*100,IF(K36=0,0,P36/K36*100))</f>
        <v>85.00033333333333</v>
      </c>
      <c r="I36" s="1169">
        <f>R36+Z36+AH36+AP36+AX36+BF36+BN36+BV36+CD36+CL36</f>
        <v>35000</v>
      </c>
      <c r="J36" s="1169">
        <v>30000</v>
      </c>
      <c r="K36" s="1169">
        <f t="shared" ref="K36:M38" si="69">S36+AA36+AI36+AQ36+AY36+BG36+BO36+BW36+CE36+CM36</f>
        <v>30000</v>
      </c>
      <c r="L36" s="1169">
        <f t="shared" si="69"/>
        <v>28570</v>
      </c>
      <c r="M36" s="1169">
        <f t="shared" si="69"/>
        <v>1430</v>
      </c>
      <c r="N36" s="1169"/>
      <c r="O36" s="1169">
        <f>K36-N36</f>
        <v>30000</v>
      </c>
      <c r="P36" s="1169">
        <f>O36-Q36</f>
        <v>25500.1</v>
      </c>
      <c r="Q36" s="1169">
        <f>Y36+AG36+AO36+AW36+BE36+BM36+BU36+CC36+CK36+CS36</f>
        <v>4499.8999999999996</v>
      </c>
      <c r="R36" s="1186">
        <v>10140</v>
      </c>
      <c r="S36" s="1169">
        <f t="shared" ref="S36:S42" si="70">T36+U36</f>
        <v>1970</v>
      </c>
      <c r="T36" s="1169">
        <v>1570</v>
      </c>
      <c r="U36" s="1169">
        <v>400</v>
      </c>
      <c r="V36" s="1169"/>
      <c r="W36" s="1169">
        <f>X36+Y36</f>
        <v>1970.5</v>
      </c>
      <c r="X36" s="1169">
        <f>ROUND(S36*85%,0)</f>
        <v>1675</v>
      </c>
      <c r="Y36" s="1169">
        <f>S36*15%</f>
        <v>295.5</v>
      </c>
      <c r="Z36" s="1182">
        <v>8600</v>
      </c>
      <c r="AA36" s="1169">
        <f t="shared" ref="AA36:AA42" si="71">AB36+AC36</f>
        <v>7320</v>
      </c>
      <c r="AB36" s="1169">
        <v>7130</v>
      </c>
      <c r="AC36" s="1169">
        <v>190</v>
      </c>
      <c r="AD36" s="1169"/>
      <c r="AE36" s="1169">
        <f>AF36+AG36</f>
        <v>7320</v>
      </c>
      <c r="AF36" s="1169">
        <f>AA36*85%</f>
        <v>6222</v>
      </c>
      <c r="AG36" s="1169">
        <f>AA36*15%</f>
        <v>1098</v>
      </c>
      <c r="AH36" s="1182">
        <v>230</v>
      </c>
      <c r="AI36" s="1399">
        <f t="shared" ref="AI36:AI42" si="72">AJ36+AK36</f>
        <v>240</v>
      </c>
      <c r="AJ36" s="1399">
        <v>0</v>
      </c>
      <c r="AK36" s="1399">
        <v>240</v>
      </c>
      <c r="AL36" s="1169"/>
      <c r="AM36" s="1169">
        <f>AN36+AO36</f>
        <v>240</v>
      </c>
      <c r="AN36" s="1169">
        <f>AI36*85%</f>
        <v>204</v>
      </c>
      <c r="AO36" s="1169">
        <f>AI36*15%</f>
        <v>36</v>
      </c>
      <c r="AP36" s="1182">
        <v>660</v>
      </c>
      <c r="AQ36" s="1169">
        <f t="shared" ref="AQ36:AQ42" si="73">AR36+AS36</f>
        <v>210</v>
      </c>
      <c r="AR36" s="1169">
        <v>0</v>
      </c>
      <c r="AS36" s="1169">
        <v>210</v>
      </c>
      <c r="AT36" s="1169"/>
      <c r="AU36" s="1169">
        <f>AV36+AW36</f>
        <v>210</v>
      </c>
      <c r="AV36" s="1169">
        <f>AQ36*85%</f>
        <v>178.5</v>
      </c>
      <c r="AW36" s="1169">
        <f>AQ36*15%</f>
        <v>31.5</v>
      </c>
      <c r="AX36" s="1182">
        <v>70</v>
      </c>
      <c r="AY36" s="1169">
        <f t="shared" ref="AY36:AY42" si="74">AZ36+BA36</f>
        <v>70</v>
      </c>
      <c r="AZ36" s="1169">
        <v>0</v>
      </c>
      <c r="BA36" s="1169">
        <v>70</v>
      </c>
      <c r="BB36" s="1169"/>
      <c r="BC36" s="1169">
        <f>BD36+BE36</f>
        <v>70</v>
      </c>
      <c r="BD36" s="1169">
        <f>AY36*85%</f>
        <v>59.5</v>
      </c>
      <c r="BE36" s="1169">
        <f>AY36*15%</f>
        <v>10.5</v>
      </c>
      <c r="BF36" s="1182">
        <v>230</v>
      </c>
      <c r="BG36" s="1169">
        <f t="shared" ref="BG36:BG42" si="75">BH36+BI36</f>
        <v>220</v>
      </c>
      <c r="BH36" s="1169">
        <v>0</v>
      </c>
      <c r="BI36" s="1169">
        <v>220</v>
      </c>
      <c r="BJ36" s="1169"/>
      <c r="BK36" s="1169">
        <f>BL36+BM36</f>
        <v>220</v>
      </c>
      <c r="BL36" s="1169">
        <f>BG36*85%</f>
        <v>187</v>
      </c>
      <c r="BM36" s="1169">
        <f>BG36*15%</f>
        <v>33</v>
      </c>
      <c r="BN36" s="1182">
        <v>14100</v>
      </c>
      <c r="BO36" s="1169">
        <f t="shared" ref="BO36:BO42" si="76">BP36+BQ36</f>
        <v>19870</v>
      </c>
      <c r="BP36" s="1169">
        <v>19870</v>
      </c>
      <c r="BQ36" s="1169">
        <v>0</v>
      </c>
      <c r="BR36" s="1169"/>
      <c r="BS36" s="1169">
        <f>BT36+BU36</f>
        <v>19870</v>
      </c>
      <c r="BT36" s="1169">
        <f>BO36*85%</f>
        <v>16889.5</v>
      </c>
      <c r="BU36" s="1169">
        <f>BO36*15%</f>
        <v>2980.5</v>
      </c>
      <c r="BV36" s="1182">
        <v>20</v>
      </c>
      <c r="BW36" s="1169">
        <f t="shared" ref="BW36:BW42" si="77">BX36+BY36</f>
        <v>50</v>
      </c>
      <c r="BX36" s="1169">
        <v>0</v>
      </c>
      <c r="BY36" s="1169">
        <v>50</v>
      </c>
      <c r="BZ36" s="1169"/>
      <c r="CA36" s="1169">
        <f>CB36+CC36</f>
        <v>49.9</v>
      </c>
      <c r="CB36" s="1169">
        <f>BW36*85%</f>
        <v>42.5</v>
      </c>
      <c r="CC36" s="1169">
        <f>BW36*15%-0.1</f>
        <v>7.4</v>
      </c>
      <c r="CD36" s="1182">
        <v>950</v>
      </c>
      <c r="CE36" s="1169">
        <f t="shared" ref="CE36:CE42" si="78">CF36+CG36</f>
        <v>50</v>
      </c>
      <c r="CF36" s="1169">
        <v>0</v>
      </c>
      <c r="CG36" s="1169">
        <v>50</v>
      </c>
      <c r="CH36" s="1169"/>
      <c r="CI36" s="1169">
        <f>CJ36+CK36+1</f>
        <v>50</v>
      </c>
      <c r="CJ36" s="1169">
        <f>CE36*85%-1</f>
        <v>41.5</v>
      </c>
      <c r="CK36" s="1169">
        <f>CE36*15%</f>
        <v>7.5</v>
      </c>
      <c r="CL36" s="1182">
        <v>0</v>
      </c>
      <c r="CM36" s="1169">
        <f t="shared" ref="CM36:CM42" si="79">CN36+CO36</f>
        <v>0</v>
      </c>
      <c r="CN36" s="1169">
        <v>0</v>
      </c>
      <c r="CO36" s="1169">
        <v>0</v>
      </c>
      <c r="CP36" s="1169"/>
      <c r="CQ36" s="1169">
        <f>CR36+CS36</f>
        <v>0</v>
      </c>
      <c r="CR36" s="1169">
        <f>CM36*85%</f>
        <v>0</v>
      </c>
      <c r="CS36" s="1169">
        <f>CM36*15%</f>
        <v>0</v>
      </c>
      <c r="CZ36" s="1124"/>
      <c r="DA36" s="1124"/>
      <c r="DB36" s="1124"/>
      <c r="DC36" s="1124"/>
      <c r="DD36" s="1124"/>
    </row>
    <row r="37" spans="1:108" ht="16.5" customHeight="1">
      <c r="A37" s="1183" t="s">
        <v>52</v>
      </c>
      <c r="B37" s="1184" t="s">
        <v>381</v>
      </c>
      <c r="C37" s="1180" t="s">
        <v>519</v>
      </c>
      <c r="D37" s="1185"/>
      <c r="E37" s="1185">
        <f>F37+G37</f>
        <v>1</v>
      </c>
      <c r="F37" s="1185">
        <v>0.85</v>
      </c>
      <c r="G37" s="1185">
        <v>0.15</v>
      </c>
      <c r="H37" s="1169">
        <f>IF(E37=0,P37/L37*100,IF(K37=0,0,P37/K37*100))</f>
        <v>85</v>
      </c>
      <c r="I37" s="1169">
        <f>R37+Z37+AH37+AP37+AX37+BF37+BN37+BV37+CD37+CL37</f>
        <v>14000</v>
      </c>
      <c r="J37" s="1169">
        <v>19500</v>
      </c>
      <c r="K37" s="1169">
        <f t="shared" si="69"/>
        <v>19500</v>
      </c>
      <c r="L37" s="1169">
        <f t="shared" si="69"/>
        <v>14970</v>
      </c>
      <c r="M37" s="1169">
        <f t="shared" si="69"/>
        <v>4530</v>
      </c>
      <c r="N37" s="1169"/>
      <c r="O37" s="1169">
        <f>K37-N37</f>
        <v>19500</v>
      </c>
      <c r="P37" s="1169">
        <f>O37-Q37</f>
        <v>16575</v>
      </c>
      <c r="Q37" s="1169">
        <f>Y37+AG37+AO37+AW37+BE37+BM37+BU37+CC37+CK37+CS37</f>
        <v>2925</v>
      </c>
      <c r="R37" s="1186">
        <v>4880</v>
      </c>
      <c r="S37" s="1169">
        <f t="shared" si="70"/>
        <v>9390</v>
      </c>
      <c r="T37" s="1169">
        <v>8790</v>
      </c>
      <c r="U37" s="1169">
        <v>600</v>
      </c>
      <c r="V37" s="1169"/>
      <c r="W37" s="1169">
        <f>X37+Y37</f>
        <v>9390</v>
      </c>
      <c r="X37" s="1169">
        <f>S37*85%</f>
        <v>7981.5</v>
      </c>
      <c r="Y37" s="1169">
        <f>S37*15%</f>
        <v>1408.5</v>
      </c>
      <c r="Z37" s="1182">
        <v>1000</v>
      </c>
      <c r="AA37" s="1169">
        <f t="shared" si="71"/>
        <v>1200</v>
      </c>
      <c r="AB37" s="1169">
        <v>0</v>
      </c>
      <c r="AC37" s="1169">
        <v>1200</v>
      </c>
      <c r="AD37" s="1169"/>
      <c r="AE37" s="1169">
        <f>AF37+AG37</f>
        <v>1200</v>
      </c>
      <c r="AF37" s="1169">
        <f>AA37*85%</f>
        <v>1020</v>
      </c>
      <c r="AG37" s="1169">
        <f>AA37*15%</f>
        <v>180</v>
      </c>
      <c r="AH37" s="1182">
        <v>210</v>
      </c>
      <c r="AI37" s="1399">
        <f t="shared" si="72"/>
        <v>500</v>
      </c>
      <c r="AJ37" s="1399">
        <v>240</v>
      </c>
      <c r="AK37" s="1399">
        <v>260</v>
      </c>
      <c r="AL37" s="1169"/>
      <c r="AM37" s="1169">
        <f>AN37+AO37</f>
        <v>500</v>
      </c>
      <c r="AN37" s="1169">
        <f>AI37*85%</f>
        <v>425</v>
      </c>
      <c r="AO37" s="1169">
        <f>AI37*15%</f>
        <v>75</v>
      </c>
      <c r="AP37" s="1182">
        <v>270</v>
      </c>
      <c r="AQ37" s="1169">
        <f t="shared" si="73"/>
        <v>870</v>
      </c>
      <c r="AR37" s="1169">
        <v>500</v>
      </c>
      <c r="AS37" s="1169">
        <v>370</v>
      </c>
      <c r="AT37" s="1169"/>
      <c r="AU37" s="1169">
        <f>AV37+AW37</f>
        <v>870</v>
      </c>
      <c r="AV37" s="1169">
        <f>AQ37*85%</f>
        <v>739.5</v>
      </c>
      <c r="AW37" s="1169">
        <f>AQ37*15%</f>
        <v>130.5</v>
      </c>
      <c r="AX37" s="1182">
        <v>1630</v>
      </c>
      <c r="AY37" s="1169">
        <f t="shared" si="74"/>
        <v>890</v>
      </c>
      <c r="AZ37" s="1169">
        <v>80</v>
      </c>
      <c r="BA37" s="1169">
        <v>810</v>
      </c>
      <c r="BB37" s="1169"/>
      <c r="BC37" s="1169">
        <f>BD37+BE37</f>
        <v>890</v>
      </c>
      <c r="BD37" s="1169">
        <f>AY37*85%</f>
        <v>756.5</v>
      </c>
      <c r="BE37" s="1169">
        <f>AY37*15%</f>
        <v>133.5</v>
      </c>
      <c r="BF37" s="1182">
        <v>350</v>
      </c>
      <c r="BG37" s="1169">
        <f t="shared" si="75"/>
        <v>360</v>
      </c>
      <c r="BH37" s="1169">
        <v>260</v>
      </c>
      <c r="BI37" s="1169">
        <v>100</v>
      </c>
      <c r="BJ37" s="1169"/>
      <c r="BK37" s="1169">
        <f>BL37+BM37</f>
        <v>360</v>
      </c>
      <c r="BL37" s="1169">
        <f>BG37*85%</f>
        <v>306</v>
      </c>
      <c r="BM37" s="1169">
        <f>BG37*15%</f>
        <v>54</v>
      </c>
      <c r="BN37" s="1182">
        <v>1400</v>
      </c>
      <c r="BO37" s="1169">
        <f t="shared" si="76"/>
        <v>850</v>
      </c>
      <c r="BP37" s="1169">
        <v>850</v>
      </c>
      <c r="BQ37" s="1169">
        <v>0</v>
      </c>
      <c r="BR37" s="1169"/>
      <c r="BS37" s="1169">
        <f>BT37+BU37</f>
        <v>850</v>
      </c>
      <c r="BT37" s="1169">
        <f>BO37*85%</f>
        <v>722.5</v>
      </c>
      <c r="BU37" s="1169">
        <f>BO37*15%</f>
        <v>127.5</v>
      </c>
      <c r="BV37" s="1182">
        <v>560</v>
      </c>
      <c r="BW37" s="1169">
        <f t="shared" si="77"/>
        <v>780</v>
      </c>
      <c r="BX37" s="1169">
        <v>250</v>
      </c>
      <c r="BY37" s="1169">
        <v>530</v>
      </c>
      <c r="BZ37" s="1169"/>
      <c r="CA37" s="1169">
        <f>CB37+CC37</f>
        <v>780</v>
      </c>
      <c r="CB37" s="1169">
        <f>BW37*85%</f>
        <v>663</v>
      </c>
      <c r="CC37" s="1169">
        <f>BW37*15%</f>
        <v>117</v>
      </c>
      <c r="CD37" s="1182">
        <v>3250</v>
      </c>
      <c r="CE37" s="1169">
        <f t="shared" si="78"/>
        <v>4160</v>
      </c>
      <c r="CF37" s="1169">
        <v>4000</v>
      </c>
      <c r="CG37" s="1169">
        <v>160</v>
      </c>
      <c r="CH37" s="1169"/>
      <c r="CI37" s="1169">
        <f>CJ37+CK37</f>
        <v>4160</v>
      </c>
      <c r="CJ37" s="1169">
        <f>CE37*85%</f>
        <v>3536</v>
      </c>
      <c r="CK37" s="1169">
        <f>CE37*15%</f>
        <v>624</v>
      </c>
      <c r="CL37" s="1182">
        <v>450</v>
      </c>
      <c r="CM37" s="1169">
        <f t="shared" si="79"/>
        <v>500</v>
      </c>
      <c r="CN37" s="1169">
        <v>0</v>
      </c>
      <c r="CO37" s="1169">
        <v>500</v>
      </c>
      <c r="CP37" s="1169"/>
      <c r="CQ37" s="1169">
        <f>CR37+CS37</f>
        <v>500</v>
      </c>
      <c r="CR37" s="1169">
        <f>CM37*85%</f>
        <v>425</v>
      </c>
      <c r="CS37" s="1169">
        <f>CM37*15%</f>
        <v>75</v>
      </c>
      <c r="CZ37" s="1124"/>
      <c r="DA37" s="1124"/>
      <c r="DB37" s="1124"/>
      <c r="DC37" s="1124"/>
      <c r="DD37" s="1124"/>
    </row>
    <row r="38" spans="1:108" ht="16.5" hidden="1" customHeight="1" outlineLevel="1">
      <c r="A38" s="1183" t="s">
        <v>53</v>
      </c>
      <c r="B38" s="1184" t="s">
        <v>520</v>
      </c>
      <c r="C38" s="1184" t="s">
        <v>521</v>
      </c>
      <c r="D38" s="1185"/>
      <c r="E38" s="1185">
        <f>F38+G38</f>
        <v>1</v>
      </c>
      <c r="F38" s="1185">
        <v>1</v>
      </c>
      <c r="G38" s="1185"/>
      <c r="H38" s="1169">
        <f>IF(E38=0,P38/L38*100,IF(K38=0,0,P38/K38*100))</f>
        <v>0</v>
      </c>
      <c r="I38" s="1169">
        <f>R38+Z38+AH38+AP38+AX38+BF38+BN38+BV38+CD38+CL38</f>
        <v>0</v>
      </c>
      <c r="J38" s="1169">
        <v>0</v>
      </c>
      <c r="K38" s="1169">
        <f t="shared" si="69"/>
        <v>0</v>
      </c>
      <c r="L38" s="1169">
        <f t="shared" si="69"/>
        <v>0</v>
      </c>
      <c r="M38" s="1169">
        <f t="shared" si="69"/>
        <v>0</v>
      </c>
      <c r="N38" s="1169"/>
      <c r="O38" s="1169">
        <f>K38-N38</f>
        <v>0</v>
      </c>
      <c r="P38" s="1169">
        <f>O38-Q38</f>
        <v>0</v>
      </c>
      <c r="Q38" s="1169">
        <f>Y38+AG38+AO38+AW38+BE38+BM38+BU38+CC38+CK38+CS38</f>
        <v>0</v>
      </c>
      <c r="R38" s="1186">
        <v>0</v>
      </c>
      <c r="S38" s="1169">
        <f t="shared" si="70"/>
        <v>0</v>
      </c>
      <c r="T38" s="1169">
        <v>0</v>
      </c>
      <c r="U38" s="1169">
        <v>0</v>
      </c>
      <c r="V38" s="1169"/>
      <c r="W38" s="1169">
        <f>X38+Y38</f>
        <v>0</v>
      </c>
      <c r="X38" s="1169">
        <f>S38*100%</f>
        <v>0</v>
      </c>
      <c r="Y38" s="1169"/>
      <c r="Z38" s="1182">
        <v>0</v>
      </c>
      <c r="AA38" s="1169">
        <f t="shared" si="71"/>
        <v>0</v>
      </c>
      <c r="AB38" s="1169">
        <v>0</v>
      </c>
      <c r="AC38" s="1169">
        <v>0</v>
      </c>
      <c r="AD38" s="1169"/>
      <c r="AE38" s="1169">
        <f>AF38+AG38</f>
        <v>0</v>
      </c>
      <c r="AF38" s="1169">
        <f>AA38*100%</f>
        <v>0</v>
      </c>
      <c r="AG38" s="1169"/>
      <c r="AH38" s="1182">
        <v>0</v>
      </c>
      <c r="AI38" s="1399">
        <f t="shared" si="72"/>
        <v>0</v>
      </c>
      <c r="AJ38" s="1399">
        <v>0</v>
      </c>
      <c r="AK38" s="1399">
        <v>0</v>
      </c>
      <c r="AL38" s="1169"/>
      <c r="AM38" s="1169">
        <f>AN38+AO38</f>
        <v>0</v>
      </c>
      <c r="AN38" s="1169">
        <f>AI38*100%</f>
        <v>0</v>
      </c>
      <c r="AO38" s="1169"/>
      <c r="AP38" s="1182">
        <v>0</v>
      </c>
      <c r="AQ38" s="1169">
        <f t="shared" si="73"/>
        <v>0</v>
      </c>
      <c r="AR38" s="1169">
        <v>0</v>
      </c>
      <c r="AS38" s="1169">
        <v>0</v>
      </c>
      <c r="AT38" s="1169"/>
      <c r="AU38" s="1169">
        <f>AV38+AW38</f>
        <v>0</v>
      </c>
      <c r="AV38" s="1169">
        <f>AQ38*100%</f>
        <v>0</v>
      </c>
      <c r="AW38" s="1169"/>
      <c r="AX38" s="1182">
        <v>0</v>
      </c>
      <c r="AY38" s="1169">
        <f t="shared" si="74"/>
        <v>0</v>
      </c>
      <c r="AZ38" s="1169">
        <v>0</v>
      </c>
      <c r="BA38" s="1169">
        <v>0</v>
      </c>
      <c r="BB38" s="1169"/>
      <c r="BC38" s="1169">
        <f>BD38+BE38</f>
        <v>0</v>
      </c>
      <c r="BD38" s="1169">
        <f>AY38*100%</f>
        <v>0</v>
      </c>
      <c r="BE38" s="1169"/>
      <c r="BF38" s="1182">
        <v>0</v>
      </c>
      <c r="BG38" s="1169">
        <f t="shared" si="75"/>
        <v>0</v>
      </c>
      <c r="BH38" s="1169">
        <v>0</v>
      </c>
      <c r="BI38" s="1169">
        <v>0</v>
      </c>
      <c r="BJ38" s="1169"/>
      <c r="BK38" s="1169">
        <f>BL38+BM38</f>
        <v>0</v>
      </c>
      <c r="BL38" s="1169">
        <f>BG38*100%</f>
        <v>0</v>
      </c>
      <c r="BM38" s="1169"/>
      <c r="BN38" s="1182">
        <v>0</v>
      </c>
      <c r="BO38" s="1169">
        <f t="shared" si="76"/>
        <v>0</v>
      </c>
      <c r="BP38" s="1169">
        <v>0</v>
      </c>
      <c r="BQ38" s="1169">
        <v>0</v>
      </c>
      <c r="BR38" s="1169"/>
      <c r="BS38" s="1169">
        <f>BT38+BU38</f>
        <v>0</v>
      </c>
      <c r="BT38" s="1169">
        <f>BO38*100%</f>
        <v>0</v>
      </c>
      <c r="BU38" s="1169"/>
      <c r="BV38" s="1182">
        <v>0</v>
      </c>
      <c r="BW38" s="1169">
        <f t="shared" si="77"/>
        <v>0</v>
      </c>
      <c r="BX38" s="1169">
        <v>0</v>
      </c>
      <c r="BY38" s="1169">
        <v>0</v>
      </c>
      <c r="BZ38" s="1169"/>
      <c r="CA38" s="1169">
        <f>CB38+CC38</f>
        <v>0</v>
      </c>
      <c r="CB38" s="1169">
        <f>BW38*100%</f>
        <v>0</v>
      </c>
      <c r="CC38" s="1169"/>
      <c r="CD38" s="1182">
        <v>0</v>
      </c>
      <c r="CE38" s="1169">
        <f t="shared" si="78"/>
        <v>0</v>
      </c>
      <c r="CF38" s="1169">
        <v>0</v>
      </c>
      <c r="CG38" s="1169">
        <v>0</v>
      </c>
      <c r="CH38" s="1169"/>
      <c r="CI38" s="1169">
        <f>CJ38+CK38</f>
        <v>0</v>
      </c>
      <c r="CJ38" s="1169">
        <f>CE38*100%</f>
        <v>0</v>
      </c>
      <c r="CK38" s="1169"/>
      <c r="CL38" s="1182">
        <v>0</v>
      </c>
      <c r="CM38" s="1169">
        <f t="shared" si="79"/>
        <v>0</v>
      </c>
      <c r="CN38" s="1169">
        <v>0</v>
      </c>
      <c r="CO38" s="1169">
        <v>0</v>
      </c>
      <c r="CP38" s="1169"/>
      <c r="CQ38" s="1169">
        <f>CR38+CS38</f>
        <v>0</v>
      </c>
      <c r="CR38" s="1169">
        <f>CM38*100%</f>
        <v>0</v>
      </c>
      <c r="CS38" s="1169"/>
      <c r="CT38" s="1124"/>
      <c r="CU38" s="1124"/>
      <c r="CV38" s="1153"/>
      <c r="CW38" s="1153"/>
      <c r="CX38" s="1153"/>
      <c r="CY38" s="1153"/>
      <c r="CZ38" s="1124"/>
      <c r="DA38" s="1124"/>
      <c r="DB38" s="1124"/>
      <c r="DC38" s="1124"/>
      <c r="DD38" s="1124"/>
    </row>
    <row r="39" spans="1:108" ht="16.5" customHeight="1" collapsed="1">
      <c r="A39" s="1183" t="s">
        <v>53</v>
      </c>
      <c r="B39" s="1184" t="s">
        <v>382</v>
      </c>
      <c r="C39" s="1180" t="s">
        <v>522</v>
      </c>
      <c r="D39" s="1185"/>
      <c r="E39" s="1185"/>
      <c r="F39" s="1185"/>
      <c r="G39" s="1185"/>
      <c r="H39" s="1169"/>
      <c r="I39" s="1169">
        <f>I40+I41+I42</f>
        <v>1000</v>
      </c>
      <c r="J39" s="1169">
        <v>500</v>
      </c>
      <c r="K39" s="1169">
        <f>K41+K40+K42</f>
        <v>500</v>
      </c>
      <c r="L39" s="1169">
        <f>L41+L40+L42</f>
        <v>270</v>
      </c>
      <c r="M39" s="1169">
        <f>M41+M40+M42</f>
        <v>230</v>
      </c>
      <c r="N39" s="1169"/>
      <c r="O39" s="1169">
        <f>O41+O40+O42</f>
        <v>500</v>
      </c>
      <c r="P39" s="1169">
        <f>P41+P40+P42</f>
        <v>160</v>
      </c>
      <c r="Q39" s="1169">
        <f>Q41+Q40+Q42</f>
        <v>340</v>
      </c>
      <c r="R39" s="1169">
        <v>260</v>
      </c>
      <c r="S39" s="1169">
        <f t="shared" si="70"/>
        <v>80</v>
      </c>
      <c r="T39" s="1169">
        <v>80</v>
      </c>
      <c r="U39" s="1169">
        <v>0</v>
      </c>
      <c r="V39" s="1169">
        <f t="shared" ref="V39:CK39" si="80">V40+V41+V42</f>
        <v>0</v>
      </c>
      <c r="W39" s="1169">
        <f t="shared" si="80"/>
        <v>80</v>
      </c>
      <c r="X39" s="1169">
        <f t="shared" si="80"/>
        <v>0</v>
      </c>
      <c r="Y39" s="1169">
        <f t="shared" si="80"/>
        <v>80</v>
      </c>
      <c r="Z39" s="1182">
        <v>100</v>
      </c>
      <c r="AA39" s="1169">
        <f t="shared" si="71"/>
        <v>80</v>
      </c>
      <c r="AB39" s="1169">
        <v>70</v>
      </c>
      <c r="AC39" s="1169">
        <v>10</v>
      </c>
      <c r="AD39" s="1169">
        <f t="shared" si="80"/>
        <v>0</v>
      </c>
      <c r="AE39" s="1169">
        <f t="shared" si="80"/>
        <v>80</v>
      </c>
      <c r="AF39" s="1169">
        <f t="shared" si="80"/>
        <v>0</v>
      </c>
      <c r="AG39" s="1169">
        <f t="shared" si="80"/>
        <v>80</v>
      </c>
      <c r="AH39" s="1182">
        <v>120</v>
      </c>
      <c r="AI39" s="1399">
        <f t="shared" si="72"/>
        <v>40</v>
      </c>
      <c r="AJ39" s="1399">
        <v>40</v>
      </c>
      <c r="AK39" s="1399">
        <v>0</v>
      </c>
      <c r="AL39" s="1169">
        <f t="shared" si="80"/>
        <v>0</v>
      </c>
      <c r="AM39" s="1169">
        <f t="shared" si="80"/>
        <v>40</v>
      </c>
      <c r="AN39" s="1169">
        <f t="shared" si="80"/>
        <v>0</v>
      </c>
      <c r="AO39" s="1169">
        <f t="shared" si="80"/>
        <v>40</v>
      </c>
      <c r="AP39" s="1182">
        <v>0</v>
      </c>
      <c r="AQ39" s="1169">
        <f t="shared" si="73"/>
        <v>20</v>
      </c>
      <c r="AR39" s="1169">
        <v>0</v>
      </c>
      <c r="AS39" s="1169">
        <v>20</v>
      </c>
      <c r="AT39" s="1169">
        <f t="shared" si="80"/>
        <v>0</v>
      </c>
      <c r="AU39" s="1169">
        <f t="shared" si="80"/>
        <v>20</v>
      </c>
      <c r="AV39" s="1169">
        <f t="shared" si="80"/>
        <v>0</v>
      </c>
      <c r="AW39" s="1169">
        <f t="shared" si="80"/>
        <v>20</v>
      </c>
      <c r="AX39" s="1182">
        <v>140</v>
      </c>
      <c r="AY39" s="1169">
        <f t="shared" si="74"/>
        <v>120</v>
      </c>
      <c r="AZ39" s="1169">
        <v>0</v>
      </c>
      <c r="BA39" s="1169">
        <v>120</v>
      </c>
      <c r="BB39" s="1169">
        <f t="shared" si="80"/>
        <v>0</v>
      </c>
      <c r="BC39" s="1169">
        <f t="shared" si="80"/>
        <v>120</v>
      </c>
      <c r="BD39" s="1169">
        <f t="shared" si="80"/>
        <v>110</v>
      </c>
      <c r="BE39" s="1169">
        <f t="shared" si="80"/>
        <v>10</v>
      </c>
      <c r="BF39" s="1182">
        <v>40</v>
      </c>
      <c r="BG39" s="1169">
        <f t="shared" si="75"/>
        <v>20</v>
      </c>
      <c r="BH39" s="1169">
        <v>0</v>
      </c>
      <c r="BI39" s="1169">
        <v>20</v>
      </c>
      <c r="BJ39" s="1169">
        <f t="shared" si="80"/>
        <v>0</v>
      </c>
      <c r="BK39" s="1169">
        <f t="shared" si="80"/>
        <v>20</v>
      </c>
      <c r="BL39" s="1169">
        <f t="shared" si="80"/>
        <v>20</v>
      </c>
      <c r="BM39" s="1169">
        <f t="shared" si="80"/>
        <v>0</v>
      </c>
      <c r="BN39" s="1182">
        <v>220</v>
      </c>
      <c r="BO39" s="1169">
        <f t="shared" si="76"/>
        <v>80</v>
      </c>
      <c r="BP39" s="1169">
        <v>80</v>
      </c>
      <c r="BQ39" s="1169">
        <v>0</v>
      </c>
      <c r="BR39" s="1169">
        <f t="shared" si="80"/>
        <v>0</v>
      </c>
      <c r="BS39" s="1169">
        <f t="shared" si="80"/>
        <v>80</v>
      </c>
      <c r="BT39" s="1169">
        <f t="shared" si="80"/>
        <v>0</v>
      </c>
      <c r="BU39" s="1169">
        <f t="shared" si="80"/>
        <v>80</v>
      </c>
      <c r="BV39" s="1182">
        <v>20</v>
      </c>
      <c r="BW39" s="1169">
        <f t="shared" si="77"/>
        <v>20</v>
      </c>
      <c r="BX39" s="1169">
        <v>0</v>
      </c>
      <c r="BY39" s="1169">
        <v>20</v>
      </c>
      <c r="BZ39" s="1169">
        <f t="shared" si="80"/>
        <v>0</v>
      </c>
      <c r="CA39" s="1169">
        <f t="shared" si="80"/>
        <v>20</v>
      </c>
      <c r="CB39" s="1169">
        <f t="shared" si="80"/>
        <v>0</v>
      </c>
      <c r="CC39" s="1169">
        <f t="shared" si="80"/>
        <v>20</v>
      </c>
      <c r="CD39" s="1182">
        <v>100</v>
      </c>
      <c r="CE39" s="1169">
        <f t="shared" si="78"/>
        <v>40</v>
      </c>
      <c r="CF39" s="1169">
        <v>0</v>
      </c>
      <c r="CG39" s="1169">
        <v>40</v>
      </c>
      <c r="CH39" s="1169">
        <f t="shared" si="80"/>
        <v>0</v>
      </c>
      <c r="CI39" s="1169">
        <f t="shared" si="80"/>
        <v>40</v>
      </c>
      <c r="CJ39" s="1169">
        <f t="shared" si="80"/>
        <v>30</v>
      </c>
      <c r="CK39" s="1169">
        <f t="shared" si="80"/>
        <v>10</v>
      </c>
      <c r="CL39" s="1182">
        <v>0</v>
      </c>
      <c r="CM39" s="1169">
        <f t="shared" si="79"/>
        <v>0</v>
      </c>
      <c r="CN39" s="1169">
        <v>0</v>
      </c>
      <c r="CO39" s="1169">
        <v>0</v>
      </c>
      <c r="CP39" s="1169">
        <f>CP40+CP41+CP42</f>
        <v>0</v>
      </c>
      <c r="CQ39" s="1169">
        <f>CQ40+CQ41+CQ42</f>
        <v>0</v>
      </c>
      <c r="CR39" s="1169">
        <f>CR40+CR41+CR42</f>
        <v>0</v>
      </c>
      <c r="CS39" s="1169">
        <f>CS40+CS41+CS42</f>
        <v>0</v>
      </c>
      <c r="CT39" s="1124"/>
      <c r="CU39" s="1124"/>
      <c r="CV39" s="1153"/>
      <c r="CW39" s="1153"/>
      <c r="CX39" s="1153"/>
      <c r="CY39" s="1153"/>
      <c r="CZ39" s="1124"/>
      <c r="DA39" s="1124"/>
      <c r="DB39" s="1124"/>
      <c r="DC39" s="1124"/>
      <c r="DD39" s="1124"/>
    </row>
    <row r="40" spans="1:108" ht="16.5" customHeight="1">
      <c r="A40" s="1183" t="s">
        <v>281</v>
      </c>
      <c r="B40" s="1184" t="s">
        <v>384</v>
      </c>
      <c r="C40" s="1184" t="s">
        <v>523</v>
      </c>
      <c r="D40" s="1185"/>
      <c r="E40" s="1185">
        <f>F40+G40</f>
        <v>1</v>
      </c>
      <c r="F40" s="1185">
        <v>1</v>
      </c>
      <c r="G40" s="1185"/>
      <c r="H40" s="1169">
        <f>IF(E40=0,P40/L40*100,IF(K40=0,0,P40/K40*100))</f>
        <v>100</v>
      </c>
      <c r="I40" s="1169">
        <f>R40+Z40+AH40+AP40+AX40+BF40+BN40+BV40+CD40+CL40</f>
        <v>600</v>
      </c>
      <c r="J40" s="1169"/>
      <c r="K40" s="1169">
        <f t="shared" ref="K40:M42" si="81">S40+AA40+AI40+AQ40+AY40+BG40+BO40+BW40+CE40+CM40</f>
        <v>160</v>
      </c>
      <c r="L40" s="1169">
        <f t="shared" si="81"/>
        <v>0</v>
      </c>
      <c r="M40" s="1169">
        <f t="shared" si="81"/>
        <v>160</v>
      </c>
      <c r="N40" s="1169"/>
      <c r="O40" s="1169">
        <f>K40-N40</f>
        <v>160</v>
      </c>
      <c r="P40" s="1169">
        <f>O40-Q40</f>
        <v>160</v>
      </c>
      <c r="Q40" s="1169">
        <f>Y40+AG40+AO40+AW40+BE40+BM40+BU40+CC40+CK40+CS40</f>
        <v>0</v>
      </c>
      <c r="R40" s="1186">
        <v>10</v>
      </c>
      <c r="S40" s="1169">
        <f t="shared" si="70"/>
        <v>0</v>
      </c>
      <c r="T40" s="1169">
        <v>0</v>
      </c>
      <c r="U40" s="1169">
        <v>0</v>
      </c>
      <c r="V40" s="1169"/>
      <c r="W40" s="1169">
        <f>X40+Y40</f>
        <v>0</v>
      </c>
      <c r="X40" s="1169">
        <f>S40*100%</f>
        <v>0</v>
      </c>
      <c r="Y40" s="1169"/>
      <c r="Z40" s="1182">
        <v>10</v>
      </c>
      <c r="AA40" s="1169">
        <f t="shared" si="71"/>
        <v>0</v>
      </c>
      <c r="AB40" s="1169">
        <v>0</v>
      </c>
      <c r="AC40" s="1169">
        <v>0</v>
      </c>
      <c r="AD40" s="1169"/>
      <c r="AE40" s="1169">
        <f>AF40+AG40</f>
        <v>0</v>
      </c>
      <c r="AF40" s="1169">
        <f>AA40*100%</f>
        <v>0</v>
      </c>
      <c r="AG40" s="1169"/>
      <c r="AH40" s="1182">
        <v>70</v>
      </c>
      <c r="AI40" s="1399">
        <f t="shared" si="72"/>
        <v>0</v>
      </c>
      <c r="AJ40" s="1399">
        <v>0</v>
      </c>
      <c r="AK40" s="1399">
        <v>0</v>
      </c>
      <c r="AL40" s="1169"/>
      <c r="AM40" s="1169">
        <f>AN40+AO40</f>
        <v>0</v>
      </c>
      <c r="AN40" s="1169">
        <f>AI40*100%</f>
        <v>0</v>
      </c>
      <c r="AO40" s="1169"/>
      <c r="AP40" s="1182">
        <v>0</v>
      </c>
      <c r="AQ40" s="1169">
        <f t="shared" si="73"/>
        <v>0</v>
      </c>
      <c r="AR40" s="1169">
        <v>0</v>
      </c>
      <c r="AS40" s="1169">
        <v>0</v>
      </c>
      <c r="AT40" s="1169"/>
      <c r="AU40" s="1169">
        <f>AV40+AW40</f>
        <v>0</v>
      </c>
      <c r="AV40" s="1169">
        <f>AQ40*100%</f>
        <v>0</v>
      </c>
      <c r="AW40" s="1169"/>
      <c r="AX40" s="1182">
        <v>130</v>
      </c>
      <c r="AY40" s="1169">
        <f t="shared" si="74"/>
        <v>110</v>
      </c>
      <c r="AZ40" s="1169">
        <v>0</v>
      </c>
      <c r="BA40" s="1169">
        <v>110</v>
      </c>
      <c r="BB40" s="1169"/>
      <c r="BC40" s="1169">
        <f>BD40+BE40</f>
        <v>110</v>
      </c>
      <c r="BD40" s="1169">
        <f>AY40*100%</f>
        <v>110</v>
      </c>
      <c r="BE40" s="1169"/>
      <c r="BF40" s="1182">
        <v>40</v>
      </c>
      <c r="BG40" s="1169">
        <f t="shared" si="75"/>
        <v>20</v>
      </c>
      <c r="BH40" s="1169">
        <v>0</v>
      </c>
      <c r="BI40" s="1169">
        <v>20</v>
      </c>
      <c r="BJ40" s="1169"/>
      <c r="BK40" s="1169">
        <f>BL40+BM40</f>
        <v>20</v>
      </c>
      <c r="BL40" s="1169">
        <f>BG40*100%</f>
        <v>20</v>
      </c>
      <c r="BM40" s="1169"/>
      <c r="BN40" s="1182">
        <v>220</v>
      </c>
      <c r="BO40" s="1169">
        <f t="shared" si="76"/>
        <v>0</v>
      </c>
      <c r="BP40" s="1169">
        <v>0</v>
      </c>
      <c r="BQ40" s="1169">
        <v>0</v>
      </c>
      <c r="BR40" s="1169"/>
      <c r="BS40" s="1169">
        <f>BT40+BU40</f>
        <v>0</v>
      </c>
      <c r="BT40" s="1169">
        <f>BO40*100%</f>
        <v>0</v>
      </c>
      <c r="BU40" s="1169"/>
      <c r="BV40" s="1182">
        <v>20</v>
      </c>
      <c r="BW40" s="1169">
        <f t="shared" si="77"/>
        <v>0</v>
      </c>
      <c r="BX40" s="1169">
        <v>0</v>
      </c>
      <c r="BY40" s="1169">
        <v>0</v>
      </c>
      <c r="BZ40" s="1169"/>
      <c r="CA40" s="1169">
        <f>CB40+CC40</f>
        <v>0</v>
      </c>
      <c r="CB40" s="1169">
        <f>BW40*100%</f>
        <v>0</v>
      </c>
      <c r="CC40" s="1169"/>
      <c r="CD40" s="1182">
        <v>100</v>
      </c>
      <c r="CE40" s="1169">
        <f t="shared" si="78"/>
        <v>30</v>
      </c>
      <c r="CF40" s="1169">
        <v>0</v>
      </c>
      <c r="CG40" s="1169">
        <v>30</v>
      </c>
      <c r="CH40" s="1169"/>
      <c r="CI40" s="1169">
        <f>CJ40+CK40</f>
        <v>30</v>
      </c>
      <c r="CJ40" s="1169">
        <f>CE40*100%</f>
        <v>30</v>
      </c>
      <c r="CK40" s="1169"/>
      <c r="CL40" s="1182">
        <v>0</v>
      </c>
      <c r="CM40" s="1169">
        <f t="shared" si="79"/>
        <v>0</v>
      </c>
      <c r="CN40" s="1169">
        <v>0</v>
      </c>
      <c r="CO40" s="1169">
        <v>0</v>
      </c>
      <c r="CP40" s="1169"/>
      <c r="CQ40" s="1169">
        <f>CR40+CS40</f>
        <v>0</v>
      </c>
      <c r="CR40" s="1169">
        <f>CM40*100%</f>
        <v>0</v>
      </c>
      <c r="CS40" s="1169"/>
      <c r="CT40" s="1124"/>
      <c r="CU40" s="1124"/>
      <c r="CV40" s="1153"/>
      <c r="CW40" s="1153"/>
      <c r="CX40" s="1153"/>
      <c r="CY40" s="1153"/>
      <c r="CZ40" s="1124"/>
      <c r="DA40" s="1124"/>
      <c r="DB40" s="1124"/>
      <c r="DC40" s="1124"/>
      <c r="DD40" s="1124"/>
    </row>
    <row r="41" spans="1:108" ht="16.5" hidden="1" customHeight="1" outlineLevel="1">
      <c r="A41" s="1183" t="s">
        <v>281</v>
      </c>
      <c r="B41" s="1184" t="s">
        <v>385</v>
      </c>
      <c r="C41" s="1180" t="s">
        <v>524</v>
      </c>
      <c r="D41" s="1185"/>
      <c r="E41" s="1185">
        <f>F41+G41</f>
        <v>1</v>
      </c>
      <c r="F41" s="1185"/>
      <c r="G41" s="1185">
        <v>1</v>
      </c>
      <c r="H41" s="1169">
        <f>IF(E41=0,P41/L41*100,IF(K41=0,0,P41/K41*100))</f>
        <v>0</v>
      </c>
      <c r="I41" s="1169">
        <f>R41+Z41+AH41+AP41+AX41+BF41+BN41+BV41+CD41+CL41</f>
        <v>0</v>
      </c>
      <c r="J41" s="1169"/>
      <c r="K41" s="1169">
        <f t="shared" si="81"/>
        <v>0</v>
      </c>
      <c r="L41" s="1169">
        <f t="shared" si="81"/>
        <v>0</v>
      </c>
      <c r="M41" s="1169">
        <f t="shared" si="81"/>
        <v>0</v>
      </c>
      <c r="N41" s="1169"/>
      <c r="O41" s="1169">
        <f>K41-N41</f>
        <v>0</v>
      </c>
      <c r="P41" s="1169">
        <f>O41-Q41</f>
        <v>0</v>
      </c>
      <c r="Q41" s="1169">
        <f>Y41+AG41+AO41+AW41+BE41+BM41+BU41+CC41+CK41+CS41</f>
        <v>0</v>
      </c>
      <c r="R41" s="1186">
        <v>0</v>
      </c>
      <c r="S41" s="1169">
        <f t="shared" si="70"/>
        <v>0</v>
      </c>
      <c r="T41" s="1169">
        <v>0</v>
      </c>
      <c r="U41" s="1169">
        <v>0</v>
      </c>
      <c r="V41" s="1169"/>
      <c r="W41" s="1169">
        <f>X41+Y41</f>
        <v>0</v>
      </c>
      <c r="X41" s="1169"/>
      <c r="Y41" s="1169">
        <f>S41*100%</f>
        <v>0</v>
      </c>
      <c r="Z41" s="1182">
        <v>0</v>
      </c>
      <c r="AA41" s="1169">
        <f t="shared" si="71"/>
        <v>0</v>
      </c>
      <c r="AB41" s="1169">
        <v>0</v>
      </c>
      <c r="AC41" s="1169">
        <v>0</v>
      </c>
      <c r="AD41" s="1169"/>
      <c r="AE41" s="1169">
        <f>AF41+AG41</f>
        <v>0</v>
      </c>
      <c r="AF41" s="1169"/>
      <c r="AG41" s="1169">
        <f>AA41*100%</f>
        <v>0</v>
      </c>
      <c r="AH41" s="1182">
        <v>0</v>
      </c>
      <c r="AI41" s="1399">
        <f t="shared" si="72"/>
        <v>0</v>
      </c>
      <c r="AJ41" s="1399">
        <v>0</v>
      </c>
      <c r="AK41" s="1399">
        <v>0</v>
      </c>
      <c r="AL41" s="1169"/>
      <c r="AM41" s="1169">
        <f>AN41+AO41</f>
        <v>0</v>
      </c>
      <c r="AN41" s="1169"/>
      <c r="AO41" s="1169">
        <f>AI41*100%</f>
        <v>0</v>
      </c>
      <c r="AP41" s="1182">
        <v>0</v>
      </c>
      <c r="AQ41" s="1169">
        <f t="shared" si="73"/>
        <v>0</v>
      </c>
      <c r="AR41" s="1169">
        <v>0</v>
      </c>
      <c r="AS41" s="1169">
        <v>0</v>
      </c>
      <c r="AT41" s="1169"/>
      <c r="AU41" s="1169">
        <f>AV41+AW41</f>
        <v>0</v>
      </c>
      <c r="AV41" s="1169"/>
      <c r="AW41" s="1169">
        <f>AQ41*100%</f>
        <v>0</v>
      </c>
      <c r="AX41" s="1182">
        <v>0</v>
      </c>
      <c r="AY41" s="1169">
        <f t="shared" si="74"/>
        <v>0</v>
      </c>
      <c r="AZ41" s="1169">
        <v>0</v>
      </c>
      <c r="BA41" s="1169">
        <v>0</v>
      </c>
      <c r="BB41" s="1169"/>
      <c r="BC41" s="1169">
        <f>BD41+BE41</f>
        <v>0</v>
      </c>
      <c r="BD41" s="1169"/>
      <c r="BE41" s="1169">
        <f>AY41*100%</f>
        <v>0</v>
      </c>
      <c r="BF41" s="1182">
        <v>0</v>
      </c>
      <c r="BG41" s="1169">
        <f t="shared" si="75"/>
        <v>0</v>
      </c>
      <c r="BH41" s="1169">
        <v>0</v>
      </c>
      <c r="BI41" s="1169">
        <v>0</v>
      </c>
      <c r="BJ41" s="1169"/>
      <c r="BK41" s="1169">
        <f>BL41+BM41</f>
        <v>0</v>
      </c>
      <c r="BL41" s="1169"/>
      <c r="BM41" s="1169">
        <f>BG41*100%</f>
        <v>0</v>
      </c>
      <c r="BN41" s="1182">
        <v>0</v>
      </c>
      <c r="BO41" s="1169">
        <f t="shared" si="76"/>
        <v>0</v>
      </c>
      <c r="BP41" s="1169">
        <v>0</v>
      </c>
      <c r="BQ41" s="1169">
        <v>0</v>
      </c>
      <c r="BR41" s="1169"/>
      <c r="BS41" s="1169">
        <f>BT41+BU41</f>
        <v>0</v>
      </c>
      <c r="BT41" s="1169"/>
      <c r="BU41" s="1169">
        <f>BO41*100%</f>
        <v>0</v>
      </c>
      <c r="BV41" s="1182">
        <v>0</v>
      </c>
      <c r="BW41" s="1169">
        <f t="shared" si="77"/>
        <v>0</v>
      </c>
      <c r="BX41" s="1169">
        <v>0</v>
      </c>
      <c r="BY41" s="1169">
        <v>0</v>
      </c>
      <c r="BZ41" s="1169"/>
      <c r="CA41" s="1169">
        <f>CB41+CC41</f>
        <v>0</v>
      </c>
      <c r="CB41" s="1169"/>
      <c r="CC41" s="1169">
        <f>BW41*100%</f>
        <v>0</v>
      </c>
      <c r="CD41" s="1182">
        <v>0</v>
      </c>
      <c r="CE41" s="1169">
        <f t="shared" si="78"/>
        <v>0</v>
      </c>
      <c r="CF41" s="1169">
        <v>0</v>
      </c>
      <c r="CG41" s="1169">
        <v>0</v>
      </c>
      <c r="CH41" s="1169"/>
      <c r="CI41" s="1169">
        <f>CJ41+CK41</f>
        <v>0</v>
      </c>
      <c r="CJ41" s="1169"/>
      <c r="CK41" s="1169">
        <f>CE41*100%</f>
        <v>0</v>
      </c>
      <c r="CL41" s="1182">
        <v>0</v>
      </c>
      <c r="CM41" s="1169">
        <f t="shared" si="79"/>
        <v>0</v>
      </c>
      <c r="CN41" s="1169">
        <v>0</v>
      </c>
      <c r="CO41" s="1169">
        <v>0</v>
      </c>
      <c r="CP41" s="1169"/>
      <c r="CQ41" s="1169">
        <f>CR41+CS41</f>
        <v>0</v>
      </c>
      <c r="CR41" s="1169"/>
      <c r="CS41" s="1169">
        <f>CM41*100%</f>
        <v>0</v>
      </c>
      <c r="CZ41" s="1124"/>
      <c r="DA41" s="1124"/>
      <c r="DB41" s="1124"/>
      <c r="DC41" s="1124"/>
      <c r="DD41" s="1124"/>
    </row>
    <row r="42" spans="1:108" ht="16.5" customHeight="1" collapsed="1">
      <c r="A42" s="1183" t="s">
        <v>281</v>
      </c>
      <c r="B42" s="1184" t="s">
        <v>386</v>
      </c>
      <c r="C42" s="1184" t="s">
        <v>525</v>
      </c>
      <c r="D42" s="1196"/>
      <c r="E42" s="1185">
        <f>F42+G42</f>
        <v>1</v>
      </c>
      <c r="F42" s="1185"/>
      <c r="G42" s="1185">
        <v>1</v>
      </c>
      <c r="H42" s="1169">
        <f>IF(E42=0,P42/L42*100,IF(K42=0,0,P42/K42*100))</f>
        <v>0</v>
      </c>
      <c r="I42" s="1169">
        <f>R42+Z42+AH42+AP42+AX42+BF42+BN42+BV42+CD42+CL42</f>
        <v>400</v>
      </c>
      <c r="J42" s="1169"/>
      <c r="K42" s="1169">
        <f t="shared" si="81"/>
        <v>340</v>
      </c>
      <c r="L42" s="1169">
        <f t="shared" si="81"/>
        <v>270</v>
      </c>
      <c r="M42" s="1169">
        <f t="shared" si="81"/>
        <v>70</v>
      </c>
      <c r="N42" s="1169"/>
      <c r="O42" s="1169">
        <f>K42-N42</f>
        <v>340</v>
      </c>
      <c r="P42" s="1169">
        <f>O42-Q42</f>
        <v>0</v>
      </c>
      <c r="Q42" s="1169">
        <f>Y42+AG42+AO42+AW42+BE42+BM42+BU42+CC42+CK42+CS42</f>
        <v>340</v>
      </c>
      <c r="R42" s="1196">
        <v>250</v>
      </c>
      <c r="S42" s="1169">
        <f t="shared" si="70"/>
        <v>80</v>
      </c>
      <c r="T42" s="1169">
        <f>T39-T40-T41</f>
        <v>80</v>
      </c>
      <c r="U42" s="1169">
        <f>U39-U40-U41</f>
        <v>0</v>
      </c>
      <c r="V42" s="1169"/>
      <c r="W42" s="1169">
        <f>X42+Y42</f>
        <v>80</v>
      </c>
      <c r="X42" s="1169"/>
      <c r="Y42" s="1169">
        <f>S42*100%</f>
        <v>80</v>
      </c>
      <c r="Z42" s="1197">
        <v>90</v>
      </c>
      <c r="AA42" s="1169">
        <f t="shared" si="71"/>
        <v>80</v>
      </c>
      <c r="AB42" s="1169">
        <f>AB39-AB40-AB41</f>
        <v>70</v>
      </c>
      <c r="AC42" s="1169">
        <f>AC39-AC40-AC41</f>
        <v>10</v>
      </c>
      <c r="AD42" s="1169"/>
      <c r="AE42" s="1169">
        <f>AF42+AG42</f>
        <v>80</v>
      </c>
      <c r="AF42" s="1169"/>
      <c r="AG42" s="1169">
        <f>AA42*100%</f>
        <v>80</v>
      </c>
      <c r="AH42" s="1197">
        <v>50</v>
      </c>
      <c r="AI42" s="1399">
        <f t="shared" si="72"/>
        <v>40</v>
      </c>
      <c r="AJ42" s="1399">
        <f>AJ39-AJ40-AJ41</f>
        <v>40</v>
      </c>
      <c r="AK42" s="1399">
        <f>AK39-AK40-AK41</f>
        <v>0</v>
      </c>
      <c r="AL42" s="1169"/>
      <c r="AM42" s="1169">
        <f>AN42+AO42</f>
        <v>40</v>
      </c>
      <c r="AN42" s="1169"/>
      <c r="AO42" s="1169">
        <f>AI42*100%</f>
        <v>40</v>
      </c>
      <c r="AP42" s="1197">
        <v>0</v>
      </c>
      <c r="AQ42" s="1169">
        <f t="shared" si="73"/>
        <v>20</v>
      </c>
      <c r="AR42" s="1169">
        <f>AR39-AR40-AR41</f>
        <v>0</v>
      </c>
      <c r="AS42" s="1169">
        <f>AS39-AS40-AS41</f>
        <v>20</v>
      </c>
      <c r="AT42" s="1169"/>
      <c r="AU42" s="1169">
        <f>AV42+AW42</f>
        <v>20</v>
      </c>
      <c r="AV42" s="1169"/>
      <c r="AW42" s="1169">
        <f>AQ42*100%</f>
        <v>20</v>
      </c>
      <c r="AX42" s="1197">
        <v>10</v>
      </c>
      <c r="AY42" s="1169">
        <f t="shared" si="74"/>
        <v>10</v>
      </c>
      <c r="AZ42" s="1169">
        <f>AZ39-AZ40-AZ41</f>
        <v>0</v>
      </c>
      <c r="BA42" s="1169">
        <f>BA39-BA40-BA41</f>
        <v>10</v>
      </c>
      <c r="BB42" s="1169"/>
      <c r="BC42" s="1169">
        <f>BD42+BE42</f>
        <v>10</v>
      </c>
      <c r="BD42" s="1169"/>
      <c r="BE42" s="1169">
        <f>AY42*100%</f>
        <v>10</v>
      </c>
      <c r="BF42" s="1197">
        <v>0</v>
      </c>
      <c r="BG42" s="1169">
        <f t="shared" si="75"/>
        <v>0</v>
      </c>
      <c r="BH42" s="1169">
        <f>BH39-BH40-BH41</f>
        <v>0</v>
      </c>
      <c r="BI42" s="1169">
        <f>BI39-BI40-BI41</f>
        <v>0</v>
      </c>
      <c r="BJ42" s="1169"/>
      <c r="BK42" s="1169">
        <f>BL42+BM42</f>
        <v>0</v>
      </c>
      <c r="BL42" s="1169"/>
      <c r="BM42" s="1169">
        <f>BG42*100%</f>
        <v>0</v>
      </c>
      <c r="BN42" s="1197">
        <v>0</v>
      </c>
      <c r="BO42" s="1169">
        <f t="shared" si="76"/>
        <v>80</v>
      </c>
      <c r="BP42" s="1169">
        <f>BP39-BP40-BP41</f>
        <v>80</v>
      </c>
      <c r="BQ42" s="1169">
        <f>BQ39-BQ40-BQ41</f>
        <v>0</v>
      </c>
      <c r="BR42" s="1169"/>
      <c r="BS42" s="1169">
        <f>BT42+BU42</f>
        <v>80</v>
      </c>
      <c r="BT42" s="1169"/>
      <c r="BU42" s="1169">
        <f>BO42*100%</f>
        <v>80</v>
      </c>
      <c r="BV42" s="1197">
        <v>0</v>
      </c>
      <c r="BW42" s="1169">
        <f t="shared" si="77"/>
        <v>20</v>
      </c>
      <c r="BX42" s="1169">
        <f>BX39-BX40-BX41</f>
        <v>0</v>
      </c>
      <c r="BY42" s="1169">
        <f>BY39-BY40-BY41</f>
        <v>20</v>
      </c>
      <c r="BZ42" s="1169"/>
      <c r="CA42" s="1169">
        <f>CB42+CC42</f>
        <v>20</v>
      </c>
      <c r="CB42" s="1169"/>
      <c r="CC42" s="1169">
        <f>BW42*100%</f>
        <v>20</v>
      </c>
      <c r="CD42" s="1197">
        <v>0</v>
      </c>
      <c r="CE42" s="1169">
        <f t="shared" si="78"/>
        <v>10</v>
      </c>
      <c r="CF42" s="1169">
        <f>CF39-CF40-CF41</f>
        <v>0</v>
      </c>
      <c r="CG42" s="1169">
        <f>CG39-CG40-CG41</f>
        <v>10</v>
      </c>
      <c r="CH42" s="1169"/>
      <c r="CI42" s="1169">
        <f>CJ42+CK42</f>
        <v>10</v>
      </c>
      <c r="CJ42" s="1169"/>
      <c r="CK42" s="1169">
        <f>CE42*100%</f>
        <v>10</v>
      </c>
      <c r="CL42" s="1182">
        <v>0</v>
      </c>
      <c r="CM42" s="1169">
        <f t="shared" si="79"/>
        <v>0</v>
      </c>
      <c r="CN42" s="1169">
        <f>CN39-CN40-CN41</f>
        <v>0</v>
      </c>
      <c r="CO42" s="1169">
        <f>CO39-CO40-CO41</f>
        <v>0</v>
      </c>
      <c r="CP42" s="1169"/>
      <c r="CQ42" s="1169">
        <f>CR42+CS42</f>
        <v>0</v>
      </c>
      <c r="CR42" s="1169"/>
      <c r="CS42" s="1169">
        <f>CM42*100%</f>
        <v>0</v>
      </c>
      <c r="CZ42" s="1124"/>
      <c r="DA42" s="1124"/>
      <c r="DB42" s="1124"/>
      <c r="DC42" s="1124"/>
      <c r="DD42" s="1124"/>
    </row>
    <row r="43" spans="1:108" ht="16.5" customHeight="1">
      <c r="A43" s="1179" t="s">
        <v>59</v>
      </c>
      <c r="B43" s="1180" t="s">
        <v>1396</v>
      </c>
      <c r="C43" s="1184" t="s">
        <v>526</v>
      </c>
      <c r="D43" s="1156"/>
      <c r="E43" s="1156"/>
      <c r="F43" s="1156"/>
      <c r="G43" s="1156"/>
      <c r="H43" s="1169"/>
      <c r="I43" s="1181">
        <f>I44+I45+I46+I49+I50</f>
        <v>6000</v>
      </c>
      <c r="J43" s="1181">
        <f t="shared" ref="J43:CC43" si="82">J44+J45+J46+J49+J50</f>
        <v>1000</v>
      </c>
      <c r="K43" s="1181">
        <f t="shared" si="82"/>
        <v>1000</v>
      </c>
      <c r="L43" s="1181">
        <f t="shared" si="82"/>
        <v>1000</v>
      </c>
      <c r="M43" s="1181">
        <f t="shared" si="82"/>
        <v>0</v>
      </c>
      <c r="N43" s="1181"/>
      <c r="O43" s="1181">
        <f t="shared" si="82"/>
        <v>1000</v>
      </c>
      <c r="P43" s="1181">
        <f t="shared" si="82"/>
        <v>850.4</v>
      </c>
      <c r="Q43" s="1181">
        <f t="shared" si="82"/>
        <v>149.6</v>
      </c>
      <c r="R43" s="1181">
        <v>3000</v>
      </c>
      <c r="S43" s="1181">
        <f t="shared" si="82"/>
        <v>950</v>
      </c>
      <c r="T43" s="1181">
        <f t="shared" si="82"/>
        <v>950</v>
      </c>
      <c r="U43" s="1181">
        <f t="shared" si="82"/>
        <v>0</v>
      </c>
      <c r="V43" s="1181">
        <f t="shared" si="82"/>
        <v>0</v>
      </c>
      <c r="W43" s="1181">
        <f t="shared" si="82"/>
        <v>949.6</v>
      </c>
      <c r="X43" s="1181">
        <f t="shared" si="82"/>
        <v>807.5</v>
      </c>
      <c r="Y43" s="1181">
        <f t="shared" si="82"/>
        <v>142.1</v>
      </c>
      <c r="Z43" s="1182">
        <v>0</v>
      </c>
      <c r="AA43" s="1181">
        <f>AA44+AA45+AA46+AA49+AA50</f>
        <v>0</v>
      </c>
      <c r="AB43" s="1181">
        <f>AB44+AB45+AB46+AB49+AB50</f>
        <v>0</v>
      </c>
      <c r="AC43" s="1181">
        <f>AC44+AC45+AC46+AC49+AC50</f>
        <v>0</v>
      </c>
      <c r="AD43" s="1181">
        <f t="shared" si="82"/>
        <v>0</v>
      </c>
      <c r="AE43" s="1181">
        <f t="shared" si="82"/>
        <v>0</v>
      </c>
      <c r="AF43" s="1181">
        <f t="shared" si="82"/>
        <v>0</v>
      </c>
      <c r="AG43" s="1181">
        <f t="shared" si="82"/>
        <v>0</v>
      </c>
      <c r="AH43" s="1182">
        <v>0</v>
      </c>
      <c r="AI43" s="1398">
        <f>AI44+AI45+AI46+AI49+AI50</f>
        <v>0</v>
      </c>
      <c r="AJ43" s="1398">
        <f>AJ44+AJ45+AJ46+AJ49+AJ50</f>
        <v>0</v>
      </c>
      <c r="AK43" s="1398">
        <f>AK44+AK45+AK46+AK49+AK50</f>
        <v>0</v>
      </c>
      <c r="AL43" s="1181">
        <f t="shared" si="82"/>
        <v>0</v>
      </c>
      <c r="AM43" s="1181">
        <f t="shared" si="82"/>
        <v>0</v>
      </c>
      <c r="AN43" s="1181">
        <f t="shared" si="82"/>
        <v>0</v>
      </c>
      <c r="AO43" s="1181">
        <f t="shared" si="82"/>
        <v>0</v>
      </c>
      <c r="AP43" s="1182">
        <v>0</v>
      </c>
      <c r="AQ43" s="1181">
        <f>AQ44+AQ45+AQ46+AQ49+AQ50</f>
        <v>0</v>
      </c>
      <c r="AR43" s="1181">
        <f>AR44+AR45+AR46+AR49+AR50</f>
        <v>0</v>
      </c>
      <c r="AS43" s="1181">
        <f>AS44+AS45+AS46+AS49+AS50</f>
        <v>0</v>
      </c>
      <c r="AT43" s="1181">
        <f t="shared" si="82"/>
        <v>0</v>
      </c>
      <c r="AU43" s="1181">
        <f t="shared" si="82"/>
        <v>0</v>
      </c>
      <c r="AV43" s="1181">
        <f t="shared" si="82"/>
        <v>0</v>
      </c>
      <c r="AW43" s="1181">
        <f t="shared" si="82"/>
        <v>0</v>
      </c>
      <c r="AX43" s="1182">
        <v>0</v>
      </c>
      <c r="AY43" s="1181">
        <f>AY44+AY45+AY46+AY49+AY50</f>
        <v>0</v>
      </c>
      <c r="AZ43" s="1181">
        <f>AZ44+AZ45+AZ46+AZ49+AZ50</f>
        <v>0</v>
      </c>
      <c r="BA43" s="1181">
        <f>BA44+BA45+BA46+BA49+BA50</f>
        <v>0</v>
      </c>
      <c r="BB43" s="1181">
        <f t="shared" si="82"/>
        <v>0</v>
      </c>
      <c r="BC43" s="1181">
        <f t="shared" si="82"/>
        <v>0</v>
      </c>
      <c r="BD43" s="1181">
        <f t="shared" si="82"/>
        <v>0</v>
      </c>
      <c r="BE43" s="1181">
        <f t="shared" si="82"/>
        <v>0</v>
      </c>
      <c r="BF43" s="1182">
        <v>0</v>
      </c>
      <c r="BG43" s="1181">
        <f>BG44+BG45+BG46+BG49+BG50</f>
        <v>0</v>
      </c>
      <c r="BH43" s="1181">
        <f>BH44+BH45+BH46+BH49+BH50</f>
        <v>0</v>
      </c>
      <c r="BI43" s="1181">
        <f>BI44+BI45+BI46+BI49+BI50</f>
        <v>0</v>
      </c>
      <c r="BJ43" s="1181">
        <f t="shared" si="82"/>
        <v>0</v>
      </c>
      <c r="BK43" s="1181">
        <f t="shared" si="82"/>
        <v>0</v>
      </c>
      <c r="BL43" s="1181">
        <f t="shared" si="82"/>
        <v>0</v>
      </c>
      <c r="BM43" s="1181">
        <f t="shared" si="82"/>
        <v>0</v>
      </c>
      <c r="BN43" s="1182">
        <v>0</v>
      </c>
      <c r="BO43" s="1181">
        <f>BO44+BO45+BO46+BO49+BO50</f>
        <v>0</v>
      </c>
      <c r="BP43" s="1181">
        <f>BP44+BP45+BP46+BP49+BP50</f>
        <v>0</v>
      </c>
      <c r="BQ43" s="1181">
        <f>BQ44+BQ45+BQ46+BQ49+BQ50</f>
        <v>0</v>
      </c>
      <c r="BR43" s="1181">
        <f t="shared" si="82"/>
        <v>0</v>
      </c>
      <c r="BS43" s="1181">
        <f t="shared" si="82"/>
        <v>0</v>
      </c>
      <c r="BT43" s="1181">
        <f t="shared" si="82"/>
        <v>0</v>
      </c>
      <c r="BU43" s="1181">
        <f t="shared" si="82"/>
        <v>0</v>
      </c>
      <c r="BV43" s="1182">
        <v>0</v>
      </c>
      <c r="BW43" s="1181">
        <f>BW44+BW45+BW46+BW49+BW50</f>
        <v>0</v>
      </c>
      <c r="BX43" s="1181">
        <f>BX44+BX45+BX46+BX49+BX50</f>
        <v>0</v>
      </c>
      <c r="BY43" s="1181">
        <f>BY44+BY45+BY46+BY49+BY50</f>
        <v>0</v>
      </c>
      <c r="BZ43" s="1181">
        <f t="shared" si="82"/>
        <v>0</v>
      </c>
      <c r="CA43" s="1181">
        <f t="shared" si="82"/>
        <v>0</v>
      </c>
      <c r="CB43" s="1181">
        <f t="shared" si="82"/>
        <v>0</v>
      </c>
      <c r="CC43" s="1181">
        <f t="shared" si="82"/>
        <v>0</v>
      </c>
      <c r="CD43" s="1182">
        <v>3000</v>
      </c>
      <c r="CE43" s="1181">
        <f>CE44+CE45+CE46+CE49+CE50</f>
        <v>50</v>
      </c>
      <c r="CF43" s="1181">
        <f>CF44+CF45+CF46+CF49+CF50</f>
        <v>50</v>
      </c>
      <c r="CG43" s="1181">
        <f>CG44+CG45+CG46+CG49+CG50</f>
        <v>0</v>
      </c>
      <c r="CH43" s="1181">
        <f t="shared" ref="CH43:CS43" si="83">CH44+CH45+CH46+CH49+CH50</f>
        <v>0</v>
      </c>
      <c r="CI43" s="1181">
        <f t="shared" si="83"/>
        <v>50</v>
      </c>
      <c r="CJ43" s="1181">
        <f t="shared" si="83"/>
        <v>42.5</v>
      </c>
      <c r="CK43" s="1181">
        <f t="shared" si="83"/>
        <v>7.5</v>
      </c>
      <c r="CL43" s="1182">
        <v>0</v>
      </c>
      <c r="CM43" s="1181">
        <f>CM44+CM45+CM46+CM49+CM50</f>
        <v>0</v>
      </c>
      <c r="CN43" s="1181">
        <f>CN44+CN45+CN46+CN49+CN50</f>
        <v>0</v>
      </c>
      <c r="CO43" s="1181">
        <f>CO44+CO45+CO46+CO49+CO50</f>
        <v>0</v>
      </c>
      <c r="CP43" s="1181">
        <f t="shared" si="83"/>
        <v>0</v>
      </c>
      <c r="CQ43" s="1181">
        <f t="shared" si="83"/>
        <v>0</v>
      </c>
      <c r="CR43" s="1181">
        <f t="shared" si="83"/>
        <v>0</v>
      </c>
      <c r="CS43" s="1181">
        <f t="shared" si="83"/>
        <v>0</v>
      </c>
      <c r="CT43" s="1124"/>
      <c r="CU43" s="1124"/>
      <c r="CV43" s="1153"/>
      <c r="CW43" s="1153"/>
      <c r="CX43" s="1153"/>
      <c r="CY43" s="1153"/>
      <c r="CZ43" s="1124"/>
      <c r="DA43" s="1124"/>
      <c r="DB43" s="1124"/>
      <c r="DC43" s="1124"/>
      <c r="DD43" s="1124"/>
    </row>
    <row r="44" spans="1:108" ht="16.5" customHeight="1">
      <c r="A44" s="1183" t="s">
        <v>285</v>
      </c>
      <c r="B44" s="1184" t="s">
        <v>379</v>
      </c>
      <c r="C44" s="1180" t="s">
        <v>527</v>
      </c>
      <c r="D44" s="1185"/>
      <c r="E44" s="1185">
        <f>F44+G44</f>
        <v>1</v>
      </c>
      <c r="F44" s="1185">
        <v>0.85</v>
      </c>
      <c r="G44" s="1185">
        <v>0.15</v>
      </c>
      <c r="H44" s="1169">
        <f>IF(E44=0,P44/L44*100,IF(K44=0,0,P44/K44*100))</f>
        <v>85</v>
      </c>
      <c r="I44" s="1169">
        <f>R44+Z44+AH44+AP44+AX44+BF44+BN44+BV44+CD44+CL44</f>
        <v>2000</v>
      </c>
      <c r="J44" s="1169">
        <v>500</v>
      </c>
      <c r="K44" s="1169">
        <f t="shared" ref="K44:M45" si="84">S44+AA44+AI44+AQ44+AY44+BG44+BO44+BW44+CE44+CM44</f>
        <v>500</v>
      </c>
      <c r="L44" s="1169">
        <f t="shared" si="84"/>
        <v>500</v>
      </c>
      <c r="M44" s="1169">
        <f t="shared" si="84"/>
        <v>0</v>
      </c>
      <c r="N44" s="1169"/>
      <c r="O44" s="1169">
        <f>K44-N44</f>
        <v>500</v>
      </c>
      <c r="P44" s="1169">
        <f>O44-Q44</f>
        <v>425</v>
      </c>
      <c r="Q44" s="1169">
        <f>Y44+AG44+AO44+AW44+BE44+BM44+BU44+CC44+CK44+CS44</f>
        <v>75</v>
      </c>
      <c r="R44" s="1186">
        <v>1000</v>
      </c>
      <c r="S44" s="1169">
        <f>T44+U44</f>
        <v>500</v>
      </c>
      <c r="T44" s="1169">
        <v>500</v>
      </c>
      <c r="U44" s="1169">
        <v>0</v>
      </c>
      <c r="V44" s="1169"/>
      <c r="W44" s="1169">
        <f>X44+Y44</f>
        <v>500</v>
      </c>
      <c r="X44" s="1169">
        <f>S44*85%</f>
        <v>425</v>
      </c>
      <c r="Y44" s="1169">
        <f>S44*15%</f>
        <v>75</v>
      </c>
      <c r="Z44" s="1182">
        <v>0</v>
      </c>
      <c r="AA44" s="1169">
        <f>AB44+AC44</f>
        <v>0</v>
      </c>
      <c r="AB44" s="1169">
        <v>0</v>
      </c>
      <c r="AC44" s="1169">
        <v>0</v>
      </c>
      <c r="AD44" s="1169"/>
      <c r="AE44" s="1169">
        <f>AF44+AG44</f>
        <v>0</v>
      </c>
      <c r="AF44" s="1169">
        <f>AA44*85%</f>
        <v>0</v>
      </c>
      <c r="AG44" s="1169">
        <f>AA44*15%</f>
        <v>0</v>
      </c>
      <c r="AH44" s="1182">
        <v>0</v>
      </c>
      <c r="AI44" s="1399">
        <f>AJ44+AK44</f>
        <v>0</v>
      </c>
      <c r="AJ44" s="1399">
        <v>0</v>
      </c>
      <c r="AK44" s="1399">
        <v>0</v>
      </c>
      <c r="AL44" s="1169"/>
      <c r="AM44" s="1169">
        <f>AN44+AO44</f>
        <v>0</v>
      </c>
      <c r="AN44" s="1169">
        <f>AI44*85%</f>
        <v>0</v>
      </c>
      <c r="AO44" s="1169">
        <f>AI44*15%</f>
        <v>0</v>
      </c>
      <c r="AP44" s="1182">
        <v>0</v>
      </c>
      <c r="AQ44" s="1169">
        <f>AR44+AS44</f>
        <v>0</v>
      </c>
      <c r="AR44" s="1169">
        <v>0</v>
      </c>
      <c r="AS44" s="1169">
        <v>0</v>
      </c>
      <c r="AT44" s="1169"/>
      <c r="AU44" s="1169">
        <f>AV44+AW44</f>
        <v>0</v>
      </c>
      <c r="AV44" s="1169">
        <f>AQ44*85%</f>
        <v>0</v>
      </c>
      <c r="AW44" s="1169">
        <f>AQ44*15%</f>
        <v>0</v>
      </c>
      <c r="AX44" s="1182">
        <v>0</v>
      </c>
      <c r="AY44" s="1169">
        <f>AZ44+BA44</f>
        <v>0</v>
      </c>
      <c r="AZ44" s="1169">
        <v>0</v>
      </c>
      <c r="BA44" s="1169">
        <v>0</v>
      </c>
      <c r="BB44" s="1169"/>
      <c r="BC44" s="1169">
        <f>BD44+BE44</f>
        <v>0</v>
      </c>
      <c r="BD44" s="1169">
        <f>AY44*85%</f>
        <v>0</v>
      </c>
      <c r="BE44" s="1169">
        <f>AY44*15%</f>
        <v>0</v>
      </c>
      <c r="BF44" s="1182">
        <v>0</v>
      </c>
      <c r="BG44" s="1169">
        <f>BH44+BI44</f>
        <v>0</v>
      </c>
      <c r="BH44" s="1169">
        <v>0</v>
      </c>
      <c r="BI44" s="1169">
        <v>0</v>
      </c>
      <c r="BJ44" s="1169"/>
      <c r="BK44" s="1169">
        <f>BL44+BM44</f>
        <v>0</v>
      </c>
      <c r="BL44" s="1169">
        <f>BG44*85%</f>
        <v>0</v>
      </c>
      <c r="BM44" s="1169">
        <f>BG44*15%</f>
        <v>0</v>
      </c>
      <c r="BN44" s="1182">
        <v>0</v>
      </c>
      <c r="BO44" s="1169">
        <f>BP44+BQ44</f>
        <v>0</v>
      </c>
      <c r="BP44" s="1169">
        <v>0</v>
      </c>
      <c r="BQ44" s="1169">
        <v>0</v>
      </c>
      <c r="BR44" s="1169"/>
      <c r="BS44" s="1169">
        <f>BT44+BU44</f>
        <v>0</v>
      </c>
      <c r="BT44" s="1169">
        <f>BO44*85%</f>
        <v>0</v>
      </c>
      <c r="BU44" s="1169">
        <f>BO44*15%</f>
        <v>0</v>
      </c>
      <c r="BV44" s="1182">
        <v>0</v>
      </c>
      <c r="BW44" s="1169">
        <f>BX44+BY44</f>
        <v>0</v>
      </c>
      <c r="BX44" s="1169">
        <v>0</v>
      </c>
      <c r="BY44" s="1169">
        <v>0</v>
      </c>
      <c r="BZ44" s="1169"/>
      <c r="CA44" s="1169">
        <f>CB44+CC44</f>
        <v>0</v>
      </c>
      <c r="CB44" s="1169">
        <f>BW44*85%</f>
        <v>0</v>
      </c>
      <c r="CC44" s="1169">
        <f>BW44*15%</f>
        <v>0</v>
      </c>
      <c r="CD44" s="1182">
        <v>1000</v>
      </c>
      <c r="CE44" s="1169">
        <f>CF44+CG44</f>
        <v>0</v>
      </c>
      <c r="CF44" s="1169">
        <v>0</v>
      </c>
      <c r="CG44" s="1169">
        <v>0</v>
      </c>
      <c r="CH44" s="1169"/>
      <c r="CI44" s="1169">
        <f>CJ44+CK44</f>
        <v>0</v>
      </c>
      <c r="CJ44" s="1169">
        <f>CE44*85%</f>
        <v>0</v>
      </c>
      <c r="CK44" s="1169">
        <f>CE44*15%</f>
        <v>0</v>
      </c>
      <c r="CL44" s="1182">
        <v>0</v>
      </c>
      <c r="CM44" s="1169">
        <f>CN44+CO44</f>
        <v>0</v>
      </c>
      <c r="CN44" s="1169">
        <v>0</v>
      </c>
      <c r="CO44" s="1169">
        <v>0</v>
      </c>
      <c r="CP44" s="1169"/>
      <c r="CQ44" s="1169">
        <f>CR44+CS44</f>
        <v>0</v>
      </c>
      <c r="CR44" s="1169">
        <f>CM44*85%</f>
        <v>0</v>
      </c>
      <c r="CS44" s="1169">
        <f>CM44*15%</f>
        <v>0</v>
      </c>
      <c r="CZ44" s="1124"/>
      <c r="DA44" s="1124"/>
      <c r="DB44" s="1124"/>
      <c r="DC44" s="1124"/>
      <c r="DD44" s="1124"/>
    </row>
    <row r="45" spans="1:108" ht="16.5" customHeight="1">
      <c r="A45" s="1183" t="s">
        <v>289</v>
      </c>
      <c r="B45" s="1184" t="s">
        <v>389</v>
      </c>
      <c r="C45" s="1184" t="s">
        <v>528</v>
      </c>
      <c r="D45" s="1185"/>
      <c r="E45" s="1185">
        <f>F45+G45</f>
        <v>1</v>
      </c>
      <c r="F45" s="1185">
        <v>0.85</v>
      </c>
      <c r="G45" s="1185">
        <v>0.15</v>
      </c>
      <c r="H45" s="1169">
        <f>IF(E45=0,P45/L45*100,IF(K45=0,0,P45/K45*100))</f>
        <v>85.08</v>
      </c>
      <c r="I45" s="1169">
        <f>R45+Z45+AH45+AP45+AX45+BF45+BN45+BV45+CD45+CL45</f>
        <v>4000</v>
      </c>
      <c r="J45" s="1169">
        <v>500</v>
      </c>
      <c r="K45" s="1169">
        <f t="shared" si="84"/>
        <v>500</v>
      </c>
      <c r="L45" s="1169">
        <f t="shared" si="84"/>
        <v>500</v>
      </c>
      <c r="M45" s="1169">
        <f t="shared" si="84"/>
        <v>0</v>
      </c>
      <c r="N45" s="1169"/>
      <c r="O45" s="1169">
        <f>K45-N45</f>
        <v>500</v>
      </c>
      <c r="P45" s="1169">
        <f>O45-Q45</f>
        <v>425.4</v>
      </c>
      <c r="Q45" s="1169">
        <f>Y45+AG45+AO45+AW45+BE45+BM45+BU45+CC45+CK45+CS45</f>
        <v>74.599999999999994</v>
      </c>
      <c r="R45" s="1186">
        <v>2000</v>
      </c>
      <c r="S45" s="1169">
        <f>T45+U45</f>
        <v>450</v>
      </c>
      <c r="T45" s="1169">
        <v>450</v>
      </c>
      <c r="U45" s="1169">
        <v>0</v>
      </c>
      <c r="V45" s="1169"/>
      <c r="W45" s="1169">
        <f>X45+Y45</f>
        <v>449.6</v>
      </c>
      <c r="X45" s="1169">
        <f>S45*85%</f>
        <v>382.5</v>
      </c>
      <c r="Y45" s="1169">
        <f>S45*15%-0.4</f>
        <v>67.099999999999994</v>
      </c>
      <c r="Z45" s="1182">
        <v>0</v>
      </c>
      <c r="AA45" s="1169">
        <f>AB45+AC45</f>
        <v>0</v>
      </c>
      <c r="AB45" s="1169">
        <v>0</v>
      </c>
      <c r="AC45" s="1169">
        <v>0</v>
      </c>
      <c r="AD45" s="1169"/>
      <c r="AE45" s="1169">
        <f>AF45+AG45</f>
        <v>0</v>
      </c>
      <c r="AF45" s="1169">
        <f>AA45*85%</f>
        <v>0</v>
      </c>
      <c r="AG45" s="1169">
        <f>AA45*15%</f>
        <v>0</v>
      </c>
      <c r="AH45" s="1182">
        <v>0</v>
      </c>
      <c r="AI45" s="1399">
        <f>AJ45+AK45</f>
        <v>0</v>
      </c>
      <c r="AJ45" s="1399">
        <v>0</v>
      </c>
      <c r="AK45" s="1399">
        <v>0</v>
      </c>
      <c r="AL45" s="1169"/>
      <c r="AM45" s="1169">
        <f>AN45+AO45</f>
        <v>0</v>
      </c>
      <c r="AN45" s="1169">
        <f>AI45*85%</f>
        <v>0</v>
      </c>
      <c r="AO45" s="1169">
        <f>AI45*15%</f>
        <v>0</v>
      </c>
      <c r="AP45" s="1182">
        <v>0</v>
      </c>
      <c r="AQ45" s="1169">
        <f>AR45+AS45</f>
        <v>0</v>
      </c>
      <c r="AR45" s="1169">
        <v>0</v>
      </c>
      <c r="AS45" s="1169">
        <v>0</v>
      </c>
      <c r="AT45" s="1169"/>
      <c r="AU45" s="1169">
        <f>AV45+AW45</f>
        <v>0</v>
      </c>
      <c r="AV45" s="1169">
        <f>AQ45*85%</f>
        <v>0</v>
      </c>
      <c r="AW45" s="1169">
        <f>AQ45*15%</f>
        <v>0</v>
      </c>
      <c r="AX45" s="1182">
        <v>0</v>
      </c>
      <c r="AY45" s="1169">
        <f>AZ45+BA45</f>
        <v>0</v>
      </c>
      <c r="AZ45" s="1169">
        <v>0</v>
      </c>
      <c r="BA45" s="1169">
        <v>0</v>
      </c>
      <c r="BB45" s="1169"/>
      <c r="BC45" s="1169">
        <f>BD45+BE45</f>
        <v>0</v>
      </c>
      <c r="BD45" s="1169">
        <f>AY45*85%</f>
        <v>0</v>
      </c>
      <c r="BE45" s="1169">
        <f>AY45*15%</f>
        <v>0</v>
      </c>
      <c r="BF45" s="1182">
        <v>0</v>
      </c>
      <c r="BG45" s="1169">
        <f>BH45+BI45</f>
        <v>0</v>
      </c>
      <c r="BH45" s="1169">
        <v>0</v>
      </c>
      <c r="BI45" s="1169">
        <v>0</v>
      </c>
      <c r="BJ45" s="1169"/>
      <c r="BK45" s="1169">
        <f>BL45+BM45</f>
        <v>0</v>
      </c>
      <c r="BL45" s="1169">
        <f>BG45*85%</f>
        <v>0</v>
      </c>
      <c r="BM45" s="1169">
        <f>BG45*15%</f>
        <v>0</v>
      </c>
      <c r="BN45" s="1182">
        <v>0</v>
      </c>
      <c r="BO45" s="1169">
        <f>BP45+BQ45</f>
        <v>0</v>
      </c>
      <c r="BP45" s="1169">
        <v>0</v>
      </c>
      <c r="BQ45" s="1169">
        <v>0</v>
      </c>
      <c r="BR45" s="1169"/>
      <c r="BS45" s="1169">
        <f>BT45+BU45</f>
        <v>0</v>
      </c>
      <c r="BT45" s="1169">
        <f>BO45*85%</f>
        <v>0</v>
      </c>
      <c r="BU45" s="1169">
        <f>BO45*15%</f>
        <v>0</v>
      </c>
      <c r="BV45" s="1182">
        <v>0</v>
      </c>
      <c r="BW45" s="1169">
        <f>BX45+BY45</f>
        <v>0</v>
      </c>
      <c r="BX45" s="1169">
        <v>0</v>
      </c>
      <c r="BY45" s="1169">
        <v>0</v>
      </c>
      <c r="BZ45" s="1169"/>
      <c r="CA45" s="1169">
        <f>CB45+CC45</f>
        <v>0</v>
      </c>
      <c r="CB45" s="1169">
        <f>BW45*85%</f>
        <v>0</v>
      </c>
      <c r="CC45" s="1169">
        <f>BW45*15%</f>
        <v>0</v>
      </c>
      <c r="CD45" s="1182">
        <v>2000</v>
      </c>
      <c r="CE45" s="1169">
        <f>CF45+CG45</f>
        <v>50</v>
      </c>
      <c r="CF45" s="1169">
        <v>50</v>
      </c>
      <c r="CG45" s="1169">
        <v>0</v>
      </c>
      <c r="CH45" s="1169"/>
      <c r="CI45" s="1169">
        <f>CJ45+CK45</f>
        <v>50</v>
      </c>
      <c r="CJ45" s="1169">
        <f>CE45*85%</f>
        <v>42.5</v>
      </c>
      <c r="CK45" s="1169">
        <f>CE45*15%</f>
        <v>7.5</v>
      </c>
      <c r="CL45" s="1182">
        <v>0</v>
      </c>
      <c r="CM45" s="1169">
        <f>CN45+CO45</f>
        <v>0</v>
      </c>
      <c r="CN45" s="1169">
        <v>0</v>
      </c>
      <c r="CO45" s="1169">
        <v>0</v>
      </c>
      <c r="CP45" s="1169"/>
      <c r="CQ45" s="1169">
        <f>CR45+CS45</f>
        <v>0</v>
      </c>
      <c r="CR45" s="1169">
        <f>CM45*85%</f>
        <v>0</v>
      </c>
      <c r="CS45" s="1169">
        <f>CM45*15%</f>
        <v>0</v>
      </c>
      <c r="CZ45" s="1124"/>
      <c r="DA45" s="1124"/>
      <c r="DB45" s="1124"/>
      <c r="DC45" s="1124"/>
      <c r="DD45" s="1124"/>
    </row>
    <row r="46" spans="1:108" ht="16.5" hidden="1" customHeight="1" outlineLevel="1">
      <c r="A46" s="1183" t="s">
        <v>291</v>
      </c>
      <c r="B46" s="1184" t="s">
        <v>382</v>
      </c>
      <c r="C46" s="1180" t="s">
        <v>529</v>
      </c>
      <c r="D46" s="1185"/>
      <c r="E46" s="1185"/>
      <c r="F46" s="1185"/>
      <c r="G46" s="1185"/>
      <c r="H46" s="1169"/>
      <c r="I46" s="1169">
        <f>I47+I48</f>
        <v>0</v>
      </c>
      <c r="J46" s="1169">
        <f>J47+J48</f>
        <v>0</v>
      </c>
      <c r="K46" s="1169">
        <f t="shared" ref="K46:CC46" si="85">K47+K48</f>
        <v>0</v>
      </c>
      <c r="L46" s="1169">
        <f t="shared" si="85"/>
        <v>0</v>
      </c>
      <c r="M46" s="1169">
        <f t="shared" si="85"/>
        <v>0</v>
      </c>
      <c r="N46" s="1169"/>
      <c r="O46" s="1169">
        <f t="shared" si="85"/>
        <v>0</v>
      </c>
      <c r="P46" s="1169">
        <f t="shared" si="85"/>
        <v>0</v>
      </c>
      <c r="Q46" s="1169">
        <f t="shared" si="85"/>
        <v>0</v>
      </c>
      <c r="R46" s="1169">
        <v>0</v>
      </c>
      <c r="S46" s="1169">
        <f t="shared" si="85"/>
        <v>0</v>
      </c>
      <c r="T46" s="1169">
        <f t="shared" si="85"/>
        <v>0</v>
      </c>
      <c r="U46" s="1169">
        <f t="shared" si="85"/>
        <v>0</v>
      </c>
      <c r="V46" s="1169">
        <f t="shared" si="85"/>
        <v>0</v>
      </c>
      <c r="W46" s="1169">
        <f t="shared" si="85"/>
        <v>0</v>
      </c>
      <c r="X46" s="1169">
        <f t="shared" si="85"/>
        <v>0</v>
      </c>
      <c r="Y46" s="1169">
        <f t="shared" si="85"/>
        <v>0</v>
      </c>
      <c r="Z46" s="1182">
        <v>0</v>
      </c>
      <c r="AA46" s="1169">
        <f>AA47+AA48</f>
        <v>0</v>
      </c>
      <c r="AB46" s="1169">
        <f>AB47+AB48</f>
        <v>0</v>
      </c>
      <c r="AC46" s="1169">
        <f>AC47+AC48</f>
        <v>0</v>
      </c>
      <c r="AD46" s="1169">
        <f t="shared" si="85"/>
        <v>0</v>
      </c>
      <c r="AE46" s="1169">
        <f t="shared" si="85"/>
        <v>0</v>
      </c>
      <c r="AF46" s="1169">
        <f t="shared" si="85"/>
        <v>0</v>
      </c>
      <c r="AG46" s="1169">
        <f t="shared" si="85"/>
        <v>0</v>
      </c>
      <c r="AH46" s="1182">
        <v>0</v>
      </c>
      <c r="AI46" s="1399">
        <f>AI47+AI48</f>
        <v>0</v>
      </c>
      <c r="AJ46" s="1399">
        <f>AJ47+AJ48</f>
        <v>0</v>
      </c>
      <c r="AK46" s="1399">
        <f>AK47+AK48</f>
        <v>0</v>
      </c>
      <c r="AL46" s="1169">
        <f t="shared" si="85"/>
        <v>0</v>
      </c>
      <c r="AM46" s="1169">
        <f t="shared" si="85"/>
        <v>0</v>
      </c>
      <c r="AN46" s="1169">
        <f t="shared" si="85"/>
        <v>0</v>
      </c>
      <c r="AO46" s="1169">
        <f t="shared" si="85"/>
        <v>0</v>
      </c>
      <c r="AP46" s="1182">
        <v>0</v>
      </c>
      <c r="AQ46" s="1169">
        <f>AQ47+AQ48</f>
        <v>0</v>
      </c>
      <c r="AR46" s="1169">
        <f>AR47+AR48</f>
        <v>0</v>
      </c>
      <c r="AS46" s="1169">
        <f>AS47+AS48</f>
        <v>0</v>
      </c>
      <c r="AT46" s="1169">
        <f t="shared" si="85"/>
        <v>0</v>
      </c>
      <c r="AU46" s="1169">
        <f t="shared" si="85"/>
        <v>0</v>
      </c>
      <c r="AV46" s="1169">
        <f t="shared" si="85"/>
        <v>0</v>
      </c>
      <c r="AW46" s="1169">
        <f t="shared" si="85"/>
        <v>0</v>
      </c>
      <c r="AX46" s="1182">
        <v>0</v>
      </c>
      <c r="AY46" s="1169">
        <f>AY47+AY48</f>
        <v>0</v>
      </c>
      <c r="AZ46" s="1169">
        <f>AZ47+AZ48</f>
        <v>0</v>
      </c>
      <c r="BA46" s="1169">
        <f>BA47+BA48</f>
        <v>0</v>
      </c>
      <c r="BB46" s="1169">
        <f t="shared" si="85"/>
        <v>0</v>
      </c>
      <c r="BC46" s="1169">
        <f t="shared" si="85"/>
        <v>0</v>
      </c>
      <c r="BD46" s="1169">
        <f t="shared" si="85"/>
        <v>0</v>
      </c>
      <c r="BE46" s="1169">
        <f t="shared" si="85"/>
        <v>0</v>
      </c>
      <c r="BF46" s="1182">
        <v>0</v>
      </c>
      <c r="BG46" s="1169">
        <f>BG47+BG48</f>
        <v>0</v>
      </c>
      <c r="BH46" s="1169">
        <f>BH47+BH48</f>
        <v>0</v>
      </c>
      <c r="BI46" s="1169">
        <f>BI47+BI48</f>
        <v>0</v>
      </c>
      <c r="BJ46" s="1169">
        <f t="shared" si="85"/>
        <v>0</v>
      </c>
      <c r="BK46" s="1169">
        <f t="shared" si="85"/>
        <v>0</v>
      </c>
      <c r="BL46" s="1169">
        <f t="shared" si="85"/>
        <v>0</v>
      </c>
      <c r="BM46" s="1169">
        <f t="shared" si="85"/>
        <v>0</v>
      </c>
      <c r="BN46" s="1182">
        <v>0</v>
      </c>
      <c r="BO46" s="1169">
        <f>BO47+BO48</f>
        <v>0</v>
      </c>
      <c r="BP46" s="1169">
        <f>BP47+BP48</f>
        <v>0</v>
      </c>
      <c r="BQ46" s="1169">
        <f>BQ47+BQ48</f>
        <v>0</v>
      </c>
      <c r="BR46" s="1169">
        <f t="shared" si="85"/>
        <v>0</v>
      </c>
      <c r="BS46" s="1169">
        <f t="shared" si="85"/>
        <v>0</v>
      </c>
      <c r="BT46" s="1169">
        <f t="shared" si="85"/>
        <v>0</v>
      </c>
      <c r="BU46" s="1169">
        <f t="shared" si="85"/>
        <v>0</v>
      </c>
      <c r="BV46" s="1182">
        <v>0</v>
      </c>
      <c r="BW46" s="1169">
        <f>BW47+BW48</f>
        <v>0</v>
      </c>
      <c r="BX46" s="1169">
        <f>BX47+BX48</f>
        <v>0</v>
      </c>
      <c r="BY46" s="1169">
        <f>BY47+BY48</f>
        <v>0</v>
      </c>
      <c r="BZ46" s="1169">
        <f t="shared" si="85"/>
        <v>0</v>
      </c>
      <c r="CA46" s="1169">
        <f t="shared" si="85"/>
        <v>0</v>
      </c>
      <c r="CB46" s="1169">
        <f t="shared" si="85"/>
        <v>0</v>
      </c>
      <c r="CC46" s="1169">
        <f t="shared" si="85"/>
        <v>0</v>
      </c>
      <c r="CD46" s="1182">
        <v>0</v>
      </c>
      <c r="CE46" s="1169">
        <f>CE47+CE48</f>
        <v>0</v>
      </c>
      <c r="CF46" s="1169">
        <f>CF47+CF48</f>
        <v>0</v>
      </c>
      <c r="CG46" s="1169">
        <f>CG47+CG48</f>
        <v>0</v>
      </c>
      <c r="CH46" s="1169">
        <f t="shared" ref="CH46:CS46" si="86">CH47+CH48</f>
        <v>0</v>
      </c>
      <c r="CI46" s="1169">
        <f t="shared" si="86"/>
        <v>0</v>
      </c>
      <c r="CJ46" s="1169">
        <f t="shared" si="86"/>
        <v>0</v>
      </c>
      <c r="CK46" s="1169">
        <f t="shared" si="86"/>
        <v>0</v>
      </c>
      <c r="CL46" s="1182">
        <v>0</v>
      </c>
      <c r="CM46" s="1169">
        <f>CM47+CM48</f>
        <v>0</v>
      </c>
      <c r="CN46" s="1169">
        <f>CN47+CN48</f>
        <v>0</v>
      </c>
      <c r="CO46" s="1169">
        <f>CO47+CO48</f>
        <v>0</v>
      </c>
      <c r="CP46" s="1169">
        <f t="shared" si="86"/>
        <v>0</v>
      </c>
      <c r="CQ46" s="1169">
        <f t="shared" si="86"/>
        <v>0</v>
      </c>
      <c r="CR46" s="1169">
        <f t="shared" si="86"/>
        <v>0</v>
      </c>
      <c r="CS46" s="1169">
        <f t="shared" si="86"/>
        <v>0</v>
      </c>
      <c r="CT46" s="1124"/>
      <c r="CU46" s="1124"/>
      <c r="CV46" s="1153"/>
      <c r="CW46" s="1153"/>
      <c r="CX46" s="1153"/>
      <c r="CY46" s="1153"/>
      <c r="CZ46" s="1124"/>
      <c r="DA46" s="1124"/>
      <c r="DB46" s="1124"/>
      <c r="DC46" s="1124"/>
      <c r="DD46" s="1124"/>
    </row>
    <row r="47" spans="1:108" ht="16.5" hidden="1" customHeight="1" outlineLevel="1">
      <c r="A47" s="1183" t="s">
        <v>281</v>
      </c>
      <c r="B47" s="1184" t="s">
        <v>384</v>
      </c>
      <c r="C47" s="1184" t="s">
        <v>530</v>
      </c>
      <c r="D47" s="1185"/>
      <c r="E47" s="1185">
        <f>F47+G47</f>
        <v>1</v>
      </c>
      <c r="F47" s="1185">
        <v>1</v>
      </c>
      <c r="G47" s="1185"/>
      <c r="H47" s="1169">
        <f>IF(E47=0,P47/L47*100,IF(K47=0,0,P47/K47*100))</f>
        <v>0</v>
      </c>
      <c r="I47" s="1169">
        <f>R47+Z47+AH47+AP47+AX47+BF47+BN47+BV47+CD47+CL47</f>
        <v>0</v>
      </c>
      <c r="J47" s="1169">
        <v>0</v>
      </c>
      <c r="K47" s="1169">
        <f t="shared" ref="K47:M50" si="87">S47+AA47+AI47+AQ47+AY47+BG47+BO47+BW47+CE47+CM47</f>
        <v>0</v>
      </c>
      <c r="L47" s="1169">
        <f t="shared" si="87"/>
        <v>0</v>
      </c>
      <c r="M47" s="1169">
        <f t="shared" si="87"/>
        <v>0</v>
      </c>
      <c r="N47" s="1169"/>
      <c r="O47" s="1169">
        <f>K47-N47</f>
        <v>0</v>
      </c>
      <c r="P47" s="1169">
        <f>O47-Q47</f>
        <v>0</v>
      </c>
      <c r="Q47" s="1169">
        <f>Y47+AG47+AO47+AW47+BE47+BM47+BU47+CC47+CK47+CS47</f>
        <v>0</v>
      </c>
      <c r="R47" s="1186">
        <v>0</v>
      </c>
      <c r="S47" s="1169">
        <f>T47+U47</f>
        <v>0</v>
      </c>
      <c r="T47" s="1169">
        <v>0</v>
      </c>
      <c r="U47" s="1169">
        <v>0</v>
      </c>
      <c r="V47" s="1169"/>
      <c r="W47" s="1169">
        <f>X47+Y47</f>
        <v>0</v>
      </c>
      <c r="X47" s="1169">
        <f>S47*100%</f>
        <v>0</v>
      </c>
      <c r="Y47" s="1169"/>
      <c r="Z47" s="1182">
        <v>0</v>
      </c>
      <c r="AA47" s="1169">
        <f>AB47+AC47</f>
        <v>0</v>
      </c>
      <c r="AB47" s="1169">
        <v>0</v>
      </c>
      <c r="AC47" s="1169">
        <v>0</v>
      </c>
      <c r="AD47" s="1169"/>
      <c r="AE47" s="1169">
        <f>AF47+AG47</f>
        <v>0</v>
      </c>
      <c r="AF47" s="1169">
        <f>AA47*100%</f>
        <v>0</v>
      </c>
      <c r="AG47" s="1169"/>
      <c r="AH47" s="1182">
        <v>0</v>
      </c>
      <c r="AI47" s="1399">
        <f>AJ47+AK47</f>
        <v>0</v>
      </c>
      <c r="AJ47" s="1399">
        <v>0</v>
      </c>
      <c r="AK47" s="1399">
        <v>0</v>
      </c>
      <c r="AL47" s="1169"/>
      <c r="AM47" s="1169">
        <f>AN47+AO47</f>
        <v>0</v>
      </c>
      <c r="AN47" s="1169">
        <f>AI47*100%</f>
        <v>0</v>
      </c>
      <c r="AO47" s="1169"/>
      <c r="AP47" s="1182">
        <v>0</v>
      </c>
      <c r="AQ47" s="1169">
        <f>AR47+AS47</f>
        <v>0</v>
      </c>
      <c r="AR47" s="1169">
        <v>0</v>
      </c>
      <c r="AS47" s="1169">
        <v>0</v>
      </c>
      <c r="AT47" s="1169"/>
      <c r="AU47" s="1169">
        <f>AV47+AW47</f>
        <v>0</v>
      </c>
      <c r="AV47" s="1169">
        <f>AQ47*100%</f>
        <v>0</v>
      </c>
      <c r="AW47" s="1169"/>
      <c r="AX47" s="1182">
        <v>0</v>
      </c>
      <c r="AY47" s="1169">
        <f>AZ47+BA47</f>
        <v>0</v>
      </c>
      <c r="AZ47" s="1169">
        <v>0</v>
      </c>
      <c r="BA47" s="1169">
        <v>0</v>
      </c>
      <c r="BB47" s="1169"/>
      <c r="BC47" s="1169">
        <f>BD47+BE47</f>
        <v>0</v>
      </c>
      <c r="BD47" s="1169">
        <f>AY47*100%</f>
        <v>0</v>
      </c>
      <c r="BE47" s="1169"/>
      <c r="BF47" s="1182">
        <v>0</v>
      </c>
      <c r="BG47" s="1169">
        <f>BH47+BI47</f>
        <v>0</v>
      </c>
      <c r="BH47" s="1169">
        <v>0</v>
      </c>
      <c r="BI47" s="1169">
        <v>0</v>
      </c>
      <c r="BJ47" s="1169"/>
      <c r="BK47" s="1169">
        <f>BL47+BM47</f>
        <v>0</v>
      </c>
      <c r="BL47" s="1169">
        <f>BG47*100%</f>
        <v>0</v>
      </c>
      <c r="BM47" s="1169"/>
      <c r="BN47" s="1182">
        <v>0</v>
      </c>
      <c r="BO47" s="1169">
        <f>BP47+BQ47</f>
        <v>0</v>
      </c>
      <c r="BP47" s="1169">
        <v>0</v>
      </c>
      <c r="BQ47" s="1169">
        <v>0</v>
      </c>
      <c r="BR47" s="1169"/>
      <c r="BS47" s="1169">
        <f>BT47+BU47</f>
        <v>0</v>
      </c>
      <c r="BT47" s="1169">
        <f>BO47*100%</f>
        <v>0</v>
      </c>
      <c r="BU47" s="1169"/>
      <c r="BV47" s="1182">
        <v>0</v>
      </c>
      <c r="BW47" s="1169">
        <f>BX47+BY47</f>
        <v>0</v>
      </c>
      <c r="BX47" s="1169">
        <v>0</v>
      </c>
      <c r="BY47" s="1169">
        <v>0</v>
      </c>
      <c r="BZ47" s="1169"/>
      <c r="CA47" s="1169">
        <f>CB47+CC47</f>
        <v>0</v>
      </c>
      <c r="CB47" s="1169">
        <f>BW47*100%</f>
        <v>0</v>
      </c>
      <c r="CC47" s="1169"/>
      <c r="CD47" s="1182">
        <v>0</v>
      </c>
      <c r="CE47" s="1169">
        <f>CF47+CG47</f>
        <v>0</v>
      </c>
      <c r="CF47" s="1169">
        <v>0</v>
      </c>
      <c r="CG47" s="1169">
        <v>0</v>
      </c>
      <c r="CH47" s="1169"/>
      <c r="CI47" s="1169">
        <f>CJ47+CK47</f>
        <v>0</v>
      </c>
      <c r="CJ47" s="1169">
        <f>CE47*100%</f>
        <v>0</v>
      </c>
      <c r="CK47" s="1169"/>
      <c r="CL47" s="1182">
        <v>0</v>
      </c>
      <c r="CM47" s="1169">
        <f>CN47+CO47</f>
        <v>0</v>
      </c>
      <c r="CN47" s="1169">
        <v>0</v>
      </c>
      <c r="CO47" s="1169">
        <v>0</v>
      </c>
      <c r="CP47" s="1169"/>
      <c r="CQ47" s="1169">
        <f>CR47+CS47</f>
        <v>0</v>
      </c>
      <c r="CR47" s="1169">
        <f>CM47*100%</f>
        <v>0</v>
      </c>
      <c r="CS47" s="1169"/>
      <c r="CT47" s="1124"/>
      <c r="CU47" s="1124"/>
      <c r="CV47" s="1153"/>
      <c r="CW47" s="1153"/>
      <c r="CX47" s="1153"/>
      <c r="CY47" s="1153"/>
      <c r="CZ47" s="1124"/>
      <c r="DA47" s="1124"/>
      <c r="DB47" s="1124"/>
      <c r="DC47" s="1124"/>
      <c r="DD47" s="1124"/>
    </row>
    <row r="48" spans="1:108" ht="16.5" hidden="1" customHeight="1" outlineLevel="1">
      <c r="A48" s="1183" t="s">
        <v>281</v>
      </c>
      <c r="B48" s="1184" t="s">
        <v>386</v>
      </c>
      <c r="C48" s="1180" t="s">
        <v>531</v>
      </c>
      <c r="D48" s="1185"/>
      <c r="E48" s="1185">
        <f>F48+G48</f>
        <v>1</v>
      </c>
      <c r="F48" s="1185"/>
      <c r="G48" s="1185">
        <v>1</v>
      </c>
      <c r="H48" s="1169">
        <f>IF(E48=0,P48/L48*100,IF(K48=0,0,P48/K48*100))</f>
        <v>0</v>
      </c>
      <c r="I48" s="1169">
        <f>R48+Z48+AH48+AP48+AX48+BF48+BN48+BV48+CD48+CL48</f>
        <v>0</v>
      </c>
      <c r="J48" s="1169">
        <v>0</v>
      </c>
      <c r="K48" s="1169">
        <f t="shared" si="87"/>
        <v>0</v>
      </c>
      <c r="L48" s="1169">
        <f t="shared" si="87"/>
        <v>0</v>
      </c>
      <c r="M48" s="1169">
        <f t="shared" si="87"/>
        <v>0</v>
      </c>
      <c r="N48" s="1169"/>
      <c r="O48" s="1169">
        <f>K48-N48</f>
        <v>0</v>
      </c>
      <c r="P48" s="1169">
        <f>O48-Q48</f>
        <v>0</v>
      </c>
      <c r="Q48" s="1169">
        <f>Y48+AG48+AO48+AW48+BE48+BM48+BU48+CC48+CK48+CS48</f>
        <v>0</v>
      </c>
      <c r="R48" s="1186">
        <v>0</v>
      </c>
      <c r="S48" s="1169">
        <f>T48+U48</f>
        <v>0</v>
      </c>
      <c r="T48" s="1169">
        <v>0</v>
      </c>
      <c r="U48" s="1169">
        <v>0</v>
      </c>
      <c r="V48" s="1169"/>
      <c r="W48" s="1169">
        <f>X48+Y48</f>
        <v>0</v>
      </c>
      <c r="X48" s="1169"/>
      <c r="Y48" s="1169">
        <f>S48*100%</f>
        <v>0</v>
      </c>
      <c r="Z48" s="1182">
        <v>0</v>
      </c>
      <c r="AA48" s="1169">
        <f>AB48+AC48</f>
        <v>0</v>
      </c>
      <c r="AB48" s="1169">
        <v>0</v>
      </c>
      <c r="AC48" s="1169">
        <v>0</v>
      </c>
      <c r="AD48" s="1169"/>
      <c r="AE48" s="1169">
        <f>AF48+AG48</f>
        <v>0</v>
      </c>
      <c r="AF48" s="1169"/>
      <c r="AG48" s="1169">
        <f>AA48*100%</f>
        <v>0</v>
      </c>
      <c r="AH48" s="1182">
        <v>0</v>
      </c>
      <c r="AI48" s="1399">
        <f>AJ48+AK48</f>
        <v>0</v>
      </c>
      <c r="AJ48" s="1399">
        <v>0</v>
      </c>
      <c r="AK48" s="1399">
        <v>0</v>
      </c>
      <c r="AL48" s="1169"/>
      <c r="AM48" s="1169">
        <f>AN48+AO48</f>
        <v>0</v>
      </c>
      <c r="AN48" s="1169"/>
      <c r="AO48" s="1169">
        <f>AI48*100%</f>
        <v>0</v>
      </c>
      <c r="AP48" s="1182">
        <v>0</v>
      </c>
      <c r="AQ48" s="1169">
        <f>AR48+AS48</f>
        <v>0</v>
      </c>
      <c r="AR48" s="1169">
        <v>0</v>
      </c>
      <c r="AS48" s="1169">
        <v>0</v>
      </c>
      <c r="AT48" s="1169"/>
      <c r="AU48" s="1169">
        <f>AV48+AW48</f>
        <v>0</v>
      </c>
      <c r="AV48" s="1169"/>
      <c r="AW48" s="1169">
        <f>AQ48*100%</f>
        <v>0</v>
      </c>
      <c r="AX48" s="1182">
        <v>0</v>
      </c>
      <c r="AY48" s="1169">
        <f>AZ48+BA48</f>
        <v>0</v>
      </c>
      <c r="AZ48" s="1169">
        <v>0</v>
      </c>
      <c r="BA48" s="1169">
        <v>0</v>
      </c>
      <c r="BB48" s="1169"/>
      <c r="BC48" s="1169">
        <f>BD48+BE48</f>
        <v>0</v>
      </c>
      <c r="BD48" s="1169"/>
      <c r="BE48" s="1169">
        <f>AY48*100%</f>
        <v>0</v>
      </c>
      <c r="BF48" s="1182">
        <v>0</v>
      </c>
      <c r="BG48" s="1169">
        <f>BH48+BI48</f>
        <v>0</v>
      </c>
      <c r="BH48" s="1169">
        <v>0</v>
      </c>
      <c r="BI48" s="1169">
        <v>0</v>
      </c>
      <c r="BJ48" s="1169"/>
      <c r="BK48" s="1169">
        <f>BL48+BM48</f>
        <v>0</v>
      </c>
      <c r="BL48" s="1169"/>
      <c r="BM48" s="1169">
        <f>BG48*100%</f>
        <v>0</v>
      </c>
      <c r="BN48" s="1182">
        <v>0</v>
      </c>
      <c r="BO48" s="1169">
        <f>BP48+BQ48</f>
        <v>0</v>
      </c>
      <c r="BP48" s="1169">
        <v>0</v>
      </c>
      <c r="BQ48" s="1169">
        <v>0</v>
      </c>
      <c r="BR48" s="1169"/>
      <c r="BS48" s="1169">
        <f>BT48+BU48</f>
        <v>0</v>
      </c>
      <c r="BT48" s="1169"/>
      <c r="BU48" s="1169">
        <f>BO48*100%</f>
        <v>0</v>
      </c>
      <c r="BV48" s="1182">
        <v>0</v>
      </c>
      <c r="BW48" s="1169">
        <f>BX48+BY48</f>
        <v>0</v>
      </c>
      <c r="BX48" s="1169">
        <v>0</v>
      </c>
      <c r="BY48" s="1169">
        <v>0</v>
      </c>
      <c r="BZ48" s="1169"/>
      <c r="CA48" s="1169">
        <f>CB48+CC48</f>
        <v>0</v>
      </c>
      <c r="CB48" s="1169"/>
      <c r="CC48" s="1169">
        <f>BW48*100%</f>
        <v>0</v>
      </c>
      <c r="CD48" s="1182">
        <v>0</v>
      </c>
      <c r="CE48" s="1169">
        <f>CF48+CG48</f>
        <v>0</v>
      </c>
      <c r="CF48" s="1169">
        <v>0</v>
      </c>
      <c r="CG48" s="1169">
        <v>0</v>
      </c>
      <c r="CH48" s="1169"/>
      <c r="CI48" s="1169">
        <f>CJ48+CK48</f>
        <v>0</v>
      </c>
      <c r="CJ48" s="1169"/>
      <c r="CK48" s="1169">
        <f>CE48*100%</f>
        <v>0</v>
      </c>
      <c r="CL48" s="1182">
        <v>0</v>
      </c>
      <c r="CM48" s="1169">
        <f>CN48+CO48</f>
        <v>0</v>
      </c>
      <c r="CN48" s="1169">
        <v>0</v>
      </c>
      <c r="CO48" s="1169">
        <v>0</v>
      </c>
      <c r="CP48" s="1169"/>
      <c r="CQ48" s="1169">
        <f>CR48+CS48</f>
        <v>0</v>
      </c>
      <c r="CR48" s="1169"/>
      <c r="CS48" s="1169">
        <f>CM48*100%</f>
        <v>0</v>
      </c>
      <c r="CZ48" s="1124"/>
      <c r="DA48" s="1124"/>
      <c r="DB48" s="1124"/>
      <c r="DC48" s="1124"/>
      <c r="DD48" s="1124"/>
    </row>
    <row r="49" spans="1:108" ht="16.5" hidden="1" customHeight="1" outlineLevel="1">
      <c r="A49" s="1183" t="s">
        <v>293</v>
      </c>
      <c r="B49" s="1184" t="s">
        <v>390</v>
      </c>
      <c r="C49" s="1184" t="s">
        <v>532</v>
      </c>
      <c r="D49" s="1185"/>
      <c r="E49" s="1185">
        <f>F49+G49</f>
        <v>1</v>
      </c>
      <c r="F49" s="1185">
        <v>0.2</v>
      </c>
      <c r="G49" s="1185">
        <v>0.8</v>
      </c>
      <c r="H49" s="1169">
        <f>IF(E49=0,P49/L49*100,IF(K49=0,0,P49/K49*100))</f>
        <v>0</v>
      </c>
      <c r="I49" s="1169">
        <f>R49+Z49+AH49+AP49+AX49+BF49+BN49+BV49+CD49+CL49</f>
        <v>0</v>
      </c>
      <c r="J49" s="1169">
        <v>0</v>
      </c>
      <c r="K49" s="1169">
        <f t="shared" si="87"/>
        <v>0</v>
      </c>
      <c r="L49" s="1169">
        <f t="shared" si="87"/>
        <v>0</v>
      </c>
      <c r="M49" s="1169">
        <f t="shared" si="87"/>
        <v>0</v>
      </c>
      <c r="N49" s="1169"/>
      <c r="O49" s="1169">
        <f>K49-N49</f>
        <v>0</v>
      </c>
      <c r="P49" s="1169">
        <f>O49-Q49</f>
        <v>0</v>
      </c>
      <c r="Q49" s="1169">
        <f>Y49+AG49+AO49+AW49+BE49+BM49+BU49+CC49+CK49+CS49</f>
        <v>0</v>
      </c>
      <c r="R49" s="1186">
        <v>0</v>
      </c>
      <c r="S49" s="1169">
        <f>T49+U49</f>
        <v>0</v>
      </c>
      <c r="T49" s="1169">
        <v>0</v>
      </c>
      <c r="U49" s="1169">
        <v>0</v>
      </c>
      <c r="V49" s="1169"/>
      <c r="W49" s="1169">
        <f>X49+Y49</f>
        <v>0</v>
      </c>
      <c r="X49" s="1157">
        <f>S49*20%</f>
        <v>0</v>
      </c>
      <c r="Y49" s="1157">
        <f>S49*80%</f>
        <v>0</v>
      </c>
      <c r="Z49" s="1182">
        <v>0</v>
      </c>
      <c r="AA49" s="1169">
        <f>AB49+AC49</f>
        <v>0</v>
      </c>
      <c r="AB49" s="1169">
        <v>0</v>
      </c>
      <c r="AC49" s="1169">
        <v>0</v>
      </c>
      <c r="AD49" s="1169"/>
      <c r="AE49" s="1169">
        <f>AF49+AG49</f>
        <v>0</v>
      </c>
      <c r="AF49" s="1157">
        <f>AA49*20%</f>
        <v>0</v>
      </c>
      <c r="AG49" s="1157">
        <f>AA49*80%</f>
        <v>0</v>
      </c>
      <c r="AH49" s="1182">
        <v>0</v>
      </c>
      <c r="AI49" s="1399">
        <f>AJ49+AK49</f>
        <v>0</v>
      </c>
      <c r="AJ49" s="1399">
        <v>0</v>
      </c>
      <c r="AK49" s="1399">
        <v>0</v>
      </c>
      <c r="AL49" s="1169"/>
      <c r="AM49" s="1169">
        <f>AN49+AO49</f>
        <v>0</v>
      </c>
      <c r="AN49" s="1157">
        <f>AI49*20%</f>
        <v>0</v>
      </c>
      <c r="AO49" s="1157">
        <f>AI49*80%</f>
        <v>0</v>
      </c>
      <c r="AP49" s="1182">
        <v>0</v>
      </c>
      <c r="AQ49" s="1169">
        <f>AR49+AS49</f>
        <v>0</v>
      </c>
      <c r="AR49" s="1169">
        <v>0</v>
      </c>
      <c r="AS49" s="1169">
        <v>0</v>
      </c>
      <c r="AT49" s="1169"/>
      <c r="AU49" s="1169">
        <f>AV49+AW49</f>
        <v>0</v>
      </c>
      <c r="AV49" s="1157">
        <f>AQ49*20%</f>
        <v>0</v>
      </c>
      <c r="AW49" s="1157">
        <f>AQ49*80%</f>
        <v>0</v>
      </c>
      <c r="AX49" s="1182">
        <v>0</v>
      </c>
      <c r="AY49" s="1169">
        <f>AZ49+BA49</f>
        <v>0</v>
      </c>
      <c r="AZ49" s="1169">
        <v>0</v>
      </c>
      <c r="BA49" s="1169">
        <v>0</v>
      </c>
      <c r="BB49" s="1169"/>
      <c r="BC49" s="1169">
        <f>BD49+BE49</f>
        <v>0</v>
      </c>
      <c r="BD49" s="1157">
        <f>AY49*20%</f>
        <v>0</v>
      </c>
      <c r="BE49" s="1157">
        <f>AY49*80%</f>
        <v>0</v>
      </c>
      <c r="BF49" s="1182">
        <v>0</v>
      </c>
      <c r="BG49" s="1169">
        <f>BH49+BI49</f>
        <v>0</v>
      </c>
      <c r="BH49" s="1169">
        <v>0</v>
      </c>
      <c r="BI49" s="1169">
        <v>0</v>
      </c>
      <c r="BJ49" s="1169"/>
      <c r="BK49" s="1169">
        <f>BL49+BM49</f>
        <v>0</v>
      </c>
      <c r="BL49" s="1157">
        <f>BG49*20%</f>
        <v>0</v>
      </c>
      <c r="BM49" s="1157">
        <f>BG49*80%</f>
        <v>0</v>
      </c>
      <c r="BN49" s="1182">
        <v>0</v>
      </c>
      <c r="BO49" s="1169">
        <f>BP49+BQ49</f>
        <v>0</v>
      </c>
      <c r="BP49" s="1169">
        <v>0</v>
      </c>
      <c r="BQ49" s="1169">
        <v>0</v>
      </c>
      <c r="BR49" s="1169"/>
      <c r="BS49" s="1169">
        <f>BT49+BU49</f>
        <v>0</v>
      </c>
      <c r="BT49" s="1157">
        <f>BO49*20%</f>
        <v>0</v>
      </c>
      <c r="BU49" s="1157">
        <f>BO49*80%</f>
        <v>0</v>
      </c>
      <c r="BV49" s="1182">
        <v>0</v>
      </c>
      <c r="BW49" s="1169">
        <f>BX49+BY49</f>
        <v>0</v>
      </c>
      <c r="BX49" s="1169">
        <v>0</v>
      </c>
      <c r="BY49" s="1169">
        <v>0</v>
      </c>
      <c r="BZ49" s="1169"/>
      <c r="CA49" s="1169">
        <f>CB49+CC49</f>
        <v>0</v>
      </c>
      <c r="CB49" s="1157">
        <f>BW49*20%</f>
        <v>0</v>
      </c>
      <c r="CC49" s="1157">
        <f>BW49*80%</f>
        <v>0</v>
      </c>
      <c r="CD49" s="1182">
        <v>0</v>
      </c>
      <c r="CE49" s="1169">
        <f>CF49+CG49</f>
        <v>0</v>
      </c>
      <c r="CF49" s="1169">
        <v>0</v>
      </c>
      <c r="CG49" s="1169">
        <v>0</v>
      </c>
      <c r="CH49" s="1169"/>
      <c r="CI49" s="1169">
        <f>CJ49+CK49</f>
        <v>0</v>
      </c>
      <c r="CJ49" s="1157">
        <f>CE49*20%</f>
        <v>0</v>
      </c>
      <c r="CK49" s="1157">
        <f>CE49*80%</f>
        <v>0</v>
      </c>
      <c r="CL49" s="1182">
        <v>0</v>
      </c>
      <c r="CM49" s="1169">
        <f>CN49+CO49</f>
        <v>0</v>
      </c>
      <c r="CN49" s="1169">
        <v>0</v>
      </c>
      <c r="CO49" s="1169">
        <v>0</v>
      </c>
      <c r="CP49" s="1169"/>
      <c r="CQ49" s="1169">
        <f>CR49+CS49</f>
        <v>0</v>
      </c>
      <c r="CR49" s="1157">
        <f>CM49*20%</f>
        <v>0</v>
      </c>
      <c r="CS49" s="1157">
        <f>CM49*80%</f>
        <v>0</v>
      </c>
      <c r="CZ49" s="1124"/>
      <c r="DA49" s="1124"/>
      <c r="DB49" s="1124"/>
      <c r="DC49" s="1124"/>
      <c r="DD49" s="1124"/>
    </row>
    <row r="50" spans="1:108" ht="16.5" hidden="1" customHeight="1" outlineLevel="1">
      <c r="A50" s="1183" t="s">
        <v>295</v>
      </c>
      <c r="B50" s="1184" t="s">
        <v>391</v>
      </c>
      <c r="C50" s="1180" t="s">
        <v>533</v>
      </c>
      <c r="D50" s="1185"/>
      <c r="E50" s="1185">
        <f>F50+G50</f>
        <v>1</v>
      </c>
      <c r="F50" s="1185">
        <v>1</v>
      </c>
      <c r="G50" s="1185"/>
      <c r="H50" s="1169">
        <f>IF(E50=0,P50/L50*100,IF(K50=0,0,P50/K50*100))</f>
        <v>0</v>
      </c>
      <c r="I50" s="1169">
        <f>R50+Z50+AH50+AP50+AX50+BF50+BN50+BV50+CD50+CL50</f>
        <v>0</v>
      </c>
      <c r="J50" s="1169"/>
      <c r="K50" s="1169">
        <f t="shared" si="87"/>
        <v>0</v>
      </c>
      <c r="L50" s="1169">
        <f t="shared" si="87"/>
        <v>0</v>
      </c>
      <c r="M50" s="1169">
        <f t="shared" si="87"/>
        <v>0</v>
      </c>
      <c r="N50" s="1169"/>
      <c r="O50" s="1169">
        <f>K50-N50</f>
        <v>0</v>
      </c>
      <c r="P50" s="1169">
        <f>O50-Q50</f>
        <v>0</v>
      </c>
      <c r="Q50" s="1169">
        <f>Y50+AG50+AO50+AW50+BE50+BM50+BU50+CC50+CK50+CS50</f>
        <v>0</v>
      </c>
      <c r="R50" s="1186">
        <v>0</v>
      </c>
      <c r="S50" s="1169">
        <f>T50+U50</f>
        <v>0</v>
      </c>
      <c r="T50" s="1169">
        <v>0</v>
      </c>
      <c r="U50" s="1169">
        <v>0</v>
      </c>
      <c r="V50" s="1169"/>
      <c r="W50" s="1169">
        <f>X50+Y50</f>
        <v>0</v>
      </c>
      <c r="X50" s="1169">
        <f>S50*100%</f>
        <v>0</v>
      </c>
      <c r="Y50" s="1169"/>
      <c r="Z50" s="1182">
        <v>0</v>
      </c>
      <c r="AA50" s="1169">
        <f>AB50+AC50</f>
        <v>0</v>
      </c>
      <c r="AB50" s="1169">
        <v>0</v>
      </c>
      <c r="AC50" s="1169">
        <v>0</v>
      </c>
      <c r="AD50" s="1169"/>
      <c r="AE50" s="1169">
        <f>AF50+AG50</f>
        <v>0</v>
      </c>
      <c r="AF50" s="1169">
        <f>AA50*100%</f>
        <v>0</v>
      </c>
      <c r="AG50" s="1169"/>
      <c r="AH50" s="1182">
        <v>0</v>
      </c>
      <c r="AI50" s="1399">
        <f>AJ50+AK50</f>
        <v>0</v>
      </c>
      <c r="AJ50" s="1399">
        <v>0</v>
      </c>
      <c r="AK50" s="1399">
        <v>0</v>
      </c>
      <c r="AL50" s="1169"/>
      <c r="AM50" s="1169">
        <f>AN50+AO50</f>
        <v>0</v>
      </c>
      <c r="AN50" s="1169">
        <f>AI50*100%</f>
        <v>0</v>
      </c>
      <c r="AO50" s="1169"/>
      <c r="AP50" s="1182">
        <v>0</v>
      </c>
      <c r="AQ50" s="1169">
        <f>AR50+AS50</f>
        <v>0</v>
      </c>
      <c r="AR50" s="1169">
        <v>0</v>
      </c>
      <c r="AS50" s="1169">
        <v>0</v>
      </c>
      <c r="AT50" s="1169"/>
      <c r="AU50" s="1169">
        <f>AV50+AW50</f>
        <v>0</v>
      </c>
      <c r="AV50" s="1169">
        <f>AQ50*100%</f>
        <v>0</v>
      </c>
      <c r="AW50" s="1169"/>
      <c r="AX50" s="1182">
        <v>0</v>
      </c>
      <c r="AY50" s="1169">
        <f>AZ50+BA50</f>
        <v>0</v>
      </c>
      <c r="AZ50" s="1169">
        <v>0</v>
      </c>
      <c r="BA50" s="1169">
        <v>0</v>
      </c>
      <c r="BB50" s="1169"/>
      <c r="BC50" s="1169">
        <f>BD50+BE50</f>
        <v>0</v>
      </c>
      <c r="BD50" s="1169">
        <f>AY50*100%</f>
        <v>0</v>
      </c>
      <c r="BE50" s="1169"/>
      <c r="BF50" s="1182">
        <v>0</v>
      </c>
      <c r="BG50" s="1169">
        <f>BH50+BI50</f>
        <v>0</v>
      </c>
      <c r="BH50" s="1169">
        <v>0</v>
      </c>
      <c r="BI50" s="1169">
        <v>0</v>
      </c>
      <c r="BJ50" s="1169"/>
      <c r="BK50" s="1169">
        <f>BL50+BM50</f>
        <v>0</v>
      </c>
      <c r="BL50" s="1169">
        <f>BG50*100%</f>
        <v>0</v>
      </c>
      <c r="BM50" s="1169"/>
      <c r="BN50" s="1182">
        <v>0</v>
      </c>
      <c r="BO50" s="1169">
        <f>BP50+BQ50</f>
        <v>0</v>
      </c>
      <c r="BP50" s="1169">
        <v>0</v>
      </c>
      <c r="BQ50" s="1169">
        <v>0</v>
      </c>
      <c r="BR50" s="1169"/>
      <c r="BS50" s="1169">
        <f>BT50+BU50</f>
        <v>0</v>
      </c>
      <c r="BT50" s="1169">
        <f>BO50*100%</f>
        <v>0</v>
      </c>
      <c r="BU50" s="1169"/>
      <c r="BV50" s="1182">
        <v>0</v>
      </c>
      <c r="BW50" s="1169">
        <f>BX50+BY50</f>
        <v>0</v>
      </c>
      <c r="BX50" s="1169">
        <v>0</v>
      </c>
      <c r="BY50" s="1169">
        <v>0</v>
      </c>
      <c r="BZ50" s="1169"/>
      <c r="CA50" s="1169">
        <f>CB50+CC50</f>
        <v>0</v>
      </c>
      <c r="CB50" s="1169">
        <f>BW50*100%</f>
        <v>0</v>
      </c>
      <c r="CC50" s="1169"/>
      <c r="CD50" s="1182">
        <v>0</v>
      </c>
      <c r="CE50" s="1169">
        <f>CF50+CG50</f>
        <v>0</v>
      </c>
      <c r="CF50" s="1169">
        <v>0</v>
      </c>
      <c r="CG50" s="1169">
        <v>0</v>
      </c>
      <c r="CH50" s="1169"/>
      <c r="CI50" s="1169">
        <f>CJ50+CK50</f>
        <v>0</v>
      </c>
      <c r="CJ50" s="1169">
        <f>CE50*100%</f>
        <v>0</v>
      </c>
      <c r="CK50" s="1169"/>
      <c r="CL50" s="1182">
        <v>0</v>
      </c>
      <c r="CM50" s="1169">
        <f>CN50+CO50</f>
        <v>0</v>
      </c>
      <c r="CN50" s="1169">
        <v>0</v>
      </c>
      <c r="CO50" s="1169">
        <v>0</v>
      </c>
      <c r="CP50" s="1169"/>
      <c r="CQ50" s="1169">
        <f>CR50+CS50</f>
        <v>0</v>
      </c>
      <c r="CR50" s="1169">
        <f>CM50*100%</f>
        <v>0</v>
      </c>
      <c r="CS50" s="1169"/>
      <c r="CT50" s="1124"/>
      <c r="CU50" s="1124"/>
      <c r="CV50" s="1153"/>
      <c r="CW50" s="1153"/>
      <c r="CX50" s="1153"/>
      <c r="CY50" s="1153"/>
      <c r="CZ50" s="1124"/>
      <c r="DA50" s="1124"/>
      <c r="DB50" s="1124"/>
      <c r="DC50" s="1124"/>
      <c r="DD50" s="1124"/>
    </row>
    <row r="51" spans="1:108" ht="16.5" customHeight="1" collapsed="1">
      <c r="A51" s="1179" t="s">
        <v>73</v>
      </c>
      <c r="B51" s="1180" t="s">
        <v>392</v>
      </c>
      <c r="C51" s="1184" t="s">
        <v>534</v>
      </c>
      <c r="D51" s="1156"/>
      <c r="E51" s="1156"/>
      <c r="F51" s="1156"/>
      <c r="G51" s="1156"/>
      <c r="H51" s="1169"/>
      <c r="I51" s="1181">
        <f>I52+I58+I59+I60</f>
        <v>980000</v>
      </c>
      <c r="J51" s="1181">
        <f>J52+J58+J59+J60</f>
        <v>1000000</v>
      </c>
      <c r="K51" s="1181">
        <f>K52+K58+K59+K60</f>
        <v>1000000</v>
      </c>
      <c r="L51" s="1181">
        <f>L52+L58+L59+L60</f>
        <v>597499.9</v>
      </c>
      <c r="M51" s="1181">
        <f>M52+M58+M59+M60</f>
        <v>402500.1</v>
      </c>
      <c r="N51" s="1181"/>
      <c r="O51" s="1181">
        <f>O52+O58+O59+O60</f>
        <v>1000000</v>
      </c>
      <c r="P51" s="1181">
        <f>P52+P58+P59+P60</f>
        <v>214847.98499999999</v>
      </c>
      <c r="Q51" s="1181">
        <f>Q52+Q58+Q59+Q60</f>
        <v>785152.01500000001</v>
      </c>
      <c r="R51" s="1181">
        <v>248800</v>
      </c>
      <c r="S51" s="1181">
        <f t="shared" ref="S51:Y51" si="88">S52+S58+S59+S60</f>
        <v>240200</v>
      </c>
      <c r="T51" s="1181">
        <f t="shared" si="88"/>
        <v>74200</v>
      </c>
      <c r="U51" s="1181">
        <f t="shared" si="88"/>
        <v>166000</v>
      </c>
      <c r="V51" s="1181">
        <f t="shared" si="88"/>
        <v>0</v>
      </c>
      <c r="W51" s="1181">
        <f>W52+W58+W59+W60</f>
        <v>240200</v>
      </c>
      <c r="X51" s="1181">
        <f t="shared" si="88"/>
        <v>66540</v>
      </c>
      <c r="Y51" s="1181">
        <f t="shared" si="88"/>
        <v>173660</v>
      </c>
      <c r="Z51" s="1182">
        <v>52200</v>
      </c>
      <c r="AA51" s="1181">
        <f t="shared" ref="AA51:AG51" si="89">AA52+AA58+AA59+AA60</f>
        <v>38600</v>
      </c>
      <c r="AB51" s="1181">
        <f t="shared" si="89"/>
        <v>22100</v>
      </c>
      <c r="AC51" s="1181">
        <f t="shared" si="89"/>
        <v>16500</v>
      </c>
      <c r="AD51" s="1181">
        <f t="shared" si="89"/>
        <v>0</v>
      </c>
      <c r="AE51" s="1181">
        <f t="shared" si="89"/>
        <v>38600</v>
      </c>
      <c r="AF51" s="1181">
        <f t="shared" si="89"/>
        <v>7569</v>
      </c>
      <c r="AG51" s="1181">
        <f t="shared" si="89"/>
        <v>31031</v>
      </c>
      <c r="AH51" s="1182">
        <v>77000</v>
      </c>
      <c r="AI51" s="1398">
        <f t="shared" ref="AI51:AN51" si="90">AI52+AI58+AI59+AI60</f>
        <v>82300</v>
      </c>
      <c r="AJ51" s="1398">
        <f t="shared" si="90"/>
        <v>55299.9</v>
      </c>
      <c r="AK51" s="1398">
        <f t="shared" si="90"/>
        <v>27000.1</v>
      </c>
      <c r="AL51" s="1181">
        <f t="shared" si="90"/>
        <v>0</v>
      </c>
      <c r="AM51" s="1181">
        <f t="shared" si="90"/>
        <v>82300</v>
      </c>
      <c r="AN51" s="1181">
        <f t="shared" si="90"/>
        <v>13319.984999999999</v>
      </c>
      <c r="AO51" s="1181">
        <f>AO52+AO58+AO59+AO60</f>
        <v>68980.014999999985</v>
      </c>
      <c r="AP51" s="1182">
        <v>65000</v>
      </c>
      <c r="AQ51" s="1181">
        <f t="shared" ref="AQ51:AW51" si="91">AQ52+AQ58+AQ59+AQ60</f>
        <v>58200</v>
      </c>
      <c r="AR51" s="1181">
        <f t="shared" si="91"/>
        <v>12200</v>
      </c>
      <c r="AS51" s="1181">
        <f t="shared" si="91"/>
        <v>46000</v>
      </c>
      <c r="AT51" s="1181">
        <f t="shared" si="91"/>
        <v>0</v>
      </c>
      <c r="AU51" s="1181">
        <f t="shared" si="91"/>
        <v>58200</v>
      </c>
      <c r="AV51" s="1181">
        <f t="shared" si="91"/>
        <v>8721</v>
      </c>
      <c r="AW51" s="1181">
        <f t="shared" si="91"/>
        <v>49479</v>
      </c>
      <c r="AX51" s="1182">
        <v>8500</v>
      </c>
      <c r="AY51" s="1181">
        <f t="shared" ref="AY51:BE51" si="92">AY52+AY58+AY59+AY60</f>
        <v>11500</v>
      </c>
      <c r="AZ51" s="1181">
        <f t="shared" si="92"/>
        <v>6000</v>
      </c>
      <c r="BA51" s="1181">
        <f t="shared" si="92"/>
        <v>5500</v>
      </c>
      <c r="BB51" s="1181">
        <f t="shared" si="92"/>
        <v>0</v>
      </c>
      <c r="BC51" s="1181">
        <f t="shared" si="92"/>
        <v>11500</v>
      </c>
      <c r="BD51" s="1181">
        <f t="shared" si="92"/>
        <v>1889</v>
      </c>
      <c r="BE51" s="1181">
        <f t="shared" si="92"/>
        <v>9610</v>
      </c>
      <c r="BF51" s="1182">
        <v>67000</v>
      </c>
      <c r="BG51" s="1181">
        <f t="shared" ref="BG51:BM51" si="93">BG52+BG58+BG59+BG60</f>
        <v>57800</v>
      </c>
      <c r="BH51" s="1181">
        <f t="shared" si="93"/>
        <v>1800</v>
      </c>
      <c r="BI51" s="1181">
        <f t="shared" si="93"/>
        <v>56000</v>
      </c>
      <c r="BJ51" s="1181">
        <f t="shared" si="93"/>
        <v>0</v>
      </c>
      <c r="BK51" s="1181">
        <f t="shared" si="93"/>
        <v>57800</v>
      </c>
      <c r="BL51" s="1181">
        <f t="shared" si="93"/>
        <v>8550</v>
      </c>
      <c r="BM51" s="1181">
        <f t="shared" si="93"/>
        <v>49250</v>
      </c>
      <c r="BN51" s="1182">
        <v>23000</v>
      </c>
      <c r="BO51" s="1181">
        <f t="shared" ref="BO51:BU51" si="94">BO52+BO58+BO59+BO60</f>
        <v>32000</v>
      </c>
      <c r="BP51" s="1181">
        <f t="shared" si="94"/>
        <v>15000</v>
      </c>
      <c r="BQ51" s="1181">
        <f t="shared" si="94"/>
        <v>17000</v>
      </c>
      <c r="BR51" s="1181">
        <f t="shared" si="94"/>
        <v>0</v>
      </c>
      <c r="BS51" s="1181">
        <f t="shared" si="94"/>
        <v>32000</v>
      </c>
      <c r="BT51" s="1181">
        <f t="shared" si="94"/>
        <v>6100.5</v>
      </c>
      <c r="BU51" s="1181">
        <f t="shared" si="94"/>
        <v>25899.5</v>
      </c>
      <c r="BV51" s="1182">
        <v>65600</v>
      </c>
      <c r="BW51" s="1181">
        <f t="shared" ref="BW51:CC51" si="95">BW52+BW58+BW59+BW60</f>
        <v>70700</v>
      </c>
      <c r="BX51" s="1181">
        <f t="shared" si="95"/>
        <v>67200</v>
      </c>
      <c r="BY51" s="1181">
        <f t="shared" si="95"/>
        <v>3500</v>
      </c>
      <c r="BZ51" s="1181">
        <f t="shared" si="95"/>
        <v>0</v>
      </c>
      <c r="CA51" s="1181">
        <f t="shared" si="95"/>
        <v>70700</v>
      </c>
      <c r="CB51" s="1181">
        <f t="shared" si="95"/>
        <v>13962</v>
      </c>
      <c r="CC51" s="1181">
        <f t="shared" si="95"/>
        <v>56738</v>
      </c>
      <c r="CD51" s="1182">
        <v>324900</v>
      </c>
      <c r="CE51" s="1181">
        <f t="shared" ref="CE51:CK51" si="96">CE52+CE58+CE59+CE60</f>
        <v>360200</v>
      </c>
      <c r="CF51" s="1181">
        <f t="shared" si="96"/>
        <v>298200</v>
      </c>
      <c r="CG51" s="1181">
        <f t="shared" si="96"/>
        <v>62000</v>
      </c>
      <c r="CH51" s="1181">
        <f t="shared" si="96"/>
        <v>0</v>
      </c>
      <c r="CI51" s="1181">
        <f t="shared" si="96"/>
        <v>360200</v>
      </c>
      <c r="CJ51" s="1181">
        <f t="shared" si="96"/>
        <v>78025.5</v>
      </c>
      <c r="CK51" s="1181">
        <f t="shared" si="96"/>
        <v>282174.5</v>
      </c>
      <c r="CL51" s="1182">
        <v>48000</v>
      </c>
      <c r="CM51" s="1181">
        <f t="shared" ref="CM51:CS51" si="97">CM52+CM58+CM59+CM60</f>
        <v>48500</v>
      </c>
      <c r="CN51" s="1181">
        <f t="shared" si="97"/>
        <v>45500</v>
      </c>
      <c r="CO51" s="1181">
        <f t="shared" si="97"/>
        <v>3000</v>
      </c>
      <c r="CP51" s="1181">
        <f t="shared" si="97"/>
        <v>0</v>
      </c>
      <c r="CQ51" s="1181">
        <f t="shared" si="97"/>
        <v>48500</v>
      </c>
      <c r="CR51" s="1181">
        <f t="shared" si="97"/>
        <v>10170</v>
      </c>
      <c r="CS51" s="1181">
        <f t="shared" si="97"/>
        <v>38330</v>
      </c>
      <c r="CT51" s="1124"/>
      <c r="CU51" s="1124"/>
      <c r="CV51" s="1153"/>
      <c r="CW51" s="1153"/>
      <c r="CX51" s="1153"/>
      <c r="CY51" s="1153"/>
      <c r="CZ51" s="1124"/>
      <c r="DA51" s="1124"/>
      <c r="DB51" s="1124"/>
      <c r="DC51" s="1124"/>
      <c r="DD51" s="1124"/>
    </row>
    <row r="52" spans="1:108" ht="16.5" customHeight="1">
      <c r="A52" s="1183" t="s">
        <v>393</v>
      </c>
      <c r="B52" s="1184" t="s">
        <v>379</v>
      </c>
      <c r="C52" s="1180" t="s">
        <v>535</v>
      </c>
      <c r="D52" s="1185"/>
      <c r="E52" s="1185"/>
      <c r="F52" s="1185"/>
      <c r="G52" s="1185"/>
      <c r="H52" s="1169">
        <f>IF(E52=0,P52/L52*100,IF(K52=0,0,P52/K52*100))</f>
        <v>35.018275030206148</v>
      </c>
      <c r="I52" s="1169">
        <f>R52+Z52+AH52+AP52+AX52+BF52+BN52+BV52+CD52+CL52</f>
        <v>706999.9</v>
      </c>
      <c r="J52" s="1169">
        <v>674000</v>
      </c>
      <c r="K52" s="1169">
        <f>S52+AA52+AI52+AQ52+AY52+BG52+BO52+BW52+CE52+CM52</f>
        <v>673999.9</v>
      </c>
      <c r="L52" s="1169">
        <f>T52+AB52+AJ52+AR52+AZ52+BH52+BP52+BX52+CF52+CN52</f>
        <v>366729.9</v>
      </c>
      <c r="M52" s="1169">
        <f>U52+AC52+AK52+AS52+BA52+BI52+BQ52+BY52+CG52+CO52</f>
        <v>307270</v>
      </c>
      <c r="N52" s="1169"/>
      <c r="O52" s="1169">
        <f>K52-N52</f>
        <v>673999.9</v>
      </c>
      <c r="P52" s="1169">
        <f>O52-Q52</f>
        <v>128422.48499999999</v>
      </c>
      <c r="Q52" s="1169">
        <f>Y52+AG52+AO52+AW52+BE52+BM52+BU52+CC52+CK52+CS52</f>
        <v>545577.41500000004</v>
      </c>
      <c r="R52" s="1186">
        <v>208480</v>
      </c>
      <c r="S52" s="1169">
        <f>T52+U52</f>
        <v>182150</v>
      </c>
      <c r="T52" s="1169">
        <v>48950</v>
      </c>
      <c r="U52" s="1169">
        <v>133200</v>
      </c>
      <c r="V52" s="1169"/>
      <c r="W52" s="1169">
        <f>X52+Y52</f>
        <v>182150</v>
      </c>
      <c r="X52" s="1169">
        <f t="shared" ref="X52:X57" si="98">S52*30%</f>
        <v>54645</v>
      </c>
      <c r="Y52" s="1169">
        <f t="shared" ref="Y52:Y57" si="99">S52*70%</f>
        <v>127504.99999999999</v>
      </c>
      <c r="Z52" s="1182">
        <v>38400</v>
      </c>
      <c r="AA52" s="1169">
        <f>AB52+AC52</f>
        <v>23760</v>
      </c>
      <c r="AB52" s="1169">
        <v>12260</v>
      </c>
      <c r="AC52" s="1169">
        <v>11500</v>
      </c>
      <c r="AD52" s="1169"/>
      <c r="AE52" s="1169">
        <f>AF52+AG52</f>
        <v>23760</v>
      </c>
      <c r="AF52" s="1169">
        <f>AA52*15%</f>
        <v>3564</v>
      </c>
      <c r="AG52" s="1169">
        <f>AA52*85%</f>
        <v>20196</v>
      </c>
      <c r="AH52" s="1182">
        <v>67299.899999999994</v>
      </c>
      <c r="AI52" s="1399">
        <f>AJ52+AK52</f>
        <v>71999.899999999994</v>
      </c>
      <c r="AJ52" s="1399">
        <v>55099.9</v>
      </c>
      <c r="AK52" s="1399">
        <v>16900</v>
      </c>
      <c r="AL52" s="1169"/>
      <c r="AM52" s="1169">
        <f>AN52+AO52</f>
        <v>71999.899999999994</v>
      </c>
      <c r="AN52" s="1169">
        <f>AI52*15%</f>
        <v>10799.984999999999</v>
      </c>
      <c r="AO52" s="1169">
        <f>AI52*85%</f>
        <v>61199.914999999994</v>
      </c>
      <c r="AP52" s="1182">
        <v>54050</v>
      </c>
      <c r="AQ52" s="1169">
        <f>AR52+AS52</f>
        <v>47150</v>
      </c>
      <c r="AR52" s="1169">
        <v>6950</v>
      </c>
      <c r="AS52" s="1169">
        <v>40200</v>
      </c>
      <c r="AT52" s="1169"/>
      <c r="AU52" s="1169">
        <f>AV52+AW52</f>
        <v>47150</v>
      </c>
      <c r="AV52" s="1169">
        <f>AQ52*15%</f>
        <v>7072.5</v>
      </c>
      <c r="AW52" s="1169">
        <f>AQ52*85%</f>
        <v>40077.5</v>
      </c>
      <c r="AX52" s="1182">
        <v>5290</v>
      </c>
      <c r="AY52" s="1169">
        <f>AZ52+BA52</f>
        <v>7250</v>
      </c>
      <c r="AZ52" s="1169">
        <v>3450</v>
      </c>
      <c r="BA52" s="1169">
        <v>3800</v>
      </c>
      <c r="BB52" s="1169"/>
      <c r="BC52" s="1169">
        <f>BD52+BE52+1</f>
        <v>7250</v>
      </c>
      <c r="BD52" s="1169">
        <f>AY52*15%-1</f>
        <v>1086.5</v>
      </c>
      <c r="BE52" s="1169">
        <f>AY52*85%</f>
        <v>6162.5</v>
      </c>
      <c r="BF52" s="1182">
        <v>65630</v>
      </c>
      <c r="BG52" s="1169">
        <f>BH52+BI52</f>
        <v>56180</v>
      </c>
      <c r="BH52" s="1169">
        <v>1520</v>
      </c>
      <c r="BI52" s="1169">
        <v>54660</v>
      </c>
      <c r="BJ52" s="1169"/>
      <c r="BK52" s="1169">
        <f>BL52+BM52</f>
        <v>56180</v>
      </c>
      <c r="BL52" s="1169">
        <f>BG52*15%</f>
        <v>8427</v>
      </c>
      <c r="BM52" s="1169">
        <f>BG52*85%</f>
        <v>47753</v>
      </c>
      <c r="BN52" s="1182">
        <v>13660</v>
      </c>
      <c r="BO52" s="1169">
        <f>BP52+BQ52</f>
        <v>20460</v>
      </c>
      <c r="BP52" s="1169">
        <v>4000</v>
      </c>
      <c r="BQ52" s="1169">
        <v>16460</v>
      </c>
      <c r="BR52" s="1169"/>
      <c r="BS52" s="1169">
        <f>BT52+BU52</f>
        <v>20460</v>
      </c>
      <c r="BT52" s="1169">
        <f>BO52*15%</f>
        <v>3069</v>
      </c>
      <c r="BU52" s="1169">
        <f>BO52*85%</f>
        <v>17391</v>
      </c>
      <c r="BV52" s="1182">
        <v>29800</v>
      </c>
      <c r="BW52" s="1169">
        <f>BX52+BY52</f>
        <v>46980</v>
      </c>
      <c r="BX52" s="1169">
        <v>44100</v>
      </c>
      <c r="BY52" s="1169">
        <v>2880</v>
      </c>
      <c r="BZ52" s="1169"/>
      <c r="CA52" s="1169">
        <f>CB52+CC52</f>
        <v>46980</v>
      </c>
      <c r="CB52" s="1169">
        <f>BW52*15%</f>
        <v>7047</v>
      </c>
      <c r="CC52" s="1169">
        <f>BW52*85%</f>
        <v>39933</v>
      </c>
      <c r="CD52" s="1182">
        <v>198970</v>
      </c>
      <c r="CE52" s="1169">
        <f>CF52+CG52</f>
        <v>191370</v>
      </c>
      <c r="CF52" s="1169">
        <v>166200</v>
      </c>
      <c r="CG52" s="1169">
        <v>25170</v>
      </c>
      <c r="CH52" s="1169"/>
      <c r="CI52" s="1169">
        <f>CJ52+CK52</f>
        <v>191370</v>
      </c>
      <c r="CJ52" s="1169">
        <f>CE52*15%</f>
        <v>28705.5</v>
      </c>
      <c r="CK52" s="1169">
        <f>CE52*85%</f>
        <v>162664.5</v>
      </c>
      <c r="CL52" s="1182">
        <v>25420</v>
      </c>
      <c r="CM52" s="1169">
        <f>CN52+CO52</f>
        <v>26700</v>
      </c>
      <c r="CN52" s="1169">
        <v>24200</v>
      </c>
      <c r="CO52" s="1169">
        <v>2500</v>
      </c>
      <c r="CP52" s="1169"/>
      <c r="CQ52" s="1169">
        <f>CR52+CS52</f>
        <v>26700</v>
      </c>
      <c r="CR52" s="1169">
        <f>CM52*15%</f>
        <v>4005</v>
      </c>
      <c r="CS52" s="1169">
        <f>CM52*85%</f>
        <v>22695</v>
      </c>
      <c r="CZ52" s="1124"/>
      <c r="DA52" s="1124"/>
      <c r="DB52" s="1124"/>
      <c r="DC52" s="1124"/>
      <c r="DD52" s="1124"/>
    </row>
    <row r="53" spans="1:108" s="1194" customFormat="1" ht="16.5" hidden="1" customHeight="1" outlineLevel="1">
      <c r="A53" s="1187"/>
      <c r="B53" s="1188" t="s">
        <v>536</v>
      </c>
      <c r="C53" s="1184" t="s">
        <v>537</v>
      </c>
      <c r="D53" s="1189"/>
      <c r="E53" s="1189">
        <f>F53+G53</f>
        <v>1</v>
      </c>
      <c r="F53" s="1189">
        <v>0.3</v>
      </c>
      <c r="G53" s="1189">
        <v>0.7</v>
      </c>
      <c r="H53" s="1169"/>
      <c r="I53" s="1190"/>
      <c r="J53" s="1190"/>
      <c r="K53" s="1190"/>
      <c r="L53" s="1190"/>
      <c r="M53" s="1190"/>
      <c r="N53" s="1190"/>
      <c r="O53" s="1190"/>
      <c r="P53" s="1190"/>
      <c r="Q53" s="1190"/>
      <c r="R53" s="1191"/>
      <c r="S53" s="1190"/>
      <c r="T53" s="1169"/>
      <c r="U53" s="1169"/>
      <c r="V53" s="1190"/>
      <c r="W53" s="1190"/>
      <c r="X53" s="1169">
        <f t="shared" si="98"/>
        <v>0</v>
      </c>
      <c r="Y53" s="1169">
        <f t="shared" si="99"/>
        <v>0</v>
      </c>
      <c r="Z53" s="1182"/>
      <c r="AA53" s="1190"/>
      <c r="AB53" s="1169"/>
      <c r="AC53" s="1169"/>
      <c r="AD53" s="1190"/>
      <c r="AE53" s="1190"/>
      <c r="AF53" s="1190"/>
      <c r="AG53" s="1190"/>
      <c r="AH53" s="1182"/>
      <c r="AI53" s="1400"/>
      <c r="AJ53" s="1399"/>
      <c r="AK53" s="1399"/>
      <c r="AL53" s="1190"/>
      <c r="AM53" s="1190"/>
      <c r="AN53" s="1190"/>
      <c r="AO53" s="1190"/>
      <c r="AP53" s="1182"/>
      <c r="AQ53" s="1190"/>
      <c r="AR53" s="1169"/>
      <c r="AS53" s="1169"/>
      <c r="AT53" s="1190"/>
      <c r="AU53" s="1190"/>
      <c r="AV53" s="1190"/>
      <c r="AW53" s="1190"/>
      <c r="AX53" s="1182"/>
      <c r="AY53" s="1190"/>
      <c r="AZ53" s="1169"/>
      <c r="BA53" s="1169"/>
      <c r="BB53" s="1190"/>
      <c r="BC53" s="1190"/>
      <c r="BD53" s="1190"/>
      <c r="BE53" s="1190"/>
      <c r="BF53" s="1182"/>
      <c r="BG53" s="1190"/>
      <c r="BH53" s="1169"/>
      <c r="BI53" s="1169"/>
      <c r="BJ53" s="1190"/>
      <c r="BK53" s="1190"/>
      <c r="BL53" s="1190"/>
      <c r="BM53" s="1190"/>
      <c r="BN53" s="1182"/>
      <c r="BO53" s="1190"/>
      <c r="BP53" s="1169"/>
      <c r="BQ53" s="1169"/>
      <c r="BR53" s="1190"/>
      <c r="BS53" s="1190"/>
      <c r="BT53" s="1190"/>
      <c r="BU53" s="1190"/>
      <c r="BV53" s="1182"/>
      <c r="BW53" s="1190"/>
      <c r="BX53" s="1169"/>
      <c r="BY53" s="1169"/>
      <c r="BZ53" s="1190"/>
      <c r="CA53" s="1190"/>
      <c r="CB53" s="1190"/>
      <c r="CC53" s="1190"/>
      <c r="CD53" s="1182"/>
      <c r="CE53" s="1190"/>
      <c r="CF53" s="1169"/>
      <c r="CG53" s="1169"/>
      <c r="CH53" s="1190"/>
      <c r="CI53" s="1190"/>
      <c r="CJ53" s="1190"/>
      <c r="CK53" s="1190"/>
      <c r="CL53" s="1182"/>
      <c r="CM53" s="1190"/>
      <c r="CN53" s="1169"/>
      <c r="CO53" s="1169"/>
      <c r="CP53" s="1190"/>
      <c r="CQ53" s="1190"/>
      <c r="CR53" s="1190"/>
      <c r="CS53" s="1190"/>
      <c r="CZ53" s="1192"/>
      <c r="DA53" s="1192"/>
      <c r="DB53" s="1192"/>
      <c r="DC53" s="1192"/>
      <c r="DD53" s="1192"/>
    </row>
    <row r="54" spans="1:108" s="1194" customFormat="1" ht="16.5" hidden="1" customHeight="1" outlineLevel="1">
      <c r="A54" s="1187"/>
      <c r="B54" s="1188" t="s">
        <v>538</v>
      </c>
      <c r="C54" s="1180" t="s">
        <v>539</v>
      </c>
      <c r="D54" s="1189"/>
      <c r="E54" s="1189">
        <f>F54+G54</f>
        <v>1</v>
      </c>
      <c r="F54" s="1189">
        <v>0.15</v>
      </c>
      <c r="G54" s="1189">
        <v>0.85</v>
      </c>
      <c r="H54" s="1169"/>
      <c r="I54" s="1190"/>
      <c r="J54" s="1190"/>
      <c r="K54" s="1190"/>
      <c r="L54" s="1190"/>
      <c r="M54" s="1190"/>
      <c r="N54" s="1190"/>
      <c r="O54" s="1190"/>
      <c r="P54" s="1190"/>
      <c r="Q54" s="1190"/>
      <c r="R54" s="1191"/>
      <c r="S54" s="1190"/>
      <c r="T54" s="1169"/>
      <c r="U54" s="1169"/>
      <c r="V54" s="1190"/>
      <c r="W54" s="1190"/>
      <c r="X54" s="1169">
        <f t="shared" si="98"/>
        <v>0</v>
      </c>
      <c r="Y54" s="1169">
        <f t="shared" si="99"/>
        <v>0</v>
      </c>
      <c r="Z54" s="1182"/>
      <c r="AA54" s="1190"/>
      <c r="AB54" s="1169"/>
      <c r="AC54" s="1169"/>
      <c r="AD54" s="1190"/>
      <c r="AE54" s="1190"/>
      <c r="AF54" s="1190"/>
      <c r="AG54" s="1190"/>
      <c r="AH54" s="1182"/>
      <c r="AI54" s="1400"/>
      <c r="AJ54" s="1399"/>
      <c r="AK54" s="1399"/>
      <c r="AL54" s="1190"/>
      <c r="AM54" s="1190"/>
      <c r="AN54" s="1190"/>
      <c r="AO54" s="1190"/>
      <c r="AP54" s="1182"/>
      <c r="AQ54" s="1190"/>
      <c r="AR54" s="1169"/>
      <c r="AS54" s="1169"/>
      <c r="AT54" s="1190"/>
      <c r="AU54" s="1190"/>
      <c r="AV54" s="1190"/>
      <c r="AW54" s="1190"/>
      <c r="AX54" s="1182"/>
      <c r="AY54" s="1190"/>
      <c r="AZ54" s="1169"/>
      <c r="BA54" s="1169"/>
      <c r="BB54" s="1190"/>
      <c r="BC54" s="1190"/>
      <c r="BD54" s="1190"/>
      <c r="BE54" s="1190"/>
      <c r="BF54" s="1182"/>
      <c r="BG54" s="1190"/>
      <c r="BH54" s="1169"/>
      <c r="BI54" s="1169"/>
      <c r="BJ54" s="1190"/>
      <c r="BK54" s="1190"/>
      <c r="BL54" s="1190"/>
      <c r="BM54" s="1190"/>
      <c r="BN54" s="1182"/>
      <c r="BO54" s="1190"/>
      <c r="BP54" s="1169"/>
      <c r="BQ54" s="1169"/>
      <c r="BR54" s="1190"/>
      <c r="BS54" s="1190"/>
      <c r="BT54" s="1190"/>
      <c r="BU54" s="1190"/>
      <c r="BV54" s="1182"/>
      <c r="BW54" s="1190"/>
      <c r="BX54" s="1169"/>
      <c r="BY54" s="1169"/>
      <c r="BZ54" s="1190"/>
      <c r="CA54" s="1190"/>
      <c r="CB54" s="1190"/>
      <c r="CC54" s="1190"/>
      <c r="CD54" s="1182"/>
      <c r="CE54" s="1190"/>
      <c r="CF54" s="1169"/>
      <c r="CG54" s="1169"/>
      <c r="CH54" s="1190"/>
      <c r="CI54" s="1190"/>
      <c r="CJ54" s="1190"/>
      <c r="CK54" s="1190"/>
      <c r="CL54" s="1182"/>
      <c r="CM54" s="1190"/>
      <c r="CN54" s="1169"/>
      <c r="CO54" s="1169"/>
      <c r="CP54" s="1190"/>
      <c r="CQ54" s="1190"/>
      <c r="CR54" s="1190"/>
      <c r="CS54" s="1190"/>
      <c r="CZ54" s="1192"/>
      <c r="DA54" s="1192"/>
      <c r="DB54" s="1192"/>
      <c r="DC54" s="1192"/>
      <c r="DD54" s="1192"/>
    </row>
    <row r="55" spans="1:108" s="1194" customFormat="1" ht="16.5" hidden="1" customHeight="1" outlineLevel="1">
      <c r="A55" s="1187"/>
      <c r="B55" s="1188" t="s">
        <v>338</v>
      </c>
      <c r="C55" s="1184" t="s">
        <v>540</v>
      </c>
      <c r="D55" s="1189"/>
      <c r="E55" s="1189"/>
      <c r="F55" s="1189"/>
      <c r="G55" s="1189"/>
      <c r="H55" s="1190"/>
      <c r="I55" s="1190">
        <f>R55+Z55+AH55+AP55+AX55+BF55+BN55+BV55+CD55+CL55</f>
        <v>0</v>
      </c>
      <c r="J55" s="1190">
        <v>0</v>
      </c>
      <c r="K55" s="1190">
        <f t="shared" ref="K55:M59" si="100">S55+AA55+AI55+AQ55+AY55+BG55+BO55+BW55+CE55+CM55</f>
        <v>0</v>
      </c>
      <c r="L55" s="1190">
        <f t="shared" si="100"/>
        <v>0</v>
      </c>
      <c r="M55" s="1190">
        <f t="shared" si="100"/>
        <v>0</v>
      </c>
      <c r="N55" s="1190"/>
      <c r="O55" s="1190"/>
      <c r="P55" s="1190"/>
      <c r="Q55" s="1190"/>
      <c r="R55" s="1191"/>
      <c r="S55" s="1190"/>
      <c r="T55" s="1169"/>
      <c r="U55" s="1169"/>
      <c r="V55" s="1190"/>
      <c r="W55" s="1190"/>
      <c r="X55" s="1169">
        <f t="shared" si="98"/>
        <v>0</v>
      </c>
      <c r="Y55" s="1169">
        <f t="shared" si="99"/>
        <v>0</v>
      </c>
      <c r="Z55" s="1182"/>
      <c r="AA55" s="1190"/>
      <c r="AB55" s="1169"/>
      <c r="AC55" s="1169"/>
      <c r="AD55" s="1190"/>
      <c r="AE55" s="1190"/>
      <c r="AF55" s="1190"/>
      <c r="AG55" s="1190"/>
      <c r="AH55" s="1182"/>
      <c r="AI55" s="1400"/>
      <c r="AJ55" s="1399"/>
      <c r="AK55" s="1399"/>
      <c r="AL55" s="1190"/>
      <c r="AM55" s="1190"/>
      <c r="AN55" s="1190"/>
      <c r="AO55" s="1190"/>
      <c r="AP55" s="1182"/>
      <c r="AQ55" s="1190"/>
      <c r="AR55" s="1169"/>
      <c r="AS55" s="1169"/>
      <c r="AT55" s="1190"/>
      <c r="AU55" s="1190"/>
      <c r="AV55" s="1190"/>
      <c r="AW55" s="1190"/>
      <c r="AX55" s="1182"/>
      <c r="AY55" s="1190"/>
      <c r="AZ55" s="1169"/>
      <c r="BA55" s="1169"/>
      <c r="BB55" s="1190"/>
      <c r="BC55" s="1190"/>
      <c r="BD55" s="1190"/>
      <c r="BE55" s="1190"/>
      <c r="BF55" s="1182"/>
      <c r="BG55" s="1190"/>
      <c r="BH55" s="1169"/>
      <c r="BI55" s="1169"/>
      <c r="BJ55" s="1190"/>
      <c r="BK55" s="1190"/>
      <c r="BL55" s="1190"/>
      <c r="BM55" s="1190"/>
      <c r="BN55" s="1182"/>
      <c r="BO55" s="1190"/>
      <c r="BP55" s="1169"/>
      <c r="BQ55" s="1169"/>
      <c r="BR55" s="1190"/>
      <c r="BS55" s="1190"/>
      <c r="BT55" s="1190"/>
      <c r="BU55" s="1190"/>
      <c r="BV55" s="1182"/>
      <c r="BW55" s="1190"/>
      <c r="BX55" s="1169"/>
      <c r="BY55" s="1169"/>
      <c r="BZ55" s="1190"/>
      <c r="CA55" s="1190"/>
      <c r="CB55" s="1190"/>
      <c r="CC55" s="1190"/>
      <c r="CD55" s="1182"/>
      <c r="CE55" s="1190"/>
      <c r="CF55" s="1169"/>
      <c r="CG55" s="1169"/>
      <c r="CH55" s="1190"/>
      <c r="CI55" s="1190"/>
      <c r="CJ55" s="1190"/>
      <c r="CK55" s="1190"/>
      <c r="CL55" s="1182"/>
      <c r="CM55" s="1190"/>
      <c r="CN55" s="1169"/>
      <c r="CO55" s="1169"/>
      <c r="CP55" s="1190"/>
      <c r="CQ55" s="1190"/>
      <c r="CR55" s="1190"/>
      <c r="CS55" s="1190"/>
      <c r="CT55" s="1192"/>
      <c r="CU55" s="1192"/>
      <c r="CV55" s="1193"/>
      <c r="CW55" s="1193"/>
      <c r="CX55" s="1193"/>
      <c r="CY55" s="1193"/>
      <c r="CZ55" s="1192"/>
      <c r="DA55" s="1192"/>
      <c r="DB55" s="1192"/>
      <c r="DC55" s="1192"/>
      <c r="DD55" s="1192"/>
    </row>
    <row r="56" spans="1:108" s="1194" customFormat="1" ht="16.5" hidden="1" customHeight="1" outlineLevel="1">
      <c r="A56" s="1187"/>
      <c r="B56" s="1188" t="s">
        <v>394</v>
      </c>
      <c r="C56" s="1180" t="s">
        <v>541</v>
      </c>
      <c r="D56" s="1189"/>
      <c r="E56" s="1189"/>
      <c r="F56" s="1189"/>
      <c r="G56" s="1189"/>
      <c r="H56" s="1190"/>
      <c r="I56" s="1190">
        <f>R56+Z56+AH56+AP56+AX56+BF56+BN56+BV56+CD56+CL56</f>
        <v>142200</v>
      </c>
      <c r="J56" s="1190"/>
      <c r="K56" s="1190">
        <f t="shared" si="100"/>
        <v>125000</v>
      </c>
      <c r="L56" s="1190">
        <f t="shared" si="100"/>
        <v>68000</v>
      </c>
      <c r="M56" s="1190">
        <f t="shared" si="100"/>
        <v>57000</v>
      </c>
      <c r="N56" s="1190"/>
      <c r="O56" s="1190"/>
      <c r="P56" s="1190"/>
      <c r="Q56" s="1190"/>
      <c r="R56" s="1191">
        <v>0</v>
      </c>
      <c r="S56" s="1190">
        <f>T56+U56</f>
        <v>0</v>
      </c>
      <c r="T56" s="1169">
        <v>0</v>
      </c>
      <c r="U56" s="1169">
        <v>0</v>
      </c>
      <c r="V56" s="1190"/>
      <c r="W56" s="1190"/>
      <c r="X56" s="1169">
        <f t="shared" si="98"/>
        <v>0</v>
      </c>
      <c r="Y56" s="1169">
        <f t="shared" si="99"/>
        <v>0</v>
      </c>
      <c r="Z56" s="1182">
        <v>14000</v>
      </c>
      <c r="AA56" s="1190">
        <f t="shared" ref="AA56:AA69" si="101">AB56+AC56</f>
        <v>0</v>
      </c>
      <c r="AB56" s="1169">
        <v>0</v>
      </c>
      <c r="AC56" s="1169">
        <v>0</v>
      </c>
      <c r="AD56" s="1190"/>
      <c r="AE56" s="1190"/>
      <c r="AF56" s="1190"/>
      <c r="AG56" s="1190"/>
      <c r="AH56" s="1182">
        <v>50000</v>
      </c>
      <c r="AI56" s="1400">
        <f t="shared" ref="AI56:AI69" si="102">AJ56+AK56</f>
        <v>55000</v>
      </c>
      <c r="AJ56" s="1399">
        <v>55000</v>
      </c>
      <c r="AK56" s="1399">
        <v>0</v>
      </c>
      <c r="AL56" s="1190"/>
      <c r="AM56" s="1190"/>
      <c r="AN56" s="1190"/>
      <c r="AO56" s="1190"/>
      <c r="AP56" s="1182">
        <v>12000</v>
      </c>
      <c r="AQ56" s="1190">
        <f t="shared" ref="AQ56:AQ69" si="103">AR56+AS56</f>
        <v>12000</v>
      </c>
      <c r="AR56" s="1169">
        <v>0</v>
      </c>
      <c r="AS56" s="1169">
        <v>12000</v>
      </c>
      <c r="AT56" s="1190"/>
      <c r="AU56" s="1190"/>
      <c r="AV56" s="1190"/>
      <c r="AW56" s="1190"/>
      <c r="AX56" s="1182">
        <v>0</v>
      </c>
      <c r="AY56" s="1190">
        <f t="shared" ref="AY56:AY69" si="104">AZ56+BA56</f>
        <v>0</v>
      </c>
      <c r="AZ56" s="1169">
        <v>0</v>
      </c>
      <c r="BA56" s="1169">
        <v>0</v>
      </c>
      <c r="BB56" s="1190"/>
      <c r="BC56" s="1190"/>
      <c r="BD56" s="1190"/>
      <c r="BE56" s="1190"/>
      <c r="BF56" s="1182">
        <v>41000</v>
      </c>
      <c r="BG56" s="1190">
        <f t="shared" ref="BG56:BG69" si="105">BH56+BI56</f>
        <v>31000</v>
      </c>
      <c r="BH56" s="1169">
        <v>0</v>
      </c>
      <c r="BI56" s="1169">
        <v>31000</v>
      </c>
      <c r="BJ56" s="1190"/>
      <c r="BK56" s="1190"/>
      <c r="BL56" s="1190"/>
      <c r="BM56" s="1190"/>
      <c r="BN56" s="1182">
        <v>10200</v>
      </c>
      <c r="BO56" s="1190">
        <f t="shared" ref="BO56:BO69" si="106">BP56+BQ56</f>
        <v>14000</v>
      </c>
      <c r="BP56" s="1169">
        <v>0</v>
      </c>
      <c r="BQ56" s="1169">
        <v>14000</v>
      </c>
      <c r="BR56" s="1190"/>
      <c r="BS56" s="1190"/>
      <c r="BT56" s="1190"/>
      <c r="BU56" s="1190"/>
      <c r="BV56" s="1182">
        <v>15000</v>
      </c>
      <c r="BW56" s="1190">
        <f t="shared" ref="BW56:BW69" si="107">BX56+BY56</f>
        <v>13000</v>
      </c>
      <c r="BX56" s="1169">
        <v>13000</v>
      </c>
      <c r="BY56" s="1169">
        <v>0</v>
      </c>
      <c r="BZ56" s="1190"/>
      <c r="CA56" s="1190"/>
      <c r="CB56" s="1190"/>
      <c r="CC56" s="1190"/>
      <c r="CD56" s="1182">
        <v>0</v>
      </c>
      <c r="CE56" s="1190">
        <f t="shared" ref="CE56:CE69" si="108">CF56+CG56</f>
        <v>0</v>
      </c>
      <c r="CF56" s="1169">
        <v>0</v>
      </c>
      <c r="CG56" s="1169">
        <v>0</v>
      </c>
      <c r="CH56" s="1190"/>
      <c r="CI56" s="1190"/>
      <c r="CJ56" s="1190"/>
      <c r="CK56" s="1190"/>
      <c r="CL56" s="1182">
        <v>0</v>
      </c>
      <c r="CM56" s="1190">
        <f t="shared" ref="CM56:CM69" si="109">CN56+CO56</f>
        <v>0</v>
      </c>
      <c r="CN56" s="1169">
        <v>0</v>
      </c>
      <c r="CO56" s="1169">
        <v>0</v>
      </c>
      <c r="CP56" s="1190"/>
      <c r="CQ56" s="1190"/>
      <c r="CR56" s="1190"/>
      <c r="CS56" s="1190"/>
      <c r="CT56" s="1192"/>
      <c r="CU56" s="1192"/>
      <c r="CV56" s="1193"/>
      <c r="CW56" s="1193"/>
      <c r="CX56" s="1193"/>
      <c r="CY56" s="1193"/>
      <c r="CZ56" s="1192"/>
      <c r="DA56" s="1192"/>
      <c r="DB56" s="1192"/>
      <c r="DC56" s="1192"/>
      <c r="DD56" s="1192"/>
    </row>
    <row r="57" spans="1:108" s="1194" customFormat="1" ht="16.5" hidden="1" customHeight="1" outlineLevel="1">
      <c r="A57" s="1187"/>
      <c r="B57" s="1188" t="s">
        <v>395</v>
      </c>
      <c r="C57" s="1184" t="s">
        <v>542</v>
      </c>
      <c r="D57" s="1189"/>
      <c r="E57" s="1189"/>
      <c r="F57" s="1189"/>
      <c r="G57" s="1189"/>
      <c r="H57" s="1190"/>
      <c r="I57" s="1190">
        <f>R57+Z57+AH57+AP57+AX57+BF57+BN57+BV57+CD57+CL57</f>
        <v>264200</v>
      </c>
      <c r="J57" s="1190"/>
      <c r="K57" s="1190">
        <f>S57+AA57+AI57+AQ57+AY57+BG57+BO57+BW57+CE57+CM57</f>
        <v>280500</v>
      </c>
      <c r="L57" s="1190">
        <f>T57+AB57+AJ57+AR57+AZ57+BH57+BP57+BX57+CF57+CN57</f>
        <v>242200</v>
      </c>
      <c r="M57" s="1190">
        <f t="shared" si="100"/>
        <v>38300</v>
      </c>
      <c r="N57" s="1190"/>
      <c r="O57" s="1190"/>
      <c r="P57" s="1190"/>
      <c r="Q57" s="1190"/>
      <c r="R57" s="1191">
        <v>9200</v>
      </c>
      <c r="S57" s="1190">
        <f>T57+U57</f>
        <v>10200</v>
      </c>
      <c r="T57" s="1169">
        <v>0</v>
      </c>
      <c r="U57" s="1169">
        <v>10200</v>
      </c>
      <c r="V57" s="1190"/>
      <c r="W57" s="1190"/>
      <c r="X57" s="1169">
        <f t="shared" si="98"/>
        <v>3060</v>
      </c>
      <c r="Y57" s="1169">
        <f t="shared" si="99"/>
        <v>7140</v>
      </c>
      <c r="Z57" s="1182">
        <v>12300</v>
      </c>
      <c r="AA57" s="1190">
        <f t="shared" si="101"/>
        <v>14800</v>
      </c>
      <c r="AB57" s="1169">
        <v>12000</v>
      </c>
      <c r="AC57" s="1169">
        <v>2800</v>
      </c>
      <c r="AD57" s="1190"/>
      <c r="AE57" s="1190"/>
      <c r="AF57" s="1190"/>
      <c r="AG57" s="1190"/>
      <c r="AH57" s="1182">
        <v>10000</v>
      </c>
      <c r="AI57" s="1400">
        <f t="shared" si="102"/>
        <v>8300</v>
      </c>
      <c r="AJ57" s="1399">
        <v>0</v>
      </c>
      <c r="AK57" s="1399">
        <v>8300</v>
      </c>
      <c r="AL57" s="1190"/>
      <c r="AM57" s="1190"/>
      <c r="AN57" s="1190"/>
      <c r="AO57" s="1190"/>
      <c r="AP57" s="1182">
        <v>7000</v>
      </c>
      <c r="AQ57" s="1190">
        <f t="shared" si="103"/>
        <v>6300</v>
      </c>
      <c r="AR57" s="1169">
        <v>6300</v>
      </c>
      <c r="AS57" s="1169">
        <v>0</v>
      </c>
      <c r="AT57" s="1190"/>
      <c r="AU57" s="1190"/>
      <c r="AV57" s="1190"/>
      <c r="AW57" s="1190"/>
      <c r="AX57" s="1182">
        <v>1700</v>
      </c>
      <c r="AY57" s="1190">
        <f t="shared" si="104"/>
        <v>3400</v>
      </c>
      <c r="AZ57" s="1169">
        <v>3400</v>
      </c>
      <c r="BA57" s="1169">
        <v>0</v>
      </c>
      <c r="BB57" s="1190"/>
      <c r="BC57" s="1190"/>
      <c r="BD57" s="1190"/>
      <c r="BE57" s="1190"/>
      <c r="BF57" s="1182">
        <v>0</v>
      </c>
      <c r="BG57" s="1190">
        <f t="shared" si="105"/>
        <v>0</v>
      </c>
      <c r="BH57" s="1169">
        <v>0</v>
      </c>
      <c r="BI57" s="1169">
        <v>0</v>
      </c>
      <c r="BJ57" s="1190"/>
      <c r="BK57" s="1190"/>
      <c r="BL57" s="1190"/>
      <c r="BM57" s="1190"/>
      <c r="BN57" s="1182">
        <v>900</v>
      </c>
      <c r="BO57" s="1190">
        <f t="shared" si="106"/>
        <v>900</v>
      </c>
      <c r="BP57" s="1169">
        <v>900</v>
      </c>
      <c r="BQ57" s="1169">
        <v>0</v>
      </c>
      <c r="BR57" s="1190"/>
      <c r="BS57" s="1190"/>
      <c r="BT57" s="1190"/>
      <c r="BU57" s="1190"/>
      <c r="BV57" s="1182">
        <v>11800</v>
      </c>
      <c r="BW57" s="1190">
        <f t="shared" si="107"/>
        <v>30600</v>
      </c>
      <c r="BX57" s="1169">
        <v>30600</v>
      </c>
      <c r="BY57" s="1169">
        <v>0</v>
      </c>
      <c r="BZ57" s="1190"/>
      <c r="CA57" s="1190"/>
      <c r="CB57" s="1190"/>
      <c r="CC57" s="1190"/>
      <c r="CD57" s="1182">
        <v>188000</v>
      </c>
      <c r="CE57" s="1190">
        <f t="shared" si="108"/>
        <v>181800</v>
      </c>
      <c r="CF57" s="1169">
        <v>164800</v>
      </c>
      <c r="CG57" s="1169">
        <v>17000</v>
      </c>
      <c r="CH57" s="1190"/>
      <c r="CI57" s="1190"/>
      <c r="CJ57" s="1190"/>
      <c r="CK57" s="1190"/>
      <c r="CL57" s="1182">
        <v>23300</v>
      </c>
      <c r="CM57" s="1190">
        <f t="shared" si="109"/>
        <v>24200</v>
      </c>
      <c r="CN57" s="1169">
        <v>24200</v>
      </c>
      <c r="CO57" s="1169">
        <v>0</v>
      </c>
      <c r="CP57" s="1190"/>
      <c r="CQ57" s="1190"/>
      <c r="CR57" s="1190"/>
      <c r="CS57" s="1190"/>
      <c r="CT57" s="1192"/>
      <c r="CU57" s="1192"/>
      <c r="CV57" s="1193"/>
      <c r="CW57" s="1193"/>
      <c r="CX57" s="1193"/>
      <c r="CY57" s="1193"/>
      <c r="CZ57" s="1192"/>
      <c r="DA57" s="1192"/>
      <c r="DB57" s="1192"/>
      <c r="DC57" s="1192"/>
      <c r="DD57" s="1192"/>
    </row>
    <row r="58" spans="1:108" ht="16.5" customHeight="1" collapsed="1">
      <c r="A58" s="1183" t="s">
        <v>396</v>
      </c>
      <c r="B58" s="1184" t="s">
        <v>389</v>
      </c>
      <c r="C58" s="1180" t="s">
        <v>543</v>
      </c>
      <c r="D58" s="1185"/>
      <c r="E58" s="1185">
        <f>F58+G58</f>
        <v>1</v>
      </c>
      <c r="F58" s="1189">
        <v>0.15</v>
      </c>
      <c r="G58" s="1189">
        <v>0.85</v>
      </c>
      <c r="H58" s="1169">
        <f>IF(E58=0,P58/L58*100,IF(K58=0,0,P58/K58*100))</f>
        <v>26.038043478260871</v>
      </c>
      <c r="I58" s="1169">
        <f>R58+Z58+AH58+AP58+AX58+BF58+BN58+BV58+CD58+CL58</f>
        <v>35000</v>
      </c>
      <c r="J58" s="1169">
        <v>46000</v>
      </c>
      <c r="K58" s="1169">
        <f t="shared" si="100"/>
        <v>46000</v>
      </c>
      <c r="L58" s="1169">
        <f t="shared" si="100"/>
        <v>22340</v>
      </c>
      <c r="M58" s="1169">
        <f t="shared" si="100"/>
        <v>23660</v>
      </c>
      <c r="N58" s="1169"/>
      <c r="O58" s="1169">
        <f>K58-N58</f>
        <v>46000</v>
      </c>
      <c r="P58" s="1169">
        <f>O58-Q58</f>
        <v>11977.5</v>
      </c>
      <c r="Q58" s="1169">
        <f>Y58+AG58+AO58+AW58+BE58+BM58+BU58+CC58+CK58+CS58</f>
        <v>34022.5</v>
      </c>
      <c r="R58" s="1186">
        <v>22740</v>
      </c>
      <c r="S58" s="1169">
        <f>T58+U58</f>
        <v>33850</v>
      </c>
      <c r="T58" s="1169">
        <v>15850</v>
      </c>
      <c r="U58" s="1169">
        <v>18000</v>
      </c>
      <c r="V58" s="1169"/>
      <c r="W58" s="1169">
        <f>X58+Y58</f>
        <v>33850</v>
      </c>
      <c r="X58" s="1169">
        <f>S58*30%</f>
        <v>10155</v>
      </c>
      <c r="Y58" s="1169">
        <f>S58*70%</f>
        <v>23695</v>
      </c>
      <c r="Z58" s="1182">
        <v>1200</v>
      </c>
      <c r="AA58" s="1169">
        <f t="shared" si="101"/>
        <v>700</v>
      </c>
      <c r="AB58" s="1169">
        <v>0</v>
      </c>
      <c r="AC58" s="1169">
        <v>700</v>
      </c>
      <c r="AD58" s="1169"/>
      <c r="AE58" s="1169">
        <f>AF58+AG58</f>
        <v>700</v>
      </c>
      <c r="AF58" s="1169">
        <f>AA58*15%</f>
        <v>105</v>
      </c>
      <c r="AG58" s="1169">
        <f>AA58*85%</f>
        <v>595</v>
      </c>
      <c r="AH58" s="1182">
        <v>1030</v>
      </c>
      <c r="AI58" s="1399">
        <f>AJ58+AK58</f>
        <v>2000</v>
      </c>
      <c r="AJ58" s="1399">
        <v>0</v>
      </c>
      <c r="AK58" s="1399">
        <v>2000</v>
      </c>
      <c r="AL58" s="1169"/>
      <c r="AM58" s="1169">
        <f>AN58+AO58</f>
        <v>2000</v>
      </c>
      <c r="AN58" s="1169">
        <f>AI58*15%</f>
        <v>300</v>
      </c>
      <c r="AO58" s="1169">
        <f>AI58*85%</f>
        <v>1700</v>
      </c>
      <c r="AP58" s="1182">
        <v>1000</v>
      </c>
      <c r="AQ58" s="1169">
        <f t="shared" si="103"/>
        <v>1670</v>
      </c>
      <c r="AR58" s="1169">
        <v>370</v>
      </c>
      <c r="AS58" s="1169">
        <v>1300</v>
      </c>
      <c r="AT58" s="1169"/>
      <c r="AU58" s="1169">
        <f>AV58+AW58</f>
        <v>1670</v>
      </c>
      <c r="AV58" s="1169">
        <f>AQ58*15%</f>
        <v>250.5</v>
      </c>
      <c r="AW58" s="1169">
        <f>AQ58*85%</f>
        <v>1419.5</v>
      </c>
      <c r="AX58" s="1182">
        <v>300</v>
      </c>
      <c r="AY58" s="1169">
        <f t="shared" si="104"/>
        <v>350</v>
      </c>
      <c r="AZ58" s="1169">
        <v>0</v>
      </c>
      <c r="BA58" s="1169">
        <v>350</v>
      </c>
      <c r="BB58" s="1169"/>
      <c r="BC58" s="1169">
        <f>BD58+BE58</f>
        <v>350</v>
      </c>
      <c r="BD58" s="1169">
        <f>AY58*15%</f>
        <v>52.5</v>
      </c>
      <c r="BE58" s="1169">
        <f>AY58*85%</f>
        <v>297.5</v>
      </c>
      <c r="BF58" s="1182">
        <v>510</v>
      </c>
      <c r="BG58" s="1169">
        <f t="shared" si="105"/>
        <v>820</v>
      </c>
      <c r="BH58" s="1169">
        <v>220</v>
      </c>
      <c r="BI58" s="1169">
        <v>600</v>
      </c>
      <c r="BJ58" s="1169"/>
      <c r="BK58" s="1169">
        <f>BL58+BM58</f>
        <v>820</v>
      </c>
      <c r="BL58" s="1169">
        <f>BG58*15%</f>
        <v>123</v>
      </c>
      <c r="BM58" s="1169">
        <f>BG58*85%</f>
        <v>697</v>
      </c>
      <c r="BN58" s="1182">
        <v>510</v>
      </c>
      <c r="BO58" s="1169">
        <f t="shared" si="106"/>
        <v>1810</v>
      </c>
      <c r="BP58" s="1169">
        <v>1800</v>
      </c>
      <c r="BQ58" s="1169">
        <v>10</v>
      </c>
      <c r="BR58" s="1169"/>
      <c r="BS58" s="1169">
        <f>BT58+BU58</f>
        <v>1810</v>
      </c>
      <c r="BT58" s="1169">
        <f>BO58*15%</f>
        <v>271.5</v>
      </c>
      <c r="BU58" s="1169">
        <f>BO58*85%</f>
        <v>1538.5</v>
      </c>
      <c r="BV58" s="1182">
        <v>230</v>
      </c>
      <c r="BW58" s="1169">
        <f t="shared" si="107"/>
        <v>100</v>
      </c>
      <c r="BX58" s="1169">
        <v>0</v>
      </c>
      <c r="BY58" s="1169">
        <v>100</v>
      </c>
      <c r="BZ58" s="1169"/>
      <c r="CA58" s="1169">
        <f>CB58+CC58</f>
        <v>100</v>
      </c>
      <c r="CB58" s="1169">
        <f>BW58*15%</f>
        <v>15</v>
      </c>
      <c r="CC58" s="1169">
        <f>BW58*85%</f>
        <v>85</v>
      </c>
      <c r="CD58" s="1182">
        <v>4400</v>
      </c>
      <c r="CE58" s="1169">
        <f t="shared" si="108"/>
        <v>3200</v>
      </c>
      <c r="CF58" s="1169">
        <v>2700</v>
      </c>
      <c r="CG58" s="1169">
        <v>500</v>
      </c>
      <c r="CH58" s="1169"/>
      <c r="CI58" s="1169">
        <f>CJ58+CK58</f>
        <v>3200</v>
      </c>
      <c r="CJ58" s="1169">
        <f>CE58*15%</f>
        <v>480</v>
      </c>
      <c r="CK58" s="1169">
        <f>CE58*85%</f>
        <v>2720</v>
      </c>
      <c r="CL58" s="1182">
        <v>3080</v>
      </c>
      <c r="CM58" s="1169">
        <f t="shared" si="109"/>
        <v>1500</v>
      </c>
      <c r="CN58" s="1169">
        <v>1400</v>
      </c>
      <c r="CO58" s="1169">
        <v>100</v>
      </c>
      <c r="CP58" s="1169"/>
      <c r="CQ58" s="1169">
        <f>CR58+CS58</f>
        <v>1500</v>
      </c>
      <c r="CR58" s="1169">
        <f>CM58*15%</f>
        <v>225</v>
      </c>
      <c r="CS58" s="1169">
        <f>CM58*85%</f>
        <v>1275</v>
      </c>
      <c r="CZ58" s="1124"/>
      <c r="DA58" s="1124"/>
      <c r="DB58" s="1124"/>
      <c r="DC58" s="1124"/>
      <c r="DD58" s="1124"/>
    </row>
    <row r="59" spans="1:108" ht="16.5" customHeight="1">
      <c r="A59" s="1183" t="s">
        <v>397</v>
      </c>
      <c r="B59" s="1184" t="s">
        <v>398</v>
      </c>
      <c r="C59" s="1184" t="s">
        <v>544</v>
      </c>
      <c r="D59" s="1185"/>
      <c r="E59" s="1185">
        <f>F59+G59</f>
        <v>1</v>
      </c>
      <c r="F59" s="1185"/>
      <c r="G59" s="1185">
        <v>1</v>
      </c>
      <c r="H59" s="1169">
        <f>IF(E59=0,P59/L59*100,IF(K59=0,0,P59/K59*100))</f>
        <v>0</v>
      </c>
      <c r="I59" s="1169">
        <f>R59+Z59+AH59+AP59+AX59+BF59+BN59+BV59+CD59+CL59</f>
        <v>3000.1</v>
      </c>
      <c r="J59" s="1169">
        <v>3000</v>
      </c>
      <c r="K59" s="1169">
        <f t="shared" si="100"/>
        <v>3000.1</v>
      </c>
      <c r="L59" s="1169">
        <f t="shared" si="100"/>
        <v>1380</v>
      </c>
      <c r="M59" s="1169">
        <f t="shared" si="100"/>
        <v>1620.1</v>
      </c>
      <c r="N59" s="1169"/>
      <c r="O59" s="1169">
        <f>K59-N59</f>
        <v>3000.1</v>
      </c>
      <c r="P59" s="1169">
        <f>O59-Q59</f>
        <v>0</v>
      </c>
      <c r="Q59" s="1169">
        <f>Y59+AG59+AO59+AW59+BE59+BM59+BU59+CC59+CK59+CS59</f>
        <v>3000.1</v>
      </c>
      <c r="R59" s="1186">
        <v>2460</v>
      </c>
      <c r="S59" s="1169">
        <f>T59+U59</f>
        <v>2380</v>
      </c>
      <c r="T59" s="1169">
        <v>1380</v>
      </c>
      <c r="U59" s="1169">
        <v>1000</v>
      </c>
      <c r="V59" s="1169"/>
      <c r="W59" s="1169">
        <f>X59+Y59</f>
        <v>2380</v>
      </c>
      <c r="X59" s="1169"/>
      <c r="Y59" s="1169">
        <f>S59*100%</f>
        <v>2380</v>
      </c>
      <c r="Z59" s="1182">
        <v>100</v>
      </c>
      <c r="AA59" s="1169">
        <f t="shared" si="101"/>
        <v>100</v>
      </c>
      <c r="AB59" s="1169">
        <v>0</v>
      </c>
      <c r="AC59" s="1169">
        <v>100</v>
      </c>
      <c r="AD59" s="1169"/>
      <c r="AE59" s="1169">
        <f>AF59+AG59</f>
        <v>100</v>
      </c>
      <c r="AF59" s="1169"/>
      <c r="AG59" s="1169">
        <f>AA59*100%</f>
        <v>100</v>
      </c>
      <c r="AH59" s="1182">
        <v>100.1</v>
      </c>
      <c r="AI59" s="1399">
        <f t="shared" si="102"/>
        <v>100.1</v>
      </c>
      <c r="AJ59" s="1399">
        <v>0</v>
      </c>
      <c r="AK59" s="1399">
        <v>100.1</v>
      </c>
      <c r="AL59" s="1169"/>
      <c r="AM59" s="1169">
        <f>AN59+AO59</f>
        <v>100.1</v>
      </c>
      <c r="AN59" s="1169"/>
      <c r="AO59" s="1169">
        <f>AI59*100%</f>
        <v>100.1</v>
      </c>
      <c r="AP59" s="1182">
        <v>150</v>
      </c>
      <c r="AQ59" s="1169">
        <f t="shared" si="103"/>
        <v>200</v>
      </c>
      <c r="AR59" s="1169">
        <v>0</v>
      </c>
      <c r="AS59" s="1169">
        <v>200</v>
      </c>
      <c r="AT59" s="1169"/>
      <c r="AU59" s="1169">
        <f>AV59+AW59</f>
        <v>200</v>
      </c>
      <c r="AV59" s="1169"/>
      <c r="AW59" s="1169">
        <f>AQ59*100%</f>
        <v>200</v>
      </c>
      <c r="AX59" s="1182">
        <v>70</v>
      </c>
      <c r="AY59" s="1169">
        <f t="shared" si="104"/>
        <v>50</v>
      </c>
      <c r="AZ59" s="1169">
        <v>0</v>
      </c>
      <c r="BA59" s="1169">
        <v>50</v>
      </c>
      <c r="BB59" s="1169"/>
      <c r="BC59" s="1169">
        <f>BD59+BE59</f>
        <v>50</v>
      </c>
      <c r="BD59" s="1169"/>
      <c r="BE59" s="1169">
        <f>AY59*100%</f>
        <v>50</v>
      </c>
      <c r="BF59" s="1182">
        <v>40</v>
      </c>
      <c r="BG59" s="1169">
        <f t="shared" si="105"/>
        <v>40</v>
      </c>
      <c r="BH59" s="1169">
        <v>0</v>
      </c>
      <c r="BI59" s="1169">
        <v>40</v>
      </c>
      <c r="BJ59" s="1169"/>
      <c r="BK59" s="1169">
        <f>BL59+BM59</f>
        <v>40</v>
      </c>
      <c r="BL59" s="1169"/>
      <c r="BM59" s="1169">
        <f>BG59*100%</f>
        <v>40</v>
      </c>
      <c r="BN59" s="1182">
        <v>30</v>
      </c>
      <c r="BO59" s="1169">
        <f t="shared" si="106"/>
        <v>30</v>
      </c>
      <c r="BP59" s="1169">
        <v>0</v>
      </c>
      <c r="BQ59" s="1169">
        <v>30</v>
      </c>
      <c r="BR59" s="1169"/>
      <c r="BS59" s="1169">
        <f>BT59+BU59</f>
        <v>30</v>
      </c>
      <c r="BT59" s="1169"/>
      <c r="BU59" s="1169">
        <f>BO59*100%</f>
        <v>30</v>
      </c>
      <c r="BV59" s="1182">
        <v>20</v>
      </c>
      <c r="BW59" s="1169">
        <f t="shared" si="107"/>
        <v>20</v>
      </c>
      <c r="BX59" s="1169">
        <v>0</v>
      </c>
      <c r="BY59" s="1169">
        <v>20</v>
      </c>
      <c r="BZ59" s="1169"/>
      <c r="CA59" s="1169">
        <f>CB59+CC59</f>
        <v>20</v>
      </c>
      <c r="CB59" s="1169"/>
      <c r="CC59" s="1169">
        <f>BW59*100%</f>
        <v>20</v>
      </c>
      <c r="CD59" s="1182">
        <v>30</v>
      </c>
      <c r="CE59" s="1169">
        <f t="shared" si="108"/>
        <v>30</v>
      </c>
      <c r="CF59" s="1169">
        <v>0</v>
      </c>
      <c r="CG59" s="1169">
        <v>30</v>
      </c>
      <c r="CH59" s="1169"/>
      <c r="CI59" s="1169">
        <f>CJ59+CK59</f>
        <v>30</v>
      </c>
      <c r="CJ59" s="1169"/>
      <c r="CK59" s="1169">
        <f>CE59*100%</f>
        <v>30</v>
      </c>
      <c r="CL59" s="1182">
        <v>0</v>
      </c>
      <c r="CM59" s="1169">
        <f t="shared" si="109"/>
        <v>50</v>
      </c>
      <c r="CN59" s="1169">
        <v>0</v>
      </c>
      <c r="CO59" s="1169">
        <v>50</v>
      </c>
      <c r="CP59" s="1169"/>
      <c r="CQ59" s="1169">
        <f>CR59+CS59</f>
        <v>50</v>
      </c>
      <c r="CR59" s="1169"/>
      <c r="CS59" s="1169">
        <f>CM59*100%</f>
        <v>50</v>
      </c>
      <c r="CZ59" s="1124"/>
      <c r="DA59" s="1124"/>
      <c r="DB59" s="1124"/>
      <c r="DC59" s="1124"/>
      <c r="DD59" s="1124"/>
    </row>
    <row r="60" spans="1:108" ht="16.5" customHeight="1">
      <c r="A60" s="1183" t="s">
        <v>399</v>
      </c>
      <c r="B60" s="1184" t="s">
        <v>382</v>
      </c>
      <c r="C60" s="1180" t="s">
        <v>545</v>
      </c>
      <c r="D60" s="1185"/>
      <c r="E60" s="1185"/>
      <c r="F60" s="1185"/>
      <c r="G60" s="1185"/>
      <c r="H60" s="1169"/>
      <c r="I60" s="1169">
        <f>I61+I62+I63+I64</f>
        <v>235000</v>
      </c>
      <c r="J60" s="1169">
        <v>277000</v>
      </c>
      <c r="K60" s="1169">
        <f t="shared" ref="K60:CC60" si="110">K61+K62+K63+K64</f>
        <v>277000</v>
      </c>
      <c r="L60" s="1169">
        <f t="shared" si="110"/>
        <v>207050</v>
      </c>
      <c r="M60" s="1169">
        <f t="shared" si="110"/>
        <v>69950</v>
      </c>
      <c r="N60" s="1169"/>
      <c r="O60" s="1169">
        <f t="shared" si="110"/>
        <v>277000</v>
      </c>
      <c r="P60" s="1169">
        <f t="shared" si="110"/>
        <v>74448</v>
      </c>
      <c r="Q60" s="1169">
        <f t="shared" si="110"/>
        <v>202552</v>
      </c>
      <c r="R60" s="1169">
        <v>15120</v>
      </c>
      <c r="S60" s="1169">
        <f>T60+U60</f>
        <v>21820</v>
      </c>
      <c r="T60" s="1169">
        <v>8020</v>
      </c>
      <c r="U60" s="1169">
        <v>13800</v>
      </c>
      <c r="V60" s="1169">
        <f t="shared" si="110"/>
        <v>0</v>
      </c>
      <c r="W60" s="1169">
        <f t="shared" si="110"/>
        <v>21820</v>
      </c>
      <c r="X60" s="1169">
        <f t="shared" si="110"/>
        <v>1740</v>
      </c>
      <c r="Y60" s="1169">
        <f t="shared" si="110"/>
        <v>20080</v>
      </c>
      <c r="Z60" s="1182">
        <v>12500</v>
      </c>
      <c r="AA60" s="1169">
        <f t="shared" si="101"/>
        <v>14040</v>
      </c>
      <c r="AB60" s="1169">
        <v>9840</v>
      </c>
      <c r="AC60" s="1169">
        <v>4200</v>
      </c>
      <c r="AD60" s="1169">
        <f t="shared" si="110"/>
        <v>0</v>
      </c>
      <c r="AE60" s="1169">
        <f t="shared" si="110"/>
        <v>14040</v>
      </c>
      <c r="AF60" s="1169">
        <f t="shared" si="110"/>
        <v>3900</v>
      </c>
      <c r="AG60" s="1169">
        <f t="shared" si="110"/>
        <v>10140</v>
      </c>
      <c r="AH60" s="1182">
        <v>8570</v>
      </c>
      <c r="AI60" s="1399">
        <f t="shared" si="102"/>
        <v>8200</v>
      </c>
      <c r="AJ60" s="1399">
        <v>200</v>
      </c>
      <c r="AK60" s="1399">
        <v>8000</v>
      </c>
      <c r="AL60" s="1169">
        <f t="shared" si="110"/>
        <v>0</v>
      </c>
      <c r="AM60" s="1169">
        <f t="shared" si="110"/>
        <v>8200</v>
      </c>
      <c r="AN60" s="1169">
        <f t="shared" si="110"/>
        <v>2220</v>
      </c>
      <c r="AO60" s="1169">
        <f t="shared" si="110"/>
        <v>5980</v>
      </c>
      <c r="AP60" s="1182">
        <v>9800</v>
      </c>
      <c r="AQ60" s="1169">
        <f t="shared" si="103"/>
        <v>9180</v>
      </c>
      <c r="AR60" s="1169">
        <v>4880</v>
      </c>
      <c r="AS60" s="1169">
        <v>4300</v>
      </c>
      <c r="AT60" s="1169">
        <f t="shared" si="110"/>
        <v>0</v>
      </c>
      <c r="AU60" s="1169">
        <f t="shared" si="110"/>
        <v>9180</v>
      </c>
      <c r="AV60" s="1169">
        <f t="shared" si="110"/>
        <v>1398</v>
      </c>
      <c r="AW60" s="1169">
        <f t="shared" si="110"/>
        <v>7782</v>
      </c>
      <c r="AX60" s="1182">
        <v>2840</v>
      </c>
      <c r="AY60" s="1169">
        <f t="shared" si="104"/>
        <v>3850</v>
      </c>
      <c r="AZ60" s="1169">
        <v>2550</v>
      </c>
      <c r="BA60" s="1169">
        <v>1300</v>
      </c>
      <c r="BB60" s="1169">
        <f t="shared" si="110"/>
        <v>0</v>
      </c>
      <c r="BC60" s="1169">
        <f t="shared" si="110"/>
        <v>3850</v>
      </c>
      <c r="BD60" s="1169">
        <f t="shared" si="110"/>
        <v>750</v>
      </c>
      <c r="BE60" s="1169">
        <f t="shared" si="110"/>
        <v>3100</v>
      </c>
      <c r="BF60" s="1182">
        <v>820</v>
      </c>
      <c r="BG60" s="1169">
        <f t="shared" si="105"/>
        <v>760</v>
      </c>
      <c r="BH60" s="1169">
        <v>60</v>
      </c>
      <c r="BI60" s="1169">
        <v>700</v>
      </c>
      <c r="BJ60" s="1169">
        <f t="shared" si="110"/>
        <v>0</v>
      </c>
      <c r="BK60" s="1169">
        <f t="shared" si="110"/>
        <v>760</v>
      </c>
      <c r="BL60" s="1169">
        <f t="shared" si="110"/>
        <v>0</v>
      </c>
      <c r="BM60" s="1169">
        <f t="shared" si="110"/>
        <v>760</v>
      </c>
      <c r="BN60" s="1182">
        <v>8800</v>
      </c>
      <c r="BO60" s="1169">
        <f t="shared" si="106"/>
        <v>9700</v>
      </c>
      <c r="BP60" s="1169">
        <v>9200</v>
      </c>
      <c r="BQ60" s="1169">
        <v>500</v>
      </c>
      <c r="BR60" s="1169">
        <f t="shared" si="110"/>
        <v>0</v>
      </c>
      <c r="BS60" s="1169">
        <f t="shared" si="110"/>
        <v>9700</v>
      </c>
      <c r="BT60" s="1169">
        <f t="shared" si="110"/>
        <v>2760</v>
      </c>
      <c r="BU60" s="1169">
        <f t="shared" si="110"/>
        <v>6940</v>
      </c>
      <c r="BV60" s="1182">
        <v>35550</v>
      </c>
      <c r="BW60" s="1169">
        <f t="shared" si="107"/>
        <v>23600</v>
      </c>
      <c r="BX60" s="1169">
        <v>23100</v>
      </c>
      <c r="BY60" s="1169">
        <v>500</v>
      </c>
      <c r="BZ60" s="1169">
        <f t="shared" si="110"/>
        <v>0</v>
      </c>
      <c r="CA60" s="1169">
        <f t="shared" si="110"/>
        <v>23600</v>
      </c>
      <c r="CB60" s="1169">
        <f t="shared" si="110"/>
        <v>6900</v>
      </c>
      <c r="CC60" s="1169">
        <f t="shared" si="110"/>
        <v>16700</v>
      </c>
      <c r="CD60" s="1182">
        <v>121500</v>
      </c>
      <c r="CE60" s="1169">
        <f t="shared" si="108"/>
        <v>165600</v>
      </c>
      <c r="CF60" s="1169">
        <v>129300</v>
      </c>
      <c r="CG60" s="1169">
        <v>36300</v>
      </c>
      <c r="CH60" s="1169">
        <f t="shared" ref="CH60:CS60" si="111">CH61+CH62+CH63+CH64</f>
        <v>0</v>
      </c>
      <c r="CI60" s="1169">
        <f t="shared" si="111"/>
        <v>165600</v>
      </c>
      <c r="CJ60" s="1169">
        <f t="shared" si="111"/>
        <v>48840</v>
      </c>
      <c r="CK60" s="1169">
        <f t="shared" si="111"/>
        <v>116760</v>
      </c>
      <c r="CL60" s="1182">
        <v>19500</v>
      </c>
      <c r="CM60" s="1169">
        <f t="shared" si="109"/>
        <v>20250</v>
      </c>
      <c r="CN60" s="1169">
        <v>19900</v>
      </c>
      <c r="CO60" s="1169">
        <v>350</v>
      </c>
      <c r="CP60" s="1169">
        <f t="shared" si="111"/>
        <v>0</v>
      </c>
      <c r="CQ60" s="1169">
        <f t="shared" si="111"/>
        <v>20250</v>
      </c>
      <c r="CR60" s="1169">
        <f t="shared" si="111"/>
        <v>5940</v>
      </c>
      <c r="CS60" s="1169">
        <f t="shared" si="111"/>
        <v>14310</v>
      </c>
      <c r="CT60" s="1124"/>
      <c r="CU60" s="1124"/>
      <c r="CV60" s="1153"/>
      <c r="CW60" s="1153"/>
      <c r="CX60" s="1153"/>
      <c r="CY60" s="1153"/>
      <c r="CZ60" s="1124"/>
      <c r="DA60" s="1124"/>
      <c r="DB60" s="1124"/>
      <c r="DC60" s="1124"/>
      <c r="DD60" s="1124"/>
    </row>
    <row r="61" spans="1:108" ht="16.5" customHeight="1">
      <c r="A61" s="1183" t="s">
        <v>281</v>
      </c>
      <c r="B61" s="1184" t="s">
        <v>383</v>
      </c>
      <c r="C61" s="1184" t="s">
        <v>546</v>
      </c>
      <c r="D61" s="1185"/>
      <c r="E61" s="1185">
        <f t="shared" ref="E61:E68" si="112">F61+G61</f>
        <v>1</v>
      </c>
      <c r="F61" s="1185">
        <v>0.3</v>
      </c>
      <c r="G61" s="1185">
        <v>0.7</v>
      </c>
      <c r="H61" s="1169">
        <f t="shared" ref="H61:H68" si="113">IF(E61=0,P61/L61*100,IF(K61=0,0,P61/K61*100))</f>
        <v>30</v>
      </c>
      <c r="I61" s="1169">
        <f t="shared" ref="I61:I68" si="114">R61+Z61+AH61+AP61+AX61+BF61+BN61+BV61+CD61+CL61</f>
        <v>216100</v>
      </c>
      <c r="J61" s="1169"/>
      <c r="K61" s="1169">
        <f t="shared" ref="K61:M68" si="115">S61+AA61+AI61+AQ61+AY61+BG61+BO61+BW61+CE61+CM61</f>
        <v>248160</v>
      </c>
      <c r="L61" s="1169">
        <f t="shared" si="115"/>
        <v>195760</v>
      </c>
      <c r="M61" s="1169">
        <f t="shared" si="115"/>
        <v>52400</v>
      </c>
      <c r="N61" s="1169"/>
      <c r="O61" s="1169">
        <f t="shared" ref="O61:O68" si="116">K61-N61</f>
        <v>248160</v>
      </c>
      <c r="P61" s="1169">
        <f t="shared" ref="P61:P71" si="117">O61-Q61</f>
        <v>74448</v>
      </c>
      <c r="Q61" s="1169">
        <f t="shared" ref="Q61:Q68" si="118">Y61+AG61+AO61+AW61+BE61+BM61+BU61+CC61+CK61+CS61</f>
        <v>173712</v>
      </c>
      <c r="R61" s="1186">
        <v>5600</v>
      </c>
      <c r="S61" s="1169">
        <f t="shared" ref="S61:S69" si="119">T61+U61</f>
        <v>5800</v>
      </c>
      <c r="T61" s="1169">
        <v>0</v>
      </c>
      <c r="U61" s="1169">
        <v>5800</v>
      </c>
      <c r="V61" s="1169"/>
      <c r="W61" s="1169">
        <f t="shared" ref="W61:W68" si="120">X61+Y61</f>
        <v>5800</v>
      </c>
      <c r="X61" s="1169">
        <f>S61*30%</f>
        <v>1740</v>
      </c>
      <c r="Y61" s="1169">
        <f>S61*70%</f>
        <v>4059.9999999999995</v>
      </c>
      <c r="Z61" s="1182">
        <v>11200</v>
      </c>
      <c r="AA61" s="1169">
        <f t="shared" si="101"/>
        <v>13000</v>
      </c>
      <c r="AB61" s="1169">
        <v>9800</v>
      </c>
      <c r="AC61" s="1169">
        <v>3200</v>
      </c>
      <c r="AD61" s="1169"/>
      <c r="AE61" s="1169">
        <f t="shared" ref="AE61:AE77" si="121">AF61+AG61</f>
        <v>13000</v>
      </c>
      <c r="AF61" s="1169">
        <f>AA61*30%</f>
        <v>3900</v>
      </c>
      <c r="AG61" s="1169">
        <f>AA61*70%</f>
        <v>9100</v>
      </c>
      <c r="AH61" s="1182">
        <v>8000</v>
      </c>
      <c r="AI61" s="1399">
        <f t="shared" si="102"/>
        <v>7400</v>
      </c>
      <c r="AJ61" s="1399">
        <v>0</v>
      </c>
      <c r="AK61" s="1399">
        <v>7400</v>
      </c>
      <c r="AL61" s="1169"/>
      <c r="AM61" s="1169">
        <f t="shared" ref="AM61:AM77" si="122">AN61+AO61</f>
        <v>7400</v>
      </c>
      <c r="AN61" s="1169">
        <f>AI61*30%</f>
        <v>2220</v>
      </c>
      <c r="AO61" s="1169">
        <f>AI61*70%</f>
        <v>5180</v>
      </c>
      <c r="AP61" s="1182">
        <v>6600</v>
      </c>
      <c r="AQ61" s="1169">
        <f t="shared" si="103"/>
        <v>4660</v>
      </c>
      <c r="AR61" s="1169">
        <v>4660</v>
      </c>
      <c r="AS61" s="1169">
        <v>0</v>
      </c>
      <c r="AT61" s="1169"/>
      <c r="AU61" s="1169">
        <f t="shared" ref="AU61:AU79" si="123">AV61+AW61</f>
        <v>4660</v>
      </c>
      <c r="AV61" s="1169">
        <f>AQ61*30%</f>
        <v>1398</v>
      </c>
      <c r="AW61" s="1169">
        <f>AQ61*70%</f>
        <v>3262</v>
      </c>
      <c r="AX61" s="1182">
        <v>1700</v>
      </c>
      <c r="AY61" s="1169">
        <f t="shared" si="104"/>
        <v>2500</v>
      </c>
      <c r="AZ61" s="1169">
        <v>2500</v>
      </c>
      <c r="BA61" s="1169">
        <v>0</v>
      </c>
      <c r="BB61" s="1169"/>
      <c r="BC61" s="1169">
        <f t="shared" ref="BC61:BC77" si="124">BD61+BE61</f>
        <v>2500</v>
      </c>
      <c r="BD61" s="1169">
        <f>AY61*30%</f>
        <v>750</v>
      </c>
      <c r="BE61" s="1169">
        <f>AY61*70%</f>
        <v>1750</v>
      </c>
      <c r="BF61" s="1182">
        <v>0</v>
      </c>
      <c r="BG61" s="1169">
        <f t="shared" si="105"/>
        <v>0</v>
      </c>
      <c r="BH61" s="1169">
        <v>0</v>
      </c>
      <c r="BI61" s="1169">
        <v>0</v>
      </c>
      <c r="BJ61" s="1169"/>
      <c r="BK61" s="1169">
        <f t="shared" ref="BK61:BK77" si="125">BL61+BM61</f>
        <v>0</v>
      </c>
      <c r="BL61" s="1169">
        <f>BG61*30%</f>
        <v>0</v>
      </c>
      <c r="BM61" s="1169">
        <f>BG61*70%</f>
        <v>0</v>
      </c>
      <c r="BN61" s="1182">
        <v>8600</v>
      </c>
      <c r="BO61" s="1169">
        <f t="shared" si="106"/>
        <v>9200</v>
      </c>
      <c r="BP61" s="1169">
        <v>9200</v>
      </c>
      <c r="BQ61" s="1169">
        <v>0</v>
      </c>
      <c r="BR61" s="1169"/>
      <c r="BS61" s="1169">
        <f t="shared" ref="BS61:BS77" si="126">BT61+BU61</f>
        <v>9200</v>
      </c>
      <c r="BT61" s="1169">
        <f>BO61*30%</f>
        <v>2760</v>
      </c>
      <c r="BU61" s="1169">
        <f>BO61*70%</f>
        <v>6440</v>
      </c>
      <c r="BV61" s="1182">
        <v>34500</v>
      </c>
      <c r="BW61" s="1169">
        <f t="shared" si="107"/>
        <v>23000</v>
      </c>
      <c r="BX61" s="1169">
        <v>23000</v>
      </c>
      <c r="BY61" s="1169">
        <v>0</v>
      </c>
      <c r="BZ61" s="1169"/>
      <c r="CA61" s="1169">
        <f t="shared" ref="CA61:CA77" si="127">CB61+CC61</f>
        <v>23000</v>
      </c>
      <c r="CB61" s="1169">
        <f>BW61*30%</f>
        <v>6900</v>
      </c>
      <c r="CC61" s="1169">
        <f>BW61*70%</f>
        <v>16099.999999999998</v>
      </c>
      <c r="CD61" s="1182">
        <v>120700</v>
      </c>
      <c r="CE61" s="1169">
        <f t="shared" si="108"/>
        <v>162800</v>
      </c>
      <c r="CF61" s="1169">
        <v>126800</v>
      </c>
      <c r="CG61" s="1169">
        <v>36000</v>
      </c>
      <c r="CH61" s="1169"/>
      <c r="CI61" s="1169">
        <f t="shared" ref="CI61:CI77" si="128">CJ61+CK61</f>
        <v>162800</v>
      </c>
      <c r="CJ61" s="1169">
        <f>CE61*30%</f>
        <v>48840</v>
      </c>
      <c r="CK61" s="1169">
        <f>CE61*70%</f>
        <v>113960</v>
      </c>
      <c r="CL61" s="1182">
        <v>19200</v>
      </c>
      <c r="CM61" s="1169">
        <f t="shared" si="109"/>
        <v>19800</v>
      </c>
      <c r="CN61" s="1169">
        <v>19800</v>
      </c>
      <c r="CO61" s="1169">
        <v>0</v>
      </c>
      <c r="CP61" s="1169"/>
      <c r="CQ61" s="1169">
        <f t="shared" ref="CQ61:CQ77" si="129">CR61+CS61</f>
        <v>19800</v>
      </c>
      <c r="CR61" s="1169">
        <f>CM61*30%</f>
        <v>5940</v>
      </c>
      <c r="CS61" s="1169">
        <f>CM61*70%</f>
        <v>13860</v>
      </c>
      <c r="CZ61" s="1124"/>
      <c r="DA61" s="1124"/>
      <c r="DB61" s="1124"/>
      <c r="DC61" s="1124"/>
      <c r="DD61" s="1124"/>
    </row>
    <row r="62" spans="1:108" ht="16.5" hidden="1" customHeight="1" outlineLevel="1">
      <c r="A62" s="1183" t="s">
        <v>281</v>
      </c>
      <c r="B62" s="1184" t="s">
        <v>385</v>
      </c>
      <c r="C62" s="1180" t="s">
        <v>547</v>
      </c>
      <c r="D62" s="1185"/>
      <c r="E62" s="1185">
        <f t="shared" si="112"/>
        <v>1</v>
      </c>
      <c r="F62" s="1185"/>
      <c r="G62" s="1185">
        <v>1</v>
      </c>
      <c r="H62" s="1169">
        <f t="shared" si="113"/>
        <v>0</v>
      </c>
      <c r="I62" s="1169">
        <f t="shared" si="114"/>
        <v>0</v>
      </c>
      <c r="J62" s="1169"/>
      <c r="K62" s="1169">
        <f t="shared" si="115"/>
        <v>0</v>
      </c>
      <c r="L62" s="1169">
        <f t="shared" si="115"/>
        <v>0</v>
      </c>
      <c r="M62" s="1169">
        <f t="shared" si="115"/>
        <v>0</v>
      </c>
      <c r="N62" s="1169"/>
      <c r="O62" s="1169">
        <f t="shared" si="116"/>
        <v>0</v>
      </c>
      <c r="P62" s="1169">
        <f t="shared" si="117"/>
        <v>0</v>
      </c>
      <c r="Q62" s="1169">
        <f t="shared" si="118"/>
        <v>0</v>
      </c>
      <c r="R62" s="1186">
        <v>0</v>
      </c>
      <c r="S62" s="1169">
        <f t="shared" si="119"/>
        <v>0</v>
      </c>
      <c r="T62" s="1169"/>
      <c r="U62" s="1169"/>
      <c r="V62" s="1169"/>
      <c r="W62" s="1169">
        <f t="shared" si="120"/>
        <v>0</v>
      </c>
      <c r="X62" s="1169"/>
      <c r="Y62" s="1169">
        <f t="shared" ref="Y62:Y67" si="130">S62*100%</f>
        <v>0</v>
      </c>
      <c r="Z62" s="1182">
        <v>0</v>
      </c>
      <c r="AA62" s="1169">
        <f t="shared" si="101"/>
        <v>0</v>
      </c>
      <c r="AB62" s="1169"/>
      <c r="AC62" s="1169"/>
      <c r="AD62" s="1169"/>
      <c r="AE62" s="1169">
        <f t="shared" si="121"/>
        <v>0</v>
      </c>
      <c r="AF62" s="1169"/>
      <c r="AG62" s="1169">
        <f t="shared" ref="AG62:AG67" si="131">AA62*100%</f>
        <v>0</v>
      </c>
      <c r="AH62" s="1182">
        <v>0</v>
      </c>
      <c r="AI62" s="1399">
        <f t="shared" si="102"/>
        <v>0</v>
      </c>
      <c r="AJ62" s="1399"/>
      <c r="AK62" s="1399"/>
      <c r="AL62" s="1169"/>
      <c r="AM62" s="1169">
        <f t="shared" si="122"/>
        <v>0</v>
      </c>
      <c r="AN62" s="1169"/>
      <c r="AO62" s="1169">
        <f t="shared" ref="AO62:AO67" si="132">AI62*100%</f>
        <v>0</v>
      </c>
      <c r="AP62" s="1182">
        <v>0</v>
      </c>
      <c r="AQ62" s="1169">
        <f t="shared" si="103"/>
        <v>0</v>
      </c>
      <c r="AR62" s="1169"/>
      <c r="AS62" s="1169"/>
      <c r="AT62" s="1169"/>
      <c r="AU62" s="1169">
        <f t="shared" si="123"/>
        <v>0</v>
      </c>
      <c r="AV62" s="1169"/>
      <c r="AW62" s="1169">
        <f t="shared" ref="AW62:AW67" si="133">AQ62*100%</f>
        <v>0</v>
      </c>
      <c r="AX62" s="1182">
        <v>0</v>
      </c>
      <c r="AY62" s="1169">
        <f t="shared" si="104"/>
        <v>0</v>
      </c>
      <c r="AZ62" s="1169"/>
      <c r="BA62" s="1169"/>
      <c r="BB62" s="1169"/>
      <c r="BC62" s="1169">
        <f t="shared" si="124"/>
        <v>0</v>
      </c>
      <c r="BD62" s="1169"/>
      <c r="BE62" s="1169">
        <f t="shared" ref="BE62:BE67" si="134">AY62*100%</f>
        <v>0</v>
      </c>
      <c r="BF62" s="1182">
        <v>0</v>
      </c>
      <c r="BG62" s="1169">
        <f t="shared" si="105"/>
        <v>0</v>
      </c>
      <c r="BH62" s="1169"/>
      <c r="BI62" s="1169"/>
      <c r="BJ62" s="1169"/>
      <c r="BK62" s="1169">
        <f t="shared" si="125"/>
        <v>0</v>
      </c>
      <c r="BL62" s="1169"/>
      <c r="BM62" s="1169">
        <f t="shared" ref="BM62:BM67" si="135">BG62*100%</f>
        <v>0</v>
      </c>
      <c r="BN62" s="1182">
        <v>0</v>
      </c>
      <c r="BO62" s="1169">
        <f t="shared" si="106"/>
        <v>0</v>
      </c>
      <c r="BP62" s="1169"/>
      <c r="BQ62" s="1169"/>
      <c r="BR62" s="1169"/>
      <c r="BS62" s="1169">
        <f t="shared" si="126"/>
        <v>0</v>
      </c>
      <c r="BT62" s="1169"/>
      <c r="BU62" s="1169">
        <f t="shared" ref="BU62:BU67" si="136">BO62*100%</f>
        <v>0</v>
      </c>
      <c r="BV62" s="1182">
        <v>0</v>
      </c>
      <c r="BW62" s="1169">
        <f t="shared" si="107"/>
        <v>0</v>
      </c>
      <c r="BX62" s="1169"/>
      <c r="BY62" s="1169"/>
      <c r="BZ62" s="1169"/>
      <c r="CA62" s="1169">
        <f t="shared" si="127"/>
        <v>0</v>
      </c>
      <c r="CB62" s="1169"/>
      <c r="CC62" s="1169">
        <f t="shared" ref="CC62:CC67" si="137">BW62*100%</f>
        <v>0</v>
      </c>
      <c r="CD62" s="1182">
        <v>0</v>
      </c>
      <c r="CE62" s="1169">
        <f t="shared" si="108"/>
        <v>0</v>
      </c>
      <c r="CF62" s="1169"/>
      <c r="CG62" s="1169"/>
      <c r="CH62" s="1169"/>
      <c r="CI62" s="1169">
        <f t="shared" si="128"/>
        <v>0</v>
      </c>
      <c r="CJ62" s="1169"/>
      <c r="CK62" s="1169">
        <f t="shared" ref="CK62:CK67" si="138">CE62*100%</f>
        <v>0</v>
      </c>
      <c r="CL62" s="1182">
        <v>0</v>
      </c>
      <c r="CM62" s="1169">
        <f t="shared" si="109"/>
        <v>0</v>
      </c>
      <c r="CN62" s="1169"/>
      <c r="CO62" s="1169"/>
      <c r="CP62" s="1169"/>
      <c r="CQ62" s="1169">
        <f t="shared" si="129"/>
        <v>0</v>
      </c>
      <c r="CR62" s="1169"/>
      <c r="CS62" s="1169">
        <f t="shared" ref="CS62:CS67" si="139">CM62*100%</f>
        <v>0</v>
      </c>
      <c r="CZ62" s="1124"/>
      <c r="DA62" s="1124"/>
      <c r="DB62" s="1124"/>
      <c r="DC62" s="1124"/>
      <c r="DD62" s="1124"/>
    </row>
    <row r="63" spans="1:108" ht="16.5" hidden="1" customHeight="1" outlineLevel="1">
      <c r="A63" s="1183" t="s">
        <v>281</v>
      </c>
      <c r="B63" s="1184" t="s">
        <v>384</v>
      </c>
      <c r="C63" s="1184" t="s">
        <v>548</v>
      </c>
      <c r="D63" s="1185"/>
      <c r="E63" s="1185">
        <f t="shared" si="112"/>
        <v>1</v>
      </c>
      <c r="F63" s="1185">
        <v>1</v>
      </c>
      <c r="G63" s="1185"/>
      <c r="H63" s="1169">
        <f t="shared" si="113"/>
        <v>0</v>
      </c>
      <c r="I63" s="1169">
        <f t="shared" si="114"/>
        <v>0</v>
      </c>
      <c r="J63" s="1169"/>
      <c r="K63" s="1169">
        <f t="shared" si="115"/>
        <v>0</v>
      </c>
      <c r="L63" s="1169">
        <f t="shared" si="115"/>
        <v>0</v>
      </c>
      <c r="M63" s="1169">
        <f t="shared" si="115"/>
        <v>0</v>
      </c>
      <c r="N63" s="1169"/>
      <c r="O63" s="1169">
        <f t="shared" si="116"/>
        <v>0</v>
      </c>
      <c r="P63" s="1169">
        <f t="shared" si="117"/>
        <v>0</v>
      </c>
      <c r="Q63" s="1169">
        <f t="shared" si="118"/>
        <v>0</v>
      </c>
      <c r="R63" s="1186">
        <v>0</v>
      </c>
      <c r="S63" s="1169">
        <f t="shared" si="119"/>
        <v>0</v>
      </c>
      <c r="T63" s="1169">
        <v>0</v>
      </c>
      <c r="U63" s="1169">
        <v>0</v>
      </c>
      <c r="V63" s="1169"/>
      <c r="W63" s="1169">
        <f t="shared" si="120"/>
        <v>0</v>
      </c>
      <c r="X63" s="1169"/>
      <c r="Y63" s="1169">
        <f t="shared" si="130"/>
        <v>0</v>
      </c>
      <c r="Z63" s="1182">
        <v>0</v>
      </c>
      <c r="AA63" s="1169">
        <f t="shared" si="101"/>
        <v>0</v>
      </c>
      <c r="AB63" s="1169">
        <v>0</v>
      </c>
      <c r="AC63" s="1169">
        <v>0</v>
      </c>
      <c r="AD63" s="1169"/>
      <c r="AE63" s="1169">
        <f t="shared" si="121"/>
        <v>0</v>
      </c>
      <c r="AF63" s="1169"/>
      <c r="AG63" s="1169">
        <f t="shared" si="131"/>
        <v>0</v>
      </c>
      <c r="AH63" s="1182">
        <v>0</v>
      </c>
      <c r="AI63" s="1399">
        <f t="shared" si="102"/>
        <v>0</v>
      </c>
      <c r="AJ63" s="1399">
        <v>0</v>
      </c>
      <c r="AK63" s="1399">
        <v>0</v>
      </c>
      <c r="AL63" s="1169"/>
      <c r="AM63" s="1169">
        <f t="shared" si="122"/>
        <v>0</v>
      </c>
      <c r="AN63" s="1169"/>
      <c r="AO63" s="1169">
        <f t="shared" si="132"/>
        <v>0</v>
      </c>
      <c r="AP63" s="1182">
        <v>0</v>
      </c>
      <c r="AQ63" s="1169">
        <f t="shared" si="103"/>
        <v>0</v>
      </c>
      <c r="AR63" s="1169">
        <v>0</v>
      </c>
      <c r="AS63" s="1169">
        <v>0</v>
      </c>
      <c r="AT63" s="1169"/>
      <c r="AU63" s="1169">
        <f t="shared" si="123"/>
        <v>0</v>
      </c>
      <c r="AV63" s="1169"/>
      <c r="AW63" s="1169">
        <f t="shared" si="133"/>
        <v>0</v>
      </c>
      <c r="AX63" s="1182">
        <v>0</v>
      </c>
      <c r="AY63" s="1169">
        <f t="shared" si="104"/>
        <v>0</v>
      </c>
      <c r="AZ63" s="1169">
        <v>0</v>
      </c>
      <c r="BA63" s="1169">
        <v>0</v>
      </c>
      <c r="BB63" s="1169"/>
      <c r="BC63" s="1169">
        <f t="shared" si="124"/>
        <v>0</v>
      </c>
      <c r="BD63" s="1169"/>
      <c r="BE63" s="1169">
        <f t="shared" si="134"/>
        <v>0</v>
      </c>
      <c r="BF63" s="1182">
        <v>0</v>
      </c>
      <c r="BG63" s="1169">
        <f t="shared" si="105"/>
        <v>0</v>
      </c>
      <c r="BH63" s="1169">
        <v>0</v>
      </c>
      <c r="BI63" s="1169">
        <v>0</v>
      </c>
      <c r="BJ63" s="1169"/>
      <c r="BK63" s="1169">
        <f t="shared" si="125"/>
        <v>0</v>
      </c>
      <c r="BL63" s="1169"/>
      <c r="BM63" s="1169">
        <f t="shared" si="135"/>
        <v>0</v>
      </c>
      <c r="BN63" s="1182">
        <v>0</v>
      </c>
      <c r="BO63" s="1169">
        <f t="shared" si="106"/>
        <v>0</v>
      </c>
      <c r="BP63" s="1169">
        <v>0</v>
      </c>
      <c r="BQ63" s="1169">
        <v>0</v>
      </c>
      <c r="BR63" s="1169"/>
      <c r="BS63" s="1169">
        <f t="shared" si="126"/>
        <v>0</v>
      </c>
      <c r="BT63" s="1169"/>
      <c r="BU63" s="1169">
        <f t="shared" si="136"/>
        <v>0</v>
      </c>
      <c r="BV63" s="1182">
        <v>0</v>
      </c>
      <c r="BW63" s="1169">
        <f t="shared" si="107"/>
        <v>0</v>
      </c>
      <c r="BX63" s="1169">
        <v>0</v>
      </c>
      <c r="BY63" s="1169">
        <v>0</v>
      </c>
      <c r="BZ63" s="1169"/>
      <c r="CA63" s="1169">
        <f t="shared" si="127"/>
        <v>0</v>
      </c>
      <c r="CB63" s="1169"/>
      <c r="CC63" s="1169">
        <f t="shared" si="137"/>
        <v>0</v>
      </c>
      <c r="CD63" s="1182">
        <v>0</v>
      </c>
      <c r="CE63" s="1169">
        <f t="shared" si="108"/>
        <v>0</v>
      </c>
      <c r="CF63" s="1169">
        <v>0</v>
      </c>
      <c r="CG63" s="1169">
        <v>0</v>
      </c>
      <c r="CH63" s="1169"/>
      <c r="CI63" s="1169">
        <f t="shared" si="128"/>
        <v>0</v>
      </c>
      <c r="CJ63" s="1169"/>
      <c r="CK63" s="1169">
        <f t="shared" si="138"/>
        <v>0</v>
      </c>
      <c r="CL63" s="1182">
        <v>0</v>
      </c>
      <c r="CM63" s="1169">
        <f t="shared" si="109"/>
        <v>0</v>
      </c>
      <c r="CN63" s="1169">
        <v>0</v>
      </c>
      <c r="CO63" s="1169">
        <v>0</v>
      </c>
      <c r="CP63" s="1169"/>
      <c r="CQ63" s="1169">
        <f t="shared" si="129"/>
        <v>0</v>
      </c>
      <c r="CR63" s="1169"/>
      <c r="CS63" s="1169">
        <f t="shared" si="139"/>
        <v>0</v>
      </c>
      <c r="CZ63" s="1124"/>
      <c r="DA63" s="1124"/>
      <c r="DB63" s="1124"/>
      <c r="DC63" s="1124"/>
      <c r="DD63" s="1124"/>
    </row>
    <row r="64" spans="1:108" ht="16.5" customHeight="1" collapsed="1">
      <c r="A64" s="1183" t="s">
        <v>281</v>
      </c>
      <c r="B64" s="1184" t="s">
        <v>386</v>
      </c>
      <c r="C64" s="1180" t="s">
        <v>549</v>
      </c>
      <c r="D64" s="1185"/>
      <c r="E64" s="1185">
        <f t="shared" si="112"/>
        <v>1</v>
      </c>
      <c r="F64" s="1185"/>
      <c r="G64" s="1185">
        <v>1</v>
      </c>
      <c r="H64" s="1169">
        <f t="shared" si="113"/>
        <v>0</v>
      </c>
      <c r="I64" s="1169">
        <f t="shared" si="114"/>
        <v>18900</v>
      </c>
      <c r="J64" s="1169"/>
      <c r="K64" s="1169">
        <f t="shared" si="115"/>
        <v>28840</v>
      </c>
      <c r="L64" s="1169">
        <f t="shared" si="115"/>
        <v>11290</v>
      </c>
      <c r="M64" s="1169">
        <f t="shared" si="115"/>
        <v>17550</v>
      </c>
      <c r="N64" s="1169"/>
      <c r="O64" s="1169">
        <f t="shared" si="116"/>
        <v>28840</v>
      </c>
      <c r="P64" s="1169">
        <f t="shared" si="117"/>
        <v>0</v>
      </c>
      <c r="Q64" s="1169">
        <f t="shared" si="118"/>
        <v>28840</v>
      </c>
      <c r="R64" s="1186">
        <v>9520</v>
      </c>
      <c r="S64" s="1169">
        <f t="shared" si="119"/>
        <v>16020</v>
      </c>
      <c r="T64" s="1169">
        <f>T60-T61</f>
        <v>8020</v>
      </c>
      <c r="U64" s="1169">
        <f>U60-U61</f>
        <v>8000</v>
      </c>
      <c r="V64" s="1169"/>
      <c r="W64" s="1169">
        <f t="shared" si="120"/>
        <v>16020</v>
      </c>
      <c r="X64" s="1169"/>
      <c r="Y64" s="1169">
        <f t="shared" si="130"/>
        <v>16020</v>
      </c>
      <c r="Z64" s="1182">
        <v>1300</v>
      </c>
      <c r="AA64" s="1169">
        <f t="shared" si="101"/>
        <v>1040</v>
      </c>
      <c r="AB64" s="1169">
        <f>AB60-AB61</f>
        <v>40</v>
      </c>
      <c r="AC64" s="1169">
        <f>AC60-AC61</f>
        <v>1000</v>
      </c>
      <c r="AD64" s="1169"/>
      <c r="AE64" s="1169">
        <f t="shared" si="121"/>
        <v>1040</v>
      </c>
      <c r="AF64" s="1169"/>
      <c r="AG64" s="1169">
        <f t="shared" si="131"/>
        <v>1040</v>
      </c>
      <c r="AH64" s="1182">
        <v>570</v>
      </c>
      <c r="AI64" s="1399">
        <f t="shared" si="102"/>
        <v>800</v>
      </c>
      <c r="AJ64" s="1399">
        <f>AJ60-AJ61</f>
        <v>200</v>
      </c>
      <c r="AK64" s="1399">
        <f>AK60-AK61</f>
        <v>600</v>
      </c>
      <c r="AL64" s="1169"/>
      <c r="AM64" s="1169">
        <f t="shared" si="122"/>
        <v>800</v>
      </c>
      <c r="AN64" s="1169"/>
      <c r="AO64" s="1169">
        <f t="shared" si="132"/>
        <v>800</v>
      </c>
      <c r="AP64" s="1182">
        <v>3200</v>
      </c>
      <c r="AQ64" s="1169">
        <f t="shared" si="103"/>
        <v>4520</v>
      </c>
      <c r="AR64" s="1169">
        <f>AR60-AR61</f>
        <v>220</v>
      </c>
      <c r="AS64" s="1169">
        <f>AS60-AS61</f>
        <v>4300</v>
      </c>
      <c r="AT64" s="1169"/>
      <c r="AU64" s="1169">
        <f t="shared" si="123"/>
        <v>4520</v>
      </c>
      <c r="AV64" s="1169"/>
      <c r="AW64" s="1169">
        <f t="shared" si="133"/>
        <v>4520</v>
      </c>
      <c r="AX64" s="1182">
        <v>1140</v>
      </c>
      <c r="AY64" s="1169">
        <f t="shared" si="104"/>
        <v>1350</v>
      </c>
      <c r="AZ64" s="1169">
        <f>AZ60-AZ61</f>
        <v>50</v>
      </c>
      <c r="BA64" s="1169">
        <f>BA60-BA61</f>
        <v>1300</v>
      </c>
      <c r="BB64" s="1169"/>
      <c r="BC64" s="1169">
        <f t="shared" si="124"/>
        <v>1350</v>
      </c>
      <c r="BD64" s="1169"/>
      <c r="BE64" s="1169">
        <f t="shared" si="134"/>
        <v>1350</v>
      </c>
      <c r="BF64" s="1182">
        <v>820</v>
      </c>
      <c r="BG64" s="1169">
        <f t="shared" si="105"/>
        <v>760</v>
      </c>
      <c r="BH64" s="1169">
        <f>BH60-BH61</f>
        <v>60</v>
      </c>
      <c r="BI64" s="1169">
        <f>BI60-BI61</f>
        <v>700</v>
      </c>
      <c r="BJ64" s="1169"/>
      <c r="BK64" s="1169">
        <f t="shared" si="125"/>
        <v>760</v>
      </c>
      <c r="BL64" s="1169"/>
      <c r="BM64" s="1169">
        <f t="shared" si="135"/>
        <v>760</v>
      </c>
      <c r="BN64" s="1182">
        <v>200</v>
      </c>
      <c r="BO64" s="1169">
        <f t="shared" si="106"/>
        <v>500</v>
      </c>
      <c r="BP64" s="1169">
        <f>BP60-BP61</f>
        <v>0</v>
      </c>
      <c r="BQ64" s="1169">
        <f>BQ60-BQ61</f>
        <v>500</v>
      </c>
      <c r="BR64" s="1169"/>
      <c r="BS64" s="1169">
        <f t="shared" si="126"/>
        <v>500</v>
      </c>
      <c r="BT64" s="1169"/>
      <c r="BU64" s="1169">
        <f t="shared" si="136"/>
        <v>500</v>
      </c>
      <c r="BV64" s="1182">
        <v>1050</v>
      </c>
      <c r="BW64" s="1169">
        <f t="shared" si="107"/>
        <v>600</v>
      </c>
      <c r="BX64" s="1169">
        <f>BX60-BX61</f>
        <v>100</v>
      </c>
      <c r="BY64" s="1169">
        <f>BY60-BY61</f>
        <v>500</v>
      </c>
      <c r="BZ64" s="1169"/>
      <c r="CA64" s="1169">
        <f t="shared" si="127"/>
        <v>600</v>
      </c>
      <c r="CB64" s="1169"/>
      <c r="CC64" s="1169">
        <f t="shared" si="137"/>
        <v>600</v>
      </c>
      <c r="CD64" s="1182">
        <v>800</v>
      </c>
      <c r="CE64" s="1169">
        <f t="shared" si="108"/>
        <v>2800</v>
      </c>
      <c r="CF64" s="1169">
        <f>CF60-CF61</f>
        <v>2500</v>
      </c>
      <c r="CG64" s="1169">
        <f>CG60-CG61</f>
        <v>300</v>
      </c>
      <c r="CH64" s="1169"/>
      <c r="CI64" s="1169">
        <f t="shared" si="128"/>
        <v>2800</v>
      </c>
      <c r="CJ64" s="1169"/>
      <c r="CK64" s="1169">
        <f t="shared" si="138"/>
        <v>2800</v>
      </c>
      <c r="CL64" s="1182">
        <v>300</v>
      </c>
      <c r="CM64" s="1169">
        <f t="shared" si="109"/>
        <v>450</v>
      </c>
      <c r="CN64" s="1169">
        <f>CN60-CN61</f>
        <v>100</v>
      </c>
      <c r="CO64" s="1169">
        <f>CO60-CO61</f>
        <v>350</v>
      </c>
      <c r="CP64" s="1169"/>
      <c r="CQ64" s="1169">
        <f t="shared" si="129"/>
        <v>450</v>
      </c>
      <c r="CR64" s="1169"/>
      <c r="CS64" s="1169">
        <f t="shared" si="139"/>
        <v>450</v>
      </c>
      <c r="CZ64" s="1124"/>
      <c r="DA64" s="1124"/>
      <c r="DB64" s="1124"/>
      <c r="DC64" s="1124"/>
      <c r="DD64" s="1124"/>
    </row>
    <row r="65" spans="1:108" s="1123" customFormat="1" ht="16.5" customHeight="1">
      <c r="A65" s="1179" t="s">
        <v>74</v>
      </c>
      <c r="B65" s="1180" t="s">
        <v>402</v>
      </c>
      <c r="C65" s="1180" t="s">
        <v>550</v>
      </c>
      <c r="D65" s="1156"/>
      <c r="E65" s="1156">
        <f t="shared" si="112"/>
        <v>1</v>
      </c>
      <c r="F65" s="1156"/>
      <c r="G65" s="1156">
        <v>1</v>
      </c>
      <c r="H65" s="1157">
        <f t="shared" si="113"/>
        <v>0</v>
      </c>
      <c r="I65" s="1157">
        <f t="shared" si="114"/>
        <v>110000</v>
      </c>
      <c r="J65" s="1198">
        <v>100000</v>
      </c>
      <c r="K65" s="1157">
        <f t="shared" si="115"/>
        <v>100000</v>
      </c>
      <c r="L65" s="1157">
        <f t="shared" si="115"/>
        <v>0</v>
      </c>
      <c r="M65" s="1157">
        <f t="shared" si="115"/>
        <v>100000</v>
      </c>
      <c r="N65" s="1157"/>
      <c r="O65" s="1157">
        <f t="shared" si="116"/>
        <v>100000</v>
      </c>
      <c r="P65" s="1157">
        <f t="shared" si="117"/>
        <v>0</v>
      </c>
      <c r="Q65" s="1157">
        <f t="shared" si="118"/>
        <v>100000</v>
      </c>
      <c r="R65" s="1181">
        <v>68500</v>
      </c>
      <c r="S65" s="1199">
        <f t="shared" si="119"/>
        <v>65000</v>
      </c>
      <c r="T65" s="1169">
        <v>0</v>
      </c>
      <c r="U65" s="1169">
        <v>65000</v>
      </c>
      <c r="V65" s="1157"/>
      <c r="W65" s="1157">
        <f t="shared" si="120"/>
        <v>65000</v>
      </c>
      <c r="X65" s="1157"/>
      <c r="Y65" s="1157">
        <f t="shared" si="130"/>
        <v>65000</v>
      </c>
      <c r="Z65" s="1182">
        <v>10500</v>
      </c>
      <c r="AA65" s="1199">
        <f t="shared" si="101"/>
        <v>9000</v>
      </c>
      <c r="AB65" s="1169">
        <v>0</v>
      </c>
      <c r="AC65" s="1157">
        <v>9000</v>
      </c>
      <c r="AD65" s="1157"/>
      <c r="AE65" s="1157">
        <f t="shared" si="121"/>
        <v>9000</v>
      </c>
      <c r="AF65" s="1157"/>
      <c r="AG65" s="1157">
        <f t="shared" si="131"/>
        <v>9000</v>
      </c>
      <c r="AH65" s="1182">
        <v>6500</v>
      </c>
      <c r="AI65" s="1401">
        <f t="shared" si="102"/>
        <v>5000</v>
      </c>
      <c r="AJ65" s="1399">
        <v>0</v>
      </c>
      <c r="AK65" s="1399">
        <v>5000</v>
      </c>
      <c r="AL65" s="1157"/>
      <c r="AM65" s="1157">
        <f t="shared" si="122"/>
        <v>5000</v>
      </c>
      <c r="AN65" s="1157"/>
      <c r="AO65" s="1157">
        <f t="shared" si="132"/>
        <v>5000</v>
      </c>
      <c r="AP65" s="1182">
        <v>8100</v>
      </c>
      <c r="AQ65" s="1199">
        <f t="shared" si="103"/>
        <v>7000</v>
      </c>
      <c r="AR65" s="1169">
        <v>0</v>
      </c>
      <c r="AS65" s="1169">
        <v>7000</v>
      </c>
      <c r="AT65" s="1157"/>
      <c r="AU65" s="1157">
        <f t="shared" si="123"/>
        <v>7000</v>
      </c>
      <c r="AV65" s="1157"/>
      <c r="AW65" s="1157">
        <f t="shared" si="133"/>
        <v>7000</v>
      </c>
      <c r="AX65" s="1182">
        <v>2000</v>
      </c>
      <c r="AY65" s="1199">
        <f t="shared" si="104"/>
        <v>1500</v>
      </c>
      <c r="AZ65" s="1169">
        <v>0</v>
      </c>
      <c r="BA65" s="1169">
        <v>1500</v>
      </c>
      <c r="BB65" s="1157"/>
      <c r="BC65" s="1157">
        <f t="shared" si="124"/>
        <v>1500</v>
      </c>
      <c r="BD65" s="1157"/>
      <c r="BE65" s="1157">
        <f t="shared" si="134"/>
        <v>1500</v>
      </c>
      <c r="BF65" s="1182">
        <v>4000</v>
      </c>
      <c r="BG65" s="1199">
        <f t="shared" si="105"/>
        <v>5000</v>
      </c>
      <c r="BH65" s="1169">
        <v>0</v>
      </c>
      <c r="BI65" s="1169">
        <v>5000</v>
      </c>
      <c r="BJ65" s="1157"/>
      <c r="BK65" s="1157">
        <f t="shared" si="125"/>
        <v>5000</v>
      </c>
      <c r="BL65" s="1157"/>
      <c r="BM65" s="1157">
        <f t="shared" si="135"/>
        <v>5000</v>
      </c>
      <c r="BN65" s="1182">
        <v>900</v>
      </c>
      <c r="BO65" s="1199">
        <f t="shared" si="106"/>
        <v>900</v>
      </c>
      <c r="BP65" s="1169">
        <v>0</v>
      </c>
      <c r="BQ65" s="1157">
        <v>900</v>
      </c>
      <c r="BR65" s="1157"/>
      <c r="BS65" s="1157">
        <f t="shared" si="126"/>
        <v>900</v>
      </c>
      <c r="BT65" s="1157"/>
      <c r="BU65" s="1157">
        <f t="shared" si="136"/>
        <v>900</v>
      </c>
      <c r="BV65" s="1182">
        <v>2500</v>
      </c>
      <c r="BW65" s="1199">
        <f t="shared" si="107"/>
        <v>2700</v>
      </c>
      <c r="BX65" s="1169">
        <v>0</v>
      </c>
      <c r="BY65" s="1157">
        <v>2700</v>
      </c>
      <c r="BZ65" s="1157"/>
      <c r="CA65" s="1157">
        <f t="shared" si="127"/>
        <v>2700</v>
      </c>
      <c r="CB65" s="1157"/>
      <c r="CC65" s="1157">
        <f t="shared" si="137"/>
        <v>2700</v>
      </c>
      <c r="CD65" s="1182">
        <v>6000</v>
      </c>
      <c r="CE65" s="1199">
        <f t="shared" si="108"/>
        <v>3000</v>
      </c>
      <c r="CF65" s="1169">
        <v>0</v>
      </c>
      <c r="CG65" s="1169">
        <v>3000</v>
      </c>
      <c r="CH65" s="1157"/>
      <c r="CI65" s="1157">
        <f t="shared" si="128"/>
        <v>3000</v>
      </c>
      <c r="CJ65" s="1157"/>
      <c r="CK65" s="1157">
        <f t="shared" si="138"/>
        <v>3000</v>
      </c>
      <c r="CL65" s="1182">
        <v>1000</v>
      </c>
      <c r="CM65" s="1199">
        <f t="shared" si="109"/>
        <v>900</v>
      </c>
      <c r="CN65" s="1169">
        <v>0</v>
      </c>
      <c r="CO65" s="1157">
        <v>900</v>
      </c>
      <c r="CP65" s="1157"/>
      <c r="CQ65" s="1157">
        <f t="shared" si="129"/>
        <v>900</v>
      </c>
      <c r="CR65" s="1157"/>
      <c r="CS65" s="1157">
        <f t="shared" si="139"/>
        <v>900</v>
      </c>
      <c r="CZ65" s="1124"/>
      <c r="DA65" s="1124"/>
      <c r="DB65" s="1124"/>
      <c r="DC65" s="1124"/>
      <c r="DD65" s="1124"/>
    </row>
    <row r="66" spans="1:108" s="1123" customFormat="1" ht="16.5" customHeight="1">
      <c r="A66" s="1179" t="s">
        <v>75</v>
      </c>
      <c r="B66" s="1180" t="s">
        <v>403</v>
      </c>
      <c r="C66" s="1184" t="s">
        <v>551</v>
      </c>
      <c r="D66" s="1156"/>
      <c r="E66" s="1156">
        <f t="shared" si="112"/>
        <v>1</v>
      </c>
      <c r="F66" s="1156"/>
      <c r="G66" s="1156">
        <v>1</v>
      </c>
      <c r="H66" s="1157">
        <f t="shared" si="113"/>
        <v>0</v>
      </c>
      <c r="I66" s="1157">
        <f t="shared" si="114"/>
        <v>0</v>
      </c>
      <c r="J66" s="1198"/>
      <c r="K66" s="1157">
        <f t="shared" si="115"/>
        <v>0</v>
      </c>
      <c r="L66" s="1157">
        <f t="shared" si="115"/>
        <v>0</v>
      </c>
      <c r="M66" s="1157">
        <f t="shared" si="115"/>
        <v>0</v>
      </c>
      <c r="N66" s="1157"/>
      <c r="O66" s="1157">
        <f t="shared" si="116"/>
        <v>0</v>
      </c>
      <c r="P66" s="1157">
        <f t="shared" si="117"/>
        <v>0</v>
      </c>
      <c r="Q66" s="1157">
        <f t="shared" si="118"/>
        <v>0</v>
      </c>
      <c r="R66" s="1181">
        <v>0</v>
      </c>
      <c r="S66" s="1199">
        <f t="shared" si="119"/>
        <v>0</v>
      </c>
      <c r="T66" s="1169">
        <v>0</v>
      </c>
      <c r="U66" s="1169">
        <v>0</v>
      </c>
      <c r="V66" s="1157"/>
      <c r="W66" s="1157">
        <f t="shared" si="120"/>
        <v>0</v>
      </c>
      <c r="X66" s="1157"/>
      <c r="Y66" s="1157">
        <f t="shared" si="130"/>
        <v>0</v>
      </c>
      <c r="Z66" s="1182">
        <v>0</v>
      </c>
      <c r="AA66" s="1199">
        <f t="shared" si="101"/>
        <v>0</v>
      </c>
      <c r="AB66" s="1169">
        <v>0</v>
      </c>
      <c r="AC66" s="1169">
        <v>0</v>
      </c>
      <c r="AD66" s="1157"/>
      <c r="AE66" s="1157">
        <f t="shared" si="121"/>
        <v>0</v>
      </c>
      <c r="AF66" s="1157"/>
      <c r="AG66" s="1157">
        <f t="shared" si="131"/>
        <v>0</v>
      </c>
      <c r="AH66" s="1182">
        <v>0</v>
      </c>
      <c r="AI66" s="1401">
        <f t="shared" si="102"/>
        <v>0</v>
      </c>
      <c r="AJ66" s="1399">
        <v>0</v>
      </c>
      <c r="AK66" s="1399">
        <v>0</v>
      </c>
      <c r="AL66" s="1157"/>
      <c r="AM66" s="1157">
        <f t="shared" si="122"/>
        <v>0</v>
      </c>
      <c r="AN66" s="1157"/>
      <c r="AO66" s="1157">
        <f t="shared" si="132"/>
        <v>0</v>
      </c>
      <c r="AP66" s="1182">
        <v>0</v>
      </c>
      <c r="AQ66" s="1199">
        <f t="shared" si="103"/>
        <v>0</v>
      </c>
      <c r="AR66" s="1169">
        <v>0</v>
      </c>
      <c r="AS66" s="1169">
        <v>0</v>
      </c>
      <c r="AT66" s="1157"/>
      <c r="AU66" s="1157">
        <f t="shared" si="123"/>
        <v>0</v>
      </c>
      <c r="AV66" s="1157"/>
      <c r="AW66" s="1157">
        <f t="shared" si="133"/>
        <v>0</v>
      </c>
      <c r="AX66" s="1182">
        <v>0</v>
      </c>
      <c r="AY66" s="1199">
        <f t="shared" si="104"/>
        <v>0</v>
      </c>
      <c r="AZ66" s="1169">
        <v>0</v>
      </c>
      <c r="BA66" s="1169">
        <v>0</v>
      </c>
      <c r="BB66" s="1157"/>
      <c r="BC66" s="1157">
        <f t="shared" si="124"/>
        <v>0</v>
      </c>
      <c r="BD66" s="1157"/>
      <c r="BE66" s="1157">
        <f t="shared" si="134"/>
        <v>0</v>
      </c>
      <c r="BF66" s="1182">
        <v>0</v>
      </c>
      <c r="BG66" s="1199">
        <f t="shared" si="105"/>
        <v>0</v>
      </c>
      <c r="BH66" s="1169">
        <v>0</v>
      </c>
      <c r="BI66" s="1169">
        <v>0</v>
      </c>
      <c r="BJ66" s="1157"/>
      <c r="BK66" s="1157">
        <f t="shared" si="125"/>
        <v>0</v>
      </c>
      <c r="BL66" s="1157"/>
      <c r="BM66" s="1157">
        <f t="shared" si="135"/>
        <v>0</v>
      </c>
      <c r="BN66" s="1182">
        <v>0</v>
      </c>
      <c r="BO66" s="1199">
        <f t="shared" si="106"/>
        <v>0</v>
      </c>
      <c r="BP66" s="1169">
        <v>0</v>
      </c>
      <c r="BQ66" s="1169">
        <v>0</v>
      </c>
      <c r="BR66" s="1157"/>
      <c r="BS66" s="1157">
        <f t="shared" si="126"/>
        <v>0</v>
      </c>
      <c r="BT66" s="1157"/>
      <c r="BU66" s="1157">
        <f t="shared" si="136"/>
        <v>0</v>
      </c>
      <c r="BV66" s="1182">
        <v>0</v>
      </c>
      <c r="BW66" s="1199">
        <f t="shared" si="107"/>
        <v>0</v>
      </c>
      <c r="BX66" s="1169">
        <v>0</v>
      </c>
      <c r="BY66" s="1157">
        <v>0</v>
      </c>
      <c r="BZ66" s="1157"/>
      <c r="CA66" s="1157">
        <f t="shared" si="127"/>
        <v>0</v>
      </c>
      <c r="CB66" s="1157"/>
      <c r="CC66" s="1157">
        <f t="shared" si="137"/>
        <v>0</v>
      </c>
      <c r="CD66" s="1182">
        <v>0</v>
      </c>
      <c r="CE66" s="1199">
        <f t="shared" si="108"/>
        <v>0</v>
      </c>
      <c r="CF66" s="1169">
        <v>0</v>
      </c>
      <c r="CG66" s="1169">
        <v>0</v>
      </c>
      <c r="CH66" s="1157"/>
      <c r="CI66" s="1157">
        <f t="shared" si="128"/>
        <v>0</v>
      </c>
      <c r="CJ66" s="1157"/>
      <c r="CK66" s="1157">
        <f t="shared" si="138"/>
        <v>0</v>
      </c>
      <c r="CL66" s="1182">
        <v>0</v>
      </c>
      <c r="CM66" s="1199">
        <f t="shared" si="109"/>
        <v>0</v>
      </c>
      <c r="CN66" s="1169">
        <v>0</v>
      </c>
      <c r="CO66" s="1169">
        <v>0</v>
      </c>
      <c r="CP66" s="1157"/>
      <c r="CQ66" s="1157">
        <f t="shared" si="129"/>
        <v>0</v>
      </c>
      <c r="CR66" s="1157"/>
      <c r="CS66" s="1157">
        <f t="shared" si="139"/>
        <v>0</v>
      </c>
      <c r="CZ66" s="1124"/>
      <c r="DA66" s="1124"/>
      <c r="DB66" s="1124"/>
      <c r="DC66" s="1124"/>
      <c r="DD66" s="1124"/>
    </row>
    <row r="67" spans="1:108" s="1123" customFormat="1" ht="16.5" customHeight="1">
      <c r="A67" s="1179" t="s">
        <v>76</v>
      </c>
      <c r="B67" s="1180" t="s">
        <v>404</v>
      </c>
      <c r="C67" s="1180" t="s">
        <v>552</v>
      </c>
      <c r="D67" s="1156"/>
      <c r="E67" s="1156">
        <f t="shared" si="112"/>
        <v>1</v>
      </c>
      <c r="F67" s="1156"/>
      <c r="G67" s="1156">
        <v>1</v>
      </c>
      <c r="H67" s="1157">
        <f t="shared" si="113"/>
        <v>0</v>
      </c>
      <c r="I67" s="1157">
        <f t="shared" si="114"/>
        <v>3300</v>
      </c>
      <c r="J67" s="1198">
        <v>3400</v>
      </c>
      <c r="K67" s="1157">
        <f t="shared" si="115"/>
        <v>3400</v>
      </c>
      <c r="L67" s="1157">
        <f t="shared" si="115"/>
        <v>0</v>
      </c>
      <c r="M67" s="1157">
        <f t="shared" si="115"/>
        <v>3400</v>
      </c>
      <c r="N67" s="1157"/>
      <c r="O67" s="1157">
        <f t="shared" si="116"/>
        <v>3400</v>
      </c>
      <c r="P67" s="1157">
        <f t="shared" si="117"/>
        <v>0</v>
      </c>
      <c r="Q67" s="1157">
        <f t="shared" si="118"/>
        <v>3400</v>
      </c>
      <c r="R67" s="1181">
        <v>2800</v>
      </c>
      <c r="S67" s="1199">
        <f t="shared" si="119"/>
        <v>2820</v>
      </c>
      <c r="T67" s="1169">
        <v>0</v>
      </c>
      <c r="U67" s="1169">
        <v>2820</v>
      </c>
      <c r="V67" s="1157"/>
      <c r="W67" s="1157">
        <f t="shared" si="120"/>
        <v>2820</v>
      </c>
      <c r="X67" s="1157"/>
      <c r="Y67" s="1157">
        <f t="shared" si="130"/>
        <v>2820</v>
      </c>
      <c r="Z67" s="1182">
        <v>200</v>
      </c>
      <c r="AA67" s="1199">
        <f t="shared" si="101"/>
        <v>120</v>
      </c>
      <c r="AB67" s="1169">
        <v>0</v>
      </c>
      <c r="AC67" s="1157">
        <v>120</v>
      </c>
      <c r="AD67" s="1157"/>
      <c r="AE67" s="1157">
        <f t="shared" si="121"/>
        <v>120</v>
      </c>
      <c r="AF67" s="1157"/>
      <c r="AG67" s="1157">
        <f t="shared" si="131"/>
        <v>120</v>
      </c>
      <c r="AH67" s="1182">
        <v>60</v>
      </c>
      <c r="AI67" s="1401">
        <f t="shared" si="102"/>
        <v>100</v>
      </c>
      <c r="AJ67" s="1399">
        <v>0</v>
      </c>
      <c r="AK67" s="1399">
        <v>100</v>
      </c>
      <c r="AL67" s="1157"/>
      <c r="AM67" s="1157">
        <f t="shared" si="122"/>
        <v>100</v>
      </c>
      <c r="AN67" s="1157"/>
      <c r="AO67" s="1157">
        <f t="shared" si="132"/>
        <v>100</v>
      </c>
      <c r="AP67" s="1182">
        <v>100</v>
      </c>
      <c r="AQ67" s="1199">
        <f t="shared" si="103"/>
        <v>150</v>
      </c>
      <c r="AR67" s="1169">
        <v>0</v>
      </c>
      <c r="AS67" s="1169">
        <v>150</v>
      </c>
      <c r="AT67" s="1157"/>
      <c r="AU67" s="1157">
        <f t="shared" si="123"/>
        <v>150</v>
      </c>
      <c r="AV67" s="1157"/>
      <c r="AW67" s="1157">
        <f t="shared" si="133"/>
        <v>150</v>
      </c>
      <c r="AX67" s="1182">
        <v>30</v>
      </c>
      <c r="AY67" s="1199">
        <f t="shared" si="104"/>
        <v>30</v>
      </c>
      <c r="AZ67" s="1169">
        <v>0</v>
      </c>
      <c r="BA67" s="1169">
        <v>30</v>
      </c>
      <c r="BB67" s="1157"/>
      <c r="BC67" s="1157">
        <f t="shared" si="124"/>
        <v>30</v>
      </c>
      <c r="BD67" s="1157"/>
      <c r="BE67" s="1157">
        <f t="shared" si="134"/>
        <v>30</v>
      </c>
      <c r="BF67" s="1182">
        <v>30</v>
      </c>
      <c r="BG67" s="1199">
        <f t="shared" si="105"/>
        <v>30</v>
      </c>
      <c r="BH67" s="1169">
        <v>0</v>
      </c>
      <c r="BI67" s="1169">
        <v>30</v>
      </c>
      <c r="BJ67" s="1157"/>
      <c r="BK67" s="1157">
        <f t="shared" si="125"/>
        <v>30</v>
      </c>
      <c r="BL67" s="1157"/>
      <c r="BM67" s="1157">
        <f t="shared" si="135"/>
        <v>30</v>
      </c>
      <c r="BN67" s="1182">
        <v>0</v>
      </c>
      <c r="BO67" s="1199">
        <f t="shared" si="106"/>
        <v>0</v>
      </c>
      <c r="BP67" s="1169">
        <v>0</v>
      </c>
      <c r="BQ67" s="1169">
        <v>0</v>
      </c>
      <c r="BR67" s="1157"/>
      <c r="BS67" s="1157">
        <f t="shared" si="126"/>
        <v>0</v>
      </c>
      <c r="BT67" s="1157"/>
      <c r="BU67" s="1157">
        <f t="shared" si="136"/>
        <v>0</v>
      </c>
      <c r="BV67" s="1182">
        <v>30</v>
      </c>
      <c r="BW67" s="1199">
        <f t="shared" si="107"/>
        <v>50</v>
      </c>
      <c r="BX67" s="1169">
        <v>0</v>
      </c>
      <c r="BY67" s="1157">
        <v>50</v>
      </c>
      <c r="BZ67" s="1157"/>
      <c r="CA67" s="1157">
        <f t="shared" si="127"/>
        <v>50</v>
      </c>
      <c r="CB67" s="1157"/>
      <c r="CC67" s="1157">
        <f t="shared" si="137"/>
        <v>50</v>
      </c>
      <c r="CD67" s="1182">
        <v>50</v>
      </c>
      <c r="CE67" s="1199">
        <f t="shared" si="108"/>
        <v>100</v>
      </c>
      <c r="CF67" s="1169">
        <v>0</v>
      </c>
      <c r="CG67" s="1169">
        <v>100</v>
      </c>
      <c r="CH67" s="1157"/>
      <c r="CI67" s="1157">
        <f t="shared" si="128"/>
        <v>100</v>
      </c>
      <c r="CJ67" s="1157"/>
      <c r="CK67" s="1157">
        <f t="shared" si="138"/>
        <v>100</v>
      </c>
      <c r="CL67" s="1182">
        <v>0</v>
      </c>
      <c r="CM67" s="1199">
        <f t="shared" si="109"/>
        <v>0</v>
      </c>
      <c r="CN67" s="1169">
        <v>0</v>
      </c>
      <c r="CO67" s="1157">
        <v>0</v>
      </c>
      <c r="CP67" s="1157"/>
      <c r="CQ67" s="1157">
        <f t="shared" si="129"/>
        <v>0</v>
      </c>
      <c r="CR67" s="1157"/>
      <c r="CS67" s="1157">
        <f t="shared" si="139"/>
        <v>0</v>
      </c>
      <c r="CZ67" s="1124"/>
      <c r="DA67" s="1124"/>
      <c r="DB67" s="1124"/>
      <c r="DC67" s="1124"/>
      <c r="DD67" s="1124"/>
    </row>
    <row r="68" spans="1:108" s="1123" customFormat="1" ht="16.5" customHeight="1">
      <c r="A68" s="1179" t="s">
        <v>77</v>
      </c>
      <c r="B68" s="1180" t="s">
        <v>405</v>
      </c>
      <c r="C68" s="1184" t="s">
        <v>553</v>
      </c>
      <c r="D68" s="1156"/>
      <c r="E68" s="1156">
        <f t="shared" si="112"/>
        <v>1</v>
      </c>
      <c r="F68" s="1156">
        <v>0.1</v>
      </c>
      <c r="G68" s="1156">
        <v>0.9</v>
      </c>
      <c r="H68" s="1157">
        <f t="shared" si="113"/>
        <v>10</v>
      </c>
      <c r="I68" s="1157">
        <f t="shared" si="114"/>
        <v>115000</v>
      </c>
      <c r="J68" s="1198">
        <v>115000</v>
      </c>
      <c r="K68" s="1157">
        <f t="shared" si="115"/>
        <v>115000</v>
      </c>
      <c r="L68" s="1157">
        <f t="shared" si="115"/>
        <v>44900</v>
      </c>
      <c r="M68" s="1157">
        <f t="shared" si="115"/>
        <v>70100</v>
      </c>
      <c r="N68" s="1157"/>
      <c r="O68" s="1157">
        <f t="shared" si="116"/>
        <v>115000</v>
      </c>
      <c r="P68" s="1157">
        <f t="shared" si="117"/>
        <v>11500</v>
      </c>
      <c r="Q68" s="1157">
        <f t="shared" si="118"/>
        <v>103500</v>
      </c>
      <c r="R68" s="1181">
        <v>72200</v>
      </c>
      <c r="S68" s="1199">
        <f t="shared" si="119"/>
        <v>74130</v>
      </c>
      <c r="T68" s="1157">
        <v>34130</v>
      </c>
      <c r="U68" s="1157">
        <v>40000</v>
      </c>
      <c r="V68" s="1157"/>
      <c r="W68" s="1157">
        <f t="shared" si="120"/>
        <v>74130</v>
      </c>
      <c r="X68" s="1157">
        <f>S68*10%</f>
        <v>7413</v>
      </c>
      <c r="Y68" s="1157">
        <f>S68*90%</f>
        <v>66717</v>
      </c>
      <c r="Z68" s="1182">
        <v>11200</v>
      </c>
      <c r="AA68" s="1199">
        <f t="shared" si="101"/>
        <v>8730</v>
      </c>
      <c r="AB68" s="1157">
        <v>730</v>
      </c>
      <c r="AC68" s="1157">
        <v>8000</v>
      </c>
      <c r="AD68" s="1157"/>
      <c r="AE68" s="1157">
        <f t="shared" si="121"/>
        <v>8730</v>
      </c>
      <c r="AF68" s="1157">
        <f>AA68*10%</f>
        <v>873</v>
      </c>
      <c r="AG68" s="1157">
        <f>AA68*90%</f>
        <v>7857</v>
      </c>
      <c r="AH68" s="1182">
        <v>6000</v>
      </c>
      <c r="AI68" s="1401">
        <f t="shared" si="102"/>
        <v>4700</v>
      </c>
      <c r="AJ68" s="1402">
        <v>700</v>
      </c>
      <c r="AK68" s="1402">
        <v>4000</v>
      </c>
      <c r="AL68" s="1157"/>
      <c r="AM68" s="1157">
        <f t="shared" si="122"/>
        <v>4700</v>
      </c>
      <c r="AN68" s="1157">
        <f>AI68*10%</f>
        <v>470</v>
      </c>
      <c r="AO68" s="1157">
        <f>AI68*90%</f>
        <v>4230</v>
      </c>
      <c r="AP68" s="1182">
        <v>7300</v>
      </c>
      <c r="AQ68" s="1199">
        <f t="shared" si="103"/>
        <v>6800</v>
      </c>
      <c r="AR68" s="1157">
        <v>800</v>
      </c>
      <c r="AS68" s="1157">
        <v>6000</v>
      </c>
      <c r="AT68" s="1157"/>
      <c r="AU68" s="1157">
        <f t="shared" si="123"/>
        <v>6800</v>
      </c>
      <c r="AV68" s="1157">
        <f>AQ68*10%</f>
        <v>680</v>
      </c>
      <c r="AW68" s="1157">
        <f>AQ68*90%</f>
        <v>6120</v>
      </c>
      <c r="AX68" s="1182">
        <v>1700</v>
      </c>
      <c r="AY68" s="1199">
        <f t="shared" si="104"/>
        <v>1900</v>
      </c>
      <c r="AZ68" s="1157">
        <v>800</v>
      </c>
      <c r="BA68" s="1157">
        <v>1100</v>
      </c>
      <c r="BB68" s="1157"/>
      <c r="BC68" s="1157">
        <f t="shared" si="124"/>
        <v>1900</v>
      </c>
      <c r="BD68" s="1157">
        <f>AY68*10%</f>
        <v>190</v>
      </c>
      <c r="BE68" s="1157">
        <f>AY68*90%</f>
        <v>1710</v>
      </c>
      <c r="BF68" s="1182">
        <v>5200</v>
      </c>
      <c r="BG68" s="1199">
        <f t="shared" si="105"/>
        <v>5260</v>
      </c>
      <c r="BH68" s="1157">
        <v>1260</v>
      </c>
      <c r="BI68" s="1157">
        <v>4000</v>
      </c>
      <c r="BJ68" s="1157"/>
      <c r="BK68" s="1157">
        <f t="shared" si="125"/>
        <v>5260</v>
      </c>
      <c r="BL68" s="1157">
        <f>BG68*10%</f>
        <v>526</v>
      </c>
      <c r="BM68" s="1157">
        <f>BG68*90%</f>
        <v>4734</v>
      </c>
      <c r="BN68" s="1182">
        <v>1100</v>
      </c>
      <c r="BO68" s="1199">
        <f t="shared" si="106"/>
        <v>1340</v>
      </c>
      <c r="BP68" s="1157">
        <v>340</v>
      </c>
      <c r="BQ68" s="1157">
        <v>1000</v>
      </c>
      <c r="BR68" s="1157"/>
      <c r="BS68" s="1157">
        <f t="shared" si="126"/>
        <v>1340</v>
      </c>
      <c r="BT68" s="1157">
        <f>BO68*10%</f>
        <v>134</v>
      </c>
      <c r="BU68" s="1157">
        <f>BO68*90%</f>
        <v>1206</v>
      </c>
      <c r="BV68" s="1182">
        <v>2000</v>
      </c>
      <c r="BW68" s="1199">
        <f t="shared" si="107"/>
        <v>3620</v>
      </c>
      <c r="BX68" s="1157">
        <v>2620</v>
      </c>
      <c r="BY68" s="1157">
        <v>1000</v>
      </c>
      <c r="BZ68" s="1157"/>
      <c r="CA68" s="1157">
        <f t="shared" si="127"/>
        <v>3620</v>
      </c>
      <c r="CB68" s="1157">
        <f>BW68*10%</f>
        <v>362</v>
      </c>
      <c r="CC68" s="1157">
        <f>BW68*90%</f>
        <v>3258</v>
      </c>
      <c r="CD68" s="1182">
        <v>7700</v>
      </c>
      <c r="CE68" s="1199">
        <f t="shared" si="108"/>
        <v>7700</v>
      </c>
      <c r="CF68" s="1157">
        <v>3200</v>
      </c>
      <c r="CG68" s="1157">
        <v>4500</v>
      </c>
      <c r="CH68" s="1157"/>
      <c r="CI68" s="1157">
        <f t="shared" si="128"/>
        <v>7700</v>
      </c>
      <c r="CJ68" s="1157">
        <f>CE68*10%</f>
        <v>770</v>
      </c>
      <c r="CK68" s="1157">
        <f>CE68*90%</f>
        <v>6930</v>
      </c>
      <c r="CL68" s="1182">
        <v>600</v>
      </c>
      <c r="CM68" s="1199">
        <f t="shared" si="109"/>
        <v>820</v>
      </c>
      <c r="CN68" s="1157">
        <v>320</v>
      </c>
      <c r="CO68" s="1157">
        <v>500</v>
      </c>
      <c r="CP68" s="1157"/>
      <c r="CQ68" s="1157">
        <f t="shared" si="129"/>
        <v>820</v>
      </c>
      <c r="CR68" s="1157">
        <f>CM68*10%</f>
        <v>82</v>
      </c>
      <c r="CS68" s="1157">
        <f>CM68*90%</f>
        <v>738</v>
      </c>
      <c r="CZ68" s="1124"/>
      <c r="DA68" s="1124"/>
      <c r="DB68" s="1124"/>
      <c r="DC68" s="1124"/>
      <c r="DD68" s="1124"/>
    </row>
    <row r="69" spans="1:108" s="1123" customFormat="1" ht="16.5" customHeight="1">
      <c r="A69" s="1179" t="s">
        <v>78</v>
      </c>
      <c r="B69" s="1180" t="s">
        <v>1397</v>
      </c>
      <c r="C69" s="1180" t="s">
        <v>554</v>
      </c>
      <c r="D69" s="1156"/>
      <c r="E69" s="1156"/>
      <c r="F69" s="1156"/>
      <c r="G69" s="1156"/>
      <c r="H69" s="1157"/>
      <c r="I69" s="1157">
        <f>I70+I71</f>
        <v>273000</v>
      </c>
      <c r="J69" s="1157">
        <f>J70+J71</f>
        <v>166000</v>
      </c>
      <c r="K69" s="1157">
        <f>K70+K71</f>
        <v>166000</v>
      </c>
      <c r="L69" s="1157">
        <f t="shared" ref="L69:Q69" si="140">L70+L71</f>
        <v>159500</v>
      </c>
      <c r="M69" s="1157">
        <f t="shared" si="140"/>
        <v>6500</v>
      </c>
      <c r="N69" s="1157">
        <f t="shared" si="140"/>
        <v>66400</v>
      </c>
      <c r="O69" s="1157">
        <f t="shared" si="140"/>
        <v>99600</v>
      </c>
      <c r="P69" s="1157">
        <f t="shared" si="140"/>
        <v>99600</v>
      </c>
      <c r="Q69" s="1157">
        <f t="shared" si="140"/>
        <v>0</v>
      </c>
      <c r="R69" s="1157">
        <v>215000</v>
      </c>
      <c r="S69" s="1199">
        <f t="shared" si="119"/>
        <v>125500</v>
      </c>
      <c r="T69" s="1157">
        <v>125500</v>
      </c>
      <c r="U69" s="1157">
        <v>0</v>
      </c>
      <c r="V69" s="1157">
        <f>V70+V71</f>
        <v>50200</v>
      </c>
      <c r="W69" s="1157">
        <f>W70+W71</f>
        <v>75300</v>
      </c>
      <c r="X69" s="1157">
        <f>X70+X71</f>
        <v>75300</v>
      </c>
      <c r="Y69" s="1157">
        <f>Y70+Y71</f>
        <v>0</v>
      </c>
      <c r="Z69" s="1182">
        <v>49000</v>
      </c>
      <c r="AA69" s="1199">
        <f t="shared" si="101"/>
        <v>34000</v>
      </c>
      <c r="AB69" s="1157">
        <v>34000</v>
      </c>
      <c r="AC69" s="1157">
        <v>0</v>
      </c>
      <c r="AD69" s="1157">
        <f>AD70+AD71</f>
        <v>13600</v>
      </c>
      <c r="AE69" s="1157">
        <f>AE70+AE71</f>
        <v>20400</v>
      </c>
      <c r="AF69" s="1157">
        <f>AF70+AF71</f>
        <v>20400</v>
      </c>
      <c r="AG69" s="1157">
        <f>AG70+AG71</f>
        <v>0</v>
      </c>
      <c r="AH69" s="1182">
        <v>9000</v>
      </c>
      <c r="AI69" s="1401">
        <f t="shared" si="102"/>
        <v>6500</v>
      </c>
      <c r="AJ69" s="1402">
        <v>0</v>
      </c>
      <c r="AK69" s="1402">
        <v>6500</v>
      </c>
      <c r="AL69" s="1157">
        <f>AL70+AL71</f>
        <v>2600</v>
      </c>
      <c r="AM69" s="1157">
        <f>AM70+AM71</f>
        <v>3900</v>
      </c>
      <c r="AN69" s="1157">
        <f>AN70+AN71</f>
        <v>3900</v>
      </c>
      <c r="AO69" s="1157">
        <f>AO70+AO71</f>
        <v>0</v>
      </c>
      <c r="AP69" s="1182">
        <v>0</v>
      </c>
      <c r="AQ69" s="1199">
        <f t="shared" si="103"/>
        <v>0</v>
      </c>
      <c r="AR69" s="1157">
        <v>0</v>
      </c>
      <c r="AS69" s="1157">
        <v>0</v>
      </c>
      <c r="AT69" s="1157">
        <f>AT70+AT71</f>
        <v>0</v>
      </c>
      <c r="AU69" s="1157">
        <f>AU70+AU71</f>
        <v>0</v>
      </c>
      <c r="AV69" s="1157">
        <f>AV70+AV71</f>
        <v>0</v>
      </c>
      <c r="AW69" s="1157">
        <f>AW70+AW71</f>
        <v>0</v>
      </c>
      <c r="AX69" s="1182">
        <v>0</v>
      </c>
      <c r="AY69" s="1199">
        <f t="shared" si="104"/>
        <v>0</v>
      </c>
      <c r="AZ69" s="1157">
        <v>0</v>
      </c>
      <c r="BA69" s="1157">
        <v>0</v>
      </c>
      <c r="BB69" s="1157">
        <f>BB70+BB71</f>
        <v>0</v>
      </c>
      <c r="BC69" s="1157">
        <f>BC70+BC71</f>
        <v>0</v>
      </c>
      <c r="BD69" s="1157">
        <f>BD70+BD71</f>
        <v>0</v>
      </c>
      <c r="BE69" s="1157">
        <f>BE70+BE71</f>
        <v>0</v>
      </c>
      <c r="BF69" s="1182">
        <v>0</v>
      </c>
      <c r="BG69" s="1199">
        <f t="shared" si="105"/>
        <v>0</v>
      </c>
      <c r="BH69" s="1157">
        <v>0</v>
      </c>
      <c r="BI69" s="1157">
        <v>0</v>
      </c>
      <c r="BJ69" s="1157">
        <f>BJ70+BJ71</f>
        <v>0</v>
      </c>
      <c r="BK69" s="1157">
        <f>BK70+BK71</f>
        <v>0</v>
      </c>
      <c r="BL69" s="1157">
        <f>BL70+BL71</f>
        <v>0</v>
      </c>
      <c r="BM69" s="1157">
        <f>BM70+BM71</f>
        <v>0</v>
      </c>
      <c r="BN69" s="1182">
        <v>0</v>
      </c>
      <c r="BO69" s="1199">
        <f t="shared" si="106"/>
        <v>0</v>
      </c>
      <c r="BP69" s="1157">
        <v>0</v>
      </c>
      <c r="BQ69" s="1157">
        <v>0</v>
      </c>
      <c r="BR69" s="1157">
        <f>BR70+BR71</f>
        <v>0</v>
      </c>
      <c r="BS69" s="1157">
        <f>BS70+BS71</f>
        <v>0</v>
      </c>
      <c r="BT69" s="1157">
        <f>BT70+BT71</f>
        <v>0</v>
      </c>
      <c r="BU69" s="1157">
        <f>BU70+BU71</f>
        <v>0</v>
      </c>
      <c r="BV69" s="1182">
        <v>0</v>
      </c>
      <c r="BW69" s="1199">
        <f t="shared" si="107"/>
        <v>0</v>
      </c>
      <c r="BX69" s="1157">
        <v>0</v>
      </c>
      <c r="BY69" s="1157">
        <v>0</v>
      </c>
      <c r="BZ69" s="1157">
        <f>BZ70+BZ71</f>
        <v>0</v>
      </c>
      <c r="CA69" s="1157">
        <f>CA70+CA71</f>
        <v>0</v>
      </c>
      <c r="CB69" s="1157">
        <f>CB70+CB71</f>
        <v>0</v>
      </c>
      <c r="CC69" s="1157">
        <f>CC70+CC71</f>
        <v>0</v>
      </c>
      <c r="CD69" s="1182">
        <v>0</v>
      </c>
      <c r="CE69" s="1199">
        <f t="shared" si="108"/>
        <v>0</v>
      </c>
      <c r="CF69" s="1157">
        <v>0</v>
      </c>
      <c r="CG69" s="1157">
        <v>0</v>
      </c>
      <c r="CH69" s="1157">
        <f>CH70+CH71</f>
        <v>0</v>
      </c>
      <c r="CI69" s="1157">
        <f>CI70+CI71</f>
        <v>0</v>
      </c>
      <c r="CJ69" s="1157">
        <f>CJ70+CJ71</f>
        <v>0</v>
      </c>
      <c r="CK69" s="1157">
        <f>CK70+CK71</f>
        <v>0</v>
      </c>
      <c r="CL69" s="1182">
        <v>0</v>
      </c>
      <c r="CM69" s="1199">
        <f t="shared" si="109"/>
        <v>0</v>
      </c>
      <c r="CN69" s="1157">
        <v>0</v>
      </c>
      <c r="CO69" s="1157">
        <v>0</v>
      </c>
      <c r="CP69" s="1157">
        <f>CP70+CP71</f>
        <v>0</v>
      </c>
      <c r="CQ69" s="1157">
        <f>CQ70+CQ71</f>
        <v>0</v>
      </c>
      <c r="CR69" s="1157">
        <f>CR70+CR71</f>
        <v>0</v>
      </c>
      <c r="CS69" s="1157">
        <f>CS70+CS71</f>
        <v>0</v>
      </c>
      <c r="CT69" s="1124"/>
      <c r="CU69" s="1124"/>
      <c r="CV69" s="1153"/>
      <c r="CW69" s="1153"/>
      <c r="CX69" s="1153"/>
      <c r="CY69" s="1153"/>
      <c r="CZ69" s="1124"/>
      <c r="DA69" s="1124"/>
      <c r="DB69" s="1124"/>
      <c r="DC69" s="1124"/>
      <c r="DD69" s="1124"/>
    </row>
    <row r="70" spans="1:108" ht="16.5" customHeight="1">
      <c r="A70" s="1183" t="s">
        <v>23</v>
      </c>
      <c r="B70" s="1184" t="s">
        <v>406</v>
      </c>
      <c r="C70" s="1184" t="s">
        <v>555</v>
      </c>
      <c r="D70" s="1185">
        <v>1</v>
      </c>
      <c r="E70" s="1185"/>
      <c r="F70" s="1185"/>
      <c r="G70" s="1185"/>
      <c r="H70" s="1169"/>
      <c r="I70" s="1169">
        <f>R70+Z70+AH70+AP70+AX70+BF70+BN70+BV70+CD70+CL70</f>
        <v>109200</v>
      </c>
      <c r="J70" s="1195">
        <v>66400</v>
      </c>
      <c r="K70" s="1169">
        <f t="shared" ref="K70:N71" si="141">S70+AA70+AI70+AQ70+AY70+BG70+BO70+BW70+CE70+CM70</f>
        <v>66400</v>
      </c>
      <c r="L70" s="1169">
        <f t="shared" si="141"/>
        <v>63800</v>
      </c>
      <c r="M70" s="1169">
        <f t="shared" si="141"/>
        <v>2600</v>
      </c>
      <c r="N70" s="1169">
        <f t="shared" si="141"/>
        <v>66400</v>
      </c>
      <c r="O70" s="1169">
        <f>K70-N70</f>
        <v>0</v>
      </c>
      <c r="P70" s="1169">
        <f t="shared" si="117"/>
        <v>0</v>
      </c>
      <c r="Q70" s="1169">
        <f>Y70+AG70+AO70+AW70+BE70+BM70+BU70+CC70+CK70+CS70</f>
        <v>0</v>
      </c>
      <c r="R70" s="1186">
        <v>86000</v>
      </c>
      <c r="S70" s="1200">
        <f>T70+U70</f>
        <v>50200</v>
      </c>
      <c r="T70" s="1169">
        <v>50200</v>
      </c>
      <c r="U70" s="1169">
        <v>0</v>
      </c>
      <c r="V70" s="1200">
        <f>S70*100%</f>
        <v>50200</v>
      </c>
      <c r="W70" s="1169"/>
      <c r="X70" s="1169"/>
      <c r="Y70" s="1169"/>
      <c r="Z70" s="1182">
        <v>19600</v>
      </c>
      <c r="AA70" s="1200">
        <f>AB70+AC70</f>
        <v>13600</v>
      </c>
      <c r="AB70" s="1169">
        <v>13600</v>
      </c>
      <c r="AC70" s="1169">
        <v>0</v>
      </c>
      <c r="AD70" s="1200">
        <f>AA70*100%</f>
        <v>13600</v>
      </c>
      <c r="AE70" s="1169"/>
      <c r="AF70" s="1169"/>
      <c r="AG70" s="1169"/>
      <c r="AH70" s="1182">
        <v>3600</v>
      </c>
      <c r="AI70" s="1403">
        <f>AJ70+AK70</f>
        <v>2600</v>
      </c>
      <c r="AJ70" s="1399">
        <v>0</v>
      </c>
      <c r="AK70" s="1399">
        <v>2600</v>
      </c>
      <c r="AL70" s="1200">
        <f>AI70*100%</f>
        <v>2600</v>
      </c>
      <c r="AM70" s="1169"/>
      <c r="AN70" s="1169"/>
      <c r="AO70" s="1169"/>
      <c r="AP70" s="1182">
        <v>0</v>
      </c>
      <c r="AQ70" s="1200">
        <f>AR70+AS70</f>
        <v>0</v>
      </c>
      <c r="AR70" s="1169">
        <v>0</v>
      </c>
      <c r="AS70" s="1169">
        <v>0</v>
      </c>
      <c r="AT70" s="1169"/>
      <c r="AU70" s="1169"/>
      <c r="AV70" s="1169"/>
      <c r="AW70" s="1169"/>
      <c r="AX70" s="1182">
        <v>0</v>
      </c>
      <c r="AY70" s="1200">
        <f>AZ70+BA70</f>
        <v>0</v>
      </c>
      <c r="AZ70" s="1169">
        <v>0</v>
      </c>
      <c r="BA70" s="1169">
        <v>0</v>
      </c>
      <c r="BB70" s="1200">
        <f>AY70*100%</f>
        <v>0</v>
      </c>
      <c r="BC70" s="1169"/>
      <c r="BD70" s="1169"/>
      <c r="BE70" s="1169"/>
      <c r="BF70" s="1182">
        <v>0</v>
      </c>
      <c r="BG70" s="1200">
        <f>BH70+BI70</f>
        <v>0</v>
      </c>
      <c r="BH70" s="1169">
        <v>0</v>
      </c>
      <c r="BI70" s="1169">
        <v>0</v>
      </c>
      <c r="BJ70" s="1169"/>
      <c r="BK70" s="1169"/>
      <c r="BL70" s="1169"/>
      <c r="BM70" s="1169"/>
      <c r="BN70" s="1182">
        <v>0</v>
      </c>
      <c r="BO70" s="1200">
        <f>BP70+BQ70</f>
        <v>0</v>
      </c>
      <c r="BP70" s="1169">
        <v>0</v>
      </c>
      <c r="BQ70" s="1169">
        <v>0</v>
      </c>
      <c r="BR70" s="1169"/>
      <c r="BS70" s="1169"/>
      <c r="BT70" s="1169"/>
      <c r="BU70" s="1169"/>
      <c r="BV70" s="1182">
        <v>0</v>
      </c>
      <c r="BW70" s="1200">
        <f>BX70+BY70</f>
        <v>0</v>
      </c>
      <c r="BX70" s="1169">
        <v>0</v>
      </c>
      <c r="BY70" s="1169">
        <v>0</v>
      </c>
      <c r="BZ70" s="1169"/>
      <c r="CA70" s="1169"/>
      <c r="CB70" s="1169"/>
      <c r="CC70" s="1169"/>
      <c r="CD70" s="1182">
        <v>0</v>
      </c>
      <c r="CE70" s="1200">
        <f>CF70+CG70</f>
        <v>0</v>
      </c>
      <c r="CF70" s="1169">
        <v>0</v>
      </c>
      <c r="CG70" s="1169">
        <v>0</v>
      </c>
      <c r="CH70" s="1169"/>
      <c r="CI70" s="1169"/>
      <c r="CJ70" s="1169"/>
      <c r="CK70" s="1169"/>
      <c r="CL70" s="1182">
        <v>0</v>
      </c>
      <c r="CM70" s="1200">
        <f>CN70+CO70</f>
        <v>0</v>
      </c>
      <c r="CN70" s="1169">
        <v>0</v>
      </c>
      <c r="CO70" s="1169">
        <v>0</v>
      </c>
      <c r="CP70" s="1169"/>
      <c r="CQ70" s="1169"/>
      <c r="CR70" s="1169"/>
      <c r="CS70" s="1169"/>
      <c r="CT70" s="1124"/>
      <c r="CU70" s="1124"/>
      <c r="CV70" s="1153"/>
      <c r="CW70" s="1153"/>
      <c r="CX70" s="1153"/>
      <c r="CY70" s="1153"/>
      <c r="CZ70" s="1124"/>
      <c r="DA70" s="1124"/>
      <c r="DB70" s="1124"/>
      <c r="DC70" s="1124"/>
      <c r="DD70" s="1124"/>
    </row>
    <row r="71" spans="1:108" ht="20.25" customHeight="1">
      <c r="A71" s="1183" t="s">
        <v>23</v>
      </c>
      <c r="B71" s="1184" t="s">
        <v>407</v>
      </c>
      <c r="C71" s="1180" t="s">
        <v>556</v>
      </c>
      <c r="D71" s="1185"/>
      <c r="E71" s="1185">
        <v>1</v>
      </c>
      <c r="F71" s="1185">
        <v>1</v>
      </c>
      <c r="G71" s="1185"/>
      <c r="H71" s="1169"/>
      <c r="I71" s="1169">
        <f>R71+Z71+AH71+AP71+AX71+BF71+BN71+BV71+CD71+CL71</f>
        <v>163800</v>
      </c>
      <c r="J71" s="1195">
        <v>99600</v>
      </c>
      <c r="K71" s="1169">
        <f t="shared" si="141"/>
        <v>99600</v>
      </c>
      <c r="L71" s="1169">
        <f t="shared" si="141"/>
        <v>95700</v>
      </c>
      <c r="M71" s="1169">
        <f t="shared" si="141"/>
        <v>3900</v>
      </c>
      <c r="N71" s="1169">
        <f t="shared" si="141"/>
        <v>0</v>
      </c>
      <c r="O71" s="1169">
        <f>K71-N71</f>
        <v>99600</v>
      </c>
      <c r="P71" s="1169">
        <f t="shared" si="117"/>
        <v>99600</v>
      </c>
      <c r="Q71" s="1169">
        <f>Y71+AG71+AO71+AW71+BE71+BM71+BU71+CC71+CK71+CS71</f>
        <v>0</v>
      </c>
      <c r="R71" s="1186">
        <v>129000</v>
      </c>
      <c r="S71" s="1200">
        <f>T71+U71</f>
        <v>75300</v>
      </c>
      <c r="T71" s="1169">
        <v>75300</v>
      </c>
      <c r="U71" s="1169">
        <v>0</v>
      </c>
      <c r="V71" s="1169"/>
      <c r="W71" s="1169">
        <f>X71+Y71</f>
        <v>75300</v>
      </c>
      <c r="X71" s="1169">
        <f>S71*100%</f>
        <v>75300</v>
      </c>
      <c r="Y71" s="1169"/>
      <c r="Z71" s="1182">
        <v>29400</v>
      </c>
      <c r="AA71" s="1200">
        <f>AB71+AC71</f>
        <v>20400</v>
      </c>
      <c r="AB71" s="1169">
        <v>20400</v>
      </c>
      <c r="AC71" s="1169">
        <v>0</v>
      </c>
      <c r="AD71" s="1169"/>
      <c r="AE71" s="1169">
        <f>AF71+AG71</f>
        <v>20400</v>
      </c>
      <c r="AF71" s="1169">
        <f>AA71*100%</f>
        <v>20400</v>
      </c>
      <c r="AG71" s="1169"/>
      <c r="AH71" s="1182">
        <v>5400</v>
      </c>
      <c r="AI71" s="1403">
        <f>AJ71+AK71</f>
        <v>3900</v>
      </c>
      <c r="AJ71" s="1399">
        <v>0</v>
      </c>
      <c r="AK71" s="1399">
        <v>3900</v>
      </c>
      <c r="AL71" s="1169"/>
      <c r="AM71" s="1169">
        <f>AN71+AO71</f>
        <v>3900</v>
      </c>
      <c r="AN71" s="1169">
        <f>AI71*100%</f>
        <v>3900</v>
      </c>
      <c r="AO71" s="1169"/>
      <c r="AP71" s="1182">
        <v>0</v>
      </c>
      <c r="AQ71" s="1200">
        <f>AR71+AS71</f>
        <v>0</v>
      </c>
      <c r="AR71" s="1169">
        <v>0</v>
      </c>
      <c r="AS71" s="1169">
        <v>0</v>
      </c>
      <c r="AT71" s="1169"/>
      <c r="AU71" s="1169"/>
      <c r="AV71" s="1169"/>
      <c r="AW71" s="1169"/>
      <c r="AX71" s="1182">
        <v>0</v>
      </c>
      <c r="AY71" s="1200">
        <f>AZ71+BA71</f>
        <v>0</v>
      </c>
      <c r="AZ71" s="1169">
        <v>0</v>
      </c>
      <c r="BA71" s="1169">
        <v>0</v>
      </c>
      <c r="BB71" s="1169"/>
      <c r="BC71" s="1169">
        <f>BD71+BE71</f>
        <v>0</v>
      </c>
      <c r="BD71" s="1169">
        <f>AY71*100%</f>
        <v>0</v>
      </c>
      <c r="BE71" s="1169"/>
      <c r="BF71" s="1182">
        <v>0</v>
      </c>
      <c r="BG71" s="1200">
        <f>BH71+BI71</f>
        <v>0</v>
      </c>
      <c r="BH71" s="1169">
        <v>0</v>
      </c>
      <c r="BI71" s="1169">
        <v>0</v>
      </c>
      <c r="BJ71" s="1169"/>
      <c r="BK71" s="1169"/>
      <c r="BL71" s="1169"/>
      <c r="BM71" s="1169"/>
      <c r="BN71" s="1182">
        <v>0</v>
      </c>
      <c r="BO71" s="1200">
        <f>BP71+BQ71</f>
        <v>0</v>
      </c>
      <c r="BP71" s="1169">
        <v>0</v>
      </c>
      <c r="BQ71" s="1169">
        <v>0</v>
      </c>
      <c r="BR71" s="1169"/>
      <c r="BS71" s="1169"/>
      <c r="BT71" s="1169"/>
      <c r="BU71" s="1169"/>
      <c r="BV71" s="1182">
        <v>0</v>
      </c>
      <c r="BW71" s="1200">
        <f>BX71+BY71</f>
        <v>0</v>
      </c>
      <c r="BX71" s="1169">
        <v>0</v>
      </c>
      <c r="BY71" s="1169">
        <v>0</v>
      </c>
      <c r="BZ71" s="1169"/>
      <c r="CA71" s="1169"/>
      <c r="CB71" s="1169"/>
      <c r="CC71" s="1169"/>
      <c r="CD71" s="1182">
        <v>0</v>
      </c>
      <c r="CE71" s="1200">
        <f>CF71+CG71</f>
        <v>0</v>
      </c>
      <c r="CF71" s="1169">
        <v>0</v>
      </c>
      <c r="CG71" s="1169">
        <v>0</v>
      </c>
      <c r="CH71" s="1169"/>
      <c r="CI71" s="1169"/>
      <c r="CJ71" s="1169"/>
      <c r="CK71" s="1169"/>
      <c r="CL71" s="1182">
        <v>0</v>
      </c>
      <c r="CM71" s="1200">
        <f>CN71+CO71</f>
        <v>0</v>
      </c>
      <c r="CN71" s="1169">
        <v>0</v>
      </c>
      <c r="CO71" s="1169">
        <v>0</v>
      </c>
      <c r="CP71" s="1169"/>
      <c r="CQ71" s="1169"/>
      <c r="CR71" s="1169"/>
      <c r="CS71" s="1169"/>
      <c r="CT71" s="1124"/>
      <c r="CU71" s="1124"/>
      <c r="CV71" s="1153"/>
      <c r="CW71" s="1153"/>
      <c r="CX71" s="1153"/>
      <c r="CY71" s="1153"/>
      <c r="CZ71" s="1124"/>
      <c r="DA71" s="1124"/>
      <c r="DB71" s="1124"/>
      <c r="DC71" s="1124"/>
      <c r="DD71" s="1124"/>
    </row>
    <row r="72" spans="1:108" s="1123" customFormat="1" ht="16.5" customHeight="1">
      <c r="A72" s="1179" t="s">
        <v>79</v>
      </c>
      <c r="B72" s="1180" t="s">
        <v>408</v>
      </c>
      <c r="C72" s="1184" t="s">
        <v>557</v>
      </c>
      <c r="D72" s="1156"/>
      <c r="E72" s="1156"/>
      <c r="F72" s="1156"/>
      <c r="G72" s="1156"/>
      <c r="H72" s="1157"/>
      <c r="I72" s="1198">
        <f t="shared" ref="I72:CC72" si="142">I73+I74</f>
        <v>57000</v>
      </c>
      <c r="J72" s="1198">
        <f>J73+J74</f>
        <v>58000</v>
      </c>
      <c r="K72" s="1198">
        <f t="shared" si="142"/>
        <v>58000</v>
      </c>
      <c r="L72" s="1198">
        <f t="shared" si="142"/>
        <v>31500</v>
      </c>
      <c r="M72" s="1198">
        <f t="shared" si="142"/>
        <v>26500</v>
      </c>
      <c r="N72" s="1198">
        <f t="shared" si="142"/>
        <v>10000</v>
      </c>
      <c r="O72" s="1198">
        <f t="shared" si="142"/>
        <v>48000</v>
      </c>
      <c r="P72" s="1198">
        <f t="shared" si="142"/>
        <v>23456</v>
      </c>
      <c r="Q72" s="1198">
        <f t="shared" si="142"/>
        <v>24544</v>
      </c>
      <c r="R72" s="1198">
        <v>28920</v>
      </c>
      <c r="S72" s="1199">
        <f>T72+U72</f>
        <v>28400</v>
      </c>
      <c r="T72" s="1157">
        <v>16400</v>
      </c>
      <c r="U72" s="1157">
        <v>12000</v>
      </c>
      <c r="V72" s="1198">
        <f t="shared" si="142"/>
        <v>6952</v>
      </c>
      <c r="W72" s="1198">
        <f t="shared" si="142"/>
        <v>21448</v>
      </c>
      <c r="X72" s="1198">
        <f t="shared" si="142"/>
        <v>9828</v>
      </c>
      <c r="Y72" s="1198">
        <f t="shared" si="142"/>
        <v>11620</v>
      </c>
      <c r="Z72" s="1182">
        <v>4050</v>
      </c>
      <c r="AA72" s="1199">
        <f>AB72+AC72</f>
        <v>3060</v>
      </c>
      <c r="AB72" s="1157">
        <v>260</v>
      </c>
      <c r="AC72" s="1157">
        <v>2800</v>
      </c>
      <c r="AD72" s="1198">
        <f t="shared" si="142"/>
        <v>665</v>
      </c>
      <c r="AE72" s="1198">
        <f t="shared" si="142"/>
        <v>2395</v>
      </c>
      <c r="AF72" s="1198">
        <f t="shared" si="142"/>
        <v>35</v>
      </c>
      <c r="AG72" s="1198">
        <f t="shared" si="142"/>
        <v>2360</v>
      </c>
      <c r="AH72" s="1182">
        <v>1890</v>
      </c>
      <c r="AI72" s="1401">
        <f>AJ72+AK72</f>
        <v>2100</v>
      </c>
      <c r="AJ72" s="1402">
        <v>100</v>
      </c>
      <c r="AK72" s="1402">
        <v>2000</v>
      </c>
      <c r="AL72" s="1198">
        <f t="shared" si="142"/>
        <v>602</v>
      </c>
      <c r="AM72" s="1198">
        <f t="shared" si="142"/>
        <v>1498</v>
      </c>
      <c r="AN72" s="1198">
        <f t="shared" si="142"/>
        <v>0</v>
      </c>
      <c r="AO72" s="1198">
        <f t="shared" si="142"/>
        <v>1498</v>
      </c>
      <c r="AP72" s="1182">
        <v>15340</v>
      </c>
      <c r="AQ72" s="1199">
        <f>AR72+AS72</f>
        <v>18200</v>
      </c>
      <c r="AR72" s="1157">
        <v>13700</v>
      </c>
      <c r="AS72" s="1157">
        <v>4500</v>
      </c>
      <c r="AT72" s="1198">
        <f t="shared" si="142"/>
        <v>970</v>
      </c>
      <c r="AU72" s="1198">
        <f t="shared" si="142"/>
        <v>17230</v>
      </c>
      <c r="AV72" s="1198">
        <f t="shared" si="142"/>
        <v>13570</v>
      </c>
      <c r="AW72" s="1198">
        <f t="shared" si="142"/>
        <v>3660</v>
      </c>
      <c r="AX72" s="1182">
        <v>1350</v>
      </c>
      <c r="AY72" s="1199">
        <f>AZ72+BA72</f>
        <v>1860</v>
      </c>
      <c r="AZ72" s="1157">
        <v>60</v>
      </c>
      <c r="BA72" s="1157">
        <v>1800</v>
      </c>
      <c r="BB72" s="1198">
        <f t="shared" si="142"/>
        <v>121</v>
      </c>
      <c r="BC72" s="1198">
        <f t="shared" si="142"/>
        <v>1739</v>
      </c>
      <c r="BD72" s="1198">
        <f t="shared" si="142"/>
        <v>0</v>
      </c>
      <c r="BE72" s="1198">
        <f t="shared" si="142"/>
        <v>1739</v>
      </c>
      <c r="BF72" s="1182">
        <v>1350</v>
      </c>
      <c r="BG72" s="1199">
        <f>BH72+BI72</f>
        <v>1460</v>
      </c>
      <c r="BH72" s="1157">
        <v>60</v>
      </c>
      <c r="BI72" s="1157">
        <v>1400</v>
      </c>
      <c r="BJ72" s="1198">
        <f t="shared" si="142"/>
        <v>265</v>
      </c>
      <c r="BK72" s="1198">
        <f t="shared" si="142"/>
        <v>1195</v>
      </c>
      <c r="BL72" s="1198">
        <f t="shared" si="142"/>
        <v>0</v>
      </c>
      <c r="BM72" s="1198">
        <f t="shared" si="142"/>
        <v>1195</v>
      </c>
      <c r="BN72" s="1182">
        <v>380</v>
      </c>
      <c r="BO72" s="1199">
        <f>BP72+BQ72</f>
        <v>480</v>
      </c>
      <c r="BP72" s="1157">
        <v>80</v>
      </c>
      <c r="BQ72" s="1157">
        <v>400</v>
      </c>
      <c r="BR72" s="1198">
        <f t="shared" si="142"/>
        <v>42</v>
      </c>
      <c r="BS72" s="1198">
        <f t="shared" si="142"/>
        <v>438</v>
      </c>
      <c r="BT72" s="1198">
        <f t="shared" si="142"/>
        <v>23</v>
      </c>
      <c r="BU72" s="1198">
        <f t="shared" si="142"/>
        <v>415</v>
      </c>
      <c r="BV72" s="1182">
        <v>980</v>
      </c>
      <c r="BW72" s="1199">
        <f>BX72+BY72</f>
        <v>650</v>
      </c>
      <c r="BX72" s="1157">
        <v>50</v>
      </c>
      <c r="BY72" s="1157">
        <v>600</v>
      </c>
      <c r="BZ72" s="1198">
        <f t="shared" si="142"/>
        <v>212</v>
      </c>
      <c r="CA72" s="1198">
        <f t="shared" si="142"/>
        <v>438</v>
      </c>
      <c r="CB72" s="1198">
        <f t="shared" si="142"/>
        <v>0</v>
      </c>
      <c r="CC72" s="1198">
        <f t="shared" si="142"/>
        <v>438</v>
      </c>
      <c r="CD72" s="1182">
        <v>2300</v>
      </c>
      <c r="CE72" s="1199">
        <f>CF72+CG72</f>
        <v>1350</v>
      </c>
      <c r="CF72" s="1157">
        <v>750</v>
      </c>
      <c r="CG72" s="1157">
        <v>600</v>
      </c>
      <c r="CH72" s="1198">
        <f t="shared" ref="CH72:CS72" si="143">CH73+CH74</f>
        <v>121</v>
      </c>
      <c r="CI72" s="1198">
        <f t="shared" si="143"/>
        <v>1229</v>
      </c>
      <c r="CJ72" s="1198">
        <f t="shared" si="143"/>
        <v>0</v>
      </c>
      <c r="CK72" s="1198">
        <f t="shared" si="143"/>
        <v>1229</v>
      </c>
      <c r="CL72" s="1182">
        <v>440</v>
      </c>
      <c r="CM72" s="1199">
        <f>CN72+CO72</f>
        <v>440</v>
      </c>
      <c r="CN72" s="1157">
        <v>40</v>
      </c>
      <c r="CO72" s="1157">
        <v>400</v>
      </c>
      <c r="CP72" s="1198">
        <f t="shared" si="143"/>
        <v>50</v>
      </c>
      <c r="CQ72" s="1198">
        <f t="shared" si="143"/>
        <v>390</v>
      </c>
      <c r="CR72" s="1198">
        <f t="shared" si="143"/>
        <v>0</v>
      </c>
      <c r="CS72" s="1198">
        <f t="shared" si="143"/>
        <v>390</v>
      </c>
      <c r="CT72" s="1124"/>
      <c r="CU72" s="1124"/>
      <c r="CV72" s="1153"/>
      <c r="CW72" s="1153"/>
      <c r="CX72" s="1153"/>
      <c r="CY72" s="1153"/>
      <c r="CZ72" s="1124"/>
      <c r="DA72" s="1124"/>
      <c r="DB72" s="1124"/>
      <c r="DC72" s="1124"/>
      <c r="DD72" s="1124"/>
    </row>
    <row r="73" spans="1:108" ht="16.5" customHeight="1">
      <c r="A73" s="1201" t="s">
        <v>45</v>
      </c>
      <c r="B73" s="1184" t="s">
        <v>558</v>
      </c>
      <c r="C73" s="1180" t="s">
        <v>559</v>
      </c>
      <c r="D73" s="1185">
        <v>1</v>
      </c>
      <c r="E73" s="1185"/>
      <c r="F73" s="1185"/>
      <c r="G73" s="1185"/>
      <c r="H73" s="1169"/>
      <c r="I73" s="1169">
        <f>R73+Z73+AH73+AP73+AX73+BF73+BN73+BV73+CD73+CL73</f>
        <v>10000</v>
      </c>
      <c r="J73" s="1195">
        <v>10000</v>
      </c>
      <c r="K73" s="1169">
        <f>S73+AA73+AI73+AQ73+AY73+BG73+BO73+BW73+CE73+CM73</f>
        <v>10000</v>
      </c>
      <c r="L73" s="1169">
        <f>T73+AB73+AJ73+AR73+AZ73+BH73+BP73+BX73+CF73+CN73</f>
        <v>4500</v>
      </c>
      <c r="M73" s="1169">
        <f>U73+AC73+AK73+AS73+BA73+BI73+BQ73+BY73+CG73+CO73</f>
        <v>5500</v>
      </c>
      <c r="N73" s="1169">
        <f>V73+AD73+AL73+AT73+BB73+BJ73+BR73+BZ73+CH73+CP73</f>
        <v>10000</v>
      </c>
      <c r="O73" s="1169">
        <f>P73+Q73</f>
        <v>0</v>
      </c>
      <c r="P73" s="1169"/>
      <c r="Q73" s="1169"/>
      <c r="R73" s="1186">
        <v>6962</v>
      </c>
      <c r="S73" s="1200">
        <f t="shared" ref="S73:S79" si="144">T73+U73</f>
        <v>6952</v>
      </c>
      <c r="T73" s="1169">
        <v>4452</v>
      </c>
      <c r="U73" s="1169">
        <v>2500</v>
      </c>
      <c r="V73" s="1169">
        <f>S73</f>
        <v>6952</v>
      </c>
      <c r="W73" s="1157">
        <f>X73+Y73</f>
        <v>0</v>
      </c>
      <c r="X73" s="1157"/>
      <c r="Y73" s="1169"/>
      <c r="Z73" s="1182">
        <v>1215</v>
      </c>
      <c r="AA73" s="1200">
        <f>AB73+AC73</f>
        <v>665</v>
      </c>
      <c r="AB73" s="1169">
        <v>15</v>
      </c>
      <c r="AC73" s="1169">
        <v>650</v>
      </c>
      <c r="AD73" s="1169">
        <f>AA73</f>
        <v>665</v>
      </c>
      <c r="AE73" s="1157">
        <f t="shared" si="121"/>
        <v>0</v>
      </c>
      <c r="AF73" s="1157"/>
      <c r="AG73" s="1169"/>
      <c r="AH73" s="1182">
        <v>302</v>
      </c>
      <c r="AI73" s="1403">
        <f>AJ73+AK73</f>
        <v>602</v>
      </c>
      <c r="AJ73" s="1399">
        <v>2</v>
      </c>
      <c r="AK73" s="1399">
        <v>600</v>
      </c>
      <c r="AL73" s="1169">
        <f>AI73</f>
        <v>602</v>
      </c>
      <c r="AM73" s="1157">
        <f t="shared" si="122"/>
        <v>0</v>
      </c>
      <c r="AN73" s="1157"/>
      <c r="AO73" s="1169"/>
      <c r="AP73" s="1182">
        <v>960</v>
      </c>
      <c r="AQ73" s="1200">
        <f>AR73+AS73</f>
        <v>970</v>
      </c>
      <c r="AR73" s="1169">
        <v>20</v>
      </c>
      <c r="AS73" s="1169">
        <v>950</v>
      </c>
      <c r="AT73" s="1169">
        <f>AQ73</f>
        <v>970</v>
      </c>
      <c r="AU73" s="1157">
        <f t="shared" si="123"/>
        <v>0</v>
      </c>
      <c r="AV73" s="1157"/>
      <c r="AW73" s="1169"/>
      <c r="AX73" s="1182">
        <v>51</v>
      </c>
      <c r="AY73" s="1200">
        <f>AZ73+BA73</f>
        <v>121</v>
      </c>
      <c r="AZ73" s="1169">
        <v>1</v>
      </c>
      <c r="BA73" s="1169">
        <v>120</v>
      </c>
      <c r="BB73" s="1169">
        <f>AY73</f>
        <v>121</v>
      </c>
      <c r="BC73" s="1157"/>
      <c r="BD73" s="1157"/>
      <c r="BE73" s="1169"/>
      <c r="BF73" s="1182">
        <v>205</v>
      </c>
      <c r="BG73" s="1200">
        <f>BH73+BI73</f>
        <v>265</v>
      </c>
      <c r="BH73" s="1169">
        <v>5</v>
      </c>
      <c r="BI73" s="1169">
        <v>260</v>
      </c>
      <c r="BJ73" s="1169">
        <f>BG73</f>
        <v>265</v>
      </c>
      <c r="BK73" s="1157">
        <f t="shared" si="125"/>
        <v>0</v>
      </c>
      <c r="BL73" s="1157"/>
      <c r="BM73" s="1169"/>
      <c r="BN73" s="1182">
        <v>17</v>
      </c>
      <c r="BO73" s="1200">
        <f>BP73+BQ73</f>
        <v>42</v>
      </c>
      <c r="BP73" s="1169">
        <v>2</v>
      </c>
      <c r="BQ73" s="1169">
        <v>40</v>
      </c>
      <c r="BR73" s="1169">
        <f>BO73</f>
        <v>42</v>
      </c>
      <c r="BS73" s="1157">
        <f t="shared" si="126"/>
        <v>0</v>
      </c>
      <c r="BT73" s="1157"/>
      <c r="BU73" s="1169"/>
      <c r="BV73" s="1182">
        <v>152</v>
      </c>
      <c r="BW73" s="1200">
        <f>BX73+BY73</f>
        <v>212</v>
      </c>
      <c r="BX73" s="1169">
        <v>2</v>
      </c>
      <c r="BY73" s="1169">
        <v>210</v>
      </c>
      <c r="BZ73" s="1169">
        <f>BW73</f>
        <v>212</v>
      </c>
      <c r="CA73" s="1157">
        <f t="shared" si="127"/>
        <v>0</v>
      </c>
      <c r="CB73" s="1157"/>
      <c r="CC73" s="1169"/>
      <c r="CD73" s="1182">
        <v>121</v>
      </c>
      <c r="CE73" s="1200">
        <f>CF73+CG73</f>
        <v>121</v>
      </c>
      <c r="CF73" s="1169">
        <v>1</v>
      </c>
      <c r="CG73" s="1169">
        <v>120</v>
      </c>
      <c r="CH73" s="1169">
        <f>CE73</f>
        <v>121</v>
      </c>
      <c r="CI73" s="1157">
        <f t="shared" si="128"/>
        <v>0</v>
      </c>
      <c r="CJ73" s="1157"/>
      <c r="CK73" s="1169"/>
      <c r="CL73" s="1182">
        <v>15</v>
      </c>
      <c r="CM73" s="1200">
        <f>CN73+CO73</f>
        <v>50</v>
      </c>
      <c r="CN73" s="1169">
        <v>0</v>
      </c>
      <c r="CO73" s="1169">
        <v>50</v>
      </c>
      <c r="CP73" s="1169">
        <f>CM73</f>
        <v>50</v>
      </c>
      <c r="CQ73" s="1157">
        <f t="shared" si="129"/>
        <v>0</v>
      </c>
      <c r="CR73" s="1157"/>
      <c r="CS73" s="1169"/>
      <c r="CT73" s="1124"/>
      <c r="CU73" s="1124"/>
      <c r="CV73" s="1153"/>
      <c r="CW73" s="1153"/>
      <c r="CX73" s="1153"/>
      <c r="CY73" s="1153"/>
      <c r="CZ73" s="1124"/>
      <c r="DA73" s="1124"/>
      <c r="DB73" s="1124"/>
      <c r="DC73" s="1124"/>
      <c r="DD73" s="1124"/>
    </row>
    <row r="74" spans="1:108" ht="16.5" customHeight="1">
      <c r="A74" s="1201" t="s">
        <v>47</v>
      </c>
      <c r="B74" s="1184" t="s">
        <v>560</v>
      </c>
      <c r="C74" s="1184" t="s">
        <v>561</v>
      </c>
      <c r="D74" s="1185"/>
      <c r="E74" s="1185"/>
      <c r="F74" s="1185"/>
      <c r="G74" s="1185"/>
      <c r="H74" s="1169"/>
      <c r="I74" s="1195">
        <f t="shared" ref="I74:CC74" si="145">I75+I76+I77</f>
        <v>47000</v>
      </c>
      <c r="J74" s="1195">
        <v>48000</v>
      </c>
      <c r="K74" s="1195">
        <f>K75+K76+K77</f>
        <v>48000</v>
      </c>
      <c r="L74" s="1195">
        <f t="shared" si="145"/>
        <v>27000</v>
      </c>
      <c r="M74" s="1195">
        <f t="shared" si="145"/>
        <v>21000</v>
      </c>
      <c r="N74" s="1195"/>
      <c r="O74" s="1195">
        <f t="shared" si="145"/>
        <v>48000</v>
      </c>
      <c r="P74" s="1195">
        <f t="shared" si="145"/>
        <v>23456</v>
      </c>
      <c r="Q74" s="1195">
        <f t="shared" si="145"/>
        <v>24544</v>
      </c>
      <c r="R74" s="1195">
        <v>21958</v>
      </c>
      <c r="S74" s="1195">
        <f t="shared" si="145"/>
        <v>21448</v>
      </c>
      <c r="T74" s="1169">
        <f>T72-T73</f>
        <v>11948</v>
      </c>
      <c r="U74" s="1169">
        <f>U72-U73</f>
        <v>9500</v>
      </c>
      <c r="V74" s="1195">
        <f t="shared" si="145"/>
        <v>0</v>
      </c>
      <c r="W74" s="1195">
        <f t="shared" si="145"/>
        <v>21448</v>
      </c>
      <c r="X74" s="1195">
        <f>X75+X76+X77</f>
        <v>9828</v>
      </c>
      <c r="Y74" s="1195">
        <f t="shared" si="145"/>
        <v>11620</v>
      </c>
      <c r="Z74" s="1182">
        <v>2835</v>
      </c>
      <c r="AA74" s="1195">
        <f>AA75+AA76+AA77</f>
        <v>2395</v>
      </c>
      <c r="AB74" s="1169">
        <f>AB72-AB73</f>
        <v>245</v>
      </c>
      <c r="AC74" s="1169">
        <f>AC72-AC73</f>
        <v>2150</v>
      </c>
      <c r="AD74" s="1195">
        <f t="shared" si="145"/>
        <v>0</v>
      </c>
      <c r="AE74" s="1195">
        <f t="shared" si="145"/>
        <v>2395</v>
      </c>
      <c r="AF74" s="1195">
        <f t="shared" si="145"/>
        <v>35</v>
      </c>
      <c r="AG74" s="1195">
        <f t="shared" si="145"/>
        <v>2360</v>
      </c>
      <c r="AH74" s="1182">
        <v>1588</v>
      </c>
      <c r="AI74" s="1404">
        <f>AI75+AI76+AI77</f>
        <v>1498</v>
      </c>
      <c r="AJ74" s="1399">
        <f>AJ72-AJ73</f>
        <v>98</v>
      </c>
      <c r="AK74" s="1399">
        <f>AK72-AK73</f>
        <v>1400</v>
      </c>
      <c r="AL74" s="1195">
        <f t="shared" si="145"/>
        <v>0</v>
      </c>
      <c r="AM74" s="1195">
        <f t="shared" si="145"/>
        <v>1498</v>
      </c>
      <c r="AN74" s="1195">
        <f t="shared" si="145"/>
        <v>0</v>
      </c>
      <c r="AO74" s="1195">
        <f t="shared" si="145"/>
        <v>1498</v>
      </c>
      <c r="AP74" s="1182">
        <v>14380</v>
      </c>
      <c r="AQ74" s="1195">
        <f>AQ75+AQ76+AQ77</f>
        <v>17230</v>
      </c>
      <c r="AR74" s="1169">
        <f>AR72-AR73</f>
        <v>13680</v>
      </c>
      <c r="AS74" s="1169">
        <f>AS72-AS73</f>
        <v>3550</v>
      </c>
      <c r="AT74" s="1195">
        <f t="shared" si="145"/>
        <v>0</v>
      </c>
      <c r="AU74" s="1195">
        <f t="shared" si="145"/>
        <v>17230</v>
      </c>
      <c r="AV74" s="1195">
        <f t="shared" si="145"/>
        <v>13570</v>
      </c>
      <c r="AW74" s="1195">
        <f t="shared" si="145"/>
        <v>3660</v>
      </c>
      <c r="AX74" s="1182">
        <v>1299</v>
      </c>
      <c r="AY74" s="1195">
        <f>AY75+AY76+AY77</f>
        <v>1739</v>
      </c>
      <c r="AZ74" s="1169">
        <f>AZ72-AZ73</f>
        <v>59</v>
      </c>
      <c r="BA74" s="1169">
        <f>BA72-BA73</f>
        <v>1680</v>
      </c>
      <c r="BB74" s="1195">
        <f t="shared" si="145"/>
        <v>0</v>
      </c>
      <c r="BC74" s="1195">
        <f t="shared" si="145"/>
        <v>1739</v>
      </c>
      <c r="BD74" s="1195">
        <f t="shared" si="145"/>
        <v>0</v>
      </c>
      <c r="BE74" s="1195">
        <f t="shared" si="145"/>
        <v>1739</v>
      </c>
      <c r="BF74" s="1182">
        <v>1145</v>
      </c>
      <c r="BG74" s="1195">
        <f>BG75+BG76+BG77</f>
        <v>1195</v>
      </c>
      <c r="BH74" s="1169">
        <f>BH72-BH73</f>
        <v>55</v>
      </c>
      <c r="BI74" s="1169">
        <f>BI72-BI73</f>
        <v>1140</v>
      </c>
      <c r="BJ74" s="1195">
        <f t="shared" si="145"/>
        <v>0</v>
      </c>
      <c r="BK74" s="1195">
        <f t="shared" si="145"/>
        <v>1195</v>
      </c>
      <c r="BL74" s="1195">
        <f t="shared" si="145"/>
        <v>0</v>
      </c>
      <c r="BM74" s="1195">
        <f t="shared" si="145"/>
        <v>1195</v>
      </c>
      <c r="BN74" s="1182">
        <v>363</v>
      </c>
      <c r="BO74" s="1195">
        <f>BO75+BO76+BO77</f>
        <v>438</v>
      </c>
      <c r="BP74" s="1169">
        <f>BP72-BP73</f>
        <v>78</v>
      </c>
      <c r="BQ74" s="1169">
        <f>BQ72-BQ73</f>
        <v>360</v>
      </c>
      <c r="BR74" s="1195">
        <f t="shared" si="145"/>
        <v>0</v>
      </c>
      <c r="BS74" s="1195">
        <f t="shared" si="145"/>
        <v>438</v>
      </c>
      <c r="BT74" s="1195">
        <f t="shared" si="145"/>
        <v>23</v>
      </c>
      <c r="BU74" s="1195">
        <f t="shared" si="145"/>
        <v>415</v>
      </c>
      <c r="BV74" s="1182">
        <v>828</v>
      </c>
      <c r="BW74" s="1195">
        <f>BW75+BW76+BW77</f>
        <v>438</v>
      </c>
      <c r="BX74" s="1169">
        <f>BX72-BX73</f>
        <v>48</v>
      </c>
      <c r="BY74" s="1169">
        <f>BY72-BY73</f>
        <v>390</v>
      </c>
      <c r="BZ74" s="1195">
        <f t="shared" si="145"/>
        <v>0</v>
      </c>
      <c r="CA74" s="1195">
        <f t="shared" si="145"/>
        <v>438</v>
      </c>
      <c r="CB74" s="1195">
        <f t="shared" si="145"/>
        <v>0</v>
      </c>
      <c r="CC74" s="1195">
        <f t="shared" si="145"/>
        <v>438</v>
      </c>
      <c r="CD74" s="1182">
        <v>2179</v>
      </c>
      <c r="CE74" s="1195">
        <f>CE75+CE76+CE77</f>
        <v>1229</v>
      </c>
      <c r="CF74" s="1169">
        <f>CF72-CF73</f>
        <v>749</v>
      </c>
      <c r="CG74" s="1169">
        <f>CG72-CG73</f>
        <v>480</v>
      </c>
      <c r="CH74" s="1195">
        <f t="shared" ref="CH74:CS74" si="146">CH75+CH76+CH77</f>
        <v>0</v>
      </c>
      <c r="CI74" s="1195">
        <f t="shared" si="146"/>
        <v>1229</v>
      </c>
      <c r="CJ74" s="1195">
        <f>CJ75+CJ76+CJ77</f>
        <v>0</v>
      </c>
      <c r="CK74" s="1195">
        <f t="shared" si="146"/>
        <v>1229</v>
      </c>
      <c r="CL74" s="1182">
        <v>425</v>
      </c>
      <c r="CM74" s="1195">
        <f>CM75+CM76+CM77</f>
        <v>390</v>
      </c>
      <c r="CN74" s="1169">
        <f>CN72-CN73</f>
        <v>40</v>
      </c>
      <c r="CO74" s="1169">
        <f>CO72-CO73</f>
        <v>350</v>
      </c>
      <c r="CP74" s="1195">
        <f t="shared" si="146"/>
        <v>0</v>
      </c>
      <c r="CQ74" s="1195">
        <f t="shared" si="146"/>
        <v>390</v>
      </c>
      <c r="CR74" s="1195">
        <f t="shared" si="146"/>
        <v>0</v>
      </c>
      <c r="CS74" s="1195">
        <f t="shared" si="146"/>
        <v>390</v>
      </c>
      <c r="CZ74" s="1124"/>
      <c r="DA74" s="1124"/>
      <c r="DB74" s="1124"/>
      <c r="DC74" s="1124"/>
      <c r="DD74" s="1124"/>
    </row>
    <row r="75" spans="1:108" ht="16.5" customHeight="1">
      <c r="A75" s="1183" t="s">
        <v>23</v>
      </c>
      <c r="B75" s="1184" t="s">
        <v>413</v>
      </c>
      <c r="C75" s="1180" t="s">
        <v>562</v>
      </c>
      <c r="D75" s="1185"/>
      <c r="E75" s="1185">
        <f>F75+G75</f>
        <v>1</v>
      </c>
      <c r="F75" s="1185"/>
      <c r="G75" s="1185">
        <v>1</v>
      </c>
      <c r="H75" s="1169">
        <f>IF(E75=0,P75/L75*100,IF(K75=0,0,P75/K75*100))</f>
        <v>0</v>
      </c>
      <c r="I75" s="1169">
        <f>R75+Z75+AH75+AP75+AX75+BF75+BN75+BV75+CD75+CL75</f>
        <v>8000</v>
      </c>
      <c r="J75" s="1195">
        <v>7000</v>
      </c>
      <c r="K75" s="1169">
        <f t="shared" ref="K75:M79" si="147">S75+AA75+AI75+AQ75+AY75+BG75+BO75+BW75+CE75+CM75</f>
        <v>8000</v>
      </c>
      <c r="L75" s="1169">
        <f t="shared" si="147"/>
        <v>1530</v>
      </c>
      <c r="M75" s="1169">
        <f t="shared" si="147"/>
        <v>6470</v>
      </c>
      <c r="N75" s="1169"/>
      <c r="O75" s="1169">
        <f>K75-N75</f>
        <v>8000</v>
      </c>
      <c r="P75" s="1169">
        <f>O75-Q75</f>
        <v>0</v>
      </c>
      <c r="Q75" s="1169">
        <f>Y75+AG75+AO75+AW75+BE75+BM75+BU75+CC75+CK75+CS75</f>
        <v>8000</v>
      </c>
      <c r="R75" s="1186">
        <v>2985</v>
      </c>
      <c r="S75" s="1200">
        <f t="shared" si="144"/>
        <v>2880</v>
      </c>
      <c r="T75" s="1169">
        <v>780</v>
      </c>
      <c r="U75" s="1169">
        <v>2100</v>
      </c>
      <c r="V75" s="1169"/>
      <c r="W75" s="1169">
        <f>X75+Y75</f>
        <v>2880</v>
      </c>
      <c r="X75" s="1169"/>
      <c r="Y75" s="1169">
        <f>S75*100%</f>
        <v>2880</v>
      </c>
      <c r="Z75" s="1182">
        <v>760</v>
      </c>
      <c r="AA75" s="1200">
        <f>AB75+AC75</f>
        <v>610</v>
      </c>
      <c r="AB75" s="1169">
        <v>110</v>
      </c>
      <c r="AC75" s="1169">
        <v>500</v>
      </c>
      <c r="AD75" s="1169"/>
      <c r="AE75" s="1169">
        <f t="shared" si="121"/>
        <v>610</v>
      </c>
      <c r="AF75" s="1169"/>
      <c r="AG75" s="1169">
        <f>AA75*100%</f>
        <v>610</v>
      </c>
      <c r="AH75" s="1182">
        <v>350</v>
      </c>
      <c r="AI75" s="1403">
        <f>AJ75+AK75</f>
        <v>350</v>
      </c>
      <c r="AJ75" s="1399">
        <v>50</v>
      </c>
      <c r="AK75" s="1399">
        <v>300</v>
      </c>
      <c r="AL75" s="1169"/>
      <c r="AM75" s="1169">
        <f t="shared" si="122"/>
        <v>350</v>
      </c>
      <c r="AN75" s="1169"/>
      <c r="AO75" s="1169">
        <f>AI75*100%</f>
        <v>350</v>
      </c>
      <c r="AP75" s="1182">
        <v>920</v>
      </c>
      <c r="AQ75" s="1200">
        <f t="shared" ref="AQ75:AQ87" si="148">AR75+AS75</f>
        <v>1500</v>
      </c>
      <c r="AR75" s="1169">
        <v>0</v>
      </c>
      <c r="AS75" s="1169">
        <v>1500</v>
      </c>
      <c r="AT75" s="1169"/>
      <c r="AU75" s="1169">
        <f t="shared" si="123"/>
        <v>1500</v>
      </c>
      <c r="AV75" s="1169"/>
      <c r="AW75" s="1169">
        <f>AQ75*100%</f>
        <v>1500</v>
      </c>
      <c r="AX75" s="1182">
        <v>700</v>
      </c>
      <c r="AY75" s="1200">
        <f>AZ75+BA75</f>
        <v>1000</v>
      </c>
      <c r="AZ75" s="1169">
        <v>0</v>
      </c>
      <c r="BA75" s="1169">
        <v>1000</v>
      </c>
      <c r="BB75" s="1169"/>
      <c r="BC75" s="1169">
        <f t="shared" si="124"/>
        <v>1000</v>
      </c>
      <c r="BD75" s="1169"/>
      <c r="BE75" s="1169">
        <f>AY75*100%</f>
        <v>1000</v>
      </c>
      <c r="BF75" s="1182">
        <v>300</v>
      </c>
      <c r="BG75" s="1200">
        <f>BH75+BI75</f>
        <v>400</v>
      </c>
      <c r="BH75" s="1169">
        <v>0</v>
      </c>
      <c r="BI75" s="1169">
        <v>400</v>
      </c>
      <c r="BJ75" s="1169"/>
      <c r="BK75" s="1169">
        <f t="shared" si="125"/>
        <v>400</v>
      </c>
      <c r="BL75" s="1169"/>
      <c r="BM75" s="1169">
        <f>BG75*100%</f>
        <v>400</v>
      </c>
      <c r="BN75" s="1182">
        <v>100</v>
      </c>
      <c r="BO75" s="1200">
        <f>BP75+BQ75</f>
        <v>150</v>
      </c>
      <c r="BP75" s="1169">
        <v>0</v>
      </c>
      <c r="BQ75" s="1169">
        <v>150</v>
      </c>
      <c r="BR75" s="1169"/>
      <c r="BS75" s="1169">
        <f t="shared" si="126"/>
        <v>150</v>
      </c>
      <c r="BT75" s="1169"/>
      <c r="BU75" s="1169">
        <f>BO75*100%</f>
        <v>150</v>
      </c>
      <c r="BV75" s="1182">
        <v>410</v>
      </c>
      <c r="BW75" s="1200">
        <f>BX75+BY75</f>
        <v>310</v>
      </c>
      <c r="BX75" s="1169">
        <v>10</v>
      </c>
      <c r="BY75" s="1169">
        <v>300</v>
      </c>
      <c r="BZ75" s="1169"/>
      <c r="CA75" s="1169">
        <f t="shared" si="127"/>
        <v>310</v>
      </c>
      <c r="CB75" s="1169"/>
      <c r="CC75" s="1169">
        <f>BW75*100%</f>
        <v>310</v>
      </c>
      <c r="CD75" s="1182">
        <v>1355</v>
      </c>
      <c r="CE75" s="1200">
        <f>CF75+CG75</f>
        <v>680</v>
      </c>
      <c r="CF75" s="1169">
        <v>580</v>
      </c>
      <c r="CG75" s="1169">
        <v>100</v>
      </c>
      <c r="CH75" s="1169"/>
      <c r="CI75" s="1169">
        <f t="shared" si="128"/>
        <v>680</v>
      </c>
      <c r="CJ75" s="1169"/>
      <c r="CK75" s="1169">
        <f>CE75*100%</f>
        <v>680</v>
      </c>
      <c r="CL75" s="1182">
        <v>120</v>
      </c>
      <c r="CM75" s="1200">
        <f>CN75+CO75</f>
        <v>120</v>
      </c>
      <c r="CN75" s="1169">
        <v>0</v>
      </c>
      <c r="CO75" s="1169">
        <v>120</v>
      </c>
      <c r="CP75" s="1169"/>
      <c r="CQ75" s="1169">
        <f t="shared" si="129"/>
        <v>120</v>
      </c>
      <c r="CR75" s="1169"/>
      <c r="CS75" s="1169">
        <f>CM75*100%</f>
        <v>120</v>
      </c>
      <c r="CZ75" s="1124"/>
      <c r="DA75" s="1124"/>
      <c r="DB75" s="1124"/>
      <c r="DC75" s="1124"/>
      <c r="DD75" s="1124"/>
    </row>
    <row r="76" spans="1:108" ht="16.5" customHeight="1">
      <c r="A76" s="1183" t="s">
        <v>23</v>
      </c>
      <c r="B76" s="1184" t="s">
        <v>414</v>
      </c>
      <c r="C76" s="1184" t="s">
        <v>563</v>
      </c>
      <c r="D76" s="1185"/>
      <c r="E76" s="1185">
        <f>F76+G76</f>
        <v>1</v>
      </c>
      <c r="F76" s="1185"/>
      <c r="G76" s="1185">
        <v>1</v>
      </c>
      <c r="H76" s="1169">
        <f>IF(E76=0,P76/L76*100,IF(K76=0,0,P76/K76*100))</f>
        <v>0</v>
      </c>
      <c r="I76" s="1169">
        <f>R76+Z76+AH76+AP76+AX76+BF76+BN76+BV76+CD76+CL76</f>
        <v>7964</v>
      </c>
      <c r="J76" s="1195"/>
      <c r="K76" s="1169">
        <f t="shared" si="147"/>
        <v>8129</v>
      </c>
      <c r="L76" s="1169">
        <f t="shared" si="147"/>
        <v>2014</v>
      </c>
      <c r="M76" s="1169">
        <f t="shared" si="147"/>
        <v>6115</v>
      </c>
      <c r="N76" s="1169"/>
      <c r="O76" s="1169">
        <f>K76-N76</f>
        <v>8129</v>
      </c>
      <c r="P76" s="1169">
        <f>O76-Q76</f>
        <v>0</v>
      </c>
      <c r="Q76" s="1169">
        <f>Y76+AG76+AO76+AW76+BE76+BM76+BU76+CC76+CK76+CS76</f>
        <v>8129</v>
      </c>
      <c r="R76" s="1169">
        <v>4555</v>
      </c>
      <c r="S76" s="1200">
        <f t="shared" si="144"/>
        <v>4740</v>
      </c>
      <c r="T76" s="1169">
        <v>1340</v>
      </c>
      <c r="U76" s="1169">
        <v>3400</v>
      </c>
      <c r="V76" s="1169"/>
      <c r="W76" s="1169">
        <f>X76+Y76</f>
        <v>4740</v>
      </c>
      <c r="X76" s="1169"/>
      <c r="Y76" s="1169">
        <f>S76*100%</f>
        <v>4740</v>
      </c>
      <c r="Z76" s="1182">
        <v>685</v>
      </c>
      <c r="AA76" s="1200">
        <f>AB76+AC76</f>
        <v>680</v>
      </c>
      <c r="AB76" s="1169">
        <v>100</v>
      </c>
      <c r="AC76" s="1169">
        <v>580</v>
      </c>
      <c r="AD76" s="1169"/>
      <c r="AE76" s="1169">
        <f t="shared" si="121"/>
        <v>680</v>
      </c>
      <c r="AF76" s="1169"/>
      <c r="AG76" s="1169">
        <f>AA76*100%</f>
        <v>680</v>
      </c>
      <c r="AH76" s="1182">
        <v>508</v>
      </c>
      <c r="AI76" s="1403">
        <f>AJ76+AK76</f>
        <v>518</v>
      </c>
      <c r="AJ76" s="1399">
        <v>48</v>
      </c>
      <c r="AK76" s="1399">
        <v>470</v>
      </c>
      <c r="AL76" s="1169"/>
      <c r="AM76" s="1169">
        <f t="shared" si="122"/>
        <v>518</v>
      </c>
      <c r="AN76" s="1169"/>
      <c r="AO76" s="1169">
        <f>AI76*100%</f>
        <v>518</v>
      </c>
      <c r="AP76" s="1182">
        <v>660</v>
      </c>
      <c r="AQ76" s="1200">
        <f t="shared" si="148"/>
        <v>660</v>
      </c>
      <c r="AR76" s="1169">
        <v>110</v>
      </c>
      <c r="AS76" s="1169">
        <v>550</v>
      </c>
      <c r="AT76" s="1169"/>
      <c r="AU76" s="1169">
        <f t="shared" si="123"/>
        <v>660</v>
      </c>
      <c r="AV76" s="1169"/>
      <c r="AW76" s="1169">
        <f>AQ76*100%</f>
        <v>660</v>
      </c>
      <c r="AX76" s="1182">
        <v>309</v>
      </c>
      <c r="AY76" s="1200">
        <f>AZ76+BA76</f>
        <v>319</v>
      </c>
      <c r="AZ76" s="1169">
        <v>59</v>
      </c>
      <c r="BA76" s="1169">
        <v>260</v>
      </c>
      <c r="BB76" s="1169"/>
      <c r="BC76" s="1169">
        <f t="shared" si="124"/>
        <v>319</v>
      </c>
      <c r="BD76" s="1169"/>
      <c r="BE76" s="1169">
        <f>AY76*100%</f>
        <v>319</v>
      </c>
      <c r="BF76" s="1182">
        <v>345</v>
      </c>
      <c r="BG76" s="1200">
        <f>BH76+BI76</f>
        <v>365</v>
      </c>
      <c r="BH76" s="1169">
        <v>55</v>
      </c>
      <c r="BI76" s="1169">
        <v>310</v>
      </c>
      <c r="BJ76" s="1169"/>
      <c r="BK76" s="1169">
        <f t="shared" si="125"/>
        <v>365</v>
      </c>
      <c r="BL76" s="1169"/>
      <c r="BM76" s="1169">
        <f>BG76*100%</f>
        <v>365</v>
      </c>
      <c r="BN76" s="1182">
        <v>125</v>
      </c>
      <c r="BO76" s="1200">
        <f>BP76+BQ76</f>
        <v>150</v>
      </c>
      <c r="BP76" s="1169">
        <v>55</v>
      </c>
      <c r="BQ76" s="1169">
        <v>95</v>
      </c>
      <c r="BR76" s="1169"/>
      <c r="BS76" s="1169">
        <f t="shared" si="126"/>
        <v>150</v>
      </c>
      <c r="BT76" s="1169"/>
      <c r="BU76" s="1169">
        <f>BO76*100%</f>
        <v>150</v>
      </c>
      <c r="BV76" s="1182">
        <v>183</v>
      </c>
      <c r="BW76" s="1200">
        <f>BX76+BY76</f>
        <v>128</v>
      </c>
      <c r="BX76" s="1169">
        <v>38</v>
      </c>
      <c r="BY76" s="1169">
        <v>90</v>
      </c>
      <c r="BZ76" s="1169"/>
      <c r="CA76" s="1169">
        <f t="shared" si="127"/>
        <v>128</v>
      </c>
      <c r="CB76" s="1169"/>
      <c r="CC76" s="1169">
        <f>BW76*100%</f>
        <v>128</v>
      </c>
      <c r="CD76" s="1182">
        <v>404</v>
      </c>
      <c r="CE76" s="1200">
        <f>CF76+CG76</f>
        <v>389</v>
      </c>
      <c r="CF76" s="1169">
        <v>169</v>
      </c>
      <c r="CG76" s="1169">
        <v>220</v>
      </c>
      <c r="CH76" s="1169"/>
      <c r="CI76" s="1169">
        <f t="shared" si="128"/>
        <v>389</v>
      </c>
      <c r="CJ76" s="1169"/>
      <c r="CK76" s="1169">
        <f>CE76*100%</f>
        <v>389</v>
      </c>
      <c r="CL76" s="1182">
        <v>190</v>
      </c>
      <c r="CM76" s="1200">
        <f>CN76+CO76</f>
        <v>180</v>
      </c>
      <c r="CN76" s="1169">
        <v>40</v>
      </c>
      <c r="CO76" s="1169">
        <v>140</v>
      </c>
      <c r="CP76" s="1169"/>
      <c r="CQ76" s="1169">
        <f t="shared" si="129"/>
        <v>180</v>
      </c>
      <c r="CR76" s="1169"/>
      <c r="CS76" s="1169">
        <f>CM76*100%</f>
        <v>180</v>
      </c>
      <c r="CZ76" s="1124"/>
      <c r="DA76" s="1124"/>
      <c r="DB76" s="1124"/>
      <c r="DC76" s="1124"/>
      <c r="DD76" s="1124"/>
    </row>
    <row r="77" spans="1:108" ht="16.5" customHeight="1">
      <c r="A77" s="1183" t="s">
        <v>23</v>
      </c>
      <c r="B77" s="1184" t="s">
        <v>415</v>
      </c>
      <c r="C77" s="1180" t="s">
        <v>564</v>
      </c>
      <c r="D77" s="1185"/>
      <c r="E77" s="1185"/>
      <c r="F77" s="1185">
        <v>1</v>
      </c>
      <c r="G77" s="1185">
        <v>1</v>
      </c>
      <c r="H77" s="1169">
        <f>IF(E77=0,P77/L77*100,IF(K77=0,0,P77/K77*100))</f>
        <v>100</v>
      </c>
      <c r="I77" s="1169">
        <f>R77+Z77+AH77+AP77+AX77+BF77+BN77+BV77+CD77+CL77</f>
        <v>31036</v>
      </c>
      <c r="J77" s="1195"/>
      <c r="K77" s="1169">
        <f t="shared" si="147"/>
        <v>31871</v>
      </c>
      <c r="L77" s="1169">
        <f t="shared" si="147"/>
        <v>23456</v>
      </c>
      <c r="M77" s="1169">
        <f t="shared" si="147"/>
        <v>8415</v>
      </c>
      <c r="N77" s="1169"/>
      <c r="O77" s="1169">
        <f>K77-N77</f>
        <v>31871</v>
      </c>
      <c r="P77" s="1169">
        <f>O77-Q77</f>
        <v>23456</v>
      </c>
      <c r="Q77" s="1169">
        <f>Y77+AG77+AO77+AW77+BE77+BM77+BU77+CC77+CK77+CS77</f>
        <v>8415</v>
      </c>
      <c r="R77" s="1186">
        <v>14418</v>
      </c>
      <c r="S77" s="1200">
        <f t="shared" si="144"/>
        <v>13828</v>
      </c>
      <c r="T77" s="1200">
        <f>T74-T75-T76</f>
        <v>9828</v>
      </c>
      <c r="U77" s="1200">
        <f>U74-U75-U76</f>
        <v>4000</v>
      </c>
      <c r="V77" s="1169"/>
      <c r="W77" s="1169">
        <f>X77+Y77</f>
        <v>13828</v>
      </c>
      <c r="X77" s="1169">
        <f>T77</f>
        <v>9828</v>
      </c>
      <c r="Y77" s="1169">
        <f>U77</f>
        <v>4000</v>
      </c>
      <c r="Z77" s="1182">
        <v>1390</v>
      </c>
      <c r="AA77" s="1200">
        <f>AB77+AC77</f>
        <v>1105</v>
      </c>
      <c r="AB77" s="1200">
        <f>AB74-AB75-AB76</f>
        <v>35</v>
      </c>
      <c r="AC77" s="1200">
        <f>AC74-AC75-AC76</f>
        <v>1070</v>
      </c>
      <c r="AD77" s="1169"/>
      <c r="AE77" s="1169">
        <f t="shared" si="121"/>
        <v>1105</v>
      </c>
      <c r="AF77" s="1169">
        <f>AB77</f>
        <v>35</v>
      </c>
      <c r="AG77" s="1169">
        <f>AC77</f>
        <v>1070</v>
      </c>
      <c r="AH77" s="1182">
        <v>730</v>
      </c>
      <c r="AI77" s="1403">
        <f>AJ77+AK77</f>
        <v>630</v>
      </c>
      <c r="AJ77" s="1403">
        <f>AJ74-AJ75-AJ76</f>
        <v>0</v>
      </c>
      <c r="AK77" s="1403">
        <f>AK74-AK75-AK76</f>
        <v>630</v>
      </c>
      <c r="AL77" s="1169"/>
      <c r="AM77" s="1169">
        <f t="shared" si="122"/>
        <v>630</v>
      </c>
      <c r="AN77" s="1169">
        <f>AJ77</f>
        <v>0</v>
      </c>
      <c r="AO77" s="1169">
        <f>AK77</f>
        <v>630</v>
      </c>
      <c r="AP77" s="1182">
        <v>12800</v>
      </c>
      <c r="AQ77" s="1200">
        <f t="shared" si="148"/>
        <v>15070</v>
      </c>
      <c r="AR77" s="1200">
        <f>AR74-AR75-AR76</f>
        <v>13570</v>
      </c>
      <c r="AS77" s="1200">
        <f>AS74-AS75-AS76</f>
        <v>1500</v>
      </c>
      <c r="AT77" s="1169"/>
      <c r="AU77" s="1169">
        <f t="shared" si="123"/>
        <v>15070</v>
      </c>
      <c r="AV77" s="1169">
        <f>AR77</f>
        <v>13570</v>
      </c>
      <c r="AW77" s="1169">
        <f>AS77</f>
        <v>1500</v>
      </c>
      <c r="AX77" s="1182">
        <v>290</v>
      </c>
      <c r="AY77" s="1200">
        <f>AZ77+BA77</f>
        <v>420</v>
      </c>
      <c r="AZ77" s="1200">
        <f>AZ74-AZ75-AZ76</f>
        <v>0</v>
      </c>
      <c r="BA77" s="1200">
        <f>BA74-BA75-BA76</f>
        <v>420</v>
      </c>
      <c r="BB77" s="1169"/>
      <c r="BC77" s="1169">
        <f t="shared" si="124"/>
        <v>420</v>
      </c>
      <c r="BD77" s="1169">
        <f>AZ77</f>
        <v>0</v>
      </c>
      <c r="BE77" s="1169">
        <f>BA77</f>
        <v>420</v>
      </c>
      <c r="BF77" s="1182">
        <v>500</v>
      </c>
      <c r="BG77" s="1200">
        <f>BH77+BI77</f>
        <v>430</v>
      </c>
      <c r="BH77" s="1200">
        <f>BH74-BH75-BH76</f>
        <v>0</v>
      </c>
      <c r="BI77" s="1200">
        <f>BI74-BI75-BI76</f>
        <v>430</v>
      </c>
      <c r="BJ77" s="1169"/>
      <c r="BK77" s="1169">
        <f t="shared" si="125"/>
        <v>430</v>
      </c>
      <c r="BL77" s="1169">
        <f>BH77</f>
        <v>0</v>
      </c>
      <c r="BM77" s="1169">
        <f>BI77</f>
        <v>430</v>
      </c>
      <c r="BN77" s="1182">
        <v>138</v>
      </c>
      <c r="BO77" s="1200">
        <f>BP77+BQ77</f>
        <v>138</v>
      </c>
      <c r="BP77" s="1200">
        <f>BP74-BP75-BP76</f>
        <v>23</v>
      </c>
      <c r="BQ77" s="1200">
        <f>BQ74-BQ75-BQ76</f>
        <v>115</v>
      </c>
      <c r="BR77" s="1169"/>
      <c r="BS77" s="1169">
        <f t="shared" si="126"/>
        <v>138</v>
      </c>
      <c r="BT77" s="1169">
        <f>BP77</f>
        <v>23</v>
      </c>
      <c r="BU77" s="1169">
        <f>BQ77</f>
        <v>115</v>
      </c>
      <c r="BV77" s="1182">
        <v>235</v>
      </c>
      <c r="BW77" s="1200">
        <f>BX77+BY77</f>
        <v>0</v>
      </c>
      <c r="BX77" s="1200">
        <f>BX74-BX75-BX76</f>
        <v>0</v>
      </c>
      <c r="BY77" s="1200">
        <f>BY74-BY75-BY76</f>
        <v>0</v>
      </c>
      <c r="BZ77" s="1169"/>
      <c r="CA77" s="1169">
        <f t="shared" si="127"/>
        <v>0</v>
      </c>
      <c r="CB77" s="1169">
        <f>BX77</f>
        <v>0</v>
      </c>
      <c r="CC77" s="1169">
        <f>BY77</f>
        <v>0</v>
      </c>
      <c r="CD77" s="1182">
        <v>420</v>
      </c>
      <c r="CE77" s="1200">
        <f>CF77+CG77</f>
        <v>160</v>
      </c>
      <c r="CF77" s="1200">
        <f>CF74-CF75-CF76</f>
        <v>0</v>
      </c>
      <c r="CG77" s="1200">
        <f>CG74-CG75-CG76</f>
        <v>160</v>
      </c>
      <c r="CH77" s="1169"/>
      <c r="CI77" s="1169">
        <f t="shared" si="128"/>
        <v>160</v>
      </c>
      <c r="CJ77" s="1169">
        <f>CF77</f>
        <v>0</v>
      </c>
      <c r="CK77" s="1169">
        <f>CG77</f>
        <v>160</v>
      </c>
      <c r="CL77" s="1182">
        <v>115</v>
      </c>
      <c r="CM77" s="1200">
        <f>CN77+CO77</f>
        <v>90</v>
      </c>
      <c r="CN77" s="1200">
        <f>CN74-CN75-CN76</f>
        <v>0</v>
      </c>
      <c r="CO77" s="1200">
        <f>CO74-CO75-CO76</f>
        <v>90</v>
      </c>
      <c r="CP77" s="1169"/>
      <c r="CQ77" s="1169">
        <f t="shared" si="129"/>
        <v>90</v>
      </c>
      <c r="CR77" s="1169">
        <f>CN77</f>
        <v>0</v>
      </c>
      <c r="CS77" s="1169">
        <f>CO77</f>
        <v>90</v>
      </c>
      <c r="CZ77" s="1124"/>
      <c r="DA77" s="1124"/>
      <c r="DB77" s="1124"/>
      <c r="DC77" s="1124"/>
      <c r="DD77" s="1124"/>
    </row>
    <row r="78" spans="1:108" ht="41.25" customHeight="1">
      <c r="A78" s="1183"/>
      <c r="B78" s="1184" t="s">
        <v>565</v>
      </c>
      <c r="C78" s="1184" t="s">
        <v>566</v>
      </c>
      <c r="D78" s="1185"/>
      <c r="E78" s="1185"/>
      <c r="F78" s="1185"/>
      <c r="G78" s="1185"/>
      <c r="H78" s="1169"/>
      <c r="I78" s="1169">
        <f>R78+Z78+AH78+AP78+AX78+BF78+BN78+BV78+CD78+CL78</f>
        <v>12000</v>
      </c>
      <c r="J78" s="1195">
        <v>12500</v>
      </c>
      <c r="K78" s="1169">
        <f>S78+AA78+AI78+AQ78+AY78+BG78+BO78+BW78+CE78+CM78</f>
        <v>12500</v>
      </c>
      <c r="L78" s="1169">
        <f t="shared" si="147"/>
        <v>12500</v>
      </c>
      <c r="M78" s="1169">
        <f t="shared" si="147"/>
        <v>0</v>
      </c>
      <c r="N78" s="1169"/>
      <c r="O78" s="1169">
        <f>K78-N78</f>
        <v>12500</v>
      </c>
      <c r="P78" s="1169">
        <f>O78-Q78</f>
        <v>12500</v>
      </c>
      <c r="Q78" s="1169">
        <f>Y78+AG78+AO78+AW78+BE78+BM78+BU78+CC78+CK78+CS78</f>
        <v>0</v>
      </c>
      <c r="R78" s="1186">
        <v>0</v>
      </c>
      <c r="S78" s="1200">
        <f t="shared" si="144"/>
        <v>0</v>
      </c>
      <c r="T78" s="1169">
        <v>0</v>
      </c>
      <c r="U78" s="1169">
        <v>0</v>
      </c>
      <c r="V78" s="1169"/>
      <c r="W78" s="1169"/>
      <c r="X78" s="1169"/>
      <c r="Y78" s="1169"/>
      <c r="Z78" s="1182"/>
      <c r="AA78" s="1200"/>
      <c r="AB78" s="1169">
        <v>0</v>
      </c>
      <c r="AC78" s="1169">
        <v>0</v>
      </c>
      <c r="AD78" s="1169"/>
      <c r="AE78" s="1169"/>
      <c r="AF78" s="1169"/>
      <c r="AG78" s="1169"/>
      <c r="AH78" s="1182"/>
      <c r="AI78" s="1403"/>
      <c r="AJ78" s="1399">
        <v>0</v>
      </c>
      <c r="AK78" s="1399">
        <v>0</v>
      </c>
      <c r="AL78" s="1169"/>
      <c r="AM78" s="1169"/>
      <c r="AN78" s="1169"/>
      <c r="AO78" s="1169"/>
      <c r="AP78" s="1182">
        <v>12000</v>
      </c>
      <c r="AQ78" s="1200">
        <f t="shared" si="148"/>
        <v>12500</v>
      </c>
      <c r="AR78" s="1169">
        <v>12500</v>
      </c>
      <c r="AS78" s="1169">
        <v>0</v>
      </c>
      <c r="AT78" s="1169"/>
      <c r="AU78" s="1169">
        <f t="shared" si="123"/>
        <v>12500</v>
      </c>
      <c r="AV78" s="1169">
        <f>AQ78*100%</f>
        <v>12500</v>
      </c>
      <c r="AW78" s="1169"/>
      <c r="AX78" s="1182"/>
      <c r="AY78" s="1200"/>
      <c r="AZ78" s="1169">
        <v>0</v>
      </c>
      <c r="BA78" s="1169">
        <v>0</v>
      </c>
      <c r="BB78" s="1169"/>
      <c r="BC78" s="1169"/>
      <c r="BD78" s="1169"/>
      <c r="BE78" s="1169"/>
      <c r="BF78" s="1182"/>
      <c r="BG78" s="1200"/>
      <c r="BH78" s="1169">
        <v>0</v>
      </c>
      <c r="BI78" s="1169">
        <v>0</v>
      </c>
      <c r="BJ78" s="1169"/>
      <c r="BK78" s="1169"/>
      <c r="BL78" s="1169"/>
      <c r="BM78" s="1169"/>
      <c r="BN78" s="1182"/>
      <c r="BO78" s="1200"/>
      <c r="BP78" s="1169">
        <v>0</v>
      </c>
      <c r="BQ78" s="1169">
        <v>0</v>
      </c>
      <c r="BR78" s="1169"/>
      <c r="BS78" s="1169"/>
      <c r="BT78" s="1169"/>
      <c r="BU78" s="1169"/>
      <c r="BV78" s="1182"/>
      <c r="BW78" s="1200"/>
      <c r="BX78" s="1169">
        <v>0</v>
      </c>
      <c r="BY78" s="1169">
        <v>0</v>
      </c>
      <c r="BZ78" s="1169"/>
      <c r="CA78" s="1169"/>
      <c r="CB78" s="1169"/>
      <c r="CC78" s="1169"/>
      <c r="CD78" s="1182"/>
      <c r="CE78" s="1200"/>
      <c r="CF78" s="1169">
        <v>0</v>
      </c>
      <c r="CG78" s="1169">
        <v>0</v>
      </c>
      <c r="CH78" s="1169"/>
      <c r="CI78" s="1169"/>
      <c r="CJ78" s="1169"/>
      <c r="CK78" s="1169"/>
      <c r="CL78" s="1182"/>
      <c r="CM78" s="1200"/>
      <c r="CN78" s="1169">
        <v>0</v>
      </c>
      <c r="CO78" s="1169">
        <v>0</v>
      </c>
      <c r="CP78" s="1169"/>
      <c r="CQ78" s="1169"/>
      <c r="CR78" s="1169"/>
      <c r="CS78" s="1169"/>
      <c r="CZ78" s="1124"/>
      <c r="DA78" s="1124"/>
      <c r="DB78" s="1124"/>
      <c r="DC78" s="1124"/>
      <c r="DD78" s="1124"/>
    </row>
    <row r="79" spans="1:108" ht="27.6">
      <c r="A79" s="1183"/>
      <c r="B79" s="1184" t="s">
        <v>1578</v>
      </c>
      <c r="C79" s="1184" t="s">
        <v>1579</v>
      </c>
      <c r="D79" s="1185"/>
      <c r="E79" s="1185"/>
      <c r="F79" s="1185">
        <v>1</v>
      </c>
      <c r="G79" s="1185">
        <v>1</v>
      </c>
      <c r="H79" s="1169">
        <f>IF(E79=0,P79/L79*100,IF(K79=0,0,P79/K79*100))</f>
        <v>100.58479532163742</v>
      </c>
      <c r="I79" s="1169">
        <f>R79+Z79+AH79+AP79+AX79+BF79+BN79+BV79+CD79+CL79</f>
        <v>3500</v>
      </c>
      <c r="J79" s="1195"/>
      <c r="K79" s="1169">
        <f t="shared" ref="K79" si="149">S79+AA79+AI79+AQ79+AY79+BG79+BO79+BW79+CE79+CM79</f>
        <v>3600</v>
      </c>
      <c r="L79" s="1169">
        <f>T79+AB79+AJ79+AR79+AZ79+BH79+BP79+BX79+CF79+CN79</f>
        <v>3420</v>
      </c>
      <c r="M79" s="1169">
        <f t="shared" si="147"/>
        <v>180</v>
      </c>
      <c r="N79" s="1169"/>
      <c r="O79" s="1169">
        <f>K79-N79</f>
        <v>3600</v>
      </c>
      <c r="P79" s="1169">
        <f>O79-Q79</f>
        <v>3440</v>
      </c>
      <c r="Q79" s="1169">
        <f>Y79+AG79+AO79+AW79+BE79+BM79+BU79+CC79+CK79+CS79</f>
        <v>160</v>
      </c>
      <c r="R79" s="1169">
        <v>3025</v>
      </c>
      <c r="S79" s="1200">
        <f t="shared" si="144"/>
        <v>3140</v>
      </c>
      <c r="T79" s="1169">
        <v>3140</v>
      </c>
      <c r="U79" s="1169">
        <v>0</v>
      </c>
      <c r="V79" s="1169"/>
      <c r="W79" s="1169">
        <f>X79+Y79</f>
        <v>3140</v>
      </c>
      <c r="X79" s="1169">
        <f>S79*100%</f>
        <v>3140</v>
      </c>
      <c r="Y79" s="1169"/>
      <c r="Z79" s="1182">
        <v>100</v>
      </c>
      <c r="AA79" s="1200">
        <f>AB79+AC79</f>
        <v>20</v>
      </c>
      <c r="AB79" s="1169">
        <v>0</v>
      </c>
      <c r="AC79" s="1169">
        <v>20</v>
      </c>
      <c r="AD79" s="1169"/>
      <c r="AE79" s="1169">
        <f t="shared" ref="AE79" si="150">AF79+AG79</f>
        <v>20</v>
      </c>
      <c r="AF79" s="1169"/>
      <c r="AG79" s="1169">
        <f>AA79*100%</f>
        <v>20</v>
      </c>
      <c r="AH79" s="1182">
        <v>5</v>
      </c>
      <c r="AI79" s="1403">
        <f>AJ79+AK79</f>
        <v>0</v>
      </c>
      <c r="AJ79" s="1399">
        <v>0</v>
      </c>
      <c r="AK79" s="1399">
        <v>0</v>
      </c>
      <c r="AL79" s="1169"/>
      <c r="AM79" s="1169">
        <f t="shared" ref="AM79" si="151">AN79+AO79</f>
        <v>0</v>
      </c>
      <c r="AN79" s="1169"/>
      <c r="AO79" s="1169">
        <f>AI79*100%</f>
        <v>0</v>
      </c>
      <c r="AP79" s="1182">
        <v>200</v>
      </c>
      <c r="AQ79" s="1200">
        <f t="shared" si="148"/>
        <v>300</v>
      </c>
      <c r="AR79" s="1169">
        <v>280</v>
      </c>
      <c r="AS79" s="1169">
        <v>20</v>
      </c>
      <c r="AT79" s="1169"/>
      <c r="AU79" s="1169">
        <f t="shared" si="123"/>
        <v>300</v>
      </c>
      <c r="AV79" s="1169">
        <f>AQ79*100%</f>
        <v>300</v>
      </c>
      <c r="AW79" s="1169"/>
      <c r="AX79" s="1182">
        <v>50</v>
      </c>
      <c r="AY79" s="1200">
        <f>AZ79+BA79</f>
        <v>20</v>
      </c>
      <c r="AZ79" s="1169">
        <v>0</v>
      </c>
      <c r="BA79" s="1169">
        <v>20</v>
      </c>
      <c r="BB79" s="1169"/>
      <c r="BC79" s="1169">
        <f t="shared" ref="BC79" si="152">BD79+BE79</f>
        <v>20</v>
      </c>
      <c r="BD79" s="1169"/>
      <c r="BE79" s="1169">
        <f>AY79*100%</f>
        <v>20</v>
      </c>
      <c r="BF79" s="1182">
        <v>0</v>
      </c>
      <c r="BG79" s="1200">
        <f>BH79+BI79</f>
        <v>0</v>
      </c>
      <c r="BH79" s="1169">
        <v>0</v>
      </c>
      <c r="BI79" s="1169">
        <v>0</v>
      </c>
      <c r="BJ79" s="1169"/>
      <c r="BK79" s="1169">
        <f t="shared" ref="BK79" si="153">BL79+BM79</f>
        <v>0</v>
      </c>
      <c r="BL79" s="1169"/>
      <c r="BM79" s="1169">
        <f>BG79*100%</f>
        <v>0</v>
      </c>
      <c r="BN79" s="1182">
        <v>0</v>
      </c>
      <c r="BO79" s="1200">
        <f>BP79+BQ79</f>
        <v>0</v>
      </c>
      <c r="BP79" s="1169">
        <v>0</v>
      </c>
      <c r="BQ79" s="1169">
        <v>0</v>
      </c>
      <c r="BR79" s="1169"/>
      <c r="BS79" s="1169">
        <f t="shared" ref="BS79" si="154">BT79+BU79</f>
        <v>0</v>
      </c>
      <c r="BT79" s="1169"/>
      <c r="BU79" s="1169">
        <f>BO79*100%</f>
        <v>0</v>
      </c>
      <c r="BV79" s="1182">
        <v>0</v>
      </c>
      <c r="BW79" s="1200">
        <f>BX79+BY79</f>
        <v>0</v>
      </c>
      <c r="BX79" s="1169">
        <v>0</v>
      </c>
      <c r="BY79" s="1169">
        <v>0</v>
      </c>
      <c r="BZ79" s="1169"/>
      <c r="CA79" s="1169">
        <f t="shared" ref="CA79" si="155">CB79+CC79</f>
        <v>0</v>
      </c>
      <c r="CB79" s="1169"/>
      <c r="CC79" s="1169">
        <f>BW79*100%</f>
        <v>0</v>
      </c>
      <c r="CD79" s="1182">
        <v>120</v>
      </c>
      <c r="CE79" s="1200">
        <f>CF79+CG79</f>
        <v>120</v>
      </c>
      <c r="CF79" s="1169">
        <v>0</v>
      </c>
      <c r="CG79" s="1169">
        <v>120</v>
      </c>
      <c r="CH79" s="1169"/>
      <c r="CI79" s="1169">
        <f t="shared" ref="CI79" si="156">CJ79+CK79</f>
        <v>120</v>
      </c>
      <c r="CJ79" s="1169"/>
      <c r="CK79" s="1169">
        <f>CE79*100%</f>
        <v>120</v>
      </c>
      <c r="CL79" s="1182">
        <v>0</v>
      </c>
      <c r="CM79" s="1200">
        <f>CN79+CO79</f>
        <v>0</v>
      </c>
      <c r="CN79" s="1169">
        <v>0</v>
      </c>
      <c r="CO79" s="1169">
        <v>0</v>
      </c>
      <c r="CP79" s="1169"/>
      <c r="CQ79" s="1169">
        <f t="shared" ref="CQ79" si="157">CR79+CS79</f>
        <v>0</v>
      </c>
      <c r="CR79" s="1169"/>
      <c r="CS79" s="1169">
        <f>CM79*100%</f>
        <v>0</v>
      </c>
      <c r="CZ79" s="1124"/>
      <c r="DA79" s="1124"/>
      <c r="DB79" s="1124"/>
      <c r="DC79" s="1124"/>
      <c r="DD79" s="1124"/>
    </row>
    <row r="80" spans="1:108" s="1123" customFormat="1" ht="16.5" customHeight="1">
      <c r="A80" s="1179" t="s">
        <v>80</v>
      </c>
      <c r="B80" s="1180" t="s">
        <v>418</v>
      </c>
      <c r="C80" s="1180" t="s">
        <v>567</v>
      </c>
      <c r="D80" s="1156"/>
      <c r="E80" s="1156"/>
      <c r="F80" s="1156"/>
      <c r="G80" s="1156"/>
      <c r="H80" s="1157"/>
      <c r="I80" s="1157">
        <f>I81+I82</f>
        <v>400000</v>
      </c>
      <c r="J80" s="1198">
        <v>400000</v>
      </c>
      <c r="K80" s="1157">
        <f>K81+K82</f>
        <v>400000</v>
      </c>
      <c r="L80" s="1157">
        <f>L81+L82</f>
        <v>0</v>
      </c>
      <c r="M80" s="1157">
        <f>M81+M82</f>
        <v>400000</v>
      </c>
      <c r="N80" s="1157"/>
      <c r="O80" s="1157">
        <f>O81+O82</f>
        <v>400000</v>
      </c>
      <c r="P80" s="1157">
        <f>P81+P82</f>
        <v>48000</v>
      </c>
      <c r="Q80" s="1157">
        <f>Q81+Q82</f>
        <v>352000</v>
      </c>
      <c r="R80" s="1157">
        <v>194350</v>
      </c>
      <c r="S80" s="1199">
        <f>T80+U80</f>
        <v>200400</v>
      </c>
      <c r="T80" s="1157">
        <v>0</v>
      </c>
      <c r="U80" s="1157">
        <v>200400</v>
      </c>
      <c r="V80" s="1157">
        <f>V81+V82</f>
        <v>0</v>
      </c>
      <c r="W80" s="1157">
        <f>W81+W82</f>
        <v>200400</v>
      </c>
      <c r="X80" s="1157">
        <f>X81+X82</f>
        <v>24048</v>
      </c>
      <c r="Y80" s="1157">
        <f>Y81+Y82</f>
        <v>176352</v>
      </c>
      <c r="Z80" s="1182">
        <v>23000</v>
      </c>
      <c r="AA80" s="1199">
        <f>AB80+AC80</f>
        <v>20000</v>
      </c>
      <c r="AB80" s="1157">
        <v>0</v>
      </c>
      <c r="AC80" s="1157">
        <v>20000</v>
      </c>
      <c r="AD80" s="1157">
        <f>AD81+AD82</f>
        <v>0</v>
      </c>
      <c r="AE80" s="1157">
        <f>AE81+AE82</f>
        <v>20000</v>
      </c>
      <c r="AF80" s="1157">
        <f>AF81+AF82</f>
        <v>2400</v>
      </c>
      <c r="AG80" s="1157">
        <f>AG81+AG82</f>
        <v>17600</v>
      </c>
      <c r="AH80" s="1182">
        <v>15000</v>
      </c>
      <c r="AI80" s="1401">
        <f>AJ80+AK80</f>
        <v>15000</v>
      </c>
      <c r="AJ80" s="1402">
        <v>0</v>
      </c>
      <c r="AK80" s="1402">
        <v>15000</v>
      </c>
      <c r="AL80" s="1157">
        <f>AL81+AL82</f>
        <v>0</v>
      </c>
      <c r="AM80" s="1157">
        <f>AM81+AM82</f>
        <v>15000</v>
      </c>
      <c r="AN80" s="1157">
        <f>AN81+AN82</f>
        <v>1800</v>
      </c>
      <c r="AO80" s="1157">
        <f>AO81+AO82</f>
        <v>13200</v>
      </c>
      <c r="AP80" s="1182">
        <v>27000</v>
      </c>
      <c r="AQ80" s="1199">
        <f t="shared" si="148"/>
        <v>25000</v>
      </c>
      <c r="AR80" s="1157">
        <v>0</v>
      </c>
      <c r="AS80" s="1157">
        <v>25000</v>
      </c>
      <c r="AT80" s="1157">
        <f>AT81+AT82</f>
        <v>0</v>
      </c>
      <c r="AU80" s="1157">
        <f>AU81+AU82</f>
        <v>25000</v>
      </c>
      <c r="AV80" s="1157">
        <f>AV81+AV82</f>
        <v>3000</v>
      </c>
      <c r="AW80" s="1157">
        <f>AW81+AW82</f>
        <v>22000</v>
      </c>
      <c r="AX80" s="1182">
        <v>9000</v>
      </c>
      <c r="AY80" s="1199">
        <f t="shared" ref="AY80:AY87" si="158">AZ80+BA80</f>
        <v>9000</v>
      </c>
      <c r="AZ80" s="1157">
        <v>0</v>
      </c>
      <c r="BA80" s="1157">
        <v>9000</v>
      </c>
      <c r="BB80" s="1157">
        <f>BB81+BB82</f>
        <v>0</v>
      </c>
      <c r="BC80" s="1157">
        <f>BC81+BC82</f>
        <v>9000</v>
      </c>
      <c r="BD80" s="1157">
        <f>BD81+BD82</f>
        <v>1080</v>
      </c>
      <c r="BE80" s="1157">
        <f>BE81+BE82</f>
        <v>7920</v>
      </c>
      <c r="BF80" s="1182">
        <v>20000</v>
      </c>
      <c r="BG80" s="1199">
        <f t="shared" ref="BG80:BG87" si="159">BH80+BI80</f>
        <v>25000</v>
      </c>
      <c r="BH80" s="1157">
        <v>0</v>
      </c>
      <c r="BI80" s="1157">
        <v>25000</v>
      </c>
      <c r="BJ80" s="1157">
        <f>BJ81+BJ82</f>
        <v>0</v>
      </c>
      <c r="BK80" s="1157">
        <f>BK81+BK82</f>
        <v>25000</v>
      </c>
      <c r="BL80" s="1157">
        <f>BL81+BL82</f>
        <v>3000</v>
      </c>
      <c r="BM80" s="1157">
        <f>BM81+BM82</f>
        <v>22000</v>
      </c>
      <c r="BN80" s="1182">
        <v>10000</v>
      </c>
      <c r="BO80" s="1199">
        <f t="shared" ref="BO80:BO87" si="160">BP80+BQ80</f>
        <v>5000</v>
      </c>
      <c r="BP80" s="1157">
        <v>0</v>
      </c>
      <c r="BQ80" s="1157">
        <v>5000</v>
      </c>
      <c r="BR80" s="1157">
        <f>BR81+BR82</f>
        <v>0</v>
      </c>
      <c r="BS80" s="1157">
        <f>BS81+BS82</f>
        <v>5000</v>
      </c>
      <c r="BT80" s="1157">
        <f>BT81+BT82</f>
        <v>600</v>
      </c>
      <c r="BU80" s="1157">
        <f>BU81+BU82</f>
        <v>4400</v>
      </c>
      <c r="BV80" s="1182">
        <v>500</v>
      </c>
      <c r="BW80" s="1199">
        <f t="shared" ref="BW80:BW87" si="161">BX80+BY80</f>
        <v>500</v>
      </c>
      <c r="BX80" s="1157">
        <v>0</v>
      </c>
      <c r="BY80" s="1157">
        <v>500</v>
      </c>
      <c r="BZ80" s="1157">
        <f>BZ81+BZ82</f>
        <v>0</v>
      </c>
      <c r="CA80" s="1157">
        <f>CA81+CA82</f>
        <v>500</v>
      </c>
      <c r="CB80" s="1157">
        <f>CB81+CB82</f>
        <v>60</v>
      </c>
      <c r="CC80" s="1157">
        <f>CC81+CC82</f>
        <v>440</v>
      </c>
      <c r="CD80" s="1182">
        <v>100000</v>
      </c>
      <c r="CE80" s="1199">
        <f t="shared" ref="CE80:CE87" si="162">CF80+CG80</f>
        <v>100000</v>
      </c>
      <c r="CF80" s="1157">
        <v>0</v>
      </c>
      <c r="CG80" s="1157">
        <v>100000</v>
      </c>
      <c r="CH80" s="1157">
        <f>CH81+CH82</f>
        <v>0</v>
      </c>
      <c r="CI80" s="1157">
        <f>CI81+CI82</f>
        <v>100000</v>
      </c>
      <c r="CJ80" s="1157">
        <f>CJ81+CJ82</f>
        <v>12000</v>
      </c>
      <c r="CK80" s="1157">
        <f>CK81+CK82</f>
        <v>88000</v>
      </c>
      <c r="CL80" s="1182">
        <v>1150</v>
      </c>
      <c r="CM80" s="1199">
        <f t="shared" ref="CM80:CM87" si="163">CN80+CO80</f>
        <v>100</v>
      </c>
      <c r="CN80" s="1157">
        <v>0</v>
      </c>
      <c r="CO80" s="1157">
        <v>100</v>
      </c>
      <c r="CP80" s="1157">
        <f>CP81+CP82</f>
        <v>0</v>
      </c>
      <c r="CQ80" s="1157">
        <f>CQ81+CQ82</f>
        <v>100</v>
      </c>
      <c r="CR80" s="1157">
        <f>CR81+CR82</f>
        <v>12</v>
      </c>
      <c r="CS80" s="1157">
        <f>CS81+CS82</f>
        <v>88</v>
      </c>
      <c r="CT80" s="1124"/>
      <c r="CU80" s="1124"/>
      <c r="CV80" s="1153"/>
      <c r="CW80" s="1153"/>
      <c r="CX80" s="1153"/>
      <c r="CY80" s="1153"/>
      <c r="CZ80" s="1124"/>
      <c r="DA80" s="1124"/>
      <c r="DB80" s="1124"/>
      <c r="DC80" s="1124"/>
      <c r="DD80" s="1124"/>
    </row>
    <row r="81" spans="1:108" ht="21.75" customHeight="1">
      <c r="A81" s="1183" t="s">
        <v>23</v>
      </c>
      <c r="B81" s="1184" t="s">
        <v>568</v>
      </c>
      <c r="C81" s="1184" t="s">
        <v>569</v>
      </c>
      <c r="D81" s="1185"/>
      <c r="E81" s="1185">
        <f>F81+G81</f>
        <v>1</v>
      </c>
      <c r="F81" s="1185">
        <v>1</v>
      </c>
      <c r="G81" s="1185"/>
      <c r="H81" s="1169">
        <f>IF(E81=0,P81/L81*100,IF(K81=0,0,P81/K81*100))</f>
        <v>0</v>
      </c>
      <c r="I81" s="1169">
        <f>R81+Z81+AH81+AP81+AX81+BF81+BN81+BV81+CD81+CL81</f>
        <v>0</v>
      </c>
      <c r="J81" s="1169"/>
      <c r="K81" s="1169">
        <f t="shared" ref="K81:M82" si="164">S81+AA81+AI81+AQ81+AY81+BG81+BO81+BW81+CE81+CM81</f>
        <v>0</v>
      </c>
      <c r="L81" s="1169">
        <f t="shared" si="164"/>
        <v>0</v>
      </c>
      <c r="M81" s="1169">
        <f t="shared" si="164"/>
        <v>0</v>
      </c>
      <c r="N81" s="1169"/>
      <c r="O81" s="1169">
        <f>K81-N81</f>
        <v>0</v>
      </c>
      <c r="P81" s="1169">
        <f>O81-Q81</f>
        <v>0</v>
      </c>
      <c r="Q81" s="1169">
        <f>Y81+AG81+AO81+AW81+BE81+BM81+BU81+CC81+CK81+CS81</f>
        <v>0</v>
      </c>
      <c r="R81" s="1186">
        <v>0</v>
      </c>
      <c r="S81" s="1200">
        <f>T81+U81</f>
        <v>0</v>
      </c>
      <c r="T81" s="1200">
        <f>T80</f>
        <v>0</v>
      </c>
      <c r="U81" s="1200"/>
      <c r="V81" s="1169"/>
      <c r="W81" s="1169">
        <f>X81+Y81</f>
        <v>0</v>
      </c>
      <c r="X81" s="1169">
        <f>S81*100%</f>
        <v>0</v>
      </c>
      <c r="Y81" s="1169"/>
      <c r="Z81" s="1182">
        <v>0</v>
      </c>
      <c r="AA81" s="1200">
        <f t="shared" ref="AA81:AA87" si="165">AB81+AC81</f>
        <v>0</v>
      </c>
      <c r="AB81" s="1200">
        <f>Z81/Z80*AB80</f>
        <v>0</v>
      </c>
      <c r="AC81" s="1200">
        <f>Z81/Z80*AC80</f>
        <v>0</v>
      </c>
      <c r="AD81" s="1169"/>
      <c r="AE81" s="1169">
        <f>AF81+AG81</f>
        <v>0</v>
      </c>
      <c r="AF81" s="1169">
        <f>AA81*100%</f>
        <v>0</v>
      </c>
      <c r="AG81" s="1169"/>
      <c r="AH81" s="1182">
        <v>0</v>
      </c>
      <c r="AI81" s="1403">
        <f t="shared" ref="AI81:AI87" si="166">AJ81+AK81</f>
        <v>0</v>
      </c>
      <c r="AJ81" s="1403">
        <f>AH81/AH80*AJ80</f>
        <v>0</v>
      </c>
      <c r="AK81" s="1403">
        <f>AH81/AH80*AK80</f>
        <v>0</v>
      </c>
      <c r="AL81" s="1169"/>
      <c r="AM81" s="1169">
        <f>AN81+AO81</f>
        <v>0</v>
      </c>
      <c r="AN81" s="1169">
        <f>AI81*100%</f>
        <v>0</v>
      </c>
      <c r="AO81" s="1169"/>
      <c r="AP81" s="1182">
        <v>0</v>
      </c>
      <c r="AQ81" s="1200">
        <f t="shared" si="148"/>
        <v>0</v>
      </c>
      <c r="AR81" s="1200">
        <f>AP81/AP80*AR80</f>
        <v>0</v>
      </c>
      <c r="AS81" s="1200">
        <f>AP81/AP80*AS80</f>
        <v>0</v>
      </c>
      <c r="AT81" s="1169"/>
      <c r="AU81" s="1169">
        <f>AV81+AW81</f>
        <v>0</v>
      </c>
      <c r="AV81" s="1169">
        <f>AQ81*100%</f>
        <v>0</v>
      </c>
      <c r="AW81" s="1169"/>
      <c r="AX81" s="1182">
        <v>0</v>
      </c>
      <c r="AY81" s="1200">
        <f t="shared" si="158"/>
        <v>0</v>
      </c>
      <c r="AZ81" s="1200">
        <f>AX81/AX80*AZ80</f>
        <v>0</v>
      </c>
      <c r="BA81" s="1200">
        <f>AX81/AX80*BA80</f>
        <v>0</v>
      </c>
      <c r="BB81" s="1169"/>
      <c r="BC81" s="1169">
        <f>BD81+BE81</f>
        <v>0</v>
      </c>
      <c r="BD81" s="1169">
        <f>AY81*100%</f>
        <v>0</v>
      </c>
      <c r="BE81" s="1169"/>
      <c r="BF81" s="1182">
        <v>0</v>
      </c>
      <c r="BG81" s="1200">
        <f t="shared" si="159"/>
        <v>0</v>
      </c>
      <c r="BH81" s="1200">
        <f>BF81/BF80*BH80</f>
        <v>0</v>
      </c>
      <c r="BI81" s="1200">
        <f>BF81/BF80*BI80</f>
        <v>0</v>
      </c>
      <c r="BJ81" s="1169"/>
      <c r="BK81" s="1169">
        <f>BL81+BM81</f>
        <v>0</v>
      </c>
      <c r="BL81" s="1169">
        <f>BG81*100%</f>
        <v>0</v>
      </c>
      <c r="BM81" s="1169"/>
      <c r="BN81" s="1182">
        <v>0</v>
      </c>
      <c r="BO81" s="1200">
        <f t="shared" si="160"/>
        <v>0</v>
      </c>
      <c r="BP81" s="1200">
        <f>BN81/BN80*BP80</f>
        <v>0</v>
      </c>
      <c r="BQ81" s="1200">
        <f>BN81/BN80*BQ80</f>
        <v>0</v>
      </c>
      <c r="BR81" s="1169"/>
      <c r="BS81" s="1169">
        <f>BT81+BU81</f>
        <v>0</v>
      </c>
      <c r="BT81" s="1169">
        <f>BO81*100%</f>
        <v>0</v>
      </c>
      <c r="BU81" s="1169"/>
      <c r="BV81" s="1182">
        <v>0</v>
      </c>
      <c r="BW81" s="1200">
        <f t="shared" si="161"/>
        <v>0</v>
      </c>
      <c r="BX81" s="1200">
        <v>0</v>
      </c>
      <c r="BY81" s="1200">
        <v>0</v>
      </c>
      <c r="BZ81" s="1169"/>
      <c r="CA81" s="1169">
        <f>CB81+CC81</f>
        <v>0</v>
      </c>
      <c r="CB81" s="1169">
        <f>BW81*100%</f>
        <v>0</v>
      </c>
      <c r="CC81" s="1169"/>
      <c r="CD81" s="1182">
        <v>0</v>
      </c>
      <c r="CE81" s="1200">
        <f t="shared" si="162"/>
        <v>0</v>
      </c>
      <c r="CF81" s="1200">
        <f>CD81/CD80*CF80</f>
        <v>0</v>
      </c>
      <c r="CG81" s="1200">
        <f>CD81/CD80*CG80</f>
        <v>0</v>
      </c>
      <c r="CH81" s="1169"/>
      <c r="CI81" s="1169">
        <f>CJ81+CK81</f>
        <v>0</v>
      </c>
      <c r="CJ81" s="1169">
        <f>CE81*100%</f>
        <v>0</v>
      </c>
      <c r="CK81" s="1169"/>
      <c r="CL81" s="1182">
        <v>0</v>
      </c>
      <c r="CM81" s="1200">
        <f t="shared" si="163"/>
        <v>0</v>
      </c>
      <c r="CN81" s="1200">
        <f>CL81/CL80*CN80</f>
        <v>0</v>
      </c>
      <c r="CO81" s="1200">
        <f>CL81/CL80*CO80</f>
        <v>0</v>
      </c>
      <c r="CP81" s="1169"/>
      <c r="CQ81" s="1169">
        <f>CR81+CS81</f>
        <v>0</v>
      </c>
      <c r="CR81" s="1169">
        <f>CM81*100%</f>
        <v>0</v>
      </c>
      <c r="CS81" s="1169"/>
      <c r="CT81" s="1124"/>
      <c r="CU81" s="1124"/>
      <c r="CV81" s="1153"/>
      <c r="CW81" s="1153"/>
      <c r="CX81" s="1153"/>
      <c r="CY81" s="1153"/>
      <c r="CZ81" s="1124"/>
      <c r="DA81" s="1124"/>
      <c r="DB81" s="1124"/>
      <c r="DC81" s="1124"/>
      <c r="DD81" s="1124"/>
    </row>
    <row r="82" spans="1:108" ht="16.5" customHeight="1">
      <c r="A82" s="1183" t="s">
        <v>23</v>
      </c>
      <c r="B82" s="1184" t="s">
        <v>420</v>
      </c>
      <c r="C82" s="1180" t="s">
        <v>570</v>
      </c>
      <c r="D82" s="1185"/>
      <c r="E82" s="1185">
        <v>1</v>
      </c>
      <c r="F82" s="1185">
        <v>0.12</v>
      </c>
      <c r="G82" s="1185">
        <v>0.88</v>
      </c>
      <c r="H82" s="1169">
        <f>IF(E82=0,P82/L82*100,IF(K82=0,0,P82/K82*100))</f>
        <v>12</v>
      </c>
      <c r="I82" s="1169">
        <f>R82+Z82+AH82+AP82+AX82+BF82+BN82+BV82+CD82+CL82</f>
        <v>400000</v>
      </c>
      <c r="J82" s="1169">
        <v>400000</v>
      </c>
      <c r="K82" s="1169">
        <f t="shared" si="164"/>
        <v>400000</v>
      </c>
      <c r="L82" s="1169">
        <f t="shared" si="164"/>
        <v>0</v>
      </c>
      <c r="M82" s="1169">
        <f t="shared" si="164"/>
        <v>400000</v>
      </c>
      <c r="N82" s="1169"/>
      <c r="O82" s="1169">
        <f>K82-N82</f>
        <v>400000</v>
      </c>
      <c r="P82" s="1169">
        <f>O82-Q82</f>
        <v>48000</v>
      </c>
      <c r="Q82" s="1169">
        <f>Y82+AG82+AO82+AW82+BE82+BM82+BU82+CC82+CK82+CS82</f>
        <v>352000</v>
      </c>
      <c r="R82" s="1186">
        <v>194350</v>
      </c>
      <c r="S82" s="1200">
        <f t="shared" ref="S82:S87" si="167">T82+U82</f>
        <v>200400</v>
      </c>
      <c r="T82" s="1200"/>
      <c r="U82" s="1200">
        <f>U80</f>
        <v>200400</v>
      </c>
      <c r="V82" s="1169"/>
      <c r="W82" s="1169">
        <f>X82+Y82</f>
        <v>200400</v>
      </c>
      <c r="X82" s="1169">
        <f>S82*12%</f>
        <v>24048</v>
      </c>
      <c r="Y82" s="1169">
        <f>S82*88%</f>
        <v>176352</v>
      </c>
      <c r="Z82" s="1182">
        <v>23000</v>
      </c>
      <c r="AA82" s="1200">
        <f>AB82+AC82</f>
        <v>20000</v>
      </c>
      <c r="AB82" s="1200">
        <f>Z82/Z80*AB80</f>
        <v>0</v>
      </c>
      <c r="AC82" s="1200">
        <f>Z82/Z80*AC80</f>
        <v>20000</v>
      </c>
      <c r="AD82" s="1169"/>
      <c r="AE82" s="1169">
        <f>AF82+AG82</f>
        <v>20000</v>
      </c>
      <c r="AF82" s="1169">
        <f>AA82*12%</f>
        <v>2400</v>
      </c>
      <c r="AG82" s="1169">
        <f>AA82*88%</f>
        <v>17600</v>
      </c>
      <c r="AH82" s="1182">
        <v>15000</v>
      </c>
      <c r="AI82" s="1403">
        <f t="shared" si="166"/>
        <v>15000</v>
      </c>
      <c r="AJ82" s="1403">
        <f>AH82/AH80*AJ80</f>
        <v>0</v>
      </c>
      <c r="AK82" s="1403">
        <f>AH82/AH80*AK80</f>
        <v>15000</v>
      </c>
      <c r="AL82" s="1169"/>
      <c r="AM82" s="1169">
        <f>AN82+AO82</f>
        <v>15000</v>
      </c>
      <c r="AN82" s="1169">
        <f>AI82*12%</f>
        <v>1800</v>
      </c>
      <c r="AO82" s="1169">
        <f>AI82*88%</f>
        <v>13200</v>
      </c>
      <c r="AP82" s="1182">
        <v>27000</v>
      </c>
      <c r="AQ82" s="1200">
        <f>AR82+AS82</f>
        <v>25000</v>
      </c>
      <c r="AR82" s="1200">
        <f>AP82/AP80*AR80</f>
        <v>0</v>
      </c>
      <c r="AS82" s="1200">
        <f>AP82/AP80*AS80</f>
        <v>25000</v>
      </c>
      <c r="AT82" s="1169"/>
      <c r="AU82" s="1169">
        <f>AV82+AW82</f>
        <v>25000</v>
      </c>
      <c r="AV82" s="1169">
        <f>AQ82*12%</f>
        <v>3000</v>
      </c>
      <c r="AW82" s="1169">
        <f>AQ82*88%</f>
        <v>22000</v>
      </c>
      <c r="AX82" s="1182">
        <v>9000</v>
      </c>
      <c r="AY82" s="1200">
        <f t="shared" si="158"/>
        <v>9000</v>
      </c>
      <c r="AZ82" s="1200">
        <f>AX82/AX80*AZ80</f>
        <v>0</v>
      </c>
      <c r="BA82" s="1200">
        <f>AX82/AX80*BA80</f>
        <v>9000</v>
      </c>
      <c r="BB82" s="1169"/>
      <c r="BC82" s="1169">
        <f>BD82+BE82</f>
        <v>9000</v>
      </c>
      <c r="BD82" s="1169">
        <f>AY82*12%</f>
        <v>1080</v>
      </c>
      <c r="BE82" s="1169">
        <f>AY82*88%</f>
        <v>7920</v>
      </c>
      <c r="BF82" s="1182">
        <v>20000</v>
      </c>
      <c r="BG82" s="1200">
        <f t="shared" si="159"/>
        <v>25000</v>
      </c>
      <c r="BH82" s="1200">
        <f>BF82/BF80*BH80</f>
        <v>0</v>
      </c>
      <c r="BI82" s="1200">
        <f>BF82/BF80*BI80</f>
        <v>25000</v>
      </c>
      <c r="BJ82" s="1169"/>
      <c r="BK82" s="1169">
        <f>BL82+BM82</f>
        <v>25000</v>
      </c>
      <c r="BL82" s="1169">
        <f>BG82*12%</f>
        <v>3000</v>
      </c>
      <c r="BM82" s="1169">
        <f>BG82*88%</f>
        <v>22000</v>
      </c>
      <c r="BN82" s="1182">
        <v>10000</v>
      </c>
      <c r="BO82" s="1200">
        <f t="shared" si="160"/>
        <v>5000</v>
      </c>
      <c r="BP82" s="1200">
        <f>BN82/BN80*BP80</f>
        <v>0</v>
      </c>
      <c r="BQ82" s="1200">
        <f>BN82/BN80*BQ80</f>
        <v>5000</v>
      </c>
      <c r="BR82" s="1169"/>
      <c r="BS82" s="1169">
        <f>BT82+BU82</f>
        <v>5000</v>
      </c>
      <c r="BT82" s="1169">
        <f>BO82*12%</f>
        <v>600</v>
      </c>
      <c r="BU82" s="1169">
        <f>BO82*88%</f>
        <v>4400</v>
      </c>
      <c r="BV82" s="1182">
        <v>500</v>
      </c>
      <c r="BW82" s="1200">
        <f t="shared" si="161"/>
        <v>500</v>
      </c>
      <c r="BX82" s="1200">
        <v>0</v>
      </c>
      <c r="BY82" s="1200">
        <f>BY80</f>
        <v>500</v>
      </c>
      <c r="BZ82" s="1169"/>
      <c r="CA82" s="1169">
        <f>CB82+CC82</f>
        <v>500</v>
      </c>
      <c r="CB82" s="1169">
        <f>BW82*12%</f>
        <v>60</v>
      </c>
      <c r="CC82" s="1169">
        <f>BW82*88%</f>
        <v>440</v>
      </c>
      <c r="CD82" s="1182">
        <v>100000</v>
      </c>
      <c r="CE82" s="1200">
        <f t="shared" si="162"/>
        <v>100000</v>
      </c>
      <c r="CF82" s="1200">
        <f>CD82/CD80*CF80</f>
        <v>0</v>
      </c>
      <c r="CG82" s="1200">
        <f>CD82/CD80*CG80</f>
        <v>100000</v>
      </c>
      <c r="CH82" s="1169"/>
      <c r="CI82" s="1169">
        <f>CJ82+CK82</f>
        <v>100000</v>
      </c>
      <c r="CJ82" s="1169">
        <f>CE82*12%</f>
        <v>12000</v>
      </c>
      <c r="CK82" s="1169">
        <f>CE82*88%</f>
        <v>88000</v>
      </c>
      <c r="CL82" s="1182">
        <v>1150</v>
      </c>
      <c r="CM82" s="1200">
        <f t="shared" si="163"/>
        <v>100</v>
      </c>
      <c r="CN82" s="1200">
        <f>CL82/CL80*CN80</f>
        <v>0</v>
      </c>
      <c r="CO82" s="1200">
        <f>CL82/CL80*CO80</f>
        <v>100</v>
      </c>
      <c r="CP82" s="1169"/>
      <c r="CQ82" s="1169">
        <f>CR82+CS82</f>
        <v>100</v>
      </c>
      <c r="CR82" s="1169">
        <f>CM82*12%</f>
        <v>12</v>
      </c>
      <c r="CS82" s="1169">
        <f>CM82*88%</f>
        <v>88</v>
      </c>
      <c r="CZ82" s="1124"/>
      <c r="DA82" s="1124"/>
      <c r="DB82" s="1124"/>
      <c r="DC82" s="1124"/>
      <c r="DD82" s="1124"/>
    </row>
    <row r="83" spans="1:108" s="1123" customFormat="1" ht="27" customHeight="1">
      <c r="A83" s="1179" t="s">
        <v>81</v>
      </c>
      <c r="B83" s="1180" t="s">
        <v>1398</v>
      </c>
      <c r="C83" s="1184" t="s">
        <v>571</v>
      </c>
      <c r="D83" s="1156"/>
      <c r="E83" s="1156"/>
      <c r="F83" s="1156"/>
      <c r="G83" s="1156"/>
      <c r="H83" s="1157"/>
      <c r="I83" s="1157">
        <f>I84+I85</f>
        <v>22000</v>
      </c>
      <c r="J83" s="1198">
        <v>25000</v>
      </c>
      <c r="K83" s="1157">
        <f>K84+K85</f>
        <v>25000</v>
      </c>
      <c r="L83" s="1157">
        <f>L84+L85</f>
        <v>19610</v>
      </c>
      <c r="M83" s="1157">
        <f>M84+M85</f>
        <v>5390</v>
      </c>
      <c r="N83" s="1157"/>
      <c r="O83" s="1157">
        <f>O84+O85</f>
        <v>25000</v>
      </c>
      <c r="P83" s="1157">
        <f>P84+P85</f>
        <v>5000</v>
      </c>
      <c r="Q83" s="1157">
        <f>Q84+Q85</f>
        <v>20000</v>
      </c>
      <c r="R83" s="1181">
        <v>11795</v>
      </c>
      <c r="S83" s="1199">
        <f t="shared" si="167"/>
        <v>10860</v>
      </c>
      <c r="T83" s="1157">
        <v>7860</v>
      </c>
      <c r="U83" s="1157">
        <v>3000</v>
      </c>
      <c r="V83" s="1157"/>
      <c r="W83" s="1157">
        <f>W84+W85</f>
        <v>10860</v>
      </c>
      <c r="X83" s="1157">
        <f>X84+X85</f>
        <v>2172</v>
      </c>
      <c r="Y83" s="1157">
        <f>Y84+Y85</f>
        <v>8688</v>
      </c>
      <c r="Z83" s="1182">
        <v>2900</v>
      </c>
      <c r="AA83" s="1199">
        <f>AB83+AC83</f>
        <v>3300</v>
      </c>
      <c r="AB83" s="1157">
        <v>3000</v>
      </c>
      <c r="AC83" s="1157">
        <v>300</v>
      </c>
      <c r="AD83" s="1157"/>
      <c r="AE83" s="1157">
        <f>AE84+AE85</f>
        <v>3300</v>
      </c>
      <c r="AF83" s="1157">
        <f>AF84+AF85</f>
        <v>660</v>
      </c>
      <c r="AG83" s="1157">
        <f>AG84+AG85</f>
        <v>2640</v>
      </c>
      <c r="AH83" s="1182">
        <v>1100</v>
      </c>
      <c r="AI83" s="1401">
        <f>AJ83+AK83</f>
        <v>2000</v>
      </c>
      <c r="AJ83" s="1402">
        <v>700</v>
      </c>
      <c r="AK83" s="1402">
        <v>1300</v>
      </c>
      <c r="AL83" s="1157"/>
      <c r="AM83" s="1157">
        <f>AM84+AM85</f>
        <v>2000</v>
      </c>
      <c r="AN83" s="1157">
        <f>AN84+AN85</f>
        <v>400</v>
      </c>
      <c r="AO83" s="1157">
        <f>AO84+AO85</f>
        <v>1600</v>
      </c>
      <c r="AP83" s="1182">
        <v>1650</v>
      </c>
      <c r="AQ83" s="1199">
        <f>AR83+AS83</f>
        <v>2160</v>
      </c>
      <c r="AR83" s="1157">
        <v>2000</v>
      </c>
      <c r="AS83" s="1157">
        <v>160</v>
      </c>
      <c r="AT83" s="1157"/>
      <c r="AU83" s="1157">
        <f>AU84+AU85</f>
        <v>2160</v>
      </c>
      <c r="AV83" s="1157">
        <f>AV84+AV85</f>
        <v>432</v>
      </c>
      <c r="AW83" s="1157">
        <f>AW84+AW85</f>
        <v>1728</v>
      </c>
      <c r="AX83" s="1182">
        <v>180</v>
      </c>
      <c r="AY83" s="1199">
        <f t="shared" si="158"/>
        <v>180</v>
      </c>
      <c r="AZ83" s="1157">
        <v>150</v>
      </c>
      <c r="BA83" s="1157">
        <v>30</v>
      </c>
      <c r="BB83" s="1157"/>
      <c r="BC83" s="1157">
        <f>BC84+BC85</f>
        <v>180</v>
      </c>
      <c r="BD83" s="1157">
        <f>BD84+BD85</f>
        <v>36</v>
      </c>
      <c r="BE83" s="1157">
        <f>BE84+BE85</f>
        <v>144</v>
      </c>
      <c r="BF83" s="1182">
        <v>1550</v>
      </c>
      <c r="BG83" s="1199">
        <f t="shared" si="159"/>
        <v>3300</v>
      </c>
      <c r="BH83" s="1157">
        <v>3000</v>
      </c>
      <c r="BI83" s="1157">
        <v>300</v>
      </c>
      <c r="BJ83" s="1157"/>
      <c r="BK83" s="1157">
        <f>BK84+BK85</f>
        <v>3300</v>
      </c>
      <c r="BL83" s="1157">
        <f>BL84+BL85</f>
        <v>660</v>
      </c>
      <c r="BM83" s="1157">
        <f>BM84+BM85</f>
        <v>2640</v>
      </c>
      <c r="BN83" s="1182">
        <v>1400</v>
      </c>
      <c r="BO83" s="1199">
        <f t="shared" si="160"/>
        <v>1300</v>
      </c>
      <c r="BP83" s="1157">
        <v>1300</v>
      </c>
      <c r="BQ83" s="1157">
        <v>0</v>
      </c>
      <c r="BR83" s="1157"/>
      <c r="BS83" s="1157">
        <f>BS84+BS85</f>
        <v>1300</v>
      </c>
      <c r="BT83" s="1157">
        <f>BT84+BT85</f>
        <v>260</v>
      </c>
      <c r="BU83" s="1157">
        <f>BU84+BU85</f>
        <v>1040</v>
      </c>
      <c r="BV83" s="1182">
        <v>665</v>
      </c>
      <c r="BW83" s="1199">
        <f t="shared" si="161"/>
        <v>650</v>
      </c>
      <c r="BX83" s="1157">
        <v>600</v>
      </c>
      <c r="BY83" s="1157">
        <v>50</v>
      </c>
      <c r="BZ83" s="1157"/>
      <c r="CA83" s="1157">
        <f>CA84+CA85</f>
        <v>650</v>
      </c>
      <c r="CB83" s="1157">
        <f>CB84+CB85</f>
        <v>130</v>
      </c>
      <c r="CC83" s="1157">
        <f>CC84+CC85</f>
        <v>520</v>
      </c>
      <c r="CD83" s="1182">
        <v>700</v>
      </c>
      <c r="CE83" s="1199">
        <f t="shared" si="162"/>
        <v>850</v>
      </c>
      <c r="CF83" s="1157">
        <v>600</v>
      </c>
      <c r="CG83" s="1157">
        <v>250</v>
      </c>
      <c r="CH83" s="1157"/>
      <c r="CI83" s="1157">
        <f>CI84+CI85</f>
        <v>850</v>
      </c>
      <c r="CJ83" s="1157">
        <f>CJ84+CJ85</f>
        <v>170</v>
      </c>
      <c r="CK83" s="1157">
        <f>CK84+CK85</f>
        <v>680</v>
      </c>
      <c r="CL83" s="1182">
        <v>60</v>
      </c>
      <c r="CM83" s="1199">
        <f t="shared" si="163"/>
        <v>400</v>
      </c>
      <c r="CN83" s="1157">
        <v>400</v>
      </c>
      <c r="CO83" s="1157">
        <v>0</v>
      </c>
      <c r="CP83" s="1157"/>
      <c r="CQ83" s="1157">
        <f>CQ84+CQ85</f>
        <v>400</v>
      </c>
      <c r="CR83" s="1157">
        <f>CR84+CR85</f>
        <v>80</v>
      </c>
      <c r="CS83" s="1157">
        <f>CS84+CS85</f>
        <v>320</v>
      </c>
      <c r="CZ83" s="1124"/>
      <c r="DA83" s="1124"/>
      <c r="DB83" s="1124"/>
      <c r="DC83" s="1124"/>
      <c r="DD83" s="1124"/>
    </row>
    <row r="84" spans="1:108" ht="31.5" customHeight="1">
      <c r="A84" s="1183" t="s">
        <v>23</v>
      </c>
      <c r="B84" s="1184" t="s">
        <v>572</v>
      </c>
      <c r="C84" s="1184" t="s">
        <v>573</v>
      </c>
      <c r="D84" s="1185"/>
      <c r="E84" s="1185">
        <f>F84+G84</f>
        <v>1</v>
      </c>
      <c r="F84" s="1185">
        <v>0.85</v>
      </c>
      <c r="G84" s="1185">
        <v>0.15</v>
      </c>
      <c r="H84" s="1169">
        <f>IF(E84=0,P84/L84*100,IF(K84=0,0,P84/K84*100))</f>
        <v>0</v>
      </c>
      <c r="I84" s="1169">
        <f>R84+Z84+AH84+AP84+AX84+BF84+BN84+BV84+CD84+CL84</f>
        <v>0</v>
      </c>
      <c r="J84" s="1169"/>
      <c r="K84" s="1169">
        <f t="shared" ref="K84:M86" si="168">S84+AA84+AI84+AQ84+AY84+BG84+BO84+BW84+CE84+CM84</f>
        <v>0</v>
      </c>
      <c r="L84" s="1169">
        <f t="shared" si="168"/>
        <v>0</v>
      </c>
      <c r="M84" s="1169">
        <f t="shared" si="168"/>
        <v>0</v>
      </c>
      <c r="N84" s="1169"/>
      <c r="O84" s="1169">
        <f>K84-N84</f>
        <v>0</v>
      </c>
      <c r="P84" s="1169">
        <f>O84-Q84</f>
        <v>0</v>
      </c>
      <c r="Q84" s="1169">
        <f>Y84+AG84+AO84+AW84+BE84+BM84+BU84+CC84+CK84+CS84</f>
        <v>0</v>
      </c>
      <c r="R84" s="1186">
        <v>0</v>
      </c>
      <c r="S84" s="1200">
        <f t="shared" si="167"/>
        <v>0</v>
      </c>
      <c r="T84" s="1200"/>
      <c r="U84" s="1200"/>
      <c r="V84" s="1169"/>
      <c r="W84" s="1169">
        <f>X84+Y84</f>
        <v>0</v>
      </c>
      <c r="X84" s="1169">
        <f>S84*85%</f>
        <v>0</v>
      </c>
      <c r="Y84" s="1169">
        <f>S84*15%</f>
        <v>0</v>
      </c>
      <c r="Z84" s="1182">
        <v>0</v>
      </c>
      <c r="AA84" s="1200">
        <f>AB84+AC84</f>
        <v>0</v>
      </c>
      <c r="AB84" s="1200">
        <f>Z84/Z83*AB83</f>
        <v>0</v>
      </c>
      <c r="AC84" s="1200">
        <f>Z84/Z83*AC83</f>
        <v>0</v>
      </c>
      <c r="AD84" s="1169"/>
      <c r="AE84" s="1169">
        <f>AF84+AG84</f>
        <v>0</v>
      </c>
      <c r="AF84" s="1169">
        <f>AA84*85%</f>
        <v>0</v>
      </c>
      <c r="AG84" s="1169">
        <f>AA84*15%</f>
        <v>0</v>
      </c>
      <c r="AH84" s="1182">
        <v>0</v>
      </c>
      <c r="AI84" s="1403">
        <f>AJ84+AK84</f>
        <v>0</v>
      </c>
      <c r="AJ84" s="1403">
        <f>AH84/AH83*AJ83</f>
        <v>0</v>
      </c>
      <c r="AK84" s="1403">
        <f>AH84/AH83*AK83</f>
        <v>0</v>
      </c>
      <c r="AL84" s="1169"/>
      <c r="AM84" s="1169">
        <f>AN84+AO84</f>
        <v>0</v>
      </c>
      <c r="AN84" s="1169">
        <f>AI84*85%</f>
        <v>0</v>
      </c>
      <c r="AO84" s="1169">
        <f>AI84*15%</f>
        <v>0</v>
      </c>
      <c r="AP84" s="1182">
        <v>0</v>
      </c>
      <c r="AQ84" s="1200">
        <f>AR84+AS84</f>
        <v>0</v>
      </c>
      <c r="AR84" s="1200">
        <f>AP84/AP83*AR83</f>
        <v>0</v>
      </c>
      <c r="AS84" s="1200">
        <f>AP84/AP83*AS83</f>
        <v>0</v>
      </c>
      <c r="AT84" s="1169"/>
      <c r="AU84" s="1169">
        <f>AV84+AW84</f>
        <v>0</v>
      </c>
      <c r="AV84" s="1169">
        <f>AQ84*85%</f>
        <v>0</v>
      </c>
      <c r="AW84" s="1169">
        <f>AQ84*15%</f>
        <v>0</v>
      </c>
      <c r="AX84" s="1182">
        <v>0</v>
      </c>
      <c r="AY84" s="1200">
        <f>AZ84+BA84</f>
        <v>0</v>
      </c>
      <c r="AZ84" s="1200">
        <f>AX84/AX83*AZ83</f>
        <v>0</v>
      </c>
      <c r="BA84" s="1200">
        <f>AX84/AX83*BA83</f>
        <v>0</v>
      </c>
      <c r="BB84" s="1169"/>
      <c r="BC84" s="1169">
        <f>BD84+BE84</f>
        <v>0</v>
      </c>
      <c r="BD84" s="1169">
        <f>AY84*85%</f>
        <v>0</v>
      </c>
      <c r="BE84" s="1169">
        <f>AY84*15%</f>
        <v>0</v>
      </c>
      <c r="BF84" s="1182">
        <v>0</v>
      </c>
      <c r="BG84" s="1200">
        <f>BH84+BI84</f>
        <v>0</v>
      </c>
      <c r="BH84" s="1200">
        <f>BF84/BF83*BH83</f>
        <v>0</v>
      </c>
      <c r="BI84" s="1200">
        <f>BF84/BF83*BI83</f>
        <v>0</v>
      </c>
      <c r="BJ84" s="1169"/>
      <c r="BK84" s="1169">
        <f>BL84+BM84</f>
        <v>0</v>
      </c>
      <c r="BL84" s="1169">
        <f>BG84*85%</f>
        <v>0</v>
      </c>
      <c r="BM84" s="1169">
        <f>BG84*15%</f>
        <v>0</v>
      </c>
      <c r="BN84" s="1182">
        <v>0</v>
      </c>
      <c r="BO84" s="1200">
        <f>BP84+BQ84</f>
        <v>0</v>
      </c>
      <c r="BP84" s="1200">
        <f>BN84/BN83*BP83</f>
        <v>0</v>
      </c>
      <c r="BQ84" s="1200">
        <f>BN84/BN83*BQ83</f>
        <v>0</v>
      </c>
      <c r="BR84" s="1169"/>
      <c r="BS84" s="1169">
        <f>BT84+BU84</f>
        <v>0</v>
      </c>
      <c r="BT84" s="1169">
        <f>BO84*85%</f>
        <v>0</v>
      </c>
      <c r="BU84" s="1169">
        <f>BO84*15%</f>
        <v>0</v>
      </c>
      <c r="BV84" s="1182">
        <v>0</v>
      </c>
      <c r="BW84" s="1200">
        <f>BX84+BY84</f>
        <v>0</v>
      </c>
      <c r="BX84" s="1200">
        <v>0</v>
      </c>
      <c r="BY84" s="1200">
        <v>0</v>
      </c>
      <c r="BZ84" s="1169"/>
      <c r="CA84" s="1169">
        <f>CB84+CC84</f>
        <v>0</v>
      </c>
      <c r="CB84" s="1169">
        <f>BW84*85%</f>
        <v>0</v>
      </c>
      <c r="CC84" s="1169">
        <f>BW84*15%</f>
        <v>0</v>
      </c>
      <c r="CD84" s="1182">
        <v>0</v>
      </c>
      <c r="CE84" s="1200">
        <f>CF84+CG84</f>
        <v>0</v>
      </c>
      <c r="CF84" s="1200">
        <f>CD84/CD83*CF83</f>
        <v>0</v>
      </c>
      <c r="CG84" s="1200">
        <f>CD84/CD83*CG83</f>
        <v>0</v>
      </c>
      <c r="CH84" s="1169"/>
      <c r="CI84" s="1169">
        <f>CJ84+CK84</f>
        <v>0</v>
      </c>
      <c r="CJ84" s="1169">
        <f>CE84*85%</f>
        <v>0</v>
      </c>
      <c r="CK84" s="1169">
        <f>CE84*15%</f>
        <v>0</v>
      </c>
      <c r="CL84" s="1182">
        <v>0</v>
      </c>
      <c r="CM84" s="1200">
        <f>CN84+CO84</f>
        <v>0</v>
      </c>
      <c r="CN84" s="1200">
        <f>CL84/CL83*CN83</f>
        <v>0</v>
      </c>
      <c r="CO84" s="1200">
        <f>CL84/CL83*CO83</f>
        <v>0</v>
      </c>
      <c r="CP84" s="1169"/>
      <c r="CQ84" s="1169">
        <f>CR84+CS84</f>
        <v>0</v>
      </c>
      <c r="CR84" s="1169">
        <f>CM84*85%</f>
        <v>0</v>
      </c>
      <c r="CS84" s="1169">
        <f>CM84*15%</f>
        <v>0</v>
      </c>
      <c r="CT84" s="1124"/>
      <c r="CU84" s="1124"/>
      <c r="CV84" s="1153"/>
      <c r="CW84" s="1153"/>
      <c r="CX84" s="1153"/>
      <c r="CY84" s="1153"/>
      <c r="CZ84" s="1124"/>
      <c r="DA84" s="1124"/>
      <c r="DB84" s="1124"/>
      <c r="DC84" s="1124"/>
      <c r="DD84" s="1124"/>
    </row>
    <row r="85" spans="1:108" ht="23.25" customHeight="1">
      <c r="A85" s="1183" t="s">
        <v>23</v>
      </c>
      <c r="B85" s="1184" t="s">
        <v>574</v>
      </c>
      <c r="C85" s="1180" t="s">
        <v>575</v>
      </c>
      <c r="D85" s="1185"/>
      <c r="E85" s="1185">
        <v>1</v>
      </c>
      <c r="F85" s="1185">
        <v>0.2</v>
      </c>
      <c r="G85" s="1185">
        <v>0.8</v>
      </c>
      <c r="H85" s="1169">
        <f>IF(E85=0,P85/L85*100,IF(K85=0,0,P85/K85*100))</f>
        <v>20</v>
      </c>
      <c r="I85" s="1169">
        <f>R85+Z85+AH85+AP85+AX85+BF85+BN85+BV85+CD85+CL85</f>
        <v>22000</v>
      </c>
      <c r="J85" s="1169"/>
      <c r="K85" s="1169">
        <f t="shared" si="168"/>
        <v>25000</v>
      </c>
      <c r="L85" s="1169">
        <f t="shared" si="168"/>
        <v>19610</v>
      </c>
      <c r="M85" s="1169">
        <f t="shared" si="168"/>
        <v>5390</v>
      </c>
      <c r="N85" s="1169"/>
      <c r="O85" s="1169">
        <f>K85-N85</f>
        <v>25000</v>
      </c>
      <c r="P85" s="1169">
        <f>O85-Q85</f>
        <v>5000</v>
      </c>
      <c r="Q85" s="1169">
        <f>Y85+AG85+AO85+AW85+BE85+BM85+BU85+CC85+CK85+CS85</f>
        <v>20000</v>
      </c>
      <c r="R85" s="1186">
        <v>11795</v>
      </c>
      <c r="S85" s="1200">
        <f t="shared" si="167"/>
        <v>10860</v>
      </c>
      <c r="T85" s="1200">
        <f>T83-T84</f>
        <v>7860</v>
      </c>
      <c r="U85" s="1200">
        <f>U83</f>
        <v>3000</v>
      </c>
      <c r="V85" s="1169"/>
      <c r="W85" s="1169">
        <f>X85+Y85</f>
        <v>10860</v>
      </c>
      <c r="X85" s="1169">
        <f>S85*20%</f>
        <v>2172</v>
      </c>
      <c r="Y85" s="1169">
        <f>S85*80%</f>
        <v>8688</v>
      </c>
      <c r="Z85" s="1182">
        <v>2900</v>
      </c>
      <c r="AA85" s="1200">
        <f>AB85+AC85</f>
        <v>3300</v>
      </c>
      <c r="AB85" s="1200">
        <f>Z85/Z83*AB83</f>
        <v>3000</v>
      </c>
      <c r="AC85" s="1200">
        <f>Z85/Z83*AC83</f>
        <v>300</v>
      </c>
      <c r="AD85" s="1169"/>
      <c r="AE85" s="1169">
        <f>AF85+AG85</f>
        <v>3300</v>
      </c>
      <c r="AF85" s="1169">
        <f>AA85*20%</f>
        <v>660</v>
      </c>
      <c r="AG85" s="1169">
        <f>AA85*80%</f>
        <v>2640</v>
      </c>
      <c r="AH85" s="1182">
        <v>1100</v>
      </c>
      <c r="AI85" s="1403">
        <f>AJ85+AK85</f>
        <v>2000</v>
      </c>
      <c r="AJ85" s="1403">
        <f>AH85/AH83*AJ83</f>
        <v>700</v>
      </c>
      <c r="AK85" s="1403">
        <f>AH85/AH83*AK83</f>
        <v>1300</v>
      </c>
      <c r="AL85" s="1169"/>
      <c r="AM85" s="1169">
        <f>AN85+AO85</f>
        <v>2000</v>
      </c>
      <c r="AN85" s="1169">
        <f>AI85*20%</f>
        <v>400</v>
      </c>
      <c r="AO85" s="1169">
        <f>AI85*80%</f>
        <v>1600</v>
      </c>
      <c r="AP85" s="1182">
        <v>1650</v>
      </c>
      <c r="AQ85" s="1200">
        <f>AR85+AS85</f>
        <v>2160</v>
      </c>
      <c r="AR85" s="1200">
        <f>AP85/AP83*AR83</f>
        <v>2000</v>
      </c>
      <c r="AS85" s="1200">
        <f>AP85/AP83*AS83</f>
        <v>160</v>
      </c>
      <c r="AT85" s="1169"/>
      <c r="AU85" s="1169">
        <f>AV85+AW85</f>
        <v>2160</v>
      </c>
      <c r="AV85" s="1169">
        <f>AQ85*20%</f>
        <v>432</v>
      </c>
      <c r="AW85" s="1169">
        <f>AQ85*80%</f>
        <v>1728</v>
      </c>
      <c r="AX85" s="1182">
        <v>180</v>
      </c>
      <c r="AY85" s="1200">
        <f>AZ85+BA85</f>
        <v>180</v>
      </c>
      <c r="AZ85" s="1200">
        <f>AX85/AX83*AZ83</f>
        <v>150</v>
      </c>
      <c r="BA85" s="1200">
        <f>AX85/AX83*BA83</f>
        <v>30</v>
      </c>
      <c r="BB85" s="1169"/>
      <c r="BC85" s="1169">
        <f>BD85+BE85</f>
        <v>180</v>
      </c>
      <c r="BD85" s="1169">
        <f>AY85*20%</f>
        <v>36</v>
      </c>
      <c r="BE85" s="1169">
        <f>AY85*80%</f>
        <v>144</v>
      </c>
      <c r="BF85" s="1182">
        <v>1550</v>
      </c>
      <c r="BG85" s="1200">
        <f>BH85+BI85</f>
        <v>3300</v>
      </c>
      <c r="BH85" s="1200">
        <f>BF85/BF83*BH83</f>
        <v>3000</v>
      </c>
      <c r="BI85" s="1200">
        <f>BF85/BF83*BI83</f>
        <v>300</v>
      </c>
      <c r="BJ85" s="1169"/>
      <c r="BK85" s="1169">
        <f>BL85+BM85</f>
        <v>3300</v>
      </c>
      <c r="BL85" s="1169">
        <f>BG85*20%</f>
        <v>660</v>
      </c>
      <c r="BM85" s="1169">
        <f>BG85*80%</f>
        <v>2640</v>
      </c>
      <c r="BN85" s="1182">
        <v>1400</v>
      </c>
      <c r="BO85" s="1200">
        <f>BP85+BQ85</f>
        <v>1300</v>
      </c>
      <c r="BP85" s="1200">
        <f>BN85/BN83*BP83</f>
        <v>1300</v>
      </c>
      <c r="BQ85" s="1200">
        <f>BN85/BN83*BQ83</f>
        <v>0</v>
      </c>
      <c r="BR85" s="1169"/>
      <c r="BS85" s="1169">
        <f>BT85+BU85</f>
        <v>1300</v>
      </c>
      <c r="BT85" s="1169">
        <f>BO85*20%</f>
        <v>260</v>
      </c>
      <c r="BU85" s="1169">
        <f>BO85*80%</f>
        <v>1040</v>
      </c>
      <c r="BV85" s="1182">
        <v>665</v>
      </c>
      <c r="BW85" s="1200">
        <f>BX85+BY85</f>
        <v>650</v>
      </c>
      <c r="BX85" s="1200">
        <f>BV85/BV83*BX83</f>
        <v>600</v>
      </c>
      <c r="BY85" s="1200">
        <f>BV85/BV83*BY83</f>
        <v>50</v>
      </c>
      <c r="BZ85" s="1169"/>
      <c r="CA85" s="1169">
        <f>CB85+CC85</f>
        <v>650</v>
      </c>
      <c r="CB85" s="1169">
        <f>BW85*20%</f>
        <v>130</v>
      </c>
      <c r="CC85" s="1169">
        <f>BW85*80%</f>
        <v>520</v>
      </c>
      <c r="CD85" s="1182">
        <v>700</v>
      </c>
      <c r="CE85" s="1200">
        <f>CF85+CG85</f>
        <v>850</v>
      </c>
      <c r="CF85" s="1200">
        <f>CD85/CD83*CF83</f>
        <v>600</v>
      </c>
      <c r="CG85" s="1200">
        <f>CD85/CD83*CG83</f>
        <v>250</v>
      </c>
      <c r="CH85" s="1169"/>
      <c r="CI85" s="1169">
        <f>CJ85+CK85</f>
        <v>850</v>
      </c>
      <c r="CJ85" s="1169">
        <f>CE85*20%</f>
        <v>170</v>
      </c>
      <c r="CK85" s="1169">
        <f>CE85*80%</f>
        <v>680</v>
      </c>
      <c r="CL85" s="1182">
        <v>60</v>
      </c>
      <c r="CM85" s="1200">
        <f>CN85+CO85</f>
        <v>400</v>
      </c>
      <c r="CN85" s="1200">
        <f>CL85/CL83*CN83</f>
        <v>400</v>
      </c>
      <c r="CO85" s="1200">
        <f>CL85/CL83*CO83</f>
        <v>0</v>
      </c>
      <c r="CP85" s="1169"/>
      <c r="CQ85" s="1169">
        <f>CR85+CS85</f>
        <v>400</v>
      </c>
      <c r="CR85" s="1169">
        <f>CM85*20%</f>
        <v>80</v>
      </c>
      <c r="CS85" s="1169">
        <f>CM85*80%</f>
        <v>320</v>
      </c>
      <c r="CZ85" s="1124"/>
      <c r="DA85" s="1124"/>
      <c r="DB85" s="1124"/>
      <c r="DC85" s="1124"/>
      <c r="DD85" s="1124"/>
    </row>
    <row r="86" spans="1:108" s="1123" customFormat="1" ht="27" customHeight="1">
      <c r="A86" s="1179" t="s">
        <v>82</v>
      </c>
      <c r="B86" s="1180" t="s">
        <v>1399</v>
      </c>
      <c r="C86" s="1180" t="s">
        <v>576</v>
      </c>
      <c r="D86" s="1156"/>
      <c r="E86" s="1156"/>
      <c r="F86" s="1156">
        <v>1</v>
      </c>
      <c r="G86" s="1156">
        <v>1</v>
      </c>
      <c r="H86" s="1157">
        <f>IF(E86=0,P86/L86*100,IF(K86=0,0,P86/K86*100))</f>
        <v>100</v>
      </c>
      <c r="I86" s="1157">
        <f>R86+Z86+AH86+AP86+AX86+BF86+BN86+BV86+CD86+CL86</f>
        <v>1137</v>
      </c>
      <c r="J86" s="1198">
        <v>300</v>
      </c>
      <c r="K86" s="1157">
        <f t="shared" si="168"/>
        <v>1700</v>
      </c>
      <c r="L86" s="1157">
        <f t="shared" si="168"/>
        <v>1700</v>
      </c>
      <c r="M86" s="1157">
        <f t="shared" si="168"/>
        <v>0</v>
      </c>
      <c r="N86" s="1157"/>
      <c r="O86" s="1157">
        <f>K86-N86</f>
        <v>1700</v>
      </c>
      <c r="P86" s="1157">
        <f>O86-Q86</f>
        <v>1700</v>
      </c>
      <c r="Q86" s="1157">
        <f>Y86+AG86+AO86+AW86+BE86+BM86+BU86+CC86+CK86+CS86</f>
        <v>0</v>
      </c>
      <c r="R86" s="1181">
        <v>1137</v>
      </c>
      <c r="S86" s="1199">
        <f t="shared" si="167"/>
        <v>1700</v>
      </c>
      <c r="T86" s="1157">
        <v>1700</v>
      </c>
      <c r="U86" s="1157">
        <v>0</v>
      </c>
      <c r="V86" s="1157"/>
      <c r="W86" s="1157">
        <f>X86+Y86</f>
        <v>1700</v>
      </c>
      <c r="X86" s="1157">
        <f>T86</f>
        <v>1700</v>
      </c>
      <c r="Y86" s="1157">
        <f>U86</f>
        <v>0</v>
      </c>
      <c r="Z86" s="1182">
        <v>0</v>
      </c>
      <c r="AA86" s="1199">
        <f t="shared" si="165"/>
        <v>0</v>
      </c>
      <c r="AB86" s="1157">
        <v>0</v>
      </c>
      <c r="AC86" s="1157">
        <v>0</v>
      </c>
      <c r="AD86" s="1157"/>
      <c r="AE86" s="1157">
        <f>AF86+AG86</f>
        <v>0</v>
      </c>
      <c r="AF86" s="1157">
        <f>AB86</f>
        <v>0</v>
      </c>
      <c r="AG86" s="1157">
        <f>AC86</f>
        <v>0</v>
      </c>
      <c r="AH86" s="1182">
        <v>0</v>
      </c>
      <c r="AI86" s="1401">
        <f t="shared" si="166"/>
        <v>0</v>
      </c>
      <c r="AJ86" s="1402">
        <v>0</v>
      </c>
      <c r="AK86" s="1402">
        <v>0</v>
      </c>
      <c r="AL86" s="1157"/>
      <c r="AM86" s="1157">
        <f>AN86+AO86</f>
        <v>0</v>
      </c>
      <c r="AN86" s="1157">
        <f>AJ86</f>
        <v>0</v>
      </c>
      <c r="AO86" s="1157">
        <f>AK86</f>
        <v>0</v>
      </c>
      <c r="AP86" s="1182">
        <v>0</v>
      </c>
      <c r="AQ86" s="1199">
        <f t="shared" si="148"/>
        <v>0</v>
      </c>
      <c r="AR86" s="1157">
        <v>0</v>
      </c>
      <c r="AS86" s="1157">
        <v>0</v>
      </c>
      <c r="AT86" s="1157"/>
      <c r="AU86" s="1157">
        <f>AV86+AW86</f>
        <v>0</v>
      </c>
      <c r="AV86" s="1157">
        <f>AR86</f>
        <v>0</v>
      </c>
      <c r="AW86" s="1157">
        <f>AS86</f>
        <v>0</v>
      </c>
      <c r="AX86" s="1182">
        <v>0</v>
      </c>
      <c r="AY86" s="1199">
        <f t="shared" si="158"/>
        <v>0</v>
      </c>
      <c r="AZ86" s="1157">
        <v>0</v>
      </c>
      <c r="BA86" s="1157">
        <v>0</v>
      </c>
      <c r="BB86" s="1157"/>
      <c r="BC86" s="1157">
        <f>BD86+BE86</f>
        <v>0</v>
      </c>
      <c r="BD86" s="1157">
        <f>AZ86</f>
        <v>0</v>
      </c>
      <c r="BE86" s="1157">
        <f>BA86</f>
        <v>0</v>
      </c>
      <c r="BF86" s="1182">
        <v>0</v>
      </c>
      <c r="BG86" s="1199">
        <f t="shared" si="159"/>
        <v>0</v>
      </c>
      <c r="BH86" s="1157">
        <v>0</v>
      </c>
      <c r="BI86" s="1157">
        <v>0</v>
      </c>
      <c r="BJ86" s="1157"/>
      <c r="BK86" s="1157">
        <f>BL86+BM86</f>
        <v>0</v>
      </c>
      <c r="BL86" s="1157">
        <f>BH86</f>
        <v>0</v>
      </c>
      <c r="BM86" s="1157">
        <f>BI86</f>
        <v>0</v>
      </c>
      <c r="BN86" s="1182">
        <v>0</v>
      </c>
      <c r="BO86" s="1199">
        <f t="shared" si="160"/>
        <v>0</v>
      </c>
      <c r="BP86" s="1157">
        <v>0</v>
      </c>
      <c r="BQ86" s="1157">
        <v>0</v>
      </c>
      <c r="BR86" s="1157"/>
      <c r="BS86" s="1157">
        <f>BT86+BU86</f>
        <v>0</v>
      </c>
      <c r="BT86" s="1157">
        <f>BP86</f>
        <v>0</v>
      </c>
      <c r="BU86" s="1157">
        <f>BQ86</f>
        <v>0</v>
      </c>
      <c r="BV86" s="1182">
        <v>0</v>
      </c>
      <c r="BW86" s="1199">
        <f t="shared" si="161"/>
        <v>0</v>
      </c>
      <c r="BX86" s="1157">
        <v>0</v>
      </c>
      <c r="BY86" s="1157">
        <v>0</v>
      </c>
      <c r="BZ86" s="1157"/>
      <c r="CA86" s="1157">
        <f>CB86+CC86</f>
        <v>0</v>
      </c>
      <c r="CB86" s="1157">
        <f>BX86</f>
        <v>0</v>
      </c>
      <c r="CC86" s="1157">
        <f>BY86</f>
        <v>0</v>
      </c>
      <c r="CD86" s="1182">
        <v>0</v>
      </c>
      <c r="CE86" s="1199">
        <f t="shared" si="162"/>
        <v>0</v>
      </c>
      <c r="CF86" s="1157">
        <v>0</v>
      </c>
      <c r="CG86" s="1157">
        <v>0</v>
      </c>
      <c r="CH86" s="1157"/>
      <c r="CI86" s="1157">
        <f>CJ86+CK86</f>
        <v>0</v>
      </c>
      <c r="CJ86" s="1157">
        <f>CF86</f>
        <v>0</v>
      </c>
      <c r="CK86" s="1157">
        <f>CG86</f>
        <v>0</v>
      </c>
      <c r="CL86" s="1182">
        <v>0</v>
      </c>
      <c r="CM86" s="1199">
        <f t="shared" si="163"/>
        <v>0</v>
      </c>
      <c r="CN86" s="1157">
        <v>0</v>
      </c>
      <c r="CO86" s="1157">
        <v>0</v>
      </c>
      <c r="CP86" s="1157"/>
      <c r="CQ86" s="1157">
        <f>CR86+CS86</f>
        <v>0</v>
      </c>
      <c r="CR86" s="1157">
        <f>CN86</f>
        <v>0</v>
      </c>
      <c r="CS86" s="1157">
        <f>CO86</f>
        <v>0</v>
      </c>
      <c r="CZ86" s="1124"/>
      <c r="DA86" s="1124"/>
      <c r="DB86" s="1124"/>
      <c r="DC86" s="1124"/>
      <c r="DD86" s="1124"/>
    </row>
    <row r="87" spans="1:108" s="1123" customFormat="1" ht="16.5" customHeight="1">
      <c r="A87" s="1179" t="s">
        <v>421</v>
      </c>
      <c r="B87" s="1180" t="s">
        <v>391</v>
      </c>
      <c r="C87" s="1184" t="s">
        <v>577</v>
      </c>
      <c r="D87" s="1156"/>
      <c r="E87" s="1156"/>
      <c r="F87" s="1156"/>
      <c r="G87" s="1156"/>
      <c r="H87" s="1157"/>
      <c r="I87" s="1181">
        <f>I88+I95+I96</f>
        <v>65000</v>
      </c>
      <c r="J87" s="1198">
        <v>67000</v>
      </c>
      <c r="K87" s="1181">
        <f t="shared" ref="K87:Q87" si="169">K88+K95+K96</f>
        <v>67000</v>
      </c>
      <c r="L87" s="1181">
        <f t="shared" si="169"/>
        <v>30400</v>
      </c>
      <c r="M87" s="1181">
        <f t="shared" si="169"/>
        <v>36600</v>
      </c>
      <c r="N87" s="1181">
        <f t="shared" si="169"/>
        <v>35000</v>
      </c>
      <c r="O87" s="1181">
        <f>O88+O95+O96</f>
        <v>32000</v>
      </c>
      <c r="P87" s="1181">
        <f t="shared" si="169"/>
        <v>19620</v>
      </c>
      <c r="Q87" s="1181">
        <f t="shared" si="169"/>
        <v>12380</v>
      </c>
      <c r="R87" s="1181">
        <v>44150</v>
      </c>
      <c r="S87" s="1199">
        <f t="shared" si="167"/>
        <v>41170</v>
      </c>
      <c r="T87" s="1157">
        <v>29170</v>
      </c>
      <c r="U87" s="1157">
        <v>12000</v>
      </c>
      <c r="V87" s="1181">
        <f>V88+V95+V96</f>
        <v>18960</v>
      </c>
      <c r="W87" s="1181">
        <f>W88+W95+W96</f>
        <v>22210</v>
      </c>
      <c r="X87" s="1181">
        <f>X88+X95+X96</f>
        <v>19210</v>
      </c>
      <c r="Y87" s="1181">
        <f>Y88+Y95+Y96</f>
        <v>3000</v>
      </c>
      <c r="Z87" s="1182">
        <v>3300</v>
      </c>
      <c r="AA87" s="1199">
        <f t="shared" si="165"/>
        <v>4750</v>
      </c>
      <c r="AB87" s="1157">
        <v>250</v>
      </c>
      <c r="AC87" s="1157">
        <v>4500</v>
      </c>
      <c r="AD87" s="1181">
        <f>AD88+AD95+AD96</f>
        <v>2820</v>
      </c>
      <c r="AE87" s="1181">
        <f>AE88+AE95+AE96</f>
        <v>1930</v>
      </c>
      <c r="AF87" s="1181">
        <f>AF88+AF95+AF96</f>
        <v>30</v>
      </c>
      <c r="AG87" s="1181">
        <f>AG88+AG95+AG96</f>
        <v>1900</v>
      </c>
      <c r="AH87" s="1182">
        <v>1800</v>
      </c>
      <c r="AI87" s="1401">
        <f t="shared" si="166"/>
        <v>3100</v>
      </c>
      <c r="AJ87" s="1402">
        <v>100</v>
      </c>
      <c r="AK87" s="1402">
        <v>3000</v>
      </c>
      <c r="AL87" s="1181">
        <f>AL88+AL95+AL96</f>
        <v>2220</v>
      </c>
      <c r="AM87" s="1181">
        <f>AM88+AM95+AM96</f>
        <v>880</v>
      </c>
      <c r="AN87" s="1181">
        <f>AN88+AN95+AN96</f>
        <v>80</v>
      </c>
      <c r="AO87" s="1181">
        <f>AO88+AO95+AO96</f>
        <v>800</v>
      </c>
      <c r="AP87" s="1182">
        <v>6100</v>
      </c>
      <c r="AQ87" s="1199">
        <f t="shared" si="148"/>
        <v>6100</v>
      </c>
      <c r="AR87" s="1157">
        <v>100</v>
      </c>
      <c r="AS87" s="1157">
        <v>6000</v>
      </c>
      <c r="AT87" s="1181">
        <f>AT88+AT95+AT96</f>
        <v>3840</v>
      </c>
      <c r="AU87" s="1181">
        <f>AU88+AU95+AU96</f>
        <v>2260</v>
      </c>
      <c r="AV87" s="1181">
        <f>AV88+AV95+AV96</f>
        <v>60</v>
      </c>
      <c r="AW87" s="1181">
        <f>AW88+AW95+AW96</f>
        <v>2200</v>
      </c>
      <c r="AX87" s="1182">
        <v>2200</v>
      </c>
      <c r="AY87" s="1199">
        <f t="shared" si="158"/>
        <v>2300</v>
      </c>
      <c r="AZ87" s="1157">
        <v>100</v>
      </c>
      <c r="BA87" s="1157">
        <v>2200</v>
      </c>
      <c r="BB87" s="1181">
        <f>BB88+BB95+BB96</f>
        <v>1550</v>
      </c>
      <c r="BC87" s="1181">
        <f>BC88+BC95+BC96</f>
        <v>750</v>
      </c>
      <c r="BD87" s="1181">
        <f>BD88+BD95+BD96</f>
        <v>50</v>
      </c>
      <c r="BE87" s="1181">
        <f>BE88+BE95+BE96</f>
        <v>700</v>
      </c>
      <c r="BF87" s="1182">
        <v>1450</v>
      </c>
      <c r="BG87" s="1199">
        <f t="shared" si="159"/>
        <v>2300</v>
      </c>
      <c r="BH87" s="1157">
        <v>300</v>
      </c>
      <c r="BI87" s="1157">
        <v>2000</v>
      </c>
      <c r="BJ87" s="1181">
        <f>BJ88+BJ95+BJ96</f>
        <v>1230</v>
      </c>
      <c r="BK87" s="1181">
        <f>BK88+BK95+BK96</f>
        <v>1070</v>
      </c>
      <c r="BL87" s="1181">
        <f>BL88+BL95+BL96</f>
        <v>100</v>
      </c>
      <c r="BM87" s="1181">
        <f>BM88+BM95+BM96</f>
        <v>970</v>
      </c>
      <c r="BN87" s="1182">
        <v>900</v>
      </c>
      <c r="BO87" s="1199">
        <f t="shared" si="160"/>
        <v>1280</v>
      </c>
      <c r="BP87" s="1157">
        <v>80</v>
      </c>
      <c r="BQ87" s="1157">
        <v>1200</v>
      </c>
      <c r="BR87" s="1181">
        <f>BR88+BR95+BR96</f>
        <v>440</v>
      </c>
      <c r="BS87" s="1181">
        <f>BS88+BS95+BS96</f>
        <v>840</v>
      </c>
      <c r="BT87" s="1181">
        <f>BT88+BT95+BT96</f>
        <v>0</v>
      </c>
      <c r="BU87" s="1181">
        <f>BU88+BU95+BU96</f>
        <v>840</v>
      </c>
      <c r="BV87" s="1182">
        <v>1400</v>
      </c>
      <c r="BW87" s="1199">
        <f t="shared" si="161"/>
        <v>1780</v>
      </c>
      <c r="BX87" s="1157">
        <v>80</v>
      </c>
      <c r="BY87" s="1157">
        <v>1700</v>
      </c>
      <c r="BZ87" s="1181">
        <f>BZ88+BZ95+BZ96</f>
        <v>1530</v>
      </c>
      <c r="CA87" s="1181">
        <f>CA88+CA95+CA96</f>
        <v>250</v>
      </c>
      <c r="CB87" s="1181">
        <f>CB88+CB95+CB96</f>
        <v>10</v>
      </c>
      <c r="CC87" s="1181">
        <f>CC88+CC95+CC96</f>
        <v>240</v>
      </c>
      <c r="CD87" s="1182">
        <v>2700</v>
      </c>
      <c r="CE87" s="1199">
        <f t="shared" si="162"/>
        <v>3180</v>
      </c>
      <c r="CF87" s="1157">
        <v>180</v>
      </c>
      <c r="CG87" s="1157">
        <v>3000</v>
      </c>
      <c r="CH87" s="1181">
        <f>CH88+CH95+CH96</f>
        <v>1920</v>
      </c>
      <c r="CI87" s="1181">
        <f>CI88+CI95+CI96</f>
        <v>1260</v>
      </c>
      <c r="CJ87" s="1181">
        <f>CJ88+CJ95+CJ96</f>
        <v>60</v>
      </c>
      <c r="CK87" s="1181">
        <f>CK88+CK95+CK96</f>
        <v>1200</v>
      </c>
      <c r="CL87" s="1182">
        <v>1000</v>
      </c>
      <c r="CM87" s="1199">
        <f t="shared" si="163"/>
        <v>1040</v>
      </c>
      <c r="CN87" s="1157">
        <v>40</v>
      </c>
      <c r="CO87" s="1157">
        <v>1000</v>
      </c>
      <c r="CP87" s="1181">
        <f>CP88+CP95+CP96</f>
        <v>490</v>
      </c>
      <c r="CQ87" s="1181">
        <f>CQ88+CQ95+CQ96</f>
        <v>550</v>
      </c>
      <c r="CR87" s="1181">
        <f>CR88+CR95+CR96</f>
        <v>20</v>
      </c>
      <c r="CS87" s="1181">
        <f>CS88+CS95+CS96</f>
        <v>530</v>
      </c>
      <c r="CT87" s="1124"/>
      <c r="CU87" s="1124"/>
      <c r="CV87" s="1153"/>
      <c r="CW87" s="1153"/>
      <c r="CX87" s="1153"/>
      <c r="CY87" s="1153"/>
      <c r="CZ87" s="1124"/>
      <c r="DA87" s="1124"/>
      <c r="DB87" s="1124"/>
      <c r="DC87" s="1124"/>
      <c r="DD87" s="1124"/>
    </row>
    <row r="88" spans="1:108" ht="27.75" customHeight="1">
      <c r="A88" s="1183" t="s">
        <v>424</v>
      </c>
      <c r="B88" s="1167" t="s">
        <v>578</v>
      </c>
      <c r="C88" s="1180" t="s">
        <v>579</v>
      </c>
      <c r="D88" s="1185"/>
      <c r="E88" s="1185"/>
      <c r="F88" s="1185"/>
      <c r="G88" s="1185"/>
      <c r="H88" s="1169">
        <f>IF(E88=0,P88/L88*100,IF(K88=0,0,P88/K88*100))</f>
        <v>22.613065326633166</v>
      </c>
      <c r="I88" s="1169">
        <f t="shared" ref="I88:I103" si="170">R88+Z88+AH88+AP88+AX88+BF88+BN88+BV88+CD88+CL88</f>
        <v>29200</v>
      </c>
      <c r="J88" s="1195"/>
      <c r="K88" s="1169">
        <f t="shared" ref="K88:M103" si="171">S88+AA88+AI88+AQ88+AY88+BG88+BO88+BW88+CE88+CM88</f>
        <v>45000</v>
      </c>
      <c r="L88" s="1169">
        <f t="shared" si="171"/>
        <v>13930</v>
      </c>
      <c r="M88" s="1169">
        <f t="shared" si="171"/>
        <v>31070</v>
      </c>
      <c r="N88" s="1169">
        <f>N89+N92</f>
        <v>35000</v>
      </c>
      <c r="O88" s="1169">
        <f>O89+O92</f>
        <v>10000</v>
      </c>
      <c r="P88" s="1169">
        <f>P89+P92</f>
        <v>3150</v>
      </c>
      <c r="Q88" s="1169">
        <f>Q89+Q92</f>
        <v>6850</v>
      </c>
      <c r="R88" s="1186">
        <v>14730</v>
      </c>
      <c r="S88" s="1186">
        <f t="shared" ref="S88:Y88" si="172">S89+S92</f>
        <v>24900</v>
      </c>
      <c r="T88" s="1186">
        <f t="shared" si="172"/>
        <v>13000</v>
      </c>
      <c r="U88" s="1186">
        <f t="shared" si="172"/>
        <v>11900</v>
      </c>
      <c r="V88" s="1186">
        <f t="shared" si="172"/>
        <v>18960</v>
      </c>
      <c r="W88" s="1186">
        <f>W89+W92</f>
        <v>5940</v>
      </c>
      <c r="X88" s="1186">
        <f t="shared" si="172"/>
        <v>3040</v>
      </c>
      <c r="Y88" s="1186">
        <f t="shared" si="172"/>
        <v>2900</v>
      </c>
      <c r="Z88" s="1182">
        <v>1800</v>
      </c>
      <c r="AA88" s="1186">
        <f t="shared" ref="AA88:AG88" si="173">AA89+AA92</f>
        <v>3420</v>
      </c>
      <c r="AB88" s="1186">
        <f t="shared" si="173"/>
        <v>220</v>
      </c>
      <c r="AC88" s="1186">
        <f t="shared" si="173"/>
        <v>3200</v>
      </c>
      <c r="AD88" s="1186">
        <f t="shared" si="173"/>
        <v>2820</v>
      </c>
      <c r="AE88" s="1186">
        <f t="shared" si="173"/>
        <v>600</v>
      </c>
      <c r="AF88" s="1186">
        <f t="shared" si="173"/>
        <v>0</v>
      </c>
      <c r="AG88" s="1186">
        <f t="shared" si="173"/>
        <v>600</v>
      </c>
      <c r="AH88" s="1182">
        <v>1200</v>
      </c>
      <c r="AI88" s="1405">
        <f t="shared" ref="AI88:AO88" si="174">AI89+AI92</f>
        <v>2540</v>
      </c>
      <c r="AJ88" s="1405">
        <f t="shared" si="174"/>
        <v>90</v>
      </c>
      <c r="AK88" s="1405">
        <f t="shared" si="174"/>
        <v>2450</v>
      </c>
      <c r="AL88" s="1186">
        <f t="shared" si="174"/>
        <v>2220</v>
      </c>
      <c r="AM88" s="1186">
        <f t="shared" si="174"/>
        <v>320</v>
      </c>
      <c r="AN88" s="1186">
        <f t="shared" si="174"/>
        <v>70</v>
      </c>
      <c r="AO88" s="1186">
        <f t="shared" si="174"/>
        <v>250</v>
      </c>
      <c r="AP88" s="1182">
        <v>5080</v>
      </c>
      <c r="AQ88" s="1186">
        <f t="shared" ref="AQ88:AW88" si="175">AQ89+AQ92</f>
        <v>5040</v>
      </c>
      <c r="AR88" s="1186">
        <f t="shared" si="175"/>
        <v>40</v>
      </c>
      <c r="AS88" s="1186">
        <f t="shared" si="175"/>
        <v>5000</v>
      </c>
      <c r="AT88" s="1186">
        <f t="shared" si="175"/>
        <v>3840</v>
      </c>
      <c r="AU88" s="1186">
        <f t="shared" si="175"/>
        <v>1200</v>
      </c>
      <c r="AV88" s="1186">
        <f t="shared" si="175"/>
        <v>0</v>
      </c>
      <c r="AW88" s="1186">
        <f t="shared" si="175"/>
        <v>1200</v>
      </c>
      <c r="AX88" s="1182">
        <v>1380</v>
      </c>
      <c r="AY88" s="1186">
        <f t="shared" ref="AY88:BE88" si="176">AY89+AY92</f>
        <v>1980</v>
      </c>
      <c r="AZ88" s="1186">
        <f t="shared" si="176"/>
        <v>80</v>
      </c>
      <c r="BA88" s="1186">
        <f t="shared" si="176"/>
        <v>1900</v>
      </c>
      <c r="BB88" s="1186">
        <f t="shared" si="176"/>
        <v>1550</v>
      </c>
      <c r="BC88" s="1186">
        <f t="shared" si="176"/>
        <v>430</v>
      </c>
      <c r="BD88" s="1186">
        <f t="shared" si="176"/>
        <v>30</v>
      </c>
      <c r="BE88" s="1186">
        <f t="shared" si="176"/>
        <v>400</v>
      </c>
      <c r="BF88" s="1182">
        <v>1120</v>
      </c>
      <c r="BG88" s="1186">
        <f t="shared" ref="BG88:BM88" si="177">BG89+BG92</f>
        <v>1730</v>
      </c>
      <c r="BH88" s="1186">
        <f t="shared" si="177"/>
        <v>200</v>
      </c>
      <c r="BI88" s="1186">
        <f t="shared" si="177"/>
        <v>1530</v>
      </c>
      <c r="BJ88" s="1186">
        <f t="shared" si="177"/>
        <v>1230</v>
      </c>
      <c r="BK88" s="1186">
        <f t="shared" si="177"/>
        <v>500</v>
      </c>
      <c r="BL88" s="1186">
        <f t="shared" si="177"/>
        <v>0</v>
      </c>
      <c r="BM88" s="1186">
        <f t="shared" si="177"/>
        <v>500</v>
      </c>
      <c r="BN88" s="1182">
        <v>620</v>
      </c>
      <c r="BO88" s="1186">
        <f t="shared" ref="BO88:BU88" si="178">BO89+BO92</f>
        <v>740</v>
      </c>
      <c r="BP88" s="1186">
        <f t="shared" si="178"/>
        <v>80</v>
      </c>
      <c r="BQ88" s="1186">
        <f t="shared" si="178"/>
        <v>660</v>
      </c>
      <c r="BR88" s="1186">
        <f t="shared" si="178"/>
        <v>440</v>
      </c>
      <c r="BS88" s="1186">
        <f t="shared" si="178"/>
        <v>300</v>
      </c>
      <c r="BT88" s="1186">
        <f t="shared" si="178"/>
        <v>0</v>
      </c>
      <c r="BU88" s="1186">
        <f t="shared" si="178"/>
        <v>300</v>
      </c>
      <c r="BV88" s="1182">
        <v>1260</v>
      </c>
      <c r="BW88" s="1186">
        <f t="shared" ref="BW88:CC88" si="179">BW89+BW92</f>
        <v>1630</v>
      </c>
      <c r="BX88" s="1186">
        <f t="shared" si="179"/>
        <v>70</v>
      </c>
      <c r="BY88" s="1186">
        <f t="shared" si="179"/>
        <v>1560</v>
      </c>
      <c r="BZ88" s="1186">
        <f t="shared" si="179"/>
        <v>1530</v>
      </c>
      <c r="CA88" s="1186">
        <f t="shared" si="179"/>
        <v>100</v>
      </c>
      <c r="CB88" s="1186">
        <f t="shared" si="179"/>
        <v>0</v>
      </c>
      <c r="CC88" s="1186">
        <f t="shared" si="179"/>
        <v>100</v>
      </c>
      <c r="CD88" s="1182">
        <v>1650</v>
      </c>
      <c r="CE88" s="1186">
        <f t="shared" ref="CE88:CK88" si="180">CE89+CE92</f>
        <v>2420</v>
      </c>
      <c r="CF88" s="1186">
        <f t="shared" si="180"/>
        <v>120</v>
      </c>
      <c r="CG88" s="1186">
        <f t="shared" si="180"/>
        <v>2300</v>
      </c>
      <c r="CH88" s="1186">
        <f t="shared" si="180"/>
        <v>1920</v>
      </c>
      <c r="CI88" s="1186">
        <f t="shared" si="180"/>
        <v>500</v>
      </c>
      <c r="CJ88" s="1186">
        <f t="shared" si="180"/>
        <v>0</v>
      </c>
      <c r="CK88" s="1186">
        <f t="shared" si="180"/>
        <v>500</v>
      </c>
      <c r="CL88" s="1182">
        <v>360</v>
      </c>
      <c r="CM88" s="1186">
        <f t="shared" ref="CM88:CS88" si="181">CM89+CM92</f>
        <v>600</v>
      </c>
      <c r="CN88" s="1186">
        <f t="shared" si="181"/>
        <v>30</v>
      </c>
      <c r="CO88" s="1186">
        <f t="shared" si="181"/>
        <v>570</v>
      </c>
      <c r="CP88" s="1186">
        <f t="shared" si="181"/>
        <v>490</v>
      </c>
      <c r="CQ88" s="1186">
        <f t="shared" si="181"/>
        <v>110</v>
      </c>
      <c r="CR88" s="1186">
        <f t="shared" si="181"/>
        <v>10</v>
      </c>
      <c r="CS88" s="1186">
        <f t="shared" si="181"/>
        <v>100</v>
      </c>
      <c r="CZ88" s="1124"/>
      <c r="DA88" s="1124"/>
      <c r="DB88" s="1124"/>
      <c r="DC88" s="1124"/>
      <c r="DD88" s="1124"/>
    </row>
    <row r="89" spans="1:108" ht="16.5" customHeight="1">
      <c r="A89" s="1183" t="s">
        <v>45</v>
      </c>
      <c r="B89" s="1167" t="s">
        <v>580</v>
      </c>
      <c r="C89" s="1184" t="s">
        <v>581</v>
      </c>
      <c r="D89" s="1185"/>
      <c r="E89" s="1185"/>
      <c r="F89" s="1185"/>
      <c r="G89" s="1185"/>
      <c r="H89" s="1169"/>
      <c r="I89" s="1169">
        <f t="shared" si="170"/>
        <v>16000</v>
      </c>
      <c r="J89" s="1195"/>
      <c r="K89" s="1169">
        <f t="shared" si="171"/>
        <v>30000</v>
      </c>
      <c r="L89" s="1169">
        <f t="shared" si="171"/>
        <v>9400</v>
      </c>
      <c r="M89" s="1169">
        <f t="shared" si="171"/>
        <v>20600</v>
      </c>
      <c r="N89" s="1169">
        <f>N90+N91</f>
        <v>30000</v>
      </c>
      <c r="O89" s="1169">
        <f t="shared" ref="O89:O103" si="182">K89-N89</f>
        <v>0</v>
      </c>
      <c r="P89" s="1169">
        <f t="shared" ref="P89:P102" si="183">O89-Q89</f>
        <v>0</v>
      </c>
      <c r="Q89" s="1169">
        <f t="shared" ref="Q89:Q103" si="184">Y89+AG89+AO89+AW89+BE89+BM89+BU89+CC89+CK89+CS89</f>
        <v>0</v>
      </c>
      <c r="R89" s="1186">
        <v>8270</v>
      </c>
      <c r="S89" s="1200">
        <f>T89+U89</f>
        <v>16400</v>
      </c>
      <c r="T89" s="1200">
        <f t="shared" ref="T89:Y89" si="185">T90+T91</f>
        <v>9400</v>
      </c>
      <c r="U89" s="1200">
        <f t="shared" si="185"/>
        <v>7000</v>
      </c>
      <c r="V89" s="1200">
        <f t="shared" si="185"/>
        <v>16400</v>
      </c>
      <c r="W89" s="1200">
        <f t="shared" si="185"/>
        <v>0</v>
      </c>
      <c r="X89" s="1200">
        <f t="shared" si="185"/>
        <v>0</v>
      </c>
      <c r="Y89" s="1200">
        <f t="shared" si="185"/>
        <v>0</v>
      </c>
      <c r="Z89" s="1182">
        <v>800</v>
      </c>
      <c r="AA89" s="1200">
        <f t="shared" ref="AA89:AA103" si="186">AB89+AC89</f>
        <v>2300</v>
      </c>
      <c r="AB89" s="1200">
        <f t="shared" ref="AB89:AG89" si="187">AB90+AB91</f>
        <v>0</v>
      </c>
      <c r="AC89" s="1200">
        <f t="shared" si="187"/>
        <v>2300</v>
      </c>
      <c r="AD89" s="1200">
        <f t="shared" si="187"/>
        <v>2300</v>
      </c>
      <c r="AE89" s="1200">
        <f t="shared" si="187"/>
        <v>0</v>
      </c>
      <c r="AF89" s="1200">
        <f t="shared" si="187"/>
        <v>0</v>
      </c>
      <c r="AG89" s="1200">
        <f t="shared" si="187"/>
        <v>0</v>
      </c>
      <c r="AH89" s="1182">
        <v>700</v>
      </c>
      <c r="AI89" s="1403">
        <f t="shared" ref="AI89:AI103" si="188">AJ89+AK89</f>
        <v>2000</v>
      </c>
      <c r="AJ89" s="1403">
        <f t="shared" ref="AJ89:AO89" si="189">AJ90+AJ91</f>
        <v>0</v>
      </c>
      <c r="AK89" s="1403">
        <f t="shared" si="189"/>
        <v>2000</v>
      </c>
      <c r="AL89" s="1200">
        <f t="shared" si="189"/>
        <v>2000</v>
      </c>
      <c r="AM89" s="1200">
        <f t="shared" si="189"/>
        <v>0</v>
      </c>
      <c r="AN89" s="1200">
        <f t="shared" si="189"/>
        <v>0</v>
      </c>
      <c r="AO89" s="1200">
        <f t="shared" si="189"/>
        <v>0</v>
      </c>
      <c r="AP89" s="1182">
        <v>3500</v>
      </c>
      <c r="AQ89" s="1200">
        <f t="shared" ref="AQ89:AQ103" si="190">AR89+AS89</f>
        <v>3500</v>
      </c>
      <c r="AR89" s="1200">
        <f t="shared" ref="AR89:AW89" si="191">AR90+AR91</f>
        <v>0</v>
      </c>
      <c r="AS89" s="1200">
        <f t="shared" si="191"/>
        <v>3500</v>
      </c>
      <c r="AT89" s="1200">
        <f t="shared" si="191"/>
        <v>3500</v>
      </c>
      <c r="AU89" s="1200">
        <f t="shared" si="191"/>
        <v>0</v>
      </c>
      <c r="AV89" s="1200">
        <f t="shared" si="191"/>
        <v>0</v>
      </c>
      <c r="AW89" s="1200">
        <f t="shared" si="191"/>
        <v>0</v>
      </c>
      <c r="AX89" s="1182">
        <v>700</v>
      </c>
      <c r="AY89" s="1200">
        <f t="shared" ref="AY89:AY103" si="192">AZ89+BA89</f>
        <v>1400</v>
      </c>
      <c r="AZ89" s="1200">
        <f t="shared" ref="AZ89:BE89" si="193">AZ90+AZ91</f>
        <v>0</v>
      </c>
      <c r="BA89" s="1200">
        <f t="shared" si="193"/>
        <v>1400</v>
      </c>
      <c r="BB89" s="1200">
        <f t="shared" si="193"/>
        <v>1400</v>
      </c>
      <c r="BC89" s="1200">
        <f t="shared" si="193"/>
        <v>0</v>
      </c>
      <c r="BD89" s="1200">
        <f t="shared" si="193"/>
        <v>0</v>
      </c>
      <c r="BE89" s="1200">
        <f t="shared" si="193"/>
        <v>0</v>
      </c>
      <c r="BF89" s="1182">
        <v>500</v>
      </c>
      <c r="BG89" s="1200">
        <f t="shared" ref="BG89:BG103" si="194">BH89+BI89</f>
        <v>1000</v>
      </c>
      <c r="BH89" s="1200">
        <f t="shared" ref="BH89:BM89" si="195">BH90+BH91</f>
        <v>0</v>
      </c>
      <c r="BI89" s="1200">
        <f t="shared" si="195"/>
        <v>1000</v>
      </c>
      <c r="BJ89" s="1200">
        <f t="shared" si="195"/>
        <v>1000</v>
      </c>
      <c r="BK89" s="1200">
        <f t="shared" si="195"/>
        <v>0</v>
      </c>
      <c r="BL89" s="1200">
        <f t="shared" si="195"/>
        <v>0</v>
      </c>
      <c r="BM89" s="1200">
        <f t="shared" si="195"/>
        <v>0</v>
      </c>
      <c r="BN89" s="1182">
        <v>200</v>
      </c>
      <c r="BO89" s="1200">
        <f t="shared" ref="BO89:BO103" si="196">BP89+BQ89</f>
        <v>300</v>
      </c>
      <c r="BP89" s="1200">
        <f t="shared" ref="BP89:BU89" si="197">BP90+BP91</f>
        <v>0</v>
      </c>
      <c r="BQ89" s="1200">
        <f t="shared" si="197"/>
        <v>300</v>
      </c>
      <c r="BR89" s="1200">
        <f t="shared" si="197"/>
        <v>300</v>
      </c>
      <c r="BS89" s="1200">
        <f t="shared" si="197"/>
        <v>0</v>
      </c>
      <c r="BT89" s="1200">
        <f t="shared" si="197"/>
        <v>0</v>
      </c>
      <c r="BU89" s="1200">
        <f t="shared" si="197"/>
        <v>0</v>
      </c>
      <c r="BV89" s="1182">
        <v>800</v>
      </c>
      <c r="BW89" s="1200">
        <f t="shared" ref="BW89:BW103" si="198">BX89+BY89</f>
        <v>1400</v>
      </c>
      <c r="BX89" s="1200">
        <f t="shared" ref="BX89:CC89" si="199">BX90+BX91</f>
        <v>0</v>
      </c>
      <c r="BY89" s="1200">
        <f t="shared" si="199"/>
        <v>1400</v>
      </c>
      <c r="BZ89" s="1200">
        <f t="shared" si="199"/>
        <v>1400</v>
      </c>
      <c r="CA89" s="1200">
        <f t="shared" si="199"/>
        <v>0</v>
      </c>
      <c r="CB89" s="1200">
        <f t="shared" si="199"/>
        <v>0</v>
      </c>
      <c r="CC89" s="1200">
        <f t="shared" si="199"/>
        <v>0</v>
      </c>
      <c r="CD89" s="1182">
        <v>500</v>
      </c>
      <c r="CE89" s="1200">
        <f t="shared" ref="CE89:CE103" si="200">CF89+CG89</f>
        <v>1300</v>
      </c>
      <c r="CF89" s="1200">
        <f t="shared" ref="CF89:CK89" si="201">CF90+CF91</f>
        <v>0</v>
      </c>
      <c r="CG89" s="1200">
        <f t="shared" si="201"/>
        <v>1300</v>
      </c>
      <c r="CH89" s="1200">
        <f t="shared" si="201"/>
        <v>1300</v>
      </c>
      <c r="CI89" s="1200">
        <f t="shared" si="201"/>
        <v>0</v>
      </c>
      <c r="CJ89" s="1200">
        <f t="shared" si="201"/>
        <v>0</v>
      </c>
      <c r="CK89" s="1200">
        <f t="shared" si="201"/>
        <v>0</v>
      </c>
      <c r="CL89" s="1182">
        <v>30</v>
      </c>
      <c r="CM89" s="1200">
        <f t="shared" ref="CM89:CM103" si="202">CN89+CO89</f>
        <v>400</v>
      </c>
      <c r="CN89" s="1200">
        <f t="shared" ref="CN89:CS89" si="203">CN90+CN91</f>
        <v>0</v>
      </c>
      <c r="CO89" s="1200">
        <f t="shared" si="203"/>
        <v>400</v>
      </c>
      <c r="CP89" s="1200">
        <f t="shared" si="203"/>
        <v>400</v>
      </c>
      <c r="CQ89" s="1200">
        <f t="shared" si="203"/>
        <v>0</v>
      </c>
      <c r="CR89" s="1200">
        <f t="shared" si="203"/>
        <v>0</v>
      </c>
      <c r="CS89" s="1200">
        <f t="shared" si="203"/>
        <v>0</v>
      </c>
      <c r="CZ89" s="1124"/>
      <c r="DA89" s="1124"/>
      <c r="DB89" s="1124"/>
      <c r="DC89" s="1124"/>
      <c r="DD89" s="1124"/>
    </row>
    <row r="90" spans="1:108" ht="16.5" customHeight="1">
      <c r="A90" s="1183" t="s">
        <v>23</v>
      </c>
      <c r="B90" s="1167" t="s">
        <v>427</v>
      </c>
      <c r="C90" s="1180" t="s">
        <v>582</v>
      </c>
      <c r="D90" s="1185">
        <v>1</v>
      </c>
      <c r="E90" s="1185"/>
      <c r="F90" s="1185"/>
      <c r="G90" s="1185"/>
      <c r="H90" s="1169"/>
      <c r="I90" s="1169">
        <f t="shared" si="170"/>
        <v>16000</v>
      </c>
      <c r="J90" s="1195"/>
      <c r="K90" s="1169">
        <f t="shared" si="171"/>
        <v>30000</v>
      </c>
      <c r="L90" s="1169">
        <f t="shared" si="171"/>
        <v>9400</v>
      </c>
      <c r="M90" s="1169">
        <f t="shared" si="171"/>
        <v>20600</v>
      </c>
      <c r="N90" s="1169">
        <f>K90*100%</f>
        <v>30000</v>
      </c>
      <c r="O90" s="1169">
        <f t="shared" si="182"/>
        <v>0</v>
      </c>
      <c r="P90" s="1169">
        <f t="shared" si="183"/>
        <v>0</v>
      </c>
      <c r="Q90" s="1169">
        <f t="shared" si="184"/>
        <v>0</v>
      </c>
      <c r="R90" s="1186">
        <v>8270</v>
      </c>
      <c r="S90" s="1200">
        <f t="shared" ref="S90:S102" si="204">T90+U90</f>
        <v>16400</v>
      </c>
      <c r="T90" s="1169">
        <v>9400</v>
      </c>
      <c r="U90" s="1169">
        <v>7000</v>
      </c>
      <c r="V90" s="1169">
        <f>S90*100%</f>
        <v>16400</v>
      </c>
      <c r="W90" s="1169"/>
      <c r="X90" s="1169"/>
      <c r="Y90" s="1169"/>
      <c r="Z90" s="1182">
        <v>800</v>
      </c>
      <c r="AA90" s="1200">
        <f t="shared" si="186"/>
        <v>2300</v>
      </c>
      <c r="AB90" s="1169">
        <v>0</v>
      </c>
      <c r="AC90" s="1169">
        <v>2300</v>
      </c>
      <c r="AD90" s="1169">
        <f>AA90*100%</f>
        <v>2300</v>
      </c>
      <c r="AE90" s="1169"/>
      <c r="AF90" s="1169"/>
      <c r="AG90" s="1169"/>
      <c r="AH90" s="1182">
        <v>700</v>
      </c>
      <c r="AI90" s="1403">
        <f t="shared" si="188"/>
        <v>2000</v>
      </c>
      <c r="AJ90" s="1399">
        <v>0</v>
      </c>
      <c r="AK90" s="1399">
        <v>2000</v>
      </c>
      <c r="AL90" s="1169">
        <f>AI90*100%</f>
        <v>2000</v>
      </c>
      <c r="AM90" s="1169"/>
      <c r="AN90" s="1169"/>
      <c r="AO90" s="1169"/>
      <c r="AP90" s="1182">
        <v>3500</v>
      </c>
      <c r="AQ90" s="1200">
        <f t="shared" si="190"/>
        <v>3500</v>
      </c>
      <c r="AR90" s="1169">
        <v>0</v>
      </c>
      <c r="AS90" s="1169">
        <v>3500</v>
      </c>
      <c r="AT90" s="1169">
        <f>AQ90*100%</f>
        <v>3500</v>
      </c>
      <c r="AU90" s="1169"/>
      <c r="AV90" s="1169"/>
      <c r="AW90" s="1169"/>
      <c r="AX90" s="1182">
        <v>700</v>
      </c>
      <c r="AY90" s="1200">
        <f t="shared" si="192"/>
        <v>1400</v>
      </c>
      <c r="AZ90" s="1169">
        <v>0</v>
      </c>
      <c r="BA90" s="1169">
        <v>1400</v>
      </c>
      <c r="BB90" s="1169">
        <f>AY90*100%</f>
        <v>1400</v>
      </c>
      <c r="BC90" s="1169"/>
      <c r="BD90" s="1169"/>
      <c r="BE90" s="1169"/>
      <c r="BF90" s="1182">
        <v>500</v>
      </c>
      <c r="BG90" s="1200">
        <f t="shared" si="194"/>
        <v>1000</v>
      </c>
      <c r="BH90" s="1169">
        <v>0</v>
      </c>
      <c r="BI90" s="1169">
        <v>1000</v>
      </c>
      <c r="BJ90" s="1169">
        <f>BG90*100%</f>
        <v>1000</v>
      </c>
      <c r="BK90" s="1169"/>
      <c r="BL90" s="1169"/>
      <c r="BM90" s="1169"/>
      <c r="BN90" s="1182">
        <v>200</v>
      </c>
      <c r="BO90" s="1200">
        <f t="shared" si="196"/>
        <v>300</v>
      </c>
      <c r="BP90" s="1169">
        <v>0</v>
      </c>
      <c r="BQ90" s="1169">
        <v>300</v>
      </c>
      <c r="BR90" s="1169">
        <f>BO90*100%</f>
        <v>300</v>
      </c>
      <c r="BS90" s="1169"/>
      <c r="BT90" s="1169"/>
      <c r="BU90" s="1169"/>
      <c r="BV90" s="1182">
        <v>800</v>
      </c>
      <c r="BW90" s="1200">
        <f t="shared" si="198"/>
        <v>1400</v>
      </c>
      <c r="BX90" s="1169">
        <v>0</v>
      </c>
      <c r="BY90" s="1169">
        <v>1400</v>
      </c>
      <c r="BZ90" s="1169">
        <f>BW90*100%</f>
        <v>1400</v>
      </c>
      <c r="CA90" s="1169"/>
      <c r="CB90" s="1169"/>
      <c r="CC90" s="1169"/>
      <c r="CD90" s="1182">
        <v>500</v>
      </c>
      <c r="CE90" s="1200">
        <f t="shared" si="200"/>
        <v>1300</v>
      </c>
      <c r="CF90" s="1169">
        <v>0</v>
      </c>
      <c r="CG90" s="1169">
        <v>1300</v>
      </c>
      <c r="CH90" s="1169">
        <f>CE90*100%</f>
        <v>1300</v>
      </c>
      <c r="CI90" s="1169"/>
      <c r="CJ90" s="1169"/>
      <c r="CK90" s="1169"/>
      <c r="CL90" s="1182">
        <v>30</v>
      </c>
      <c r="CM90" s="1200">
        <f t="shared" si="202"/>
        <v>400</v>
      </c>
      <c r="CN90" s="1169">
        <v>0</v>
      </c>
      <c r="CO90" s="1169">
        <v>400</v>
      </c>
      <c r="CP90" s="1169">
        <f>CM90*100%</f>
        <v>400</v>
      </c>
      <c r="CQ90" s="1169">
        <f>CR90+CS90</f>
        <v>0</v>
      </c>
      <c r="CR90" s="1169"/>
      <c r="CS90" s="1169"/>
      <c r="CZ90" s="1124"/>
      <c r="DA90" s="1124"/>
      <c r="DB90" s="1124"/>
      <c r="DC90" s="1124"/>
      <c r="DD90" s="1124"/>
    </row>
    <row r="91" spans="1:108" ht="16.5" customHeight="1">
      <c r="A91" s="1183" t="s">
        <v>23</v>
      </c>
      <c r="B91" s="1167" t="s">
        <v>428</v>
      </c>
      <c r="C91" s="1184" t="s">
        <v>583</v>
      </c>
      <c r="D91" s="1185"/>
      <c r="E91" s="1185"/>
      <c r="F91" s="1185">
        <v>1</v>
      </c>
      <c r="G91" s="1185">
        <v>1</v>
      </c>
      <c r="H91" s="1169"/>
      <c r="I91" s="1169">
        <f t="shared" si="170"/>
        <v>0</v>
      </c>
      <c r="J91" s="1195"/>
      <c r="K91" s="1169">
        <f t="shared" si="171"/>
        <v>0</v>
      </c>
      <c r="L91" s="1169">
        <f t="shared" si="171"/>
        <v>0</v>
      </c>
      <c r="M91" s="1169">
        <f t="shared" si="171"/>
        <v>0</v>
      </c>
      <c r="N91" s="1169"/>
      <c r="O91" s="1169">
        <f t="shared" si="182"/>
        <v>0</v>
      </c>
      <c r="P91" s="1169">
        <f t="shared" si="183"/>
        <v>0</v>
      </c>
      <c r="Q91" s="1169">
        <f t="shared" si="184"/>
        <v>0</v>
      </c>
      <c r="R91" s="1186">
        <v>0</v>
      </c>
      <c r="S91" s="1200">
        <f t="shared" si="204"/>
        <v>0</v>
      </c>
      <c r="T91" s="1169">
        <v>0</v>
      </c>
      <c r="U91" s="1169">
        <v>0</v>
      </c>
      <c r="V91" s="1169"/>
      <c r="W91" s="1169">
        <f>X91+Y91</f>
        <v>0</v>
      </c>
      <c r="X91" s="1169">
        <f>T91*100%</f>
        <v>0</v>
      </c>
      <c r="Y91" s="1169">
        <f>U91*100%</f>
        <v>0</v>
      </c>
      <c r="Z91" s="1182">
        <v>0</v>
      </c>
      <c r="AA91" s="1200">
        <f t="shared" si="186"/>
        <v>0</v>
      </c>
      <c r="AB91" s="1169">
        <v>0</v>
      </c>
      <c r="AC91" s="1169">
        <v>0</v>
      </c>
      <c r="AD91" s="1169"/>
      <c r="AE91" s="1169">
        <f>AF91+AG91</f>
        <v>0</v>
      </c>
      <c r="AF91" s="1169">
        <f>AB91*100%</f>
        <v>0</v>
      </c>
      <c r="AG91" s="1169">
        <f>AC91*100%</f>
        <v>0</v>
      </c>
      <c r="AH91" s="1182">
        <v>0</v>
      </c>
      <c r="AI91" s="1403">
        <f t="shared" si="188"/>
        <v>0</v>
      </c>
      <c r="AJ91" s="1399">
        <v>0</v>
      </c>
      <c r="AK91" s="1399">
        <v>0</v>
      </c>
      <c r="AL91" s="1169"/>
      <c r="AM91" s="1169">
        <f>AN91+AO91</f>
        <v>0</v>
      </c>
      <c r="AN91" s="1169"/>
      <c r="AO91" s="1169">
        <f>AK91*100%</f>
        <v>0</v>
      </c>
      <c r="AP91" s="1182">
        <v>0</v>
      </c>
      <c r="AQ91" s="1200">
        <f t="shared" si="190"/>
        <v>0</v>
      </c>
      <c r="AR91" s="1169">
        <v>0</v>
      </c>
      <c r="AS91" s="1169">
        <v>0</v>
      </c>
      <c r="AT91" s="1169"/>
      <c r="AU91" s="1169">
        <f>AV91+AW91</f>
        <v>0</v>
      </c>
      <c r="AV91" s="1169"/>
      <c r="AW91" s="1169">
        <f>AS91*100%</f>
        <v>0</v>
      </c>
      <c r="AX91" s="1182">
        <v>0</v>
      </c>
      <c r="AY91" s="1200">
        <f t="shared" si="192"/>
        <v>0</v>
      </c>
      <c r="AZ91" s="1169">
        <v>0</v>
      </c>
      <c r="BA91" s="1169">
        <v>0</v>
      </c>
      <c r="BB91" s="1169"/>
      <c r="BC91" s="1169">
        <f>BD91+BE91</f>
        <v>0</v>
      </c>
      <c r="BD91" s="1169"/>
      <c r="BE91" s="1169">
        <f>BA91*100%</f>
        <v>0</v>
      </c>
      <c r="BF91" s="1182">
        <v>0</v>
      </c>
      <c r="BG91" s="1200">
        <f t="shared" si="194"/>
        <v>0</v>
      </c>
      <c r="BH91" s="1169">
        <v>0</v>
      </c>
      <c r="BI91" s="1169">
        <v>0</v>
      </c>
      <c r="BJ91" s="1169"/>
      <c r="BK91" s="1169">
        <f>BL91+BM91</f>
        <v>0</v>
      </c>
      <c r="BL91" s="1169"/>
      <c r="BM91" s="1169">
        <f>BI91*100%</f>
        <v>0</v>
      </c>
      <c r="BN91" s="1182">
        <v>0</v>
      </c>
      <c r="BO91" s="1200">
        <f t="shared" si="196"/>
        <v>0</v>
      </c>
      <c r="BP91" s="1169">
        <v>0</v>
      </c>
      <c r="BQ91" s="1169">
        <v>0</v>
      </c>
      <c r="BR91" s="1169"/>
      <c r="BS91" s="1169">
        <f>BT91+BU91</f>
        <v>0</v>
      </c>
      <c r="BT91" s="1169"/>
      <c r="BU91" s="1169">
        <f>BQ91*100%</f>
        <v>0</v>
      </c>
      <c r="BV91" s="1182">
        <v>0</v>
      </c>
      <c r="BW91" s="1200">
        <f t="shared" si="198"/>
        <v>0</v>
      </c>
      <c r="BX91" s="1169">
        <v>0</v>
      </c>
      <c r="BY91" s="1169">
        <v>0</v>
      </c>
      <c r="BZ91" s="1169"/>
      <c r="CA91" s="1169">
        <f>CB91+CC91</f>
        <v>0</v>
      </c>
      <c r="CB91" s="1169"/>
      <c r="CC91" s="1169">
        <f>BY91*100%</f>
        <v>0</v>
      </c>
      <c r="CD91" s="1182">
        <v>0</v>
      </c>
      <c r="CE91" s="1200">
        <f t="shared" si="200"/>
        <v>0</v>
      </c>
      <c r="CF91" s="1169">
        <v>0</v>
      </c>
      <c r="CG91" s="1169">
        <v>0</v>
      </c>
      <c r="CH91" s="1169"/>
      <c r="CI91" s="1169">
        <f>CJ91+CK91</f>
        <v>0</v>
      </c>
      <c r="CJ91" s="1169"/>
      <c r="CK91" s="1169">
        <f>CG91*100%</f>
        <v>0</v>
      </c>
      <c r="CL91" s="1182">
        <v>0</v>
      </c>
      <c r="CM91" s="1200">
        <f t="shared" si="202"/>
        <v>0</v>
      </c>
      <c r="CN91" s="1169">
        <v>0</v>
      </c>
      <c r="CO91" s="1169">
        <v>0</v>
      </c>
      <c r="CP91" s="1169"/>
      <c r="CQ91" s="1169">
        <f>CR91+CS91</f>
        <v>0</v>
      </c>
      <c r="CR91" s="1169"/>
      <c r="CS91" s="1169">
        <f>CO91*100%</f>
        <v>0</v>
      </c>
      <c r="CZ91" s="1124"/>
      <c r="DA91" s="1124"/>
      <c r="DB91" s="1124"/>
      <c r="DC91" s="1124"/>
      <c r="DD91" s="1124"/>
    </row>
    <row r="92" spans="1:108" ht="15.75" customHeight="1">
      <c r="A92" s="1183" t="s">
        <v>47</v>
      </c>
      <c r="B92" s="1167" t="s">
        <v>584</v>
      </c>
      <c r="C92" s="1180" t="s">
        <v>585</v>
      </c>
      <c r="D92" s="1185"/>
      <c r="E92" s="1185"/>
      <c r="F92" s="1185"/>
      <c r="G92" s="1185"/>
      <c r="H92" s="1169"/>
      <c r="I92" s="1169">
        <f t="shared" si="170"/>
        <v>13200</v>
      </c>
      <c r="J92" s="1195"/>
      <c r="K92" s="1169">
        <f t="shared" si="171"/>
        <v>15000</v>
      </c>
      <c r="L92" s="1169">
        <f t="shared" si="171"/>
        <v>4530</v>
      </c>
      <c r="M92" s="1169">
        <f t="shared" si="171"/>
        <v>10470</v>
      </c>
      <c r="N92" s="1169">
        <f>N93+N94</f>
        <v>5000</v>
      </c>
      <c r="O92" s="1169">
        <f t="shared" si="182"/>
        <v>10000</v>
      </c>
      <c r="P92" s="1169">
        <f t="shared" si="183"/>
        <v>3150</v>
      </c>
      <c r="Q92" s="1169">
        <f t="shared" si="184"/>
        <v>6850</v>
      </c>
      <c r="R92" s="1186">
        <v>6460</v>
      </c>
      <c r="S92" s="1200">
        <f>T92+U92</f>
        <v>8500</v>
      </c>
      <c r="T92" s="1200">
        <f t="shared" ref="T92:Y92" si="205">T93+T94</f>
        <v>3600</v>
      </c>
      <c r="U92" s="1200">
        <f t="shared" si="205"/>
        <v>4900</v>
      </c>
      <c r="V92" s="1200">
        <f t="shared" si="205"/>
        <v>2560</v>
      </c>
      <c r="W92" s="1200">
        <f t="shared" si="205"/>
        <v>5940</v>
      </c>
      <c r="X92" s="1200">
        <f t="shared" si="205"/>
        <v>3040</v>
      </c>
      <c r="Y92" s="1200">
        <f t="shared" si="205"/>
        <v>2900</v>
      </c>
      <c r="Z92" s="1182">
        <v>1000</v>
      </c>
      <c r="AA92" s="1200">
        <f t="shared" si="186"/>
        <v>1120</v>
      </c>
      <c r="AB92" s="1200">
        <f t="shared" ref="AB92:AG92" si="206">AB93+AB94</f>
        <v>220</v>
      </c>
      <c r="AC92" s="1200">
        <f t="shared" si="206"/>
        <v>900</v>
      </c>
      <c r="AD92" s="1200">
        <f t="shared" si="206"/>
        <v>520</v>
      </c>
      <c r="AE92" s="1200">
        <f t="shared" si="206"/>
        <v>600</v>
      </c>
      <c r="AF92" s="1200">
        <f t="shared" si="206"/>
        <v>0</v>
      </c>
      <c r="AG92" s="1200">
        <f t="shared" si="206"/>
        <v>600</v>
      </c>
      <c r="AH92" s="1182">
        <v>500</v>
      </c>
      <c r="AI92" s="1403">
        <f t="shared" si="188"/>
        <v>540</v>
      </c>
      <c r="AJ92" s="1403">
        <f t="shared" ref="AJ92:AO92" si="207">AJ93+AJ94</f>
        <v>90</v>
      </c>
      <c r="AK92" s="1403">
        <f t="shared" si="207"/>
        <v>450</v>
      </c>
      <c r="AL92" s="1200">
        <f t="shared" si="207"/>
        <v>220</v>
      </c>
      <c r="AM92" s="1200">
        <f t="shared" si="207"/>
        <v>320</v>
      </c>
      <c r="AN92" s="1200">
        <f t="shared" si="207"/>
        <v>70</v>
      </c>
      <c r="AO92" s="1200">
        <f t="shared" si="207"/>
        <v>250</v>
      </c>
      <c r="AP92" s="1182">
        <v>1580</v>
      </c>
      <c r="AQ92" s="1200">
        <f t="shared" si="190"/>
        <v>1540</v>
      </c>
      <c r="AR92" s="1200">
        <f t="shared" ref="AR92:AW92" si="208">AR93+AR94</f>
        <v>40</v>
      </c>
      <c r="AS92" s="1200">
        <f t="shared" si="208"/>
        <v>1500</v>
      </c>
      <c r="AT92" s="1200">
        <f t="shared" si="208"/>
        <v>340</v>
      </c>
      <c r="AU92" s="1200">
        <f t="shared" si="208"/>
        <v>1200</v>
      </c>
      <c r="AV92" s="1200">
        <f t="shared" si="208"/>
        <v>0</v>
      </c>
      <c r="AW92" s="1200">
        <f t="shared" si="208"/>
        <v>1200</v>
      </c>
      <c r="AX92" s="1182">
        <v>680</v>
      </c>
      <c r="AY92" s="1200">
        <f t="shared" si="192"/>
        <v>580</v>
      </c>
      <c r="AZ92" s="1200">
        <f t="shared" ref="AZ92:BE92" si="209">AZ93+AZ94</f>
        <v>80</v>
      </c>
      <c r="BA92" s="1200">
        <f t="shared" si="209"/>
        <v>500</v>
      </c>
      <c r="BB92" s="1200">
        <f t="shared" si="209"/>
        <v>150</v>
      </c>
      <c r="BC92" s="1200">
        <f t="shared" si="209"/>
        <v>430</v>
      </c>
      <c r="BD92" s="1200">
        <f t="shared" si="209"/>
        <v>30</v>
      </c>
      <c r="BE92" s="1200">
        <f t="shared" si="209"/>
        <v>400</v>
      </c>
      <c r="BF92" s="1182">
        <v>620</v>
      </c>
      <c r="BG92" s="1200">
        <f t="shared" si="194"/>
        <v>730</v>
      </c>
      <c r="BH92" s="1200">
        <f t="shared" ref="BH92:BM92" si="210">BH93+BH94</f>
        <v>200</v>
      </c>
      <c r="BI92" s="1200">
        <f t="shared" si="210"/>
        <v>530</v>
      </c>
      <c r="BJ92" s="1200">
        <f t="shared" si="210"/>
        <v>230</v>
      </c>
      <c r="BK92" s="1200">
        <f t="shared" si="210"/>
        <v>500</v>
      </c>
      <c r="BL92" s="1200">
        <f t="shared" si="210"/>
        <v>0</v>
      </c>
      <c r="BM92" s="1200">
        <f t="shared" si="210"/>
        <v>500</v>
      </c>
      <c r="BN92" s="1182">
        <v>420</v>
      </c>
      <c r="BO92" s="1200">
        <f t="shared" si="196"/>
        <v>440</v>
      </c>
      <c r="BP92" s="1200">
        <f t="shared" ref="BP92:BU92" si="211">BP93+BP94</f>
        <v>80</v>
      </c>
      <c r="BQ92" s="1200">
        <f t="shared" si="211"/>
        <v>360</v>
      </c>
      <c r="BR92" s="1200">
        <f t="shared" si="211"/>
        <v>140</v>
      </c>
      <c r="BS92" s="1200">
        <f t="shared" si="211"/>
        <v>300</v>
      </c>
      <c r="BT92" s="1200">
        <f t="shared" si="211"/>
        <v>0</v>
      </c>
      <c r="BU92" s="1200">
        <f t="shared" si="211"/>
        <v>300</v>
      </c>
      <c r="BV92" s="1182">
        <v>460</v>
      </c>
      <c r="BW92" s="1200">
        <f t="shared" si="198"/>
        <v>230</v>
      </c>
      <c r="BX92" s="1200">
        <f t="shared" ref="BX92:CC92" si="212">BX93+BX94</f>
        <v>70</v>
      </c>
      <c r="BY92" s="1200">
        <f t="shared" si="212"/>
        <v>160</v>
      </c>
      <c r="BZ92" s="1200">
        <f t="shared" si="212"/>
        <v>130</v>
      </c>
      <c r="CA92" s="1200">
        <f t="shared" si="212"/>
        <v>100</v>
      </c>
      <c r="CB92" s="1200">
        <f t="shared" si="212"/>
        <v>0</v>
      </c>
      <c r="CC92" s="1200">
        <f t="shared" si="212"/>
        <v>100</v>
      </c>
      <c r="CD92" s="1182">
        <v>1150</v>
      </c>
      <c r="CE92" s="1200">
        <f t="shared" si="200"/>
        <v>1120</v>
      </c>
      <c r="CF92" s="1200">
        <f t="shared" ref="CF92:CK92" si="213">CF93+CF94</f>
        <v>120</v>
      </c>
      <c r="CG92" s="1200">
        <f t="shared" si="213"/>
        <v>1000</v>
      </c>
      <c r="CH92" s="1200">
        <f t="shared" si="213"/>
        <v>620</v>
      </c>
      <c r="CI92" s="1200">
        <f t="shared" si="213"/>
        <v>500</v>
      </c>
      <c r="CJ92" s="1200">
        <f t="shared" si="213"/>
        <v>0</v>
      </c>
      <c r="CK92" s="1200">
        <f t="shared" si="213"/>
        <v>500</v>
      </c>
      <c r="CL92" s="1182">
        <v>330</v>
      </c>
      <c r="CM92" s="1200">
        <f t="shared" si="202"/>
        <v>200</v>
      </c>
      <c r="CN92" s="1200">
        <f t="shared" ref="CN92:CS92" si="214">CN93+CN94</f>
        <v>30</v>
      </c>
      <c r="CO92" s="1200">
        <f t="shared" si="214"/>
        <v>170</v>
      </c>
      <c r="CP92" s="1200">
        <f t="shared" si="214"/>
        <v>90</v>
      </c>
      <c r="CQ92" s="1200">
        <f t="shared" si="214"/>
        <v>110</v>
      </c>
      <c r="CR92" s="1200">
        <f t="shared" si="214"/>
        <v>10</v>
      </c>
      <c r="CS92" s="1200">
        <f t="shared" si="214"/>
        <v>100</v>
      </c>
      <c r="CZ92" s="1124"/>
      <c r="DA92" s="1124"/>
      <c r="DB92" s="1124"/>
      <c r="DC92" s="1124"/>
      <c r="DD92" s="1124"/>
    </row>
    <row r="93" spans="1:108" ht="16.5" customHeight="1">
      <c r="A93" s="1183" t="s">
        <v>23</v>
      </c>
      <c r="B93" s="1167" t="s">
        <v>427</v>
      </c>
      <c r="C93" s="1184" t="s">
        <v>586</v>
      </c>
      <c r="D93" s="1185">
        <v>1</v>
      </c>
      <c r="E93" s="1185"/>
      <c r="F93" s="1185"/>
      <c r="G93" s="1185"/>
      <c r="H93" s="1169"/>
      <c r="I93" s="1169">
        <f t="shared" si="170"/>
        <v>5000</v>
      </c>
      <c r="J93" s="1195"/>
      <c r="K93" s="1169">
        <f t="shared" si="171"/>
        <v>5000</v>
      </c>
      <c r="L93" s="1169">
        <f t="shared" si="171"/>
        <v>1380</v>
      </c>
      <c r="M93" s="1169">
        <f t="shared" si="171"/>
        <v>3620</v>
      </c>
      <c r="N93" s="1169">
        <f>K93*100%</f>
        <v>5000</v>
      </c>
      <c r="O93" s="1169">
        <f t="shared" si="182"/>
        <v>0</v>
      </c>
      <c r="P93" s="1169">
        <f t="shared" si="183"/>
        <v>0</v>
      </c>
      <c r="Q93" s="1169">
        <f t="shared" si="184"/>
        <v>0</v>
      </c>
      <c r="R93" s="1186">
        <v>2850</v>
      </c>
      <c r="S93" s="1200">
        <f>T93+U93</f>
        <v>2560</v>
      </c>
      <c r="T93" s="1169">
        <v>560</v>
      </c>
      <c r="U93" s="1169">
        <v>2000</v>
      </c>
      <c r="V93" s="1169">
        <f>S93*100%</f>
        <v>2560</v>
      </c>
      <c r="W93" s="1169"/>
      <c r="X93" s="1169"/>
      <c r="Y93" s="1169"/>
      <c r="Z93" s="1182">
        <v>400</v>
      </c>
      <c r="AA93" s="1200">
        <f t="shared" si="186"/>
        <v>520</v>
      </c>
      <c r="AB93" s="1169">
        <v>220</v>
      </c>
      <c r="AC93" s="1169">
        <v>300</v>
      </c>
      <c r="AD93" s="1169">
        <f>AA93*100%</f>
        <v>520</v>
      </c>
      <c r="AE93" s="1169"/>
      <c r="AF93" s="1169"/>
      <c r="AG93" s="1169"/>
      <c r="AH93" s="1182">
        <v>270</v>
      </c>
      <c r="AI93" s="1403">
        <f t="shared" si="188"/>
        <v>220</v>
      </c>
      <c r="AJ93" s="1399">
        <v>20</v>
      </c>
      <c r="AK93" s="1399">
        <v>200</v>
      </c>
      <c r="AL93" s="1169">
        <f>AI93*100%</f>
        <v>220</v>
      </c>
      <c r="AM93" s="1169"/>
      <c r="AN93" s="1169"/>
      <c r="AO93" s="1169"/>
      <c r="AP93" s="1182">
        <v>380</v>
      </c>
      <c r="AQ93" s="1200">
        <f t="shared" si="190"/>
        <v>340</v>
      </c>
      <c r="AR93" s="1169">
        <v>40</v>
      </c>
      <c r="AS93" s="1169">
        <v>300</v>
      </c>
      <c r="AT93" s="1169">
        <f>AQ93*100%</f>
        <v>340</v>
      </c>
      <c r="AU93" s="1169"/>
      <c r="AV93" s="1169"/>
      <c r="AW93" s="1169"/>
      <c r="AX93" s="1182">
        <v>250</v>
      </c>
      <c r="AY93" s="1200">
        <f t="shared" si="192"/>
        <v>150</v>
      </c>
      <c r="AZ93" s="1169">
        <v>50</v>
      </c>
      <c r="BA93" s="1169">
        <v>100</v>
      </c>
      <c r="BB93" s="1169">
        <f>AY93*100%</f>
        <v>150</v>
      </c>
      <c r="BC93" s="1169"/>
      <c r="BD93" s="1169"/>
      <c r="BE93" s="1169"/>
      <c r="BF93" s="1182">
        <v>120</v>
      </c>
      <c r="BG93" s="1200">
        <f t="shared" si="194"/>
        <v>230</v>
      </c>
      <c r="BH93" s="1169">
        <v>200</v>
      </c>
      <c r="BI93" s="1169">
        <v>30</v>
      </c>
      <c r="BJ93" s="1169">
        <f>BG93*100%</f>
        <v>230</v>
      </c>
      <c r="BK93" s="1169"/>
      <c r="BL93" s="1169"/>
      <c r="BM93" s="1169"/>
      <c r="BN93" s="1182">
        <v>120</v>
      </c>
      <c r="BO93" s="1200">
        <f t="shared" si="196"/>
        <v>140</v>
      </c>
      <c r="BP93" s="1169">
        <v>80</v>
      </c>
      <c r="BQ93" s="1169">
        <v>60</v>
      </c>
      <c r="BR93" s="1169">
        <f>BO93*100%</f>
        <v>140</v>
      </c>
      <c r="BS93" s="1169"/>
      <c r="BT93" s="1169"/>
      <c r="BU93" s="1169"/>
      <c r="BV93" s="1182">
        <v>160</v>
      </c>
      <c r="BW93" s="1200">
        <f t="shared" si="198"/>
        <v>130</v>
      </c>
      <c r="BX93" s="1169">
        <v>70</v>
      </c>
      <c r="BY93" s="1169">
        <v>60</v>
      </c>
      <c r="BZ93" s="1169">
        <f>BW93*100%</f>
        <v>130</v>
      </c>
      <c r="CA93" s="1169"/>
      <c r="CB93" s="1169"/>
      <c r="CC93" s="1169"/>
      <c r="CD93" s="1182">
        <v>350</v>
      </c>
      <c r="CE93" s="1200">
        <f t="shared" si="200"/>
        <v>620</v>
      </c>
      <c r="CF93" s="1169">
        <v>120</v>
      </c>
      <c r="CG93" s="1169">
        <v>500</v>
      </c>
      <c r="CH93" s="1169">
        <f>CE93*100%</f>
        <v>620</v>
      </c>
      <c r="CI93" s="1169"/>
      <c r="CJ93" s="1169"/>
      <c r="CK93" s="1169"/>
      <c r="CL93" s="1182">
        <v>100</v>
      </c>
      <c r="CM93" s="1200">
        <f t="shared" si="202"/>
        <v>90</v>
      </c>
      <c r="CN93" s="1169">
        <v>20</v>
      </c>
      <c r="CO93" s="1169">
        <v>70</v>
      </c>
      <c r="CP93" s="1169">
        <f>CM93*100%</f>
        <v>90</v>
      </c>
      <c r="CQ93" s="1169"/>
      <c r="CR93" s="1169"/>
      <c r="CS93" s="1169"/>
      <c r="CZ93" s="1124"/>
      <c r="DA93" s="1124"/>
      <c r="DB93" s="1124"/>
      <c r="DC93" s="1124"/>
      <c r="DD93" s="1124"/>
    </row>
    <row r="94" spans="1:108" ht="16.5" customHeight="1">
      <c r="A94" s="1183" t="s">
        <v>23</v>
      </c>
      <c r="B94" s="1167" t="s">
        <v>428</v>
      </c>
      <c r="C94" s="1180" t="s">
        <v>587</v>
      </c>
      <c r="D94" s="1185"/>
      <c r="E94" s="1185"/>
      <c r="F94" s="1185">
        <v>1</v>
      </c>
      <c r="G94" s="1185">
        <v>1</v>
      </c>
      <c r="H94" s="1169"/>
      <c r="I94" s="1169">
        <f t="shared" si="170"/>
        <v>8200</v>
      </c>
      <c r="J94" s="1195"/>
      <c r="K94" s="1169">
        <f t="shared" si="171"/>
        <v>10000</v>
      </c>
      <c r="L94" s="1169">
        <f t="shared" si="171"/>
        <v>3150</v>
      </c>
      <c r="M94" s="1169">
        <f t="shared" si="171"/>
        <v>6850</v>
      </c>
      <c r="N94" s="1169"/>
      <c r="O94" s="1169">
        <f t="shared" si="182"/>
        <v>10000</v>
      </c>
      <c r="P94" s="1169">
        <f t="shared" si="183"/>
        <v>3150</v>
      </c>
      <c r="Q94" s="1169">
        <f t="shared" si="184"/>
        <v>6850</v>
      </c>
      <c r="R94" s="1186">
        <v>3610</v>
      </c>
      <c r="S94" s="1200">
        <f>T94+U94</f>
        <v>5940</v>
      </c>
      <c r="T94" s="1169">
        <v>3040</v>
      </c>
      <c r="U94" s="1169">
        <v>2900</v>
      </c>
      <c r="V94" s="1169"/>
      <c r="W94" s="1169">
        <f>X94+Y94</f>
        <v>5940</v>
      </c>
      <c r="X94" s="1169">
        <f>T94*100%</f>
        <v>3040</v>
      </c>
      <c r="Y94" s="1169">
        <f>U94*100%</f>
        <v>2900</v>
      </c>
      <c r="Z94" s="1182">
        <v>600</v>
      </c>
      <c r="AA94" s="1200">
        <f t="shared" si="186"/>
        <v>600</v>
      </c>
      <c r="AB94" s="1169">
        <v>0</v>
      </c>
      <c r="AC94" s="1169">
        <v>600</v>
      </c>
      <c r="AD94" s="1169"/>
      <c r="AE94" s="1169">
        <f>AF94+AG94</f>
        <v>600</v>
      </c>
      <c r="AF94" s="1169">
        <f>AB94*100%</f>
        <v>0</v>
      </c>
      <c r="AG94" s="1169">
        <f>AC94*100%</f>
        <v>600</v>
      </c>
      <c r="AH94" s="1182">
        <v>230</v>
      </c>
      <c r="AI94" s="1403">
        <f t="shared" si="188"/>
        <v>320</v>
      </c>
      <c r="AJ94" s="1399">
        <v>70</v>
      </c>
      <c r="AK94" s="1399">
        <v>250</v>
      </c>
      <c r="AL94" s="1169"/>
      <c r="AM94" s="1169">
        <f>AN94+AO94</f>
        <v>320</v>
      </c>
      <c r="AN94" s="1169">
        <f>AJ94*100%</f>
        <v>70</v>
      </c>
      <c r="AO94" s="1169">
        <f>AK94*100%</f>
        <v>250</v>
      </c>
      <c r="AP94" s="1182">
        <v>1200</v>
      </c>
      <c r="AQ94" s="1200">
        <f t="shared" si="190"/>
        <v>1200</v>
      </c>
      <c r="AR94" s="1169">
        <v>0</v>
      </c>
      <c r="AS94" s="1169">
        <v>1200</v>
      </c>
      <c r="AT94" s="1169"/>
      <c r="AU94" s="1169">
        <f>AV94+AW94</f>
        <v>1200</v>
      </c>
      <c r="AV94" s="1169">
        <f>AR94*100%</f>
        <v>0</v>
      </c>
      <c r="AW94" s="1169">
        <f>AS94*100%</f>
        <v>1200</v>
      </c>
      <c r="AX94" s="1182">
        <v>430</v>
      </c>
      <c r="AY94" s="1200">
        <f t="shared" si="192"/>
        <v>430</v>
      </c>
      <c r="AZ94" s="1169">
        <v>30</v>
      </c>
      <c r="BA94" s="1169">
        <v>400</v>
      </c>
      <c r="BB94" s="1169"/>
      <c r="BC94" s="1169">
        <f>BD94+BE94</f>
        <v>430</v>
      </c>
      <c r="BD94" s="1169">
        <f>AZ94*100%</f>
        <v>30</v>
      </c>
      <c r="BE94" s="1169">
        <f>BA94*100%</f>
        <v>400</v>
      </c>
      <c r="BF94" s="1182">
        <v>500</v>
      </c>
      <c r="BG94" s="1200">
        <f t="shared" si="194"/>
        <v>500</v>
      </c>
      <c r="BH94" s="1169">
        <v>0</v>
      </c>
      <c r="BI94" s="1169">
        <v>500</v>
      </c>
      <c r="BJ94" s="1169"/>
      <c r="BK94" s="1169">
        <f>BL94+BM94</f>
        <v>500</v>
      </c>
      <c r="BL94" s="1169">
        <f>BH94*100%</f>
        <v>0</v>
      </c>
      <c r="BM94" s="1169">
        <f>BI94*100%</f>
        <v>500</v>
      </c>
      <c r="BN94" s="1182">
        <v>300</v>
      </c>
      <c r="BO94" s="1200">
        <f t="shared" si="196"/>
        <v>300</v>
      </c>
      <c r="BP94" s="1169">
        <v>0</v>
      </c>
      <c r="BQ94" s="1169">
        <v>300</v>
      </c>
      <c r="BR94" s="1169"/>
      <c r="BS94" s="1169">
        <f>BT94+BU94</f>
        <v>300</v>
      </c>
      <c r="BT94" s="1169">
        <f>BP94*100%</f>
        <v>0</v>
      </c>
      <c r="BU94" s="1169">
        <f>BQ94*100%</f>
        <v>300</v>
      </c>
      <c r="BV94" s="1182">
        <v>300</v>
      </c>
      <c r="BW94" s="1200">
        <f t="shared" si="198"/>
        <v>100</v>
      </c>
      <c r="BX94" s="1169">
        <v>0</v>
      </c>
      <c r="BY94" s="1169">
        <v>100</v>
      </c>
      <c r="BZ94" s="1169"/>
      <c r="CA94" s="1169">
        <f>CB94+CC94</f>
        <v>100</v>
      </c>
      <c r="CB94" s="1169">
        <f>BX94*100%</f>
        <v>0</v>
      </c>
      <c r="CC94" s="1169">
        <f>BY94*100%</f>
        <v>100</v>
      </c>
      <c r="CD94" s="1182">
        <v>800</v>
      </c>
      <c r="CE94" s="1200">
        <f t="shared" si="200"/>
        <v>500</v>
      </c>
      <c r="CF94" s="1169">
        <v>0</v>
      </c>
      <c r="CG94" s="1169">
        <v>500</v>
      </c>
      <c r="CH94" s="1169"/>
      <c r="CI94" s="1169">
        <f>CJ94+CK94</f>
        <v>500</v>
      </c>
      <c r="CJ94" s="1169">
        <f>CF94*100%</f>
        <v>0</v>
      </c>
      <c r="CK94" s="1169">
        <f>CG94*100%</f>
        <v>500</v>
      </c>
      <c r="CL94" s="1182">
        <v>230</v>
      </c>
      <c r="CM94" s="1200">
        <f t="shared" si="202"/>
        <v>110</v>
      </c>
      <c r="CN94" s="1169">
        <v>10</v>
      </c>
      <c r="CO94" s="1169">
        <v>100</v>
      </c>
      <c r="CP94" s="1169"/>
      <c r="CQ94" s="1169">
        <f>CR94+CS94</f>
        <v>110</v>
      </c>
      <c r="CR94" s="1169">
        <f>CN94*100%</f>
        <v>10</v>
      </c>
      <c r="CS94" s="1169">
        <f>CO94*100%</f>
        <v>100</v>
      </c>
      <c r="CZ94" s="1124"/>
      <c r="DA94" s="1124"/>
      <c r="DB94" s="1124"/>
      <c r="DC94" s="1124"/>
      <c r="DD94" s="1124"/>
    </row>
    <row r="95" spans="1:108" ht="27.6" hidden="1" outlineLevel="1">
      <c r="A95" s="1183" t="s">
        <v>430</v>
      </c>
      <c r="B95" s="1184" t="s">
        <v>588</v>
      </c>
      <c r="C95" s="1184" t="s">
        <v>589</v>
      </c>
      <c r="D95" s="1185"/>
      <c r="E95" s="1185">
        <f>F95+G95</f>
        <v>1</v>
      </c>
      <c r="F95" s="1185">
        <v>1</v>
      </c>
      <c r="G95" s="1185"/>
      <c r="H95" s="1169">
        <f>IF(E95=0,P95/L95*100,IF(K95=0,0,P95/K95*100))</f>
        <v>0</v>
      </c>
      <c r="I95" s="1169">
        <f>R95+Z95+AH95+AP95+AX95+BF95+BN95+BV95+CD95+CL95</f>
        <v>0</v>
      </c>
      <c r="J95" s="1169"/>
      <c r="K95" s="1169">
        <f t="shared" si="171"/>
        <v>0</v>
      </c>
      <c r="L95" s="1169">
        <f t="shared" si="171"/>
        <v>0</v>
      </c>
      <c r="M95" s="1169">
        <f t="shared" si="171"/>
        <v>0</v>
      </c>
      <c r="N95" s="1169">
        <f>K95*100%</f>
        <v>0</v>
      </c>
      <c r="O95" s="1169">
        <f t="shared" si="182"/>
        <v>0</v>
      </c>
      <c r="P95" s="1169">
        <f t="shared" si="183"/>
        <v>0</v>
      </c>
      <c r="Q95" s="1169">
        <f t="shared" si="184"/>
        <v>0</v>
      </c>
      <c r="R95" s="1186">
        <v>0</v>
      </c>
      <c r="S95" s="1200">
        <f>T95+U95</f>
        <v>0</v>
      </c>
      <c r="T95" s="1200"/>
      <c r="U95" s="1200">
        <v>0</v>
      </c>
      <c r="V95" s="1169">
        <f>S95*100%</f>
        <v>0</v>
      </c>
      <c r="W95" s="1169">
        <f t="shared" ref="W95:W101" si="215">X95+Y95</f>
        <v>0</v>
      </c>
      <c r="X95" s="1169"/>
      <c r="Y95" s="1169"/>
      <c r="Z95" s="1182">
        <v>0</v>
      </c>
      <c r="AA95" s="1200">
        <f t="shared" si="186"/>
        <v>0</v>
      </c>
      <c r="AB95" s="1200">
        <v>0</v>
      </c>
      <c r="AC95" s="1200">
        <v>0</v>
      </c>
      <c r="AD95" s="1169"/>
      <c r="AE95" s="1169">
        <f>AF95+AG95</f>
        <v>0</v>
      </c>
      <c r="AF95" s="1169">
        <f>AA95*100%</f>
        <v>0</v>
      </c>
      <c r="AG95" s="1169"/>
      <c r="AH95" s="1182">
        <v>0</v>
      </c>
      <c r="AI95" s="1403">
        <f t="shared" si="188"/>
        <v>0</v>
      </c>
      <c r="AJ95" s="1403">
        <v>0</v>
      </c>
      <c r="AK95" s="1403">
        <v>0</v>
      </c>
      <c r="AL95" s="1169"/>
      <c r="AM95" s="1169">
        <f>AN95+AO95</f>
        <v>0</v>
      </c>
      <c r="AN95" s="1169">
        <f>AI95*100%</f>
        <v>0</v>
      </c>
      <c r="AO95" s="1169"/>
      <c r="AP95" s="1182">
        <v>0</v>
      </c>
      <c r="AQ95" s="1200">
        <f t="shared" si="190"/>
        <v>0</v>
      </c>
      <c r="AR95" s="1200">
        <v>0</v>
      </c>
      <c r="AS95" s="1200">
        <v>0</v>
      </c>
      <c r="AT95" s="1169"/>
      <c r="AU95" s="1169">
        <f>AV95+AW95</f>
        <v>0</v>
      </c>
      <c r="AV95" s="1169">
        <f>AQ95*100%</f>
        <v>0</v>
      </c>
      <c r="AW95" s="1169"/>
      <c r="AX95" s="1182">
        <v>0</v>
      </c>
      <c r="AY95" s="1200">
        <f t="shared" si="192"/>
        <v>0</v>
      </c>
      <c r="AZ95" s="1200">
        <v>0</v>
      </c>
      <c r="BA95" s="1200">
        <v>0</v>
      </c>
      <c r="BB95" s="1169"/>
      <c r="BC95" s="1169">
        <f>BD95+BE95</f>
        <v>0</v>
      </c>
      <c r="BD95" s="1169">
        <f>AY95*100%</f>
        <v>0</v>
      </c>
      <c r="BE95" s="1169"/>
      <c r="BF95" s="1182">
        <v>0</v>
      </c>
      <c r="BG95" s="1200">
        <f t="shared" si="194"/>
        <v>0</v>
      </c>
      <c r="BH95" s="1200">
        <v>0</v>
      </c>
      <c r="BI95" s="1200">
        <v>0</v>
      </c>
      <c r="BJ95" s="1169"/>
      <c r="BK95" s="1169">
        <f>BL95+BM95</f>
        <v>0</v>
      </c>
      <c r="BL95" s="1169">
        <f>BG95*100%</f>
        <v>0</v>
      </c>
      <c r="BM95" s="1169"/>
      <c r="BN95" s="1182">
        <v>0</v>
      </c>
      <c r="BO95" s="1200">
        <f t="shared" si="196"/>
        <v>0</v>
      </c>
      <c r="BP95" s="1200">
        <v>0</v>
      </c>
      <c r="BQ95" s="1200">
        <v>0</v>
      </c>
      <c r="BR95" s="1169"/>
      <c r="BS95" s="1169">
        <f>BT95+BU95</f>
        <v>0</v>
      </c>
      <c r="BT95" s="1169">
        <f>BO95*100%</f>
        <v>0</v>
      </c>
      <c r="BU95" s="1169"/>
      <c r="BV95" s="1182">
        <v>0</v>
      </c>
      <c r="BW95" s="1200">
        <f t="shared" si="198"/>
        <v>0</v>
      </c>
      <c r="BX95" s="1200">
        <v>0</v>
      </c>
      <c r="BY95" s="1200">
        <v>0</v>
      </c>
      <c r="BZ95" s="1169"/>
      <c r="CA95" s="1169">
        <f>CB95+CC95</f>
        <v>0</v>
      </c>
      <c r="CB95" s="1169">
        <f>BW95*100%</f>
        <v>0</v>
      </c>
      <c r="CC95" s="1169"/>
      <c r="CD95" s="1182">
        <v>0</v>
      </c>
      <c r="CE95" s="1200">
        <f t="shared" si="200"/>
        <v>0</v>
      </c>
      <c r="CF95" s="1200">
        <v>0</v>
      </c>
      <c r="CG95" s="1200">
        <v>0</v>
      </c>
      <c r="CH95" s="1169"/>
      <c r="CI95" s="1169">
        <f>CJ95+CK95</f>
        <v>0</v>
      </c>
      <c r="CJ95" s="1169">
        <f>CE95*100%</f>
        <v>0</v>
      </c>
      <c r="CK95" s="1169"/>
      <c r="CL95" s="1182">
        <v>0</v>
      </c>
      <c r="CM95" s="1200">
        <f t="shared" si="202"/>
        <v>0</v>
      </c>
      <c r="CN95" s="1200">
        <v>0</v>
      </c>
      <c r="CO95" s="1200">
        <v>0</v>
      </c>
      <c r="CP95" s="1169"/>
      <c r="CQ95" s="1169">
        <f>CR95+CS95</f>
        <v>0</v>
      </c>
      <c r="CR95" s="1169">
        <f>CM95*100%</f>
        <v>0</v>
      </c>
      <c r="CS95" s="1169"/>
      <c r="CT95" s="1124"/>
      <c r="CU95" s="1124"/>
      <c r="CV95" s="1153"/>
      <c r="CW95" s="1153"/>
      <c r="CX95" s="1153"/>
      <c r="CY95" s="1153"/>
      <c r="CZ95" s="1124"/>
      <c r="DA95" s="1124"/>
      <c r="DB95" s="1124"/>
      <c r="DC95" s="1124"/>
      <c r="DD95" s="1124"/>
    </row>
    <row r="96" spans="1:108" ht="16.5" customHeight="1" collapsed="1">
      <c r="A96" s="1183" t="s">
        <v>430</v>
      </c>
      <c r="B96" s="1184" t="s">
        <v>431</v>
      </c>
      <c r="C96" s="1180" t="s">
        <v>590</v>
      </c>
      <c r="D96" s="1185"/>
      <c r="E96" s="1185"/>
      <c r="F96" s="1185">
        <v>1</v>
      </c>
      <c r="G96" s="1185">
        <v>1</v>
      </c>
      <c r="H96" s="1169">
        <f>IF(E96=0,P96/L96*100,IF(K96=0,0,P96/K96*100))</f>
        <v>100</v>
      </c>
      <c r="I96" s="1169">
        <f t="shared" si="170"/>
        <v>35800</v>
      </c>
      <c r="J96" s="1169"/>
      <c r="K96" s="1169">
        <f t="shared" si="171"/>
        <v>22000</v>
      </c>
      <c r="L96" s="1169">
        <f t="shared" si="171"/>
        <v>16470</v>
      </c>
      <c r="M96" s="1169">
        <f t="shared" si="171"/>
        <v>5530</v>
      </c>
      <c r="N96" s="1169"/>
      <c r="O96" s="1169">
        <f t="shared" si="182"/>
        <v>22000</v>
      </c>
      <c r="P96" s="1169">
        <f t="shared" si="183"/>
        <v>16470</v>
      </c>
      <c r="Q96" s="1169">
        <f t="shared" si="184"/>
        <v>5530</v>
      </c>
      <c r="R96" s="1186">
        <v>29420</v>
      </c>
      <c r="S96" s="1200">
        <f t="shared" si="204"/>
        <v>16270</v>
      </c>
      <c r="T96" s="1169">
        <f>T87-T95-T88</f>
        <v>16170</v>
      </c>
      <c r="U96" s="1169">
        <f>U87-U88</f>
        <v>100</v>
      </c>
      <c r="V96" s="1169"/>
      <c r="W96" s="1169">
        <f t="shared" si="215"/>
        <v>16270</v>
      </c>
      <c r="X96" s="1169">
        <f>T96</f>
        <v>16170</v>
      </c>
      <c r="Y96" s="1169">
        <f>U96</f>
        <v>100</v>
      </c>
      <c r="Z96" s="1182">
        <v>1500</v>
      </c>
      <c r="AA96" s="1200">
        <f t="shared" si="186"/>
        <v>1330</v>
      </c>
      <c r="AB96" s="1169">
        <f>AB87-AB88</f>
        <v>30</v>
      </c>
      <c r="AC96" s="1169">
        <f>AC87-AC88</f>
        <v>1300</v>
      </c>
      <c r="AD96" s="1169"/>
      <c r="AE96" s="1169">
        <f>AF96+AG96</f>
        <v>1330</v>
      </c>
      <c r="AF96" s="1169">
        <f>AB96</f>
        <v>30</v>
      </c>
      <c r="AG96" s="1169">
        <f>AC96</f>
        <v>1300</v>
      </c>
      <c r="AH96" s="1182">
        <v>600</v>
      </c>
      <c r="AI96" s="1403">
        <f t="shared" si="188"/>
        <v>560</v>
      </c>
      <c r="AJ96" s="1399">
        <f>AJ87-AJ88</f>
        <v>10</v>
      </c>
      <c r="AK96" s="1399">
        <f>AK87-AK88</f>
        <v>550</v>
      </c>
      <c r="AL96" s="1169"/>
      <c r="AM96" s="1169">
        <f>AN96+AO96</f>
        <v>560</v>
      </c>
      <c r="AN96" s="1169">
        <f>AJ96</f>
        <v>10</v>
      </c>
      <c r="AO96" s="1169">
        <f>AK96</f>
        <v>550</v>
      </c>
      <c r="AP96" s="1182">
        <v>1020</v>
      </c>
      <c r="AQ96" s="1200">
        <f t="shared" si="190"/>
        <v>1060</v>
      </c>
      <c r="AR96" s="1169">
        <f>AR87-AR88</f>
        <v>60</v>
      </c>
      <c r="AS96" s="1169">
        <f>AS87-AS88</f>
        <v>1000</v>
      </c>
      <c r="AT96" s="1169"/>
      <c r="AU96" s="1169">
        <f>AV96+AW96</f>
        <v>1060</v>
      </c>
      <c r="AV96" s="1169">
        <f>AR96</f>
        <v>60</v>
      </c>
      <c r="AW96" s="1169">
        <f>AS96</f>
        <v>1000</v>
      </c>
      <c r="AX96" s="1182">
        <v>820</v>
      </c>
      <c r="AY96" s="1200">
        <f t="shared" si="192"/>
        <v>320</v>
      </c>
      <c r="AZ96" s="1169">
        <f>AZ87-AZ88</f>
        <v>20</v>
      </c>
      <c r="BA96" s="1169">
        <f>BA87-BA88</f>
        <v>300</v>
      </c>
      <c r="BB96" s="1169"/>
      <c r="BC96" s="1169">
        <f>BD96+BE96</f>
        <v>320</v>
      </c>
      <c r="BD96" s="1169">
        <f>AZ96</f>
        <v>20</v>
      </c>
      <c r="BE96" s="1169">
        <f>BA96</f>
        <v>300</v>
      </c>
      <c r="BF96" s="1182">
        <v>330</v>
      </c>
      <c r="BG96" s="1200">
        <f t="shared" si="194"/>
        <v>570</v>
      </c>
      <c r="BH96" s="1169">
        <f>BH87-BH88</f>
        <v>100</v>
      </c>
      <c r="BI96" s="1169">
        <f>BI87-BI88</f>
        <v>470</v>
      </c>
      <c r="BJ96" s="1169"/>
      <c r="BK96" s="1169">
        <f>BL96+BM96</f>
        <v>570</v>
      </c>
      <c r="BL96" s="1169">
        <f>BH96</f>
        <v>100</v>
      </c>
      <c r="BM96" s="1169">
        <f>BI96</f>
        <v>470</v>
      </c>
      <c r="BN96" s="1182">
        <v>280</v>
      </c>
      <c r="BO96" s="1200">
        <f t="shared" si="196"/>
        <v>540</v>
      </c>
      <c r="BP96" s="1169">
        <f>BP87-BP88</f>
        <v>0</v>
      </c>
      <c r="BQ96" s="1169">
        <f>BQ87-BQ88</f>
        <v>540</v>
      </c>
      <c r="BR96" s="1169"/>
      <c r="BS96" s="1169">
        <f>BT96+BU96</f>
        <v>540</v>
      </c>
      <c r="BT96" s="1169">
        <f>BP96</f>
        <v>0</v>
      </c>
      <c r="BU96" s="1169">
        <f>BQ96</f>
        <v>540</v>
      </c>
      <c r="BV96" s="1182">
        <v>140</v>
      </c>
      <c r="BW96" s="1200">
        <f t="shared" si="198"/>
        <v>150</v>
      </c>
      <c r="BX96" s="1169">
        <f>BX87-BX88</f>
        <v>10</v>
      </c>
      <c r="BY96" s="1169">
        <f>BY87-BY88</f>
        <v>140</v>
      </c>
      <c r="BZ96" s="1169"/>
      <c r="CA96" s="1169">
        <f>CB96+CC96</f>
        <v>150</v>
      </c>
      <c r="CB96" s="1169">
        <f>BX96</f>
        <v>10</v>
      </c>
      <c r="CC96" s="1169">
        <f>BY96</f>
        <v>140</v>
      </c>
      <c r="CD96" s="1182">
        <v>1050</v>
      </c>
      <c r="CE96" s="1200">
        <f t="shared" si="200"/>
        <v>760</v>
      </c>
      <c r="CF96" s="1169">
        <f>CF87-CF88</f>
        <v>60</v>
      </c>
      <c r="CG96" s="1169">
        <f>CG87-CG88</f>
        <v>700</v>
      </c>
      <c r="CH96" s="1169"/>
      <c r="CI96" s="1169">
        <f>CJ96+CK96</f>
        <v>760</v>
      </c>
      <c r="CJ96" s="1169">
        <f>CF96</f>
        <v>60</v>
      </c>
      <c r="CK96" s="1169">
        <f>CG96</f>
        <v>700</v>
      </c>
      <c r="CL96" s="1182">
        <v>640</v>
      </c>
      <c r="CM96" s="1200">
        <f t="shared" si="202"/>
        <v>440</v>
      </c>
      <c r="CN96" s="1169">
        <f>CN87-CN88</f>
        <v>10</v>
      </c>
      <c r="CO96" s="1169">
        <f>CO87-CO88</f>
        <v>430</v>
      </c>
      <c r="CP96" s="1169"/>
      <c r="CQ96" s="1169">
        <f>CR96+CS96</f>
        <v>440</v>
      </c>
      <c r="CR96" s="1169">
        <f>CN96</f>
        <v>10</v>
      </c>
      <c r="CS96" s="1169">
        <f>CO96</f>
        <v>430</v>
      </c>
      <c r="CZ96" s="1124"/>
      <c r="DA96" s="1124"/>
      <c r="DB96" s="1124"/>
      <c r="DC96" s="1124"/>
      <c r="DD96" s="1124"/>
    </row>
    <row r="97" spans="1:108" s="1123" customFormat="1" ht="27.6">
      <c r="A97" s="1179">
        <v>15</v>
      </c>
      <c r="B97" s="1155" t="s">
        <v>1400</v>
      </c>
      <c r="C97" s="1184" t="s">
        <v>591</v>
      </c>
      <c r="D97" s="1156"/>
      <c r="E97" s="1156"/>
      <c r="F97" s="1156"/>
      <c r="G97" s="1156"/>
      <c r="H97" s="1157">
        <f>IF(E97=0,P97/L97*100,IF(K97=0,0,P97/K97*100))</f>
        <v>33.662949715968871</v>
      </c>
      <c r="I97" s="1157">
        <f t="shared" si="170"/>
        <v>90000</v>
      </c>
      <c r="J97" s="1198">
        <v>100000</v>
      </c>
      <c r="K97" s="1157">
        <f>S97+AA97+AI97+AQ97+AY97+BG97+BO97+BW97+CE97+CM97</f>
        <v>100000</v>
      </c>
      <c r="L97" s="1157">
        <f>T97+AB97+AJ97+AR97+AZ97+BH97+BP97+BX97+CF97+CN97</f>
        <v>95060</v>
      </c>
      <c r="M97" s="1157">
        <f t="shared" si="171"/>
        <v>4940</v>
      </c>
      <c r="N97" s="1157">
        <f>N98+N99</f>
        <v>62999.999999999993</v>
      </c>
      <c r="O97" s="1157">
        <f t="shared" si="182"/>
        <v>37000.000000000007</v>
      </c>
      <c r="P97" s="1157">
        <f t="shared" si="183"/>
        <v>32000.000000000007</v>
      </c>
      <c r="Q97" s="1157">
        <f t="shared" si="184"/>
        <v>5000</v>
      </c>
      <c r="R97" s="1181">
        <v>55045</v>
      </c>
      <c r="S97" s="1199">
        <f t="shared" si="204"/>
        <v>57940</v>
      </c>
      <c r="T97" s="1157">
        <v>57310</v>
      </c>
      <c r="U97" s="1157">
        <v>630</v>
      </c>
      <c r="V97" s="1181">
        <f>V98+V99+V100</f>
        <v>38724</v>
      </c>
      <c r="W97" s="1181">
        <f>W98+W99+W100</f>
        <v>19216</v>
      </c>
      <c r="X97" s="1181">
        <f>X98+X99+X100</f>
        <v>16596</v>
      </c>
      <c r="Y97" s="1181">
        <f>Y98+Y99+Y100</f>
        <v>2620</v>
      </c>
      <c r="Z97" s="1182">
        <v>2180</v>
      </c>
      <c r="AA97" s="1199">
        <f t="shared" si="186"/>
        <v>2840</v>
      </c>
      <c r="AB97" s="1157">
        <v>2570</v>
      </c>
      <c r="AC97" s="1157">
        <v>270</v>
      </c>
      <c r="AD97" s="1181">
        <f>AD98+AD99+AD100</f>
        <v>1701</v>
      </c>
      <c r="AE97" s="1181">
        <f>AE98+AE99+AE100</f>
        <v>1139</v>
      </c>
      <c r="AF97" s="1181">
        <f>AF98+AF99+AF100</f>
        <v>729</v>
      </c>
      <c r="AG97" s="1181">
        <f>AG98+AG99+AG100</f>
        <v>410</v>
      </c>
      <c r="AH97" s="1182">
        <v>1550</v>
      </c>
      <c r="AI97" s="1401">
        <f t="shared" si="188"/>
        <v>1590</v>
      </c>
      <c r="AJ97" s="1402">
        <v>1590</v>
      </c>
      <c r="AK97" s="1402">
        <v>0</v>
      </c>
      <c r="AL97" s="1181">
        <f>AL98+AL99+AL100</f>
        <v>882</v>
      </c>
      <c r="AM97" s="1181">
        <f>AM98+AM99+AM100</f>
        <v>708</v>
      </c>
      <c r="AN97" s="1181">
        <f>AN98+AN99+AN100</f>
        <v>378</v>
      </c>
      <c r="AO97" s="1181">
        <f>AO98+AO99+AO100</f>
        <v>330</v>
      </c>
      <c r="AP97" s="1182">
        <v>1760</v>
      </c>
      <c r="AQ97" s="1199">
        <f t="shared" si="190"/>
        <v>1750</v>
      </c>
      <c r="AR97" s="1157">
        <v>1160</v>
      </c>
      <c r="AS97" s="1157">
        <v>590</v>
      </c>
      <c r="AT97" s="1181">
        <f>AT98+AT99+AT100</f>
        <v>805</v>
      </c>
      <c r="AU97" s="1181">
        <f>AU98+AU99+AU100</f>
        <v>945</v>
      </c>
      <c r="AV97" s="1181">
        <f>AV98+AV99+AV100</f>
        <v>345</v>
      </c>
      <c r="AW97" s="1181">
        <f>AW98+AW99+AW100</f>
        <v>600</v>
      </c>
      <c r="AX97" s="1182">
        <v>1030</v>
      </c>
      <c r="AY97" s="1199">
        <f t="shared" si="192"/>
        <v>600</v>
      </c>
      <c r="AZ97" s="1157">
        <v>380</v>
      </c>
      <c r="BA97" s="1157">
        <v>220</v>
      </c>
      <c r="BB97" s="1181">
        <f>BB98+BB99+BB100</f>
        <v>251.99999999999997</v>
      </c>
      <c r="BC97" s="1181">
        <f>BC98+BC99+BC100</f>
        <v>348</v>
      </c>
      <c r="BD97" s="1181">
        <f>BD98+BD99+BD100</f>
        <v>108</v>
      </c>
      <c r="BE97" s="1181">
        <f>BE98+BE99+BE100</f>
        <v>240</v>
      </c>
      <c r="BF97" s="1182">
        <v>330</v>
      </c>
      <c r="BG97" s="1199">
        <f t="shared" si="194"/>
        <v>250</v>
      </c>
      <c r="BH97" s="1157">
        <v>120</v>
      </c>
      <c r="BI97" s="1157">
        <v>130</v>
      </c>
      <c r="BJ97" s="1181">
        <f>BJ98+BJ99+BJ100</f>
        <v>0</v>
      </c>
      <c r="BK97" s="1181">
        <f>BK98+BK99+BK100</f>
        <v>250</v>
      </c>
      <c r="BL97" s="1181">
        <f>BL98+BL99+BL100</f>
        <v>0</v>
      </c>
      <c r="BM97" s="1181">
        <f>BM98+BM99+BM100</f>
        <v>250</v>
      </c>
      <c r="BN97" s="1182">
        <v>1400</v>
      </c>
      <c r="BO97" s="1199">
        <f t="shared" si="196"/>
        <v>7100</v>
      </c>
      <c r="BP97" s="1157">
        <v>7100</v>
      </c>
      <c r="BQ97" s="1157">
        <v>0</v>
      </c>
      <c r="BR97" s="1181">
        <f>BR98+BR99+BR100</f>
        <v>4921</v>
      </c>
      <c r="BS97" s="1181">
        <f>BS98+BS99+BS100</f>
        <v>2179</v>
      </c>
      <c r="BT97" s="1181">
        <f>BT98+BT99+BT100</f>
        <v>2109</v>
      </c>
      <c r="BU97" s="1181">
        <f>BU98+BU99+BU100</f>
        <v>70</v>
      </c>
      <c r="BV97" s="1182">
        <v>1735</v>
      </c>
      <c r="BW97" s="1199">
        <f t="shared" si="198"/>
        <v>2050</v>
      </c>
      <c r="BX97" s="1157">
        <v>2050</v>
      </c>
      <c r="BY97" s="1157">
        <v>0</v>
      </c>
      <c r="BZ97" s="1181">
        <f>BZ98+BZ99+BZ100</f>
        <v>1309</v>
      </c>
      <c r="CA97" s="1181">
        <f>CA98+CA99+CA100</f>
        <v>741</v>
      </c>
      <c r="CB97" s="1181">
        <f>CB98+CB99+CB100</f>
        <v>561</v>
      </c>
      <c r="CC97" s="1181">
        <f>CC98+CC99+CC100</f>
        <v>180</v>
      </c>
      <c r="CD97" s="1182">
        <v>17510</v>
      </c>
      <c r="CE97" s="1199">
        <f t="shared" si="200"/>
        <v>17780</v>
      </c>
      <c r="CF97" s="1157">
        <v>14680</v>
      </c>
      <c r="CG97" s="1157">
        <v>3100</v>
      </c>
      <c r="CH97" s="1181">
        <f>CH98+CH99+CH100</f>
        <v>12138</v>
      </c>
      <c r="CI97" s="1181">
        <f>CI98+CI99+CI100</f>
        <v>5642</v>
      </c>
      <c r="CJ97" s="1181">
        <f>CJ98+CJ99+CJ100</f>
        <v>5342</v>
      </c>
      <c r="CK97" s="1181">
        <f>CK98+CK99+CK100</f>
        <v>300</v>
      </c>
      <c r="CL97" s="1182">
        <v>7460</v>
      </c>
      <c r="CM97" s="1199">
        <f t="shared" si="202"/>
        <v>8100</v>
      </c>
      <c r="CN97" s="1157">
        <v>8100</v>
      </c>
      <c r="CO97" s="1157">
        <v>0</v>
      </c>
      <c r="CP97" s="1181">
        <f>CP98+CP99+CP100</f>
        <v>2268</v>
      </c>
      <c r="CQ97" s="1181">
        <f>CQ98+CQ99+CQ100</f>
        <v>5832</v>
      </c>
      <c r="CR97" s="1181">
        <f>CR98+CR99+CR100</f>
        <v>5832</v>
      </c>
      <c r="CS97" s="1181">
        <f>CS98+CS99+CS100</f>
        <v>0</v>
      </c>
      <c r="CZ97" s="1124"/>
      <c r="DA97" s="1124"/>
      <c r="DB97" s="1124"/>
      <c r="DC97" s="1124"/>
      <c r="DD97" s="1124"/>
    </row>
    <row r="98" spans="1:108" ht="15.75" customHeight="1">
      <c r="A98" s="1183" t="s">
        <v>23</v>
      </c>
      <c r="B98" s="1167" t="s">
        <v>435</v>
      </c>
      <c r="C98" s="1180" t="s">
        <v>592</v>
      </c>
      <c r="D98" s="1185">
        <v>0.7</v>
      </c>
      <c r="E98" s="1185">
        <f>F98+G98</f>
        <v>0.3</v>
      </c>
      <c r="F98" s="1185">
        <v>0.3</v>
      </c>
      <c r="G98" s="1185"/>
      <c r="H98" s="1169"/>
      <c r="I98" s="1169">
        <f t="shared" si="170"/>
        <v>75000</v>
      </c>
      <c r="J98" s="1195"/>
      <c r="K98" s="1169">
        <f>S98+AA98+AI98+AQ98+AY98+BG98+BO98+BW98+CE98+CM98</f>
        <v>90000</v>
      </c>
      <c r="L98" s="1169">
        <f t="shared" si="171"/>
        <v>87050</v>
      </c>
      <c r="M98" s="1169">
        <f t="shared" si="171"/>
        <v>2950</v>
      </c>
      <c r="N98" s="1169">
        <f>K98*70%</f>
        <v>62999.999999999993</v>
      </c>
      <c r="O98" s="1169">
        <f t="shared" si="182"/>
        <v>27000.000000000007</v>
      </c>
      <c r="P98" s="1169">
        <f t="shared" si="183"/>
        <v>27000.000000000007</v>
      </c>
      <c r="Q98" s="1169">
        <f t="shared" si="184"/>
        <v>0</v>
      </c>
      <c r="R98" s="1186">
        <v>47185</v>
      </c>
      <c r="S98" s="1200">
        <f>T98+U98</f>
        <v>55320</v>
      </c>
      <c r="T98" s="1169">
        <v>55320</v>
      </c>
      <c r="U98" s="1169">
        <v>0</v>
      </c>
      <c r="V98" s="1169">
        <f>S98*70%</f>
        <v>38724</v>
      </c>
      <c r="W98" s="1169">
        <f>X98+Y98</f>
        <v>16596</v>
      </c>
      <c r="X98" s="1169">
        <f>S98*30%</f>
        <v>16596</v>
      </c>
      <c r="Y98" s="1169"/>
      <c r="Z98" s="1182">
        <v>1690</v>
      </c>
      <c r="AA98" s="1200">
        <f t="shared" si="186"/>
        <v>2430</v>
      </c>
      <c r="AB98" s="1169">
        <v>2430</v>
      </c>
      <c r="AC98" s="1169">
        <v>0</v>
      </c>
      <c r="AD98" s="1169">
        <f>AA98*70%</f>
        <v>1701</v>
      </c>
      <c r="AE98" s="1169">
        <f t="shared" ref="AE98:AE103" si="216">AF98+AG98</f>
        <v>729</v>
      </c>
      <c r="AF98" s="1169">
        <f>AA98*30%</f>
        <v>729</v>
      </c>
      <c r="AG98" s="1169"/>
      <c r="AH98" s="1182">
        <v>1265</v>
      </c>
      <c r="AI98" s="1403">
        <f t="shared" si="188"/>
        <v>1260</v>
      </c>
      <c r="AJ98" s="1399">
        <v>1260</v>
      </c>
      <c r="AK98" s="1399">
        <v>0</v>
      </c>
      <c r="AL98" s="1169">
        <f>AI98*70%</f>
        <v>882</v>
      </c>
      <c r="AM98" s="1169">
        <f t="shared" ref="AM98:AM103" si="217">AN98+AO98</f>
        <v>378</v>
      </c>
      <c r="AN98" s="1169">
        <f>AI98*30%</f>
        <v>378</v>
      </c>
      <c r="AO98" s="1169"/>
      <c r="AP98" s="1182">
        <v>1150</v>
      </c>
      <c r="AQ98" s="1200">
        <f t="shared" si="190"/>
        <v>1150</v>
      </c>
      <c r="AR98" s="1169">
        <v>1150</v>
      </c>
      <c r="AS98" s="1169">
        <v>0</v>
      </c>
      <c r="AT98" s="1169">
        <f>AQ98*70%</f>
        <v>805</v>
      </c>
      <c r="AU98" s="1169">
        <f t="shared" ref="AU98:AU103" si="218">AV98+AW98</f>
        <v>345</v>
      </c>
      <c r="AV98" s="1169">
        <f>AQ98*30%</f>
        <v>345</v>
      </c>
      <c r="AW98" s="1169"/>
      <c r="AX98" s="1182">
        <v>760</v>
      </c>
      <c r="AY98" s="1200">
        <f t="shared" si="192"/>
        <v>360</v>
      </c>
      <c r="AZ98" s="1169">
        <v>360</v>
      </c>
      <c r="BA98" s="1169">
        <v>0</v>
      </c>
      <c r="BB98" s="1169">
        <f>AY98*70%</f>
        <v>251.99999999999997</v>
      </c>
      <c r="BC98" s="1169">
        <f t="shared" ref="BC98:BC103" si="219">BD98+BE98</f>
        <v>108</v>
      </c>
      <c r="BD98" s="1169">
        <f>AY98*30%</f>
        <v>108</v>
      </c>
      <c r="BE98" s="1169"/>
      <c r="BF98" s="1182">
        <v>0</v>
      </c>
      <c r="BG98" s="1200">
        <f t="shared" si="194"/>
        <v>0</v>
      </c>
      <c r="BH98" s="1169">
        <v>0</v>
      </c>
      <c r="BI98" s="1169">
        <v>0</v>
      </c>
      <c r="BJ98" s="1169">
        <f>BG98*70%</f>
        <v>0</v>
      </c>
      <c r="BK98" s="1169">
        <f t="shared" ref="BK98:BK103" si="220">BL98+BM98</f>
        <v>0</v>
      </c>
      <c r="BL98" s="1169">
        <f>BG98*30%</f>
        <v>0</v>
      </c>
      <c r="BM98" s="1169"/>
      <c r="BN98" s="1182">
        <v>1330</v>
      </c>
      <c r="BO98" s="1200">
        <f t="shared" si="196"/>
        <v>7030</v>
      </c>
      <c r="BP98" s="1169">
        <v>7030</v>
      </c>
      <c r="BQ98" s="1169">
        <v>0</v>
      </c>
      <c r="BR98" s="1169">
        <f>BO98*70%</f>
        <v>4921</v>
      </c>
      <c r="BS98" s="1169">
        <f t="shared" ref="BS98:BS103" si="221">BT98+BU98</f>
        <v>2109</v>
      </c>
      <c r="BT98" s="1169">
        <f>BO98*30%</f>
        <v>2109</v>
      </c>
      <c r="BU98" s="1169"/>
      <c r="BV98" s="1182">
        <v>1570</v>
      </c>
      <c r="BW98" s="1200">
        <f t="shared" si="198"/>
        <v>1870</v>
      </c>
      <c r="BX98" s="1169">
        <v>1870</v>
      </c>
      <c r="BY98" s="1169">
        <v>0</v>
      </c>
      <c r="BZ98" s="1169">
        <f>BW98*70%</f>
        <v>1309</v>
      </c>
      <c r="CA98" s="1169">
        <f t="shared" ref="CA98:CA103" si="222">CB98+CC98</f>
        <v>561</v>
      </c>
      <c r="CB98" s="1169">
        <f>BW98*30%</f>
        <v>561</v>
      </c>
      <c r="CC98" s="1169"/>
      <c r="CD98" s="1182">
        <v>16450</v>
      </c>
      <c r="CE98" s="1200">
        <f t="shared" si="200"/>
        <v>17340</v>
      </c>
      <c r="CF98" s="1169">
        <v>14390</v>
      </c>
      <c r="CG98" s="1169">
        <v>2950</v>
      </c>
      <c r="CH98" s="1169">
        <f>CE98*70%</f>
        <v>12138</v>
      </c>
      <c r="CI98" s="1169">
        <f t="shared" ref="CI98:CI103" si="223">CJ98+CK98</f>
        <v>5202</v>
      </c>
      <c r="CJ98" s="1169">
        <f>CE98*30%</f>
        <v>5202</v>
      </c>
      <c r="CK98" s="1169"/>
      <c r="CL98" s="1182">
        <v>3600</v>
      </c>
      <c r="CM98" s="1200">
        <f t="shared" si="202"/>
        <v>3240</v>
      </c>
      <c r="CN98" s="1169">
        <v>3240</v>
      </c>
      <c r="CO98" s="1169">
        <v>0</v>
      </c>
      <c r="CP98" s="1169">
        <f>CM98*70%</f>
        <v>2268</v>
      </c>
      <c r="CQ98" s="1169">
        <f t="shared" ref="CQ98:CQ103" si="224">CR98+CS98</f>
        <v>972</v>
      </c>
      <c r="CR98" s="1169">
        <f>CM98*30%</f>
        <v>972</v>
      </c>
      <c r="CS98" s="1169"/>
      <c r="CZ98" s="1124"/>
      <c r="DA98" s="1124"/>
      <c r="DB98" s="1124"/>
      <c r="DC98" s="1124"/>
      <c r="DD98" s="1124"/>
    </row>
    <row r="99" spans="1:108" s="1123" customFormat="1" ht="15.75" customHeight="1">
      <c r="A99" s="1179" t="s">
        <v>23</v>
      </c>
      <c r="B99" s="1167" t="s">
        <v>593</v>
      </c>
      <c r="C99" s="1184" t="s">
        <v>594</v>
      </c>
      <c r="D99" s="1185"/>
      <c r="E99" s="1185">
        <f>F99+G99</f>
        <v>1</v>
      </c>
      <c r="F99" s="1185"/>
      <c r="G99" s="1185">
        <v>1</v>
      </c>
      <c r="H99" s="1169">
        <f>IF(E99=0,P99/L99*100,IF(K99=0,0,P99/K99*100))</f>
        <v>0</v>
      </c>
      <c r="I99" s="1169">
        <f t="shared" si="170"/>
        <v>11000</v>
      </c>
      <c r="J99" s="1195"/>
      <c r="K99" s="1169">
        <f>S99+AA99+AI99+AQ99+AY99+BG99+BO99+BW99+CE99+CM99</f>
        <v>5000</v>
      </c>
      <c r="L99" s="1169">
        <f t="shared" si="171"/>
        <v>3070</v>
      </c>
      <c r="M99" s="1169">
        <f t="shared" si="171"/>
        <v>1930</v>
      </c>
      <c r="N99" s="1169"/>
      <c r="O99" s="1169">
        <f t="shared" si="182"/>
        <v>5000</v>
      </c>
      <c r="P99" s="1169">
        <f t="shared" si="183"/>
        <v>0</v>
      </c>
      <c r="Q99" s="1169">
        <f t="shared" si="184"/>
        <v>5000</v>
      </c>
      <c r="R99" s="1186">
        <v>7860</v>
      </c>
      <c r="S99" s="1200">
        <f>T99+U99</f>
        <v>2620</v>
      </c>
      <c r="T99" s="1169">
        <v>1990</v>
      </c>
      <c r="U99" s="1169">
        <v>630</v>
      </c>
      <c r="V99" s="1169"/>
      <c r="W99" s="1169">
        <f>X99+Y99</f>
        <v>2620</v>
      </c>
      <c r="X99" s="1169"/>
      <c r="Y99" s="1169">
        <f>S99*100%</f>
        <v>2620</v>
      </c>
      <c r="Z99" s="1182">
        <v>490</v>
      </c>
      <c r="AA99" s="1200">
        <f t="shared" si="186"/>
        <v>410</v>
      </c>
      <c r="AB99" s="1169">
        <v>140</v>
      </c>
      <c r="AC99" s="1169">
        <v>270</v>
      </c>
      <c r="AD99" s="1169"/>
      <c r="AE99" s="1169">
        <f t="shared" si="216"/>
        <v>410</v>
      </c>
      <c r="AF99" s="1169"/>
      <c r="AG99" s="1169">
        <f>AA99*100%</f>
        <v>410</v>
      </c>
      <c r="AH99" s="1182">
        <v>285</v>
      </c>
      <c r="AI99" s="1403">
        <f t="shared" si="188"/>
        <v>330</v>
      </c>
      <c r="AJ99" s="1399">
        <v>330</v>
      </c>
      <c r="AK99" s="1399">
        <v>0</v>
      </c>
      <c r="AL99" s="1169"/>
      <c r="AM99" s="1169">
        <f t="shared" si="217"/>
        <v>330</v>
      </c>
      <c r="AN99" s="1169"/>
      <c r="AO99" s="1169">
        <f>AI99*100%</f>
        <v>330</v>
      </c>
      <c r="AP99" s="1182">
        <v>610</v>
      </c>
      <c r="AQ99" s="1200">
        <f t="shared" si="190"/>
        <v>600</v>
      </c>
      <c r="AR99" s="1169">
        <v>10</v>
      </c>
      <c r="AS99" s="1169">
        <v>590</v>
      </c>
      <c r="AT99" s="1169"/>
      <c r="AU99" s="1169">
        <f t="shared" si="218"/>
        <v>600</v>
      </c>
      <c r="AV99" s="1169"/>
      <c r="AW99" s="1169">
        <f>AQ99*100%</f>
        <v>600</v>
      </c>
      <c r="AX99" s="1182">
        <v>270</v>
      </c>
      <c r="AY99" s="1200">
        <f t="shared" si="192"/>
        <v>240</v>
      </c>
      <c r="AZ99" s="1169">
        <v>20</v>
      </c>
      <c r="BA99" s="1169">
        <v>220</v>
      </c>
      <c r="BB99" s="1169"/>
      <c r="BC99" s="1169">
        <f t="shared" si="219"/>
        <v>240</v>
      </c>
      <c r="BD99" s="1169"/>
      <c r="BE99" s="1169">
        <f>AY99*100%</f>
        <v>240</v>
      </c>
      <c r="BF99" s="1182">
        <v>330</v>
      </c>
      <c r="BG99" s="1200">
        <f t="shared" si="194"/>
        <v>250</v>
      </c>
      <c r="BH99" s="1169">
        <v>120</v>
      </c>
      <c r="BI99" s="1169">
        <v>130</v>
      </c>
      <c r="BJ99" s="1169"/>
      <c r="BK99" s="1169">
        <f t="shared" si="220"/>
        <v>250</v>
      </c>
      <c r="BL99" s="1169"/>
      <c r="BM99" s="1169">
        <f>BG99*100%</f>
        <v>250</v>
      </c>
      <c r="BN99" s="1182">
        <v>70</v>
      </c>
      <c r="BO99" s="1200">
        <f t="shared" si="196"/>
        <v>70</v>
      </c>
      <c r="BP99" s="1169">
        <v>70</v>
      </c>
      <c r="BQ99" s="1169">
        <v>0</v>
      </c>
      <c r="BR99" s="1169"/>
      <c r="BS99" s="1169">
        <f t="shared" si="221"/>
        <v>70</v>
      </c>
      <c r="BT99" s="1169"/>
      <c r="BU99" s="1169">
        <f>BO99*100%</f>
        <v>70</v>
      </c>
      <c r="BV99" s="1182">
        <v>165</v>
      </c>
      <c r="BW99" s="1200">
        <f t="shared" si="198"/>
        <v>180</v>
      </c>
      <c r="BX99" s="1169">
        <v>180</v>
      </c>
      <c r="BY99" s="1169">
        <v>0</v>
      </c>
      <c r="BZ99" s="1169"/>
      <c r="CA99" s="1169">
        <f t="shared" si="222"/>
        <v>180</v>
      </c>
      <c r="CB99" s="1169"/>
      <c r="CC99" s="1169">
        <f>BW99*100%</f>
        <v>180</v>
      </c>
      <c r="CD99" s="1182">
        <v>920</v>
      </c>
      <c r="CE99" s="1200">
        <f>CF99+CG99</f>
        <v>300</v>
      </c>
      <c r="CF99" s="1169">
        <v>210</v>
      </c>
      <c r="CG99" s="1169">
        <v>90</v>
      </c>
      <c r="CH99" s="1169"/>
      <c r="CI99" s="1169">
        <f t="shared" si="223"/>
        <v>300</v>
      </c>
      <c r="CJ99" s="1169"/>
      <c r="CK99" s="1169">
        <f>CE99*100%</f>
        <v>300</v>
      </c>
      <c r="CL99" s="1182">
        <v>0</v>
      </c>
      <c r="CM99" s="1200">
        <f t="shared" si="202"/>
        <v>0</v>
      </c>
      <c r="CN99" s="1169">
        <v>0</v>
      </c>
      <c r="CO99" s="1169">
        <v>0</v>
      </c>
      <c r="CP99" s="1169"/>
      <c r="CQ99" s="1169">
        <f t="shared" si="224"/>
        <v>0</v>
      </c>
      <c r="CR99" s="1169"/>
      <c r="CS99" s="1169">
        <f>CM99*100%</f>
        <v>0</v>
      </c>
      <c r="CZ99" s="1124"/>
      <c r="DA99" s="1124"/>
      <c r="DB99" s="1124"/>
      <c r="DC99" s="1124"/>
      <c r="DD99" s="1124"/>
    </row>
    <row r="100" spans="1:108" ht="16.5" customHeight="1">
      <c r="A100" s="1183" t="s">
        <v>23</v>
      </c>
      <c r="B100" s="1184" t="s">
        <v>595</v>
      </c>
      <c r="C100" s="1184" t="s">
        <v>596</v>
      </c>
      <c r="D100" s="1185"/>
      <c r="E100" s="1185">
        <f>F100+G100</f>
        <v>1</v>
      </c>
      <c r="F100" s="1185">
        <v>1</v>
      </c>
      <c r="G100" s="1185"/>
      <c r="H100" s="1169">
        <f>IF(E100=0,P100/L100*100,IF(K100=0,0,P100/K100*100))</f>
        <v>100</v>
      </c>
      <c r="I100" s="1169">
        <f>R100+Z100+AH100+AP100+AX100+BF100+BN100+BV100+CD100+CL100</f>
        <v>4000</v>
      </c>
      <c r="J100" s="1169"/>
      <c r="K100" s="1169">
        <f>S100+AA100+AI100+AQ100+AY100+BG100+BO100+BW100+CE100+CM100</f>
        <v>5000</v>
      </c>
      <c r="L100" s="1169">
        <f>T100+AB100+AJ100+AR100+AZ100+BH100+BP100+BX100+CF100+CN100</f>
        <v>4940</v>
      </c>
      <c r="M100" s="1169">
        <f>U100+AC100+AK100+AS100+BA100+BI100+BQ100+BY100+CG100+CO100</f>
        <v>60</v>
      </c>
      <c r="N100" s="1169"/>
      <c r="O100" s="1169">
        <f>K100-N100</f>
        <v>5000</v>
      </c>
      <c r="P100" s="1169">
        <f>O100-Q100</f>
        <v>5000</v>
      </c>
      <c r="Q100" s="1169">
        <f>Y100+AG100+AO100+AW100+BE100+BM100+BU100+CC100+CK100+CS100</f>
        <v>0</v>
      </c>
      <c r="R100" s="1186">
        <v>0</v>
      </c>
      <c r="S100" s="1200">
        <f>T100+U100</f>
        <v>0</v>
      </c>
      <c r="T100" s="1169">
        <v>0</v>
      </c>
      <c r="U100" s="1169">
        <v>0</v>
      </c>
      <c r="V100" s="1169"/>
      <c r="W100" s="1169">
        <f>X100+Y100</f>
        <v>0</v>
      </c>
      <c r="X100" s="1169">
        <f>S100*100%</f>
        <v>0</v>
      </c>
      <c r="Y100" s="1169"/>
      <c r="Z100" s="1182">
        <v>0</v>
      </c>
      <c r="AA100" s="1200">
        <f>AB100+AC100</f>
        <v>0</v>
      </c>
      <c r="AB100" s="1169">
        <v>0</v>
      </c>
      <c r="AC100" s="1169">
        <v>0</v>
      </c>
      <c r="AD100" s="1169"/>
      <c r="AE100" s="1169">
        <f t="shared" si="216"/>
        <v>0</v>
      </c>
      <c r="AF100" s="1169">
        <f>AA100*100%</f>
        <v>0</v>
      </c>
      <c r="AG100" s="1169"/>
      <c r="AH100" s="1182">
        <v>0</v>
      </c>
      <c r="AI100" s="1403">
        <f>AJ100+AK100</f>
        <v>0</v>
      </c>
      <c r="AJ100" s="1399">
        <v>0</v>
      </c>
      <c r="AK100" s="1399">
        <v>0</v>
      </c>
      <c r="AL100" s="1169"/>
      <c r="AM100" s="1169">
        <f t="shared" si="217"/>
        <v>0</v>
      </c>
      <c r="AN100" s="1169">
        <f>AI100*100%</f>
        <v>0</v>
      </c>
      <c r="AO100" s="1169"/>
      <c r="AP100" s="1182">
        <v>0</v>
      </c>
      <c r="AQ100" s="1200">
        <f>AR100+AS100</f>
        <v>0</v>
      </c>
      <c r="AR100" s="1169">
        <v>0</v>
      </c>
      <c r="AS100" s="1169">
        <v>0</v>
      </c>
      <c r="AT100" s="1169"/>
      <c r="AU100" s="1169">
        <f t="shared" si="218"/>
        <v>0</v>
      </c>
      <c r="AV100" s="1169">
        <f>AQ100*100%</f>
        <v>0</v>
      </c>
      <c r="AW100" s="1169"/>
      <c r="AX100" s="1182">
        <v>0</v>
      </c>
      <c r="AY100" s="1200">
        <f>AZ100+BA100</f>
        <v>0</v>
      </c>
      <c r="AZ100" s="1169">
        <v>0</v>
      </c>
      <c r="BA100" s="1169">
        <v>0</v>
      </c>
      <c r="BB100" s="1169"/>
      <c r="BC100" s="1169">
        <f t="shared" si="219"/>
        <v>0</v>
      </c>
      <c r="BD100" s="1169">
        <f>AY100*100%</f>
        <v>0</v>
      </c>
      <c r="BE100" s="1169"/>
      <c r="BF100" s="1182">
        <v>0</v>
      </c>
      <c r="BG100" s="1200">
        <f>BH100+BI100</f>
        <v>0</v>
      </c>
      <c r="BH100" s="1169">
        <v>0</v>
      </c>
      <c r="BI100" s="1169">
        <v>0</v>
      </c>
      <c r="BJ100" s="1169"/>
      <c r="BK100" s="1169">
        <f t="shared" si="220"/>
        <v>0</v>
      </c>
      <c r="BL100" s="1169">
        <f>BG100*100%</f>
        <v>0</v>
      </c>
      <c r="BM100" s="1169"/>
      <c r="BN100" s="1182">
        <v>0</v>
      </c>
      <c r="BO100" s="1200">
        <f>BP100+BQ100</f>
        <v>0</v>
      </c>
      <c r="BP100" s="1169">
        <v>0</v>
      </c>
      <c r="BQ100" s="1169">
        <v>0</v>
      </c>
      <c r="BR100" s="1169"/>
      <c r="BS100" s="1169">
        <f t="shared" si="221"/>
        <v>0</v>
      </c>
      <c r="BT100" s="1169">
        <f>BO100*100%</f>
        <v>0</v>
      </c>
      <c r="BU100" s="1169"/>
      <c r="BV100" s="1182">
        <v>0</v>
      </c>
      <c r="BW100" s="1200">
        <f>BX100+BY100</f>
        <v>0</v>
      </c>
      <c r="BX100" s="1169">
        <v>0</v>
      </c>
      <c r="BY100" s="1169">
        <v>0</v>
      </c>
      <c r="BZ100" s="1169"/>
      <c r="CA100" s="1169">
        <f t="shared" si="222"/>
        <v>0</v>
      </c>
      <c r="CB100" s="1169">
        <f>BW100*100%</f>
        <v>0</v>
      </c>
      <c r="CC100" s="1169"/>
      <c r="CD100" s="1182">
        <v>140</v>
      </c>
      <c r="CE100" s="1200">
        <f>CF100+CG100</f>
        <v>140</v>
      </c>
      <c r="CF100" s="1169">
        <v>80</v>
      </c>
      <c r="CG100" s="1169">
        <v>60</v>
      </c>
      <c r="CH100" s="1169"/>
      <c r="CI100" s="1169">
        <f>CJ100+CK100</f>
        <v>140</v>
      </c>
      <c r="CJ100" s="1169">
        <f>CE100*100%</f>
        <v>140</v>
      </c>
      <c r="CK100" s="1169"/>
      <c r="CL100" s="1182">
        <v>3860</v>
      </c>
      <c r="CM100" s="1200">
        <f>CN100+CO100</f>
        <v>4860</v>
      </c>
      <c r="CN100" s="1169">
        <v>4860</v>
      </c>
      <c r="CO100" s="1169">
        <v>0</v>
      </c>
      <c r="CP100" s="1169"/>
      <c r="CQ100" s="1169">
        <f t="shared" si="224"/>
        <v>4860</v>
      </c>
      <c r="CR100" s="1169">
        <f>CM100*100%</f>
        <v>4860</v>
      </c>
      <c r="CS100" s="1169"/>
      <c r="CT100" s="1124"/>
      <c r="CU100" s="1124"/>
      <c r="CV100" s="1153"/>
      <c r="CW100" s="1153"/>
      <c r="CX100" s="1153"/>
      <c r="CY100" s="1153"/>
      <c r="CZ100" s="1124"/>
      <c r="DA100" s="1124"/>
      <c r="DB100" s="1124"/>
      <c r="DC100" s="1124"/>
      <c r="DD100" s="1124"/>
    </row>
    <row r="101" spans="1:108" s="1123" customFormat="1" ht="16.5" customHeight="1">
      <c r="A101" s="1179">
        <v>16</v>
      </c>
      <c r="B101" s="1180" t="s">
        <v>1401</v>
      </c>
      <c r="C101" s="1180" t="s">
        <v>597</v>
      </c>
      <c r="D101" s="1156"/>
      <c r="E101" s="1156">
        <v>1</v>
      </c>
      <c r="F101" s="1156"/>
      <c r="G101" s="1156">
        <v>1</v>
      </c>
      <c r="H101" s="1157">
        <f>IF(E101=0,P101/L101*100,IF(K101=0,0,P101/K101*100))</f>
        <v>0</v>
      </c>
      <c r="I101" s="1157">
        <f t="shared" si="170"/>
        <v>700</v>
      </c>
      <c r="J101" s="1198">
        <v>300</v>
      </c>
      <c r="K101" s="1157">
        <f t="shared" si="171"/>
        <v>300</v>
      </c>
      <c r="L101" s="1157">
        <f t="shared" si="171"/>
        <v>0</v>
      </c>
      <c r="M101" s="1157">
        <f t="shared" si="171"/>
        <v>300</v>
      </c>
      <c r="N101" s="1157"/>
      <c r="O101" s="1157">
        <f t="shared" si="182"/>
        <v>300</v>
      </c>
      <c r="P101" s="1157">
        <f t="shared" si="183"/>
        <v>0</v>
      </c>
      <c r="Q101" s="1157">
        <f t="shared" si="184"/>
        <v>300</v>
      </c>
      <c r="R101" s="1181">
        <v>700</v>
      </c>
      <c r="S101" s="1199">
        <f t="shared" si="204"/>
        <v>250</v>
      </c>
      <c r="T101" s="1157">
        <v>0</v>
      </c>
      <c r="U101" s="1157">
        <v>250</v>
      </c>
      <c r="V101" s="1157"/>
      <c r="W101" s="1157">
        <f t="shared" si="215"/>
        <v>250</v>
      </c>
      <c r="X101" s="1157"/>
      <c r="Y101" s="1157">
        <f>S101*100%</f>
        <v>250</v>
      </c>
      <c r="Z101" s="1182">
        <v>0</v>
      </c>
      <c r="AA101" s="1199">
        <f t="shared" si="186"/>
        <v>50</v>
      </c>
      <c r="AB101" s="1157">
        <v>0</v>
      </c>
      <c r="AC101" s="1157">
        <v>50</v>
      </c>
      <c r="AD101" s="1157"/>
      <c r="AE101" s="1157">
        <f t="shared" si="216"/>
        <v>50</v>
      </c>
      <c r="AF101" s="1157"/>
      <c r="AG101" s="1157">
        <f>AA101*100%</f>
        <v>50</v>
      </c>
      <c r="AH101" s="1182">
        <v>0</v>
      </c>
      <c r="AI101" s="1401">
        <f t="shared" si="188"/>
        <v>0</v>
      </c>
      <c r="AJ101" s="1402">
        <v>0</v>
      </c>
      <c r="AK101" s="1402">
        <v>0</v>
      </c>
      <c r="AL101" s="1157"/>
      <c r="AM101" s="1157">
        <f t="shared" si="217"/>
        <v>0</v>
      </c>
      <c r="AN101" s="1157"/>
      <c r="AO101" s="1157">
        <f>AI101*100%</f>
        <v>0</v>
      </c>
      <c r="AP101" s="1182">
        <v>0</v>
      </c>
      <c r="AQ101" s="1199">
        <f t="shared" si="190"/>
        <v>0</v>
      </c>
      <c r="AR101" s="1157">
        <v>0</v>
      </c>
      <c r="AS101" s="1157">
        <v>0</v>
      </c>
      <c r="AT101" s="1157"/>
      <c r="AU101" s="1157">
        <f t="shared" si="218"/>
        <v>0</v>
      </c>
      <c r="AV101" s="1157"/>
      <c r="AW101" s="1157">
        <f>AQ101*100%</f>
        <v>0</v>
      </c>
      <c r="AX101" s="1182">
        <v>0</v>
      </c>
      <c r="AY101" s="1199">
        <f t="shared" si="192"/>
        <v>0</v>
      </c>
      <c r="AZ101" s="1157">
        <v>0</v>
      </c>
      <c r="BA101" s="1157">
        <v>0</v>
      </c>
      <c r="BB101" s="1157"/>
      <c r="BC101" s="1157">
        <f t="shared" si="219"/>
        <v>0</v>
      </c>
      <c r="BD101" s="1157"/>
      <c r="BE101" s="1157">
        <f>AY101*100%</f>
        <v>0</v>
      </c>
      <c r="BF101" s="1182">
        <v>0</v>
      </c>
      <c r="BG101" s="1199">
        <f t="shared" si="194"/>
        <v>0</v>
      </c>
      <c r="BH101" s="1157">
        <v>0</v>
      </c>
      <c r="BI101" s="1157">
        <v>0</v>
      </c>
      <c r="BJ101" s="1157"/>
      <c r="BK101" s="1157">
        <f t="shared" si="220"/>
        <v>0</v>
      </c>
      <c r="BL101" s="1157"/>
      <c r="BM101" s="1157">
        <f>BG101*100%</f>
        <v>0</v>
      </c>
      <c r="BN101" s="1182">
        <v>0</v>
      </c>
      <c r="BO101" s="1199">
        <f t="shared" si="196"/>
        <v>0</v>
      </c>
      <c r="BP101" s="1157">
        <v>0</v>
      </c>
      <c r="BQ101" s="1157">
        <v>0</v>
      </c>
      <c r="BR101" s="1157"/>
      <c r="BS101" s="1157">
        <f t="shared" si="221"/>
        <v>0</v>
      </c>
      <c r="BT101" s="1157"/>
      <c r="BU101" s="1157">
        <f>BO101*100%</f>
        <v>0</v>
      </c>
      <c r="BV101" s="1182">
        <v>0</v>
      </c>
      <c r="BW101" s="1199">
        <f t="shared" si="198"/>
        <v>0</v>
      </c>
      <c r="BX101" s="1157">
        <v>0</v>
      </c>
      <c r="BY101" s="1157">
        <v>0</v>
      </c>
      <c r="BZ101" s="1157"/>
      <c r="CA101" s="1157">
        <f t="shared" si="222"/>
        <v>0</v>
      </c>
      <c r="CB101" s="1157"/>
      <c r="CC101" s="1157">
        <f>BW101*100%</f>
        <v>0</v>
      </c>
      <c r="CD101" s="1182">
        <v>0</v>
      </c>
      <c r="CE101" s="1199">
        <f t="shared" si="200"/>
        <v>0</v>
      </c>
      <c r="CF101" s="1157">
        <v>0</v>
      </c>
      <c r="CG101" s="1157">
        <v>0</v>
      </c>
      <c r="CH101" s="1157"/>
      <c r="CI101" s="1157">
        <f t="shared" si="223"/>
        <v>0</v>
      </c>
      <c r="CJ101" s="1157"/>
      <c r="CK101" s="1157">
        <f>CE101*100%</f>
        <v>0</v>
      </c>
      <c r="CL101" s="1182">
        <v>0</v>
      </c>
      <c r="CM101" s="1199">
        <f t="shared" si="202"/>
        <v>0</v>
      </c>
      <c r="CN101" s="1157">
        <v>0</v>
      </c>
      <c r="CO101" s="1157">
        <v>0</v>
      </c>
      <c r="CP101" s="1157"/>
      <c r="CQ101" s="1157">
        <f t="shared" si="224"/>
        <v>0</v>
      </c>
      <c r="CR101" s="1157"/>
      <c r="CS101" s="1157">
        <f>CM101*100%</f>
        <v>0</v>
      </c>
      <c r="CZ101" s="1124"/>
      <c r="DA101" s="1124"/>
      <c r="DB101" s="1124"/>
      <c r="DC101" s="1124"/>
      <c r="DD101" s="1124"/>
    </row>
    <row r="102" spans="1:108" s="1123" customFormat="1" ht="16.5" customHeight="1">
      <c r="A102" s="1179" t="s">
        <v>437</v>
      </c>
      <c r="B102" s="1180" t="s">
        <v>1402</v>
      </c>
      <c r="C102" s="1180" t="s">
        <v>598</v>
      </c>
      <c r="D102" s="1156"/>
      <c r="E102" s="1156"/>
      <c r="F102" s="1156"/>
      <c r="G102" s="1156"/>
      <c r="H102" s="1157"/>
      <c r="I102" s="1157">
        <f t="shared" si="170"/>
        <v>2000</v>
      </c>
      <c r="J102" s="1198">
        <v>4000</v>
      </c>
      <c r="K102" s="1157">
        <f t="shared" si="171"/>
        <v>4000</v>
      </c>
      <c r="L102" s="1157">
        <f t="shared" si="171"/>
        <v>4000</v>
      </c>
      <c r="M102" s="1157">
        <f t="shared" si="171"/>
        <v>0</v>
      </c>
      <c r="N102" s="1157"/>
      <c r="O102" s="1157">
        <f t="shared" si="182"/>
        <v>4000</v>
      </c>
      <c r="P102" s="1157">
        <f t="shared" si="183"/>
        <v>4000</v>
      </c>
      <c r="Q102" s="1157">
        <f t="shared" si="184"/>
        <v>0</v>
      </c>
      <c r="R102" s="1181">
        <v>1500</v>
      </c>
      <c r="S102" s="1199">
        <f t="shared" si="204"/>
        <v>2360</v>
      </c>
      <c r="T102" s="1157">
        <v>2360</v>
      </c>
      <c r="U102" s="1157">
        <v>0</v>
      </c>
      <c r="V102" s="1157"/>
      <c r="W102" s="1157">
        <f>X102+Y102</f>
        <v>2360</v>
      </c>
      <c r="X102" s="1157">
        <f>T102</f>
        <v>2360</v>
      </c>
      <c r="Y102" s="1157"/>
      <c r="Z102" s="1182">
        <v>0</v>
      </c>
      <c r="AA102" s="1199">
        <f t="shared" si="186"/>
        <v>0</v>
      </c>
      <c r="AB102" s="1157">
        <v>0</v>
      </c>
      <c r="AC102" s="1157">
        <v>0</v>
      </c>
      <c r="AD102" s="1157"/>
      <c r="AE102" s="1157">
        <f t="shared" si="216"/>
        <v>0</v>
      </c>
      <c r="AF102" s="1157">
        <f>AB102</f>
        <v>0</v>
      </c>
      <c r="AG102" s="1157"/>
      <c r="AH102" s="1182">
        <v>500</v>
      </c>
      <c r="AI102" s="1401">
        <f t="shared" si="188"/>
        <v>1000</v>
      </c>
      <c r="AJ102" s="1402">
        <v>1000</v>
      </c>
      <c r="AK102" s="1402">
        <v>0</v>
      </c>
      <c r="AL102" s="1157"/>
      <c r="AM102" s="1157">
        <f t="shared" si="217"/>
        <v>1000</v>
      </c>
      <c r="AN102" s="1157">
        <f>AJ102</f>
        <v>1000</v>
      </c>
      <c r="AO102" s="1157"/>
      <c r="AP102" s="1182">
        <v>0</v>
      </c>
      <c r="AQ102" s="1199">
        <f t="shared" si="190"/>
        <v>0</v>
      </c>
      <c r="AR102" s="1157">
        <v>0</v>
      </c>
      <c r="AS102" s="1157">
        <v>0</v>
      </c>
      <c r="AT102" s="1157"/>
      <c r="AU102" s="1157">
        <f t="shared" si="218"/>
        <v>0</v>
      </c>
      <c r="AV102" s="1157">
        <f>AR102</f>
        <v>0</v>
      </c>
      <c r="AW102" s="1157"/>
      <c r="AX102" s="1182">
        <v>0</v>
      </c>
      <c r="AY102" s="1199">
        <f t="shared" si="192"/>
        <v>0</v>
      </c>
      <c r="AZ102" s="1157">
        <v>0</v>
      </c>
      <c r="BA102" s="1157">
        <v>0</v>
      </c>
      <c r="BB102" s="1157"/>
      <c r="BC102" s="1157">
        <f t="shared" si="219"/>
        <v>0</v>
      </c>
      <c r="BD102" s="1157">
        <f>AZ102</f>
        <v>0</v>
      </c>
      <c r="BE102" s="1157"/>
      <c r="BF102" s="1182">
        <v>0</v>
      </c>
      <c r="BG102" s="1199">
        <f t="shared" si="194"/>
        <v>0</v>
      </c>
      <c r="BH102" s="1157">
        <v>0</v>
      </c>
      <c r="BI102" s="1157">
        <v>0</v>
      </c>
      <c r="BJ102" s="1157"/>
      <c r="BK102" s="1157">
        <f t="shared" si="220"/>
        <v>0</v>
      </c>
      <c r="BL102" s="1157">
        <f>BH102</f>
        <v>0</v>
      </c>
      <c r="BM102" s="1157"/>
      <c r="BN102" s="1182">
        <v>0</v>
      </c>
      <c r="BO102" s="1199">
        <f t="shared" si="196"/>
        <v>0</v>
      </c>
      <c r="BP102" s="1157">
        <v>0</v>
      </c>
      <c r="BQ102" s="1157">
        <v>0</v>
      </c>
      <c r="BR102" s="1157"/>
      <c r="BS102" s="1157">
        <f t="shared" si="221"/>
        <v>0</v>
      </c>
      <c r="BT102" s="1157">
        <f>BP102</f>
        <v>0</v>
      </c>
      <c r="BU102" s="1157"/>
      <c r="BV102" s="1182">
        <v>0</v>
      </c>
      <c r="BW102" s="1199">
        <f t="shared" si="198"/>
        <v>0</v>
      </c>
      <c r="BX102" s="1157">
        <v>0</v>
      </c>
      <c r="BY102" s="1157">
        <v>0</v>
      </c>
      <c r="BZ102" s="1157"/>
      <c r="CA102" s="1157">
        <f t="shared" si="222"/>
        <v>0</v>
      </c>
      <c r="CB102" s="1157">
        <f>BX102</f>
        <v>0</v>
      </c>
      <c r="CC102" s="1157"/>
      <c r="CD102" s="1182">
        <v>0</v>
      </c>
      <c r="CE102" s="1199">
        <f t="shared" si="200"/>
        <v>640</v>
      </c>
      <c r="CF102" s="1157">
        <v>640</v>
      </c>
      <c r="CG102" s="1157">
        <v>0</v>
      </c>
      <c r="CH102" s="1157"/>
      <c r="CI102" s="1157">
        <f t="shared" si="223"/>
        <v>640</v>
      </c>
      <c r="CJ102" s="1157">
        <f>CF102</f>
        <v>640</v>
      </c>
      <c r="CK102" s="1157"/>
      <c r="CL102" s="1182">
        <v>0</v>
      </c>
      <c r="CM102" s="1199">
        <f t="shared" si="202"/>
        <v>0</v>
      </c>
      <c r="CN102" s="1157">
        <v>0</v>
      </c>
      <c r="CO102" s="1157">
        <v>0</v>
      </c>
      <c r="CP102" s="1157"/>
      <c r="CQ102" s="1157">
        <f t="shared" si="224"/>
        <v>0</v>
      </c>
      <c r="CR102" s="1157">
        <f>CN102</f>
        <v>0</v>
      </c>
      <c r="CS102" s="1157"/>
      <c r="CZ102" s="1160"/>
      <c r="DA102" s="1160"/>
      <c r="DB102" s="1160"/>
      <c r="DC102" s="1160"/>
      <c r="DD102" s="1160"/>
    </row>
    <row r="103" spans="1:108" s="1123" customFormat="1" ht="16.5" customHeight="1">
      <c r="A103" s="1179" t="s">
        <v>438</v>
      </c>
      <c r="B103" s="1180" t="s">
        <v>599</v>
      </c>
      <c r="C103" s="1184" t="s">
        <v>600</v>
      </c>
      <c r="D103" s="1156"/>
      <c r="E103" s="1156">
        <f>F103+G103</f>
        <v>1</v>
      </c>
      <c r="F103" s="1156">
        <v>1</v>
      </c>
      <c r="G103" s="1156"/>
      <c r="H103" s="1157">
        <f>IF(E103=0,P103/L103*100,IF(K103=0,0,P103/K103*100))</f>
        <v>100</v>
      </c>
      <c r="I103" s="1157">
        <f t="shared" si="170"/>
        <v>77000</v>
      </c>
      <c r="J103" s="1157">
        <v>80000</v>
      </c>
      <c r="K103" s="1157">
        <f t="shared" si="171"/>
        <v>80000</v>
      </c>
      <c r="L103" s="1157">
        <f t="shared" si="171"/>
        <v>80000</v>
      </c>
      <c r="M103" s="1157">
        <f t="shared" si="171"/>
        <v>0</v>
      </c>
      <c r="N103" s="1157"/>
      <c r="O103" s="1157">
        <f t="shared" si="182"/>
        <v>80000</v>
      </c>
      <c r="P103" s="1157">
        <f>O103-Q103</f>
        <v>80000</v>
      </c>
      <c r="Q103" s="1157">
        <f t="shared" si="184"/>
        <v>0</v>
      </c>
      <c r="R103" s="1186">
        <v>77000</v>
      </c>
      <c r="S103" s="1199">
        <f>T103+U103</f>
        <v>80000</v>
      </c>
      <c r="T103" s="1157">
        <v>80000</v>
      </c>
      <c r="U103" s="1157">
        <v>0</v>
      </c>
      <c r="V103" s="1157"/>
      <c r="W103" s="1157">
        <f>X103+Y103</f>
        <v>80000</v>
      </c>
      <c r="X103" s="1157">
        <f>S103*100%</f>
        <v>80000</v>
      </c>
      <c r="Y103" s="1157"/>
      <c r="Z103" s="1182">
        <v>0</v>
      </c>
      <c r="AA103" s="1199">
        <f t="shared" si="186"/>
        <v>0</v>
      </c>
      <c r="AB103" s="1157">
        <v>0</v>
      </c>
      <c r="AC103" s="1157">
        <v>0</v>
      </c>
      <c r="AD103" s="1157"/>
      <c r="AE103" s="1157">
        <f t="shared" si="216"/>
        <v>0</v>
      </c>
      <c r="AF103" s="1157">
        <f>AA103*100%</f>
        <v>0</v>
      </c>
      <c r="AG103" s="1157"/>
      <c r="AH103" s="1182">
        <v>0</v>
      </c>
      <c r="AI103" s="1401">
        <f t="shared" si="188"/>
        <v>0</v>
      </c>
      <c r="AJ103" s="1402">
        <v>0</v>
      </c>
      <c r="AK103" s="1402">
        <v>0</v>
      </c>
      <c r="AL103" s="1157"/>
      <c r="AM103" s="1157">
        <f t="shared" si="217"/>
        <v>0</v>
      </c>
      <c r="AN103" s="1157">
        <f>AI103*100%</f>
        <v>0</v>
      </c>
      <c r="AO103" s="1157"/>
      <c r="AP103" s="1182">
        <v>0</v>
      </c>
      <c r="AQ103" s="1199">
        <f t="shared" si="190"/>
        <v>0</v>
      </c>
      <c r="AR103" s="1157">
        <v>0</v>
      </c>
      <c r="AS103" s="1157">
        <v>0</v>
      </c>
      <c r="AT103" s="1157"/>
      <c r="AU103" s="1157">
        <f t="shared" si="218"/>
        <v>0</v>
      </c>
      <c r="AV103" s="1157">
        <f>AQ103*100%</f>
        <v>0</v>
      </c>
      <c r="AW103" s="1157"/>
      <c r="AX103" s="1182">
        <v>0</v>
      </c>
      <c r="AY103" s="1199">
        <f t="shared" si="192"/>
        <v>0</v>
      </c>
      <c r="AZ103" s="1157">
        <v>0</v>
      </c>
      <c r="BA103" s="1157">
        <v>0</v>
      </c>
      <c r="BB103" s="1157"/>
      <c r="BC103" s="1157">
        <f t="shared" si="219"/>
        <v>0</v>
      </c>
      <c r="BD103" s="1157">
        <f>AY103*100%</f>
        <v>0</v>
      </c>
      <c r="BE103" s="1157"/>
      <c r="BF103" s="1182">
        <v>0</v>
      </c>
      <c r="BG103" s="1199">
        <f t="shared" si="194"/>
        <v>0</v>
      </c>
      <c r="BH103" s="1157">
        <v>0</v>
      </c>
      <c r="BI103" s="1157">
        <v>0</v>
      </c>
      <c r="BJ103" s="1157"/>
      <c r="BK103" s="1157">
        <f t="shared" si="220"/>
        <v>0</v>
      </c>
      <c r="BL103" s="1157">
        <f>BG103*100%</f>
        <v>0</v>
      </c>
      <c r="BM103" s="1157"/>
      <c r="BN103" s="1182">
        <v>0</v>
      </c>
      <c r="BO103" s="1199">
        <f t="shared" si="196"/>
        <v>0</v>
      </c>
      <c r="BP103" s="1157">
        <v>0</v>
      </c>
      <c r="BQ103" s="1157">
        <v>0</v>
      </c>
      <c r="BR103" s="1157"/>
      <c r="BS103" s="1157">
        <f t="shared" si="221"/>
        <v>0</v>
      </c>
      <c r="BT103" s="1157">
        <f>BO103*100%</f>
        <v>0</v>
      </c>
      <c r="BU103" s="1157"/>
      <c r="BV103" s="1182">
        <v>0</v>
      </c>
      <c r="BW103" s="1199">
        <f t="shared" si="198"/>
        <v>0</v>
      </c>
      <c r="BX103" s="1157">
        <v>0</v>
      </c>
      <c r="BY103" s="1157">
        <v>0</v>
      </c>
      <c r="BZ103" s="1157"/>
      <c r="CA103" s="1157">
        <f t="shared" si="222"/>
        <v>0</v>
      </c>
      <c r="CB103" s="1157">
        <f>BW103*100%</f>
        <v>0</v>
      </c>
      <c r="CC103" s="1157"/>
      <c r="CD103" s="1182">
        <v>0</v>
      </c>
      <c r="CE103" s="1199">
        <f t="shared" si="200"/>
        <v>0</v>
      </c>
      <c r="CF103" s="1157">
        <v>0</v>
      </c>
      <c r="CG103" s="1157">
        <v>0</v>
      </c>
      <c r="CH103" s="1157"/>
      <c r="CI103" s="1157">
        <f t="shared" si="223"/>
        <v>0</v>
      </c>
      <c r="CJ103" s="1157">
        <f>CE103*100%</f>
        <v>0</v>
      </c>
      <c r="CK103" s="1157"/>
      <c r="CL103" s="1182">
        <v>0</v>
      </c>
      <c r="CM103" s="1199">
        <f t="shared" si="202"/>
        <v>0</v>
      </c>
      <c r="CN103" s="1157">
        <v>0</v>
      </c>
      <c r="CO103" s="1157">
        <v>0</v>
      </c>
      <c r="CP103" s="1157"/>
      <c r="CQ103" s="1157">
        <f t="shared" si="224"/>
        <v>0</v>
      </c>
      <c r="CR103" s="1157">
        <f>CM103*100%</f>
        <v>0</v>
      </c>
      <c r="CS103" s="1157"/>
      <c r="CT103" s="1124"/>
      <c r="CU103" s="1124"/>
      <c r="CV103" s="1153"/>
      <c r="CW103" s="1153"/>
      <c r="CX103" s="1153"/>
      <c r="CY103" s="1153"/>
      <c r="CZ103" s="1124"/>
      <c r="DA103" s="1124"/>
      <c r="DB103" s="1124"/>
      <c r="DC103" s="1124"/>
      <c r="DD103" s="1124"/>
    </row>
    <row r="104" spans="1:108" s="1123" customFormat="1" ht="55.2">
      <c r="A104" s="1179" t="s">
        <v>440</v>
      </c>
      <c r="B104" s="1180" t="s">
        <v>601</v>
      </c>
      <c r="C104" s="1180" t="s">
        <v>602</v>
      </c>
      <c r="D104" s="1156"/>
      <c r="E104" s="1156"/>
      <c r="F104" s="1156"/>
      <c r="G104" s="1156"/>
      <c r="H104" s="1157"/>
      <c r="I104" s="1157">
        <f>I105+I108</f>
        <v>1252863</v>
      </c>
      <c r="J104" s="1157"/>
      <c r="K104" s="1157">
        <f>K105+K108</f>
        <v>1345600</v>
      </c>
      <c r="L104" s="1157">
        <f t="shared" ref="L104:Y104" si="225">L105+L108</f>
        <v>1245600</v>
      </c>
      <c r="M104" s="1157">
        <f t="shared" si="225"/>
        <v>100000</v>
      </c>
      <c r="N104" s="1157">
        <f t="shared" si="225"/>
        <v>0</v>
      </c>
      <c r="O104" s="1157">
        <f t="shared" si="225"/>
        <v>1345600</v>
      </c>
      <c r="P104" s="1157">
        <f t="shared" si="225"/>
        <v>1257600</v>
      </c>
      <c r="Q104" s="1157">
        <f t="shared" si="225"/>
        <v>88000</v>
      </c>
      <c r="R104" s="1157">
        <v>1252863</v>
      </c>
      <c r="S104" s="1157">
        <f t="shared" si="225"/>
        <v>1345600</v>
      </c>
      <c r="T104" s="1157">
        <f>T105+T108</f>
        <v>1245600</v>
      </c>
      <c r="U104" s="1157">
        <f t="shared" si="225"/>
        <v>100000</v>
      </c>
      <c r="V104" s="1157">
        <f t="shared" si="225"/>
        <v>0</v>
      </c>
      <c r="W104" s="1157">
        <f t="shared" si="225"/>
        <v>1345600</v>
      </c>
      <c r="X104" s="1157">
        <f>X105+X108</f>
        <v>1257600</v>
      </c>
      <c r="Y104" s="1157">
        <f t="shared" si="225"/>
        <v>88000</v>
      </c>
      <c r="Z104" s="1157">
        <v>0</v>
      </c>
      <c r="AA104" s="1157">
        <f t="shared" ref="AA104:CK104" si="226">AA109+AA110</f>
        <v>0</v>
      </c>
      <c r="AB104" s="1157">
        <f t="shared" si="226"/>
        <v>0</v>
      </c>
      <c r="AC104" s="1157">
        <f t="shared" si="226"/>
        <v>0</v>
      </c>
      <c r="AD104" s="1157">
        <f t="shared" si="226"/>
        <v>0</v>
      </c>
      <c r="AE104" s="1157">
        <f t="shared" si="226"/>
        <v>0</v>
      </c>
      <c r="AF104" s="1157">
        <f t="shared" si="226"/>
        <v>0</v>
      </c>
      <c r="AG104" s="1157">
        <f t="shared" si="226"/>
        <v>0</v>
      </c>
      <c r="AH104" s="1157">
        <v>0</v>
      </c>
      <c r="AI104" s="1402">
        <f t="shared" si="226"/>
        <v>0</v>
      </c>
      <c r="AJ104" s="1402">
        <f t="shared" si="226"/>
        <v>0</v>
      </c>
      <c r="AK104" s="1402">
        <f t="shared" si="226"/>
        <v>0</v>
      </c>
      <c r="AL104" s="1157">
        <f t="shared" si="226"/>
        <v>0</v>
      </c>
      <c r="AM104" s="1157">
        <f t="shared" si="226"/>
        <v>0</v>
      </c>
      <c r="AN104" s="1157">
        <f t="shared" si="226"/>
        <v>0</v>
      </c>
      <c r="AO104" s="1157">
        <f t="shared" si="226"/>
        <v>0</v>
      </c>
      <c r="AP104" s="1157">
        <v>0</v>
      </c>
      <c r="AQ104" s="1157">
        <f t="shared" si="226"/>
        <v>0</v>
      </c>
      <c r="AR104" s="1157">
        <f t="shared" si="226"/>
        <v>0</v>
      </c>
      <c r="AS104" s="1157">
        <f t="shared" si="226"/>
        <v>0</v>
      </c>
      <c r="AT104" s="1157">
        <f t="shared" si="226"/>
        <v>0</v>
      </c>
      <c r="AU104" s="1157">
        <f t="shared" si="226"/>
        <v>0</v>
      </c>
      <c r="AV104" s="1157">
        <f t="shared" si="226"/>
        <v>0</v>
      </c>
      <c r="AW104" s="1157">
        <f t="shared" si="226"/>
        <v>0</v>
      </c>
      <c r="AX104" s="1157">
        <v>0</v>
      </c>
      <c r="AY104" s="1157">
        <f t="shared" si="226"/>
        <v>0</v>
      </c>
      <c r="AZ104" s="1157">
        <f t="shared" si="226"/>
        <v>0</v>
      </c>
      <c r="BA104" s="1157">
        <f t="shared" si="226"/>
        <v>0</v>
      </c>
      <c r="BB104" s="1157">
        <f t="shared" si="226"/>
        <v>0</v>
      </c>
      <c r="BC104" s="1157">
        <f t="shared" si="226"/>
        <v>0</v>
      </c>
      <c r="BD104" s="1157">
        <f t="shared" si="226"/>
        <v>0</v>
      </c>
      <c r="BE104" s="1157">
        <f t="shared" si="226"/>
        <v>0</v>
      </c>
      <c r="BF104" s="1157">
        <v>0</v>
      </c>
      <c r="BG104" s="1157">
        <f t="shared" si="226"/>
        <v>0</v>
      </c>
      <c r="BH104" s="1157">
        <f t="shared" si="226"/>
        <v>0</v>
      </c>
      <c r="BI104" s="1157">
        <f t="shared" si="226"/>
        <v>0</v>
      </c>
      <c r="BJ104" s="1157">
        <f t="shared" si="226"/>
        <v>0</v>
      </c>
      <c r="BK104" s="1157">
        <f t="shared" si="226"/>
        <v>0</v>
      </c>
      <c r="BL104" s="1157">
        <f t="shared" si="226"/>
        <v>0</v>
      </c>
      <c r="BM104" s="1157">
        <f t="shared" si="226"/>
        <v>0</v>
      </c>
      <c r="BN104" s="1157">
        <v>0</v>
      </c>
      <c r="BO104" s="1157">
        <f t="shared" si="226"/>
        <v>0</v>
      </c>
      <c r="BP104" s="1157">
        <f t="shared" si="226"/>
        <v>0</v>
      </c>
      <c r="BQ104" s="1157">
        <f t="shared" si="226"/>
        <v>0</v>
      </c>
      <c r="BR104" s="1157">
        <f t="shared" si="226"/>
        <v>0</v>
      </c>
      <c r="BS104" s="1157">
        <f t="shared" si="226"/>
        <v>0</v>
      </c>
      <c r="BT104" s="1157">
        <f t="shared" si="226"/>
        <v>0</v>
      </c>
      <c r="BU104" s="1157">
        <f t="shared" si="226"/>
        <v>0</v>
      </c>
      <c r="BV104" s="1157">
        <v>0</v>
      </c>
      <c r="BW104" s="1157">
        <f t="shared" si="226"/>
        <v>0</v>
      </c>
      <c r="BX104" s="1157">
        <f t="shared" si="226"/>
        <v>0</v>
      </c>
      <c r="BY104" s="1157">
        <f t="shared" si="226"/>
        <v>0</v>
      </c>
      <c r="BZ104" s="1157">
        <f t="shared" si="226"/>
        <v>0</v>
      </c>
      <c r="CA104" s="1157">
        <f t="shared" si="226"/>
        <v>0</v>
      </c>
      <c r="CB104" s="1157">
        <f t="shared" si="226"/>
        <v>0</v>
      </c>
      <c r="CC104" s="1157">
        <f t="shared" si="226"/>
        <v>0</v>
      </c>
      <c r="CD104" s="1157">
        <v>0</v>
      </c>
      <c r="CE104" s="1157">
        <f t="shared" si="226"/>
        <v>0</v>
      </c>
      <c r="CF104" s="1157">
        <f t="shared" si="226"/>
        <v>0</v>
      </c>
      <c r="CG104" s="1157">
        <f t="shared" si="226"/>
        <v>0</v>
      </c>
      <c r="CH104" s="1157">
        <f t="shared" si="226"/>
        <v>0</v>
      </c>
      <c r="CI104" s="1157">
        <f t="shared" si="226"/>
        <v>0</v>
      </c>
      <c r="CJ104" s="1157">
        <f t="shared" si="226"/>
        <v>0</v>
      </c>
      <c r="CK104" s="1157">
        <f t="shared" si="226"/>
        <v>0</v>
      </c>
      <c r="CL104" s="1157">
        <v>0</v>
      </c>
      <c r="CM104" s="1157">
        <f t="shared" ref="CM104:CS104" si="227">CM109+CM110</f>
        <v>0</v>
      </c>
      <c r="CN104" s="1157">
        <f t="shared" si="227"/>
        <v>0</v>
      </c>
      <c r="CO104" s="1157">
        <f t="shared" si="227"/>
        <v>0</v>
      </c>
      <c r="CP104" s="1157">
        <f t="shared" si="227"/>
        <v>0</v>
      </c>
      <c r="CQ104" s="1157">
        <f t="shared" si="227"/>
        <v>0</v>
      </c>
      <c r="CR104" s="1157">
        <f t="shared" si="227"/>
        <v>0</v>
      </c>
      <c r="CS104" s="1157">
        <f t="shared" si="227"/>
        <v>0</v>
      </c>
      <c r="CT104" s="1160"/>
      <c r="CU104" s="1160"/>
      <c r="CV104" s="1161"/>
      <c r="CW104" s="1161"/>
      <c r="CX104" s="1161"/>
      <c r="CY104" s="1161"/>
      <c r="CZ104" s="1160"/>
      <c r="DA104" s="1160"/>
      <c r="DB104" s="1160"/>
      <c r="DC104" s="1160"/>
      <c r="DD104" s="1160"/>
    </row>
    <row r="105" spans="1:108" ht="27.6">
      <c r="A105" s="1183" t="s">
        <v>1464</v>
      </c>
      <c r="B105" s="1184" t="s">
        <v>1465</v>
      </c>
      <c r="C105" s="1180"/>
      <c r="D105" s="1156"/>
      <c r="E105" s="1185"/>
      <c r="F105" s="1185"/>
      <c r="G105" s="1185"/>
      <c r="H105" s="1169"/>
      <c r="I105" s="1169">
        <f>I106+I107</f>
        <v>55620</v>
      </c>
      <c r="J105" s="1157"/>
      <c r="K105" s="1169">
        <f>K106+K107</f>
        <v>100000</v>
      </c>
      <c r="L105" s="1169">
        <f>L106+L107</f>
        <v>0</v>
      </c>
      <c r="M105" s="1169">
        <f t="shared" ref="M105:Y105" si="228">M106+M107</f>
        <v>100000</v>
      </c>
      <c r="N105" s="1169">
        <f t="shared" si="228"/>
        <v>0</v>
      </c>
      <c r="O105" s="1169">
        <f t="shared" si="228"/>
        <v>100000</v>
      </c>
      <c r="P105" s="1169">
        <f t="shared" si="228"/>
        <v>12000</v>
      </c>
      <c r="Q105" s="1169">
        <f t="shared" si="228"/>
        <v>88000</v>
      </c>
      <c r="R105" s="1169">
        <v>55620</v>
      </c>
      <c r="S105" s="1169">
        <f t="shared" si="228"/>
        <v>100000</v>
      </c>
      <c r="T105" s="1169">
        <f>T106+T107</f>
        <v>0</v>
      </c>
      <c r="U105" s="1169">
        <f t="shared" si="228"/>
        <v>100000</v>
      </c>
      <c r="V105" s="1169">
        <f t="shared" si="228"/>
        <v>0</v>
      </c>
      <c r="W105" s="1169">
        <f>W106+W107</f>
        <v>100000</v>
      </c>
      <c r="X105" s="1169">
        <f>X106+X107</f>
        <v>12000</v>
      </c>
      <c r="Y105" s="1169">
        <f t="shared" si="228"/>
        <v>88000</v>
      </c>
      <c r="Z105" s="1157"/>
      <c r="AA105" s="1157"/>
      <c r="AB105" s="1157"/>
      <c r="AC105" s="1157"/>
      <c r="AD105" s="1157"/>
      <c r="AE105" s="1157"/>
      <c r="AF105" s="1157"/>
      <c r="AG105" s="1157"/>
      <c r="AH105" s="1157"/>
      <c r="AI105" s="1402"/>
      <c r="AJ105" s="1402"/>
      <c r="AK105" s="1402"/>
      <c r="AL105" s="1157"/>
      <c r="AM105" s="1157"/>
      <c r="AN105" s="1157"/>
      <c r="AO105" s="1157"/>
      <c r="AP105" s="1157"/>
      <c r="AQ105" s="1157"/>
      <c r="AR105" s="1157"/>
      <c r="AS105" s="1157"/>
      <c r="AT105" s="1157"/>
      <c r="AU105" s="1157"/>
      <c r="AV105" s="1157"/>
      <c r="AW105" s="1157"/>
      <c r="AX105" s="1157"/>
      <c r="AY105" s="1157"/>
      <c r="AZ105" s="1157"/>
      <c r="BA105" s="1157"/>
      <c r="BB105" s="1157"/>
      <c r="BC105" s="1157"/>
      <c r="BD105" s="1157"/>
      <c r="BE105" s="1157"/>
      <c r="BF105" s="1157"/>
      <c r="BG105" s="1157"/>
      <c r="BH105" s="1157"/>
      <c r="BI105" s="1157"/>
      <c r="BJ105" s="1157"/>
      <c r="BK105" s="1157"/>
      <c r="BL105" s="1157"/>
      <c r="BM105" s="1157"/>
      <c r="BN105" s="1157"/>
      <c r="BO105" s="1157"/>
      <c r="BP105" s="1157"/>
      <c r="BQ105" s="1157"/>
      <c r="BR105" s="1157"/>
      <c r="BS105" s="1157"/>
      <c r="BT105" s="1157"/>
      <c r="BU105" s="1157"/>
      <c r="BV105" s="1157"/>
      <c r="BW105" s="1157"/>
      <c r="BX105" s="1157"/>
      <c r="BY105" s="1157"/>
      <c r="BZ105" s="1157"/>
      <c r="CA105" s="1157"/>
      <c r="CB105" s="1157"/>
      <c r="CC105" s="1157"/>
      <c r="CD105" s="1157"/>
      <c r="CE105" s="1157"/>
      <c r="CF105" s="1157"/>
      <c r="CG105" s="1157"/>
      <c r="CH105" s="1157"/>
      <c r="CI105" s="1157"/>
      <c r="CJ105" s="1157"/>
      <c r="CK105" s="1157"/>
      <c r="CL105" s="1157"/>
      <c r="CM105" s="1157"/>
      <c r="CN105" s="1157"/>
      <c r="CO105" s="1157"/>
      <c r="CP105" s="1157"/>
      <c r="CQ105" s="1157"/>
      <c r="CR105" s="1157"/>
      <c r="CS105" s="1157"/>
      <c r="CT105" s="1124"/>
      <c r="CU105" s="1124"/>
      <c r="CV105" s="1153"/>
      <c r="CW105" s="1153"/>
      <c r="CX105" s="1153"/>
      <c r="CY105" s="1153"/>
      <c r="CZ105" s="1124"/>
      <c r="DA105" s="1124"/>
      <c r="DB105" s="1124"/>
      <c r="DC105" s="1124"/>
      <c r="DD105" s="1124"/>
    </row>
    <row r="106" spans="1:108" ht="41.4">
      <c r="A106" s="1183"/>
      <c r="B106" s="1184" t="s">
        <v>286</v>
      </c>
      <c r="C106" s="1180" t="s">
        <v>1459</v>
      </c>
      <c r="D106" s="1156"/>
      <c r="E106" s="1185">
        <f>F106+G106</f>
        <v>1</v>
      </c>
      <c r="F106" s="1185">
        <v>0.12</v>
      </c>
      <c r="G106" s="1185">
        <v>0.88</v>
      </c>
      <c r="H106" s="1169">
        <f>IF(E106=0,P106/L106*100,IF(K106=0,0,P106/K106*100))</f>
        <v>12</v>
      </c>
      <c r="I106" s="1169">
        <v>55620</v>
      </c>
      <c r="J106" s="1157"/>
      <c r="K106" s="1169">
        <f t="shared" ref="K106:M107" si="229">S106+AA106+AI106+AQ106+AY106+BG106+BO106+BW106+CE106+CM106</f>
        <v>100000</v>
      </c>
      <c r="L106" s="1169">
        <f t="shared" si="229"/>
        <v>0</v>
      </c>
      <c r="M106" s="1169">
        <f t="shared" si="229"/>
        <v>100000</v>
      </c>
      <c r="N106" s="1169"/>
      <c r="O106" s="1169">
        <f>K106-N106</f>
        <v>100000</v>
      </c>
      <c r="P106" s="1169">
        <f>O106-Q106</f>
        <v>12000</v>
      </c>
      <c r="Q106" s="1169">
        <f>Y106+AG106+AO106+AW106+BE106+BM106+BU106+CC106+CK106+CS106</f>
        <v>88000</v>
      </c>
      <c r="R106" s="1186">
        <v>55620</v>
      </c>
      <c r="S106" s="1200">
        <f>T106+U106</f>
        <v>100000</v>
      </c>
      <c r="T106" s="1169"/>
      <c r="U106" s="1169">
        <v>100000</v>
      </c>
      <c r="V106" s="1169"/>
      <c r="W106" s="1169">
        <f>X106+Y106</f>
        <v>100000</v>
      </c>
      <c r="X106" s="1169">
        <f>S106*12%</f>
        <v>12000</v>
      </c>
      <c r="Y106" s="1169">
        <f>S106*88%</f>
        <v>88000</v>
      </c>
      <c r="Z106" s="1157"/>
      <c r="AA106" s="1157"/>
      <c r="AB106" s="1157"/>
      <c r="AC106" s="1157"/>
      <c r="AD106" s="1157"/>
      <c r="AE106" s="1157"/>
      <c r="AF106" s="1157"/>
      <c r="AG106" s="1157"/>
      <c r="AH106" s="1157"/>
      <c r="AI106" s="1402"/>
      <c r="AJ106" s="1402"/>
      <c r="AK106" s="1402"/>
      <c r="AL106" s="1157"/>
      <c r="AM106" s="1157"/>
      <c r="AN106" s="1157"/>
      <c r="AO106" s="1157"/>
      <c r="AP106" s="1157"/>
      <c r="AQ106" s="1157"/>
      <c r="AR106" s="1157"/>
      <c r="AS106" s="1157"/>
      <c r="AT106" s="1157"/>
      <c r="AU106" s="1157"/>
      <c r="AV106" s="1157"/>
      <c r="AW106" s="1157"/>
      <c r="AX106" s="1157"/>
      <c r="AY106" s="1157"/>
      <c r="AZ106" s="1157"/>
      <c r="BA106" s="1157"/>
      <c r="BB106" s="1157"/>
      <c r="BC106" s="1157"/>
      <c r="BD106" s="1157"/>
      <c r="BE106" s="1157"/>
      <c r="BF106" s="1157"/>
      <c r="BG106" s="1157"/>
      <c r="BH106" s="1157"/>
      <c r="BI106" s="1157"/>
      <c r="BJ106" s="1157"/>
      <c r="BK106" s="1157"/>
      <c r="BL106" s="1157"/>
      <c r="BM106" s="1157"/>
      <c r="BN106" s="1157"/>
      <c r="BO106" s="1157"/>
      <c r="BP106" s="1157"/>
      <c r="BQ106" s="1157"/>
      <c r="BR106" s="1157"/>
      <c r="BS106" s="1157"/>
      <c r="BT106" s="1157"/>
      <c r="BU106" s="1157"/>
      <c r="BV106" s="1157"/>
      <c r="BW106" s="1157"/>
      <c r="BX106" s="1157"/>
      <c r="BY106" s="1157"/>
      <c r="BZ106" s="1157"/>
      <c r="CA106" s="1157"/>
      <c r="CB106" s="1157"/>
      <c r="CC106" s="1157"/>
      <c r="CD106" s="1157"/>
      <c r="CE106" s="1157"/>
      <c r="CF106" s="1157"/>
      <c r="CG106" s="1157"/>
      <c r="CH106" s="1157"/>
      <c r="CI106" s="1157"/>
      <c r="CJ106" s="1157"/>
      <c r="CK106" s="1157"/>
      <c r="CL106" s="1157"/>
      <c r="CM106" s="1157"/>
      <c r="CN106" s="1157"/>
      <c r="CO106" s="1157"/>
      <c r="CP106" s="1157"/>
      <c r="CQ106" s="1157"/>
      <c r="CR106" s="1157"/>
      <c r="CS106" s="1157"/>
      <c r="CT106" s="1124"/>
      <c r="CU106" s="1124"/>
      <c r="CV106" s="1153"/>
      <c r="CW106" s="1153"/>
      <c r="CX106" s="1153"/>
      <c r="CY106" s="1153"/>
      <c r="CZ106" s="1124"/>
      <c r="DA106" s="1124"/>
      <c r="DB106" s="1124"/>
      <c r="DC106" s="1124"/>
      <c r="DD106" s="1124"/>
    </row>
    <row r="107" spans="1:108" ht="41.4">
      <c r="A107" s="1183"/>
      <c r="B107" s="1184" t="s">
        <v>1466</v>
      </c>
      <c r="C107" s="1180" t="s">
        <v>1467</v>
      </c>
      <c r="D107" s="1156"/>
      <c r="E107" s="1185">
        <f>F107+G107</f>
        <v>1</v>
      </c>
      <c r="F107" s="1185">
        <v>0.2</v>
      </c>
      <c r="G107" s="1185">
        <v>0.8</v>
      </c>
      <c r="H107" s="1169">
        <f>IF(E107=0,P107/L107*100,IF(K107=0,0,P107/K107*100))</f>
        <v>0</v>
      </c>
      <c r="I107" s="1157"/>
      <c r="J107" s="1157"/>
      <c r="K107" s="1169">
        <f t="shared" si="229"/>
        <v>0</v>
      </c>
      <c r="L107" s="1169">
        <f t="shared" si="229"/>
        <v>0</v>
      </c>
      <c r="M107" s="1169">
        <f t="shared" si="229"/>
        <v>0</v>
      </c>
      <c r="N107" s="1169"/>
      <c r="O107" s="1169">
        <f>K107-N107</f>
        <v>0</v>
      </c>
      <c r="P107" s="1169">
        <f>O107-Q107</f>
        <v>0</v>
      </c>
      <c r="Q107" s="1169">
        <f>Y107+AG107+AO107+AW107+BE107+BM107+BU107+CC107+CK107+CS107</f>
        <v>0</v>
      </c>
      <c r="R107" s="1186">
        <v>0</v>
      </c>
      <c r="S107" s="1200">
        <f>T107+U107</f>
        <v>0</v>
      </c>
      <c r="T107" s="1169"/>
      <c r="U107" s="1169"/>
      <c r="V107" s="1169"/>
      <c r="W107" s="1169">
        <f>X107+Y107</f>
        <v>0</v>
      </c>
      <c r="X107" s="1169">
        <f>S107*20%</f>
        <v>0</v>
      </c>
      <c r="Y107" s="1169">
        <f>S107*80%</f>
        <v>0</v>
      </c>
      <c r="Z107" s="1157"/>
      <c r="AA107" s="1157"/>
      <c r="AB107" s="1157"/>
      <c r="AC107" s="1157"/>
      <c r="AD107" s="1157"/>
      <c r="AE107" s="1157"/>
      <c r="AF107" s="1157"/>
      <c r="AG107" s="1157"/>
      <c r="AH107" s="1157"/>
      <c r="AI107" s="1402"/>
      <c r="AJ107" s="1402"/>
      <c r="AK107" s="1402"/>
      <c r="AL107" s="1157"/>
      <c r="AM107" s="1157"/>
      <c r="AN107" s="1157"/>
      <c r="AO107" s="1157"/>
      <c r="AP107" s="1157"/>
      <c r="AQ107" s="1157"/>
      <c r="AR107" s="1157"/>
      <c r="AS107" s="1157"/>
      <c r="AT107" s="1157"/>
      <c r="AU107" s="1157"/>
      <c r="AV107" s="1157"/>
      <c r="AW107" s="1157"/>
      <c r="AX107" s="1157"/>
      <c r="AY107" s="1157"/>
      <c r="AZ107" s="1157"/>
      <c r="BA107" s="1157"/>
      <c r="BB107" s="1157"/>
      <c r="BC107" s="1157"/>
      <c r="BD107" s="1157"/>
      <c r="BE107" s="1157"/>
      <c r="BF107" s="1157"/>
      <c r="BG107" s="1157"/>
      <c r="BH107" s="1157"/>
      <c r="BI107" s="1157"/>
      <c r="BJ107" s="1157"/>
      <c r="BK107" s="1157"/>
      <c r="BL107" s="1157"/>
      <c r="BM107" s="1157"/>
      <c r="BN107" s="1157"/>
      <c r="BO107" s="1157"/>
      <c r="BP107" s="1157"/>
      <c r="BQ107" s="1157"/>
      <c r="BR107" s="1157"/>
      <c r="BS107" s="1157"/>
      <c r="BT107" s="1157"/>
      <c r="BU107" s="1157"/>
      <c r="BV107" s="1157"/>
      <c r="BW107" s="1157"/>
      <c r="BX107" s="1157"/>
      <c r="BY107" s="1157"/>
      <c r="BZ107" s="1157"/>
      <c r="CA107" s="1157"/>
      <c r="CB107" s="1157"/>
      <c r="CC107" s="1157"/>
      <c r="CD107" s="1157"/>
      <c r="CE107" s="1157"/>
      <c r="CF107" s="1157"/>
      <c r="CG107" s="1157"/>
      <c r="CH107" s="1157"/>
      <c r="CI107" s="1157"/>
      <c r="CJ107" s="1157"/>
      <c r="CK107" s="1157"/>
      <c r="CL107" s="1157"/>
      <c r="CM107" s="1157"/>
      <c r="CN107" s="1157"/>
      <c r="CO107" s="1157"/>
      <c r="CP107" s="1157"/>
      <c r="CQ107" s="1157"/>
      <c r="CR107" s="1157"/>
      <c r="CS107" s="1157"/>
      <c r="CT107" s="1124"/>
      <c r="CU107" s="1124"/>
      <c r="CV107" s="1153"/>
      <c r="CW107" s="1153"/>
      <c r="CX107" s="1153"/>
      <c r="CY107" s="1153"/>
      <c r="CZ107" s="1124"/>
      <c r="DA107" s="1124"/>
      <c r="DB107" s="1124"/>
      <c r="DC107" s="1124"/>
      <c r="DD107" s="1124"/>
    </row>
    <row r="108" spans="1:108" ht="27.6">
      <c r="A108" s="1183" t="s">
        <v>1468</v>
      </c>
      <c r="B108" s="1184" t="s">
        <v>1469</v>
      </c>
      <c r="C108" s="1180"/>
      <c r="D108" s="1156"/>
      <c r="E108" s="1185"/>
      <c r="F108" s="1185"/>
      <c r="G108" s="1185"/>
      <c r="H108" s="1169"/>
      <c r="I108" s="1157">
        <f>I109+I110+I111+I112</f>
        <v>1197243</v>
      </c>
      <c r="J108" s="1157"/>
      <c r="K108" s="1169">
        <f>K109+K110+K111+K112</f>
        <v>1245600</v>
      </c>
      <c r="L108" s="1169">
        <f t="shared" ref="L108:Y108" si="230">L109+L110+L111+L112</f>
        <v>1245600</v>
      </c>
      <c r="M108" s="1169">
        <f t="shared" si="230"/>
        <v>0</v>
      </c>
      <c r="N108" s="1169">
        <f t="shared" si="230"/>
        <v>0</v>
      </c>
      <c r="O108" s="1169">
        <f t="shared" si="230"/>
        <v>1245600</v>
      </c>
      <c r="P108" s="1169">
        <f t="shared" si="230"/>
        <v>1245600</v>
      </c>
      <c r="Q108" s="1169">
        <f t="shared" si="230"/>
        <v>0</v>
      </c>
      <c r="R108" s="1169">
        <v>1197243</v>
      </c>
      <c r="S108" s="1169">
        <f t="shared" si="230"/>
        <v>1245600</v>
      </c>
      <c r="T108" s="1169">
        <f>T109+T110+T111+T112</f>
        <v>1245600</v>
      </c>
      <c r="U108" s="1169">
        <f>U109+U110+U111+U112</f>
        <v>0</v>
      </c>
      <c r="V108" s="1169">
        <f t="shared" si="230"/>
        <v>0</v>
      </c>
      <c r="W108" s="1169">
        <f>W109+W110+W111+W112</f>
        <v>1245600</v>
      </c>
      <c r="X108" s="1169">
        <f>X109+X110+X111+X112</f>
        <v>1245600</v>
      </c>
      <c r="Y108" s="1169">
        <f t="shared" si="230"/>
        <v>0</v>
      </c>
      <c r="Z108" s="1157"/>
      <c r="AA108" s="1157"/>
      <c r="AB108" s="1157"/>
      <c r="AC108" s="1157"/>
      <c r="AD108" s="1157"/>
      <c r="AE108" s="1157"/>
      <c r="AF108" s="1157"/>
      <c r="AG108" s="1157"/>
      <c r="AH108" s="1157"/>
      <c r="AI108" s="1402"/>
      <c r="AJ108" s="1402"/>
      <c r="AK108" s="1402"/>
      <c r="AL108" s="1157"/>
      <c r="AM108" s="1157"/>
      <c r="AN108" s="1157"/>
      <c r="AO108" s="1157"/>
      <c r="AP108" s="1157"/>
      <c r="AQ108" s="1157"/>
      <c r="AR108" s="1157"/>
      <c r="AS108" s="1157"/>
      <c r="AT108" s="1157"/>
      <c r="AU108" s="1157"/>
      <c r="AV108" s="1157"/>
      <c r="AW108" s="1157"/>
      <c r="AX108" s="1157"/>
      <c r="AY108" s="1157"/>
      <c r="AZ108" s="1157"/>
      <c r="BA108" s="1157"/>
      <c r="BB108" s="1157"/>
      <c r="BC108" s="1157"/>
      <c r="BD108" s="1157"/>
      <c r="BE108" s="1157"/>
      <c r="BF108" s="1157"/>
      <c r="BG108" s="1157"/>
      <c r="BH108" s="1157"/>
      <c r="BI108" s="1157"/>
      <c r="BJ108" s="1157"/>
      <c r="BK108" s="1157"/>
      <c r="BL108" s="1157"/>
      <c r="BM108" s="1157"/>
      <c r="BN108" s="1157"/>
      <c r="BO108" s="1157"/>
      <c r="BP108" s="1157"/>
      <c r="BQ108" s="1157"/>
      <c r="BR108" s="1157"/>
      <c r="BS108" s="1157"/>
      <c r="BT108" s="1157"/>
      <c r="BU108" s="1157"/>
      <c r="BV108" s="1157"/>
      <c r="BW108" s="1157"/>
      <c r="BX108" s="1157"/>
      <c r="BY108" s="1157"/>
      <c r="BZ108" s="1157"/>
      <c r="CA108" s="1157"/>
      <c r="CB108" s="1157"/>
      <c r="CC108" s="1157"/>
      <c r="CD108" s="1157"/>
      <c r="CE108" s="1157"/>
      <c r="CF108" s="1157"/>
      <c r="CG108" s="1157"/>
      <c r="CH108" s="1157"/>
      <c r="CI108" s="1157"/>
      <c r="CJ108" s="1157"/>
      <c r="CK108" s="1157"/>
      <c r="CL108" s="1157"/>
      <c r="CM108" s="1157"/>
      <c r="CN108" s="1157"/>
      <c r="CO108" s="1157"/>
      <c r="CP108" s="1157"/>
      <c r="CQ108" s="1157"/>
      <c r="CR108" s="1157"/>
      <c r="CS108" s="1157"/>
      <c r="CT108" s="1124"/>
      <c r="CU108" s="1124"/>
      <c r="CV108" s="1153"/>
      <c r="CW108" s="1153"/>
      <c r="CX108" s="1153"/>
      <c r="CY108" s="1153"/>
      <c r="CZ108" s="1124"/>
      <c r="DA108" s="1124"/>
      <c r="DB108" s="1124"/>
      <c r="DC108" s="1124"/>
      <c r="DD108" s="1124"/>
    </row>
    <row r="109" spans="1:108" ht="41.4">
      <c r="A109" s="1183" t="s">
        <v>23</v>
      </c>
      <c r="B109" s="1184" t="s">
        <v>1403</v>
      </c>
      <c r="C109" s="1184" t="s">
        <v>1404</v>
      </c>
      <c r="D109" s="1185"/>
      <c r="E109" s="1185">
        <f>F109+G109</f>
        <v>1</v>
      </c>
      <c r="F109" s="1185">
        <v>1</v>
      </c>
      <c r="G109" s="1185">
        <v>0</v>
      </c>
      <c r="H109" s="1169">
        <f>IF(E109=0,P109/L109*100,IF(K109=0,0,P109/K109*100))</f>
        <v>0</v>
      </c>
      <c r="I109" s="1169">
        <v>0</v>
      </c>
      <c r="J109" s="1169"/>
      <c r="K109" s="1169">
        <f t="shared" ref="K109:M113" si="231">S109+AA109+AI109+AQ109+AY109+BG109+BO109+BW109+CE109+CM109</f>
        <v>0</v>
      </c>
      <c r="L109" s="1169">
        <f>T109+AB109+AJ109+AR109+AZ109+BH109+BP109+BX109+CF109+CN109</f>
        <v>0</v>
      </c>
      <c r="M109" s="1169">
        <f t="shared" si="231"/>
        <v>0</v>
      </c>
      <c r="N109" s="1169"/>
      <c r="O109" s="1169">
        <f>K109-N109</f>
        <v>0</v>
      </c>
      <c r="P109" s="1169">
        <f>O109-Q109</f>
        <v>0</v>
      </c>
      <c r="Q109" s="1169">
        <f>Y109+AG109+AO109+AW109+BE109+BM109+BU109+CC109+CK109+CS109</f>
        <v>0</v>
      </c>
      <c r="R109" s="1186">
        <v>0</v>
      </c>
      <c r="S109" s="1200">
        <f>T109+U109</f>
        <v>0</v>
      </c>
      <c r="T109" s="1169"/>
      <c r="U109" s="1169"/>
      <c r="V109" s="1169"/>
      <c r="W109" s="1169">
        <f>X109+Y109</f>
        <v>0</v>
      </c>
      <c r="X109" s="1169">
        <f>S109*100%</f>
        <v>0</v>
      </c>
      <c r="Y109" s="1169"/>
      <c r="Z109" s="1182"/>
      <c r="AA109" s="1200"/>
      <c r="AB109" s="1200"/>
      <c r="AC109" s="1200"/>
      <c r="AD109" s="1169"/>
      <c r="AE109" s="1169"/>
      <c r="AF109" s="1169"/>
      <c r="AG109" s="1169"/>
      <c r="AH109" s="1182"/>
      <c r="AI109" s="1403"/>
      <c r="AJ109" s="1403"/>
      <c r="AK109" s="1403"/>
      <c r="AL109" s="1169"/>
      <c r="AM109" s="1169"/>
      <c r="AN109" s="1169"/>
      <c r="AO109" s="1169"/>
      <c r="AP109" s="1182"/>
      <c r="AQ109" s="1200"/>
      <c r="AR109" s="1200"/>
      <c r="AS109" s="1200"/>
      <c r="AT109" s="1169"/>
      <c r="AU109" s="1169"/>
      <c r="AV109" s="1169"/>
      <c r="AW109" s="1169"/>
      <c r="AX109" s="1182"/>
      <c r="AY109" s="1200"/>
      <c r="AZ109" s="1200"/>
      <c r="BA109" s="1200"/>
      <c r="BB109" s="1169"/>
      <c r="BC109" s="1169"/>
      <c r="BD109" s="1169"/>
      <c r="BE109" s="1169"/>
      <c r="BF109" s="1182"/>
      <c r="BG109" s="1200"/>
      <c r="BH109" s="1200"/>
      <c r="BI109" s="1200"/>
      <c r="BJ109" s="1169"/>
      <c r="BK109" s="1169"/>
      <c r="BL109" s="1169"/>
      <c r="BM109" s="1169"/>
      <c r="BN109" s="1182"/>
      <c r="BO109" s="1200"/>
      <c r="BP109" s="1200"/>
      <c r="BQ109" s="1200"/>
      <c r="BR109" s="1169"/>
      <c r="BS109" s="1169"/>
      <c r="BT109" s="1169"/>
      <c r="BU109" s="1169"/>
      <c r="BV109" s="1182"/>
      <c r="BW109" s="1200"/>
      <c r="BX109" s="1200"/>
      <c r="BY109" s="1200"/>
      <c r="BZ109" s="1169"/>
      <c r="CA109" s="1169"/>
      <c r="CB109" s="1169"/>
      <c r="CC109" s="1169"/>
      <c r="CD109" s="1182"/>
      <c r="CE109" s="1200"/>
      <c r="CF109" s="1200"/>
      <c r="CG109" s="1200"/>
      <c r="CH109" s="1169"/>
      <c r="CI109" s="1169"/>
      <c r="CJ109" s="1169"/>
      <c r="CK109" s="1169"/>
      <c r="CL109" s="1182"/>
      <c r="CM109" s="1200"/>
      <c r="CN109" s="1200"/>
      <c r="CO109" s="1200"/>
      <c r="CP109" s="1169"/>
      <c r="CQ109" s="1169"/>
      <c r="CR109" s="1169"/>
      <c r="CS109" s="1169"/>
      <c r="CT109" s="1124"/>
      <c r="CU109" s="1124"/>
      <c r="CV109" s="1153"/>
      <c r="CW109" s="1153"/>
      <c r="CX109" s="1153"/>
      <c r="CY109" s="1153"/>
      <c r="CZ109" s="1124"/>
      <c r="DA109" s="1124"/>
      <c r="DB109" s="1124"/>
      <c r="DC109" s="1124"/>
      <c r="DD109" s="1124"/>
    </row>
    <row r="110" spans="1:108" ht="27.6">
      <c r="A110" s="1183" t="s">
        <v>23</v>
      </c>
      <c r="B110" s="1184" t="s">
        <v>1831</v>
      </c>
      <c r="C110" s="1184" t="s">
        <v>1405</v>
      </c>
      <c r="D110" s="1185"/>
      <c r="E110" s="1185">
        <f>F110+G110</f>
        <v>1</v>
      </c>
      <c r="F110" s="1185">
        <v>1</v>
      </c>
      <c r="G110" s="1185"/>
      <c r="H110" s="1169">
        <f>IF(E110=0,P110/L110*100,IF(K110=0,0,P110/K110*100))</f>
        <v>100</v>
      </c>
      <c r="I110" s="1169">
        <v>1021007</v>
      </c>
      <c r="J110" s="1169"/>
      <c r="K110" s="1169">
        <f t="shared" si="231"/>
        <v>1027642</v>
      </c>
      <c r="L110" s="1169">
        <f t="shared" si="231"/>
        <v>1027642</v>
      </c>
      <c r="M110" s="1169">
        <f t="shared" si="231"/>
        <v>0</v>
      </c>
      <c r="N110" s="1169"/>
      <c r="O110" s="1169">
        <f>K110-N110</f>
        <v>1027642</v>
      </c>
      <c r="P110" s="1169">
        <f>O110-Q110</f>
        <v>1027642</v>
      </c>
      <c r="Q110" s="1169">
        <f>Y110+AG110+AO110+AW110+BE110+BM110+BU110+CC110+CK110+CS110</f>
        <v>0</v>
      </c>
      <c r="R110" s="1186">
        <v>1021007</v>
      </c>
      <c r="S110" s="1200">
        <f>T110+U110</f>
        <v>1027642</v>
      </c>
      <c r="T110" s="1169">
        <f>1029042-1359-41</f>
        <v>1027642</v>
      </c>
      <c r="U110" s="1169"/>
      <c r="V110" s="1169"/>
      <c r="W110" s="1169">
        <f>X110+Y110</f>
        <v>1027642</v>
      </c>
      <c r="X110" s="1169">
        <f>S110*100%</f>
        <v>1027642</v>
      </c>
      <c r="Y110" s="1169"/>
      <c r="Z110" s="1182"/>
      <c r="AA110" s="1200"/>
      <c r="AB110" s="1200"/>
      <c r="AC110" s="1200"/>
      <c r="AD110" s="1169"/>
      <c r="AE110" s="1169"/>
      <c r="AF110" s="1169"/>
      <c r="AG110" s="1169"/>
      <c r="AH110" s="1182"/>
      <c r="AI110" s="1403"/>
      <c r="AJ110" s="1403"/>
      <c r="AK110" s="1403"/>
      <c r="AL110" s="1169"/>
      <c r="AM110" s="1169"/>
      <c r="AN110" s="1169"/>
      <c r="AO110" s="1169"/>
      <c r="AP110" s="1182"/>
      <c r="AQ110" s="1200"/>
      <c r="AR110" s="1200"/>
      <c r="AS110" s="1200"/>
      <c r="AT110" s="1169"/>
      <c r="AU110" s="1169"/>
      <c r="AV110" s="1169"/>
      <c r="AW110" s="1169"/>
      <c r="AX110" s="1182"/>
      <c r="AY110" s="1200"/>
      <c r="AZ110" s="1200"/>
      <c r="BA110" s="1200"/>
      <c r="BB110" s="1169"/>
      <c r="BC110" s="1169"/>
      <c r="BD110" s="1169"/>
      <c r="BE110" s="1169"/>
      <c r="BF110" s="1182"/>
      <c r="BG110" s="1200"/>
      <c r="BH110" s="1200"/>
      <c r="BI110" s="1200"/>
      <c r="BJ110" s="1169"/>
      <c r="BK110" s="1169"/>
      <c r="BL110" s="1169"/>
      <c r="BM110" s="1169"/>
      <c r="BN110" s="1182"/>
      <c r="BO110" s="1200"/>
      <c r="BP110" s="1200"/>
      <c r="BQ110" s="1200"/>
      <c r="BR110" s="1169"/>
      <c r="BS110" s="1169"/>
      <c r="BT110" s="1169"/>
      <c r="BU110" s="1169"/>
      <c r="BV110" s="1182"/>
      <c r="BW110" s="1200"/>
      <c r="BX110" s="1200"/>
      <c r="BY110" s="1200"/>
      <c r="BZ110" s="1169"/>
      <c r="CA110" s="1169"/>
      <c r="CB110" s="1169"/>
      <c r="CC110" s="1169"/>
      <c r="CD110" s="1182"/>
      <c r="CE110" s="1200"/>
      <c r="CF110" s="1200"/>
      <c r="CG110" s="1200"/>
      <c r="CH110" s="1169"/>
      <c r="CI110" s="1169"/>
      <c r="CJ110" s="1169"/>
      <c r="CK110" s="1169"/>
      <c r="CL110" s="1182"/>
      <c r="CM110" s="1200"/>
      <c r="CN110" s="1200"/>
      <c r="CO110" s="1200"/>
      <c r="CP110" s="1169"/>
      <c r="CQ110" s="1169"/>
      <c r="CR110" s="1169"/>
      <c r="CS110" s="1169"/>
      <c r="CT110" s="1124"/>
      <c r="CU110" s="1124"/>
      <c r="CV110" s="1153"/>
      <c r="CW110" s="1153"/>
      <c r="CX110" s="1153"/>
      <c r="CY110" s="1153"/>
      <c r="CZ110" s="1124"/>
      <c r="DA110" s="1124"/>
      <c r="DB110" s="1124"/>
      <c r="DC110" s="1124"/>
      <c r="DD110" s="1124"/>
    </row>
    <row r="111" spans="1:108" ht="27.6">
      <c r="A111" s="1183" t="s">
        <v>23</v>
      </c>
      <c r="B111" s="1184" t="s">
        <v>603</v>
      </c>
      <c r="C111" s="1184" t="s">
        <v>604</v>
      </c>
      <c r="D111" s="1185"/>
      <c r="E111" s="1185">
        <v>1</v>
      </c>
      <c r="F111" s="1185">
        <v>1</v>
      </c>
      <c r="G111" s="1185"/>
      <c r="H111" s="1169">
        <f>IF(E111=0,P111/L111*100,IF(K111=0,0,P111/K111*100))</f>
        <v>100</v>
      </c>
      <c r="I111" s="1169">
        <v>146236</v>
      </c>
      <c r="J111" s="1169"/>
      <c r="K111" s="1169">
        <f t="shared" si="231"/>
        <v>187958</v>
      </c>
      <c r="L111" s="1169">
        <f>T111+AB111+AJ111+AR111+AZ111+BH111+BP111+BX111+CF111+CN111</f>
        <v>187958</v>
      </c>
      <c r="M111" s="1169">
        <f t="shared" si="231"/>
        <v>0</v>
      </c>
      <c r="N111" s="1169"/>
      <c r="O111" s="1169">
        <f>K111-N111</f>
        <v>187958</v>
      </c>
      <c r="P111" s="1169">
        <f>O111-Q111</f>
        <v>187958</v>
      </c>
      <c r="Q111" s="1169">
        <f>Y111+AG111+AO111+AW111+BE111+BM111+BU111+CC111+CK111+CS111</f>
        <v>0</v>
      </c>
      <c r="R111" s="1186">
        <v>146236</v>
      </c>
      <c r="S111" s="1200">
        <f>T111+U111</f>
        <v>187958</v>
      </c>
      <c r="T111" s="1169">
        <f>178291+9667</f>
        <v>187958</v>
      </c>
      <c r="U111" s="1169"/>
      <c r="V111" s="1169"/>
      <c r="W111" s="1169">
        <f>X111+Y111</f>
        <v>187958</v>
      </c>
      <c r="X111" s="1169">
        <f>S111*100%</f>
        <v>187958</v>
      </c>
      <c r="Y111" s="1169"/>
      <c r="Z111" s="1182"/>
      <c r="AA111" s="1200"/>
      <c r="AB111" s="1169"/>
      <c r="AC111" s="1169"/>
      <c r="AD111" s="1169"/>
      <c r="AE111" s="1169"/>
      <c r="AF111" s="1169"/>
      <c r="AG111" s="1169"/>
      <c r="AH111" s="1182"/>
      <c r="AI111" s="1403"/>
      <c r="AJ111" s="1399"/>
      <c r="AK111" s="1399"/>
      <c r="AL111" s="1169"/>
      <c r="AM111" s="1169"/>
      <c r="AN111" s="1169"/>
      <c r="AO111" s="1169"/>
      <c r="AP111" s="1182"/>
      <c r="AQ111" s="1200"/>
      <c r="AR111" s="1169"/>
      <c r="AS111" s="1169"/>
      <c r="AT111" s="1169"/>
      <c r="AU111" s="1169"/>
      <c r="AV111" s="1169"/>
      <c r="AW111" s="1169"/>
      <c r="AX111" s="1182"/>
      <c r="AY111" s="1200"/>
      <c r="AZ111" s="1169"/>
      <c r="BA111" s="1169"/>
      <c r="BB111" s="1169"/>
      <c r="BC111" s="1169"/>
      <c r="BD111" s="1169"/>
      <c r="BE111" s="1169"/>
      <c r="BF111" s="1182"/>
      <c r="BG111" s="1200"/>
      <c r="BH111" s="1169"/>
      <c r="BI111" s="1169"/>
      <c r="BJ111" s="1169"/>
      <c r="BK111" s="1169"/>
      <c r="BL111" s="1169"/>
      <c r="BM111" s="1169"/>
      <c r="BN111" s="1182"/>
      <c r="BO111" s="1200"/>
      <c r="BP111" s="1169"/>
      <c r="BQ111" s="1169"/>
      <c r="BR111" s="1169"/>
      <c r="BS111" s="1169"/>
      <c r="BT111" s="1169"/>
      <c r="BU111" s="1169"/>
      <c r="BV111" s="1182"/>
      <c r="BW111" s="1200"/>
      <c r="BX111" s="1169"/>
      <c r="BY111" s="1169"/>
      <c r="BZ111" s="1169"/>
      <c r="CA111" s="1169"/>
      <c r="CB111" s="1169"/>
      <c r="CC111" s="1169"/>
      <c r="CD111" s="1182"/>
      <c r="CE111" s="1200"/>
      <c r="CF111" s="1169"/>
      <c r="CG111" s="1169"/>
      <c r="CH111" s="1169"/>
      <c r="CI111" s="1169"/>
      <c r="CJ111" s="1169"/>
      <c r="CK111" s="1169"/>
      <c r="CL111" s="1182"/>
      <c r="CM111" s="1200"/>
      <c r="CN111" s="1169"/>
      <c r="CO111" s="1169"/>
      <c r="CP111" s="1169"/>
      <c r="CQ111" s="1169"/>
      <c r="CR111" s="1169"/>
      <c r="CS111" s="1169"/>
      <c r="CT111" s="1124"/>
      <c r="CU111" s="1124"/>
      <c r="CV111" s="1153"/>
      <c r="CW111" s="1153"/>
      <c r="CX111" s="1153"/>
      <c r="CY111" s="1153"/>
      <c r="CZ111" s="1124"/>
      <c r="DA111" s="1124"/>
      <c r="DB111" s="1124"/>
      <c r="DC111" s="1124"/>
      <c r="DD111" s="1124"/>
    </row>
    <row r="112" spans="1:108" ht="26.25" customHeight="1">
      <c r="A112" s="1183" t="s">
        <v>23</v>
      </c>
      <c r="B112" s="1184" t="s">
        <v>606</v>
      </c>
      <c r="C112" s="1184" t="s">
        <v>607</v>
      </c>
      <c r="D112" s="1185"/>
      <c r="E112" s="1185">
        <f>F112+G112</f>
        <v>1</v>
      </c>
      <c r="F112" s="1185">
        <v>1</v>
      </c>
      <c r="G112" s="1185"/>
      <c r="H112" s="1169">
        <f>IF(E112=0,P112/L112*100,IF(K112=0,0,P112/K112*100))</f>
        <v>100</v>
      </c>
      <c r="I112" s="1169">
        <v>30000</v>
      </c>
      <c r="J112" s="1169"/>
      <c r="K112" s="1169">
        <f t="shared" si="231"/>
        <v>30000</v>
      </c>
      <c r="L112" s="1169">
        <f>T112+AB112+AJ112+AR112+AZ112+BH112+BP112+BX112+CF112+CN112</f>
        <v>30000</v>
      </c>
      <c r="M112" s="1169">
        <f t="shared" si="231"/>
        <v>0</v>
      </c>
      <c r="N112" s="1169"/>
      <c r="O112" s="1169">
        <f>K112-N112</f>
        <v>30000</v>
      </c>
      <c r="P112" s="1169">
        <f>O112-Q112</f>
        <v>30000</v>
      </c>
      <c r="Q112" s="1169">
        <f>Y112+AG112+AO112+AW112+BE112+BM112+BU112+CC112+CK112+CS112</f>
        <v>0</v>
      </c>
      <c r="R112" s="1186">
        <v>30000</v>
      </c>
      <c r="S112" s="1200">
        <f>T112+U112</f>
        <v>30000</v>
      </c>
      <c r="T112" s="1169">
        <v>30000</v>
      </c>
      <c r="U112" s="1169"/>
      <c r="V112" s="1169"/>
      <c r="W112" s="1169">
        <f>X112+Y112</f>
        <v>30000</v>
      </c>
      <c r="X112" s="1169">
        <f>S112*100%</f>
        <v>30000</v>
      </c>
      <c r="Y112" s="1169"/>
      <c r="Z112" s="1182"/>
      <c r="AA112" s="1200"/>
      <c r="AB112" s="1169"/>
      <c r="AC112" s="1169"/>
      <c r="AD112" s="1169"/>
      <c r="AE112" s="1169"/>
      <c r="AF112" s="1169"/>
      <c r="AG112" s="1169"/>
      <c r="AH112" s="1182"/>
      <c r="AI112" s="1403"/>
      <c r="AJ112" s="1399"/>
      <c r="AK112" s="1399"/>
      <c r="AL112" s="1169"/>
      <c r="AM112" s="1169"/>
      <c r="AN112" s="1169"/>
      <c r="AO112" s="1169"/>
      <c r="AP112" s="1182"/>
      <c r="AQ112" s="1200"/>
      <c r="AR112" s="1169"/>
      <c r="AS112" s="1169"/>
      <c r="AT112" s="1169"/>
      <c r="AU112" s="1169"/>
      <c r="AV112" s="1169"/>
      <c r="AW112" s="1169"/>
      <c r="AX112" s="1182"/>
      <c r="AY112" s="1200"/>
      <c r="AZ112" s="1169"/>
      <c r="BA112" s="1169"/>
      <c r="BB112" s="1169"/>
      <c r="BC112" s="1169"/>
      <c r="BD112" s="1169"/>
      <c r="BE112" s="1169"/>
      <c r="BF112" s="1182"/>
      <c r="BG112" s="1200"/>
      <c r="BH112" s="1169"/>
      <c r="BI112" s="1169"/>
      <c r="BJ112" s="1169"/>
      <c r="BK112" s="1169"/>
      <c r="BL112" s="1169"/>
      <c r="BM112" s="1169"/>
      <c r="BN112" s="1182"/>
      <c r="BO112" s="1200"/>
      <c r="BP112" s="1169"/>
      <c r="BQ112" s="1169"/>
      <c r="BR112" s="1169"/>
      <c r="BS112" s="1169"/>
      <c r="BT112" s="1169"/>
      <c r="BU112" s="1169"/>
      <c r="BV112" s="1182"/>
      <c r="BW112" s="1200"/>
      <c r="BX112" s="1169"/>
      <c r="BY112" s="1169"/>
      <c r="BZ112" s="1169"/>
      <c r="CA112" s="1169"/>
      <c r="CB112" s="1169"/>
      <c r="CC112" s="1169"/>
      <c r="CD112" s="1182"/>
      <c r="CE112" s="1200"/>
      <c r="CF112" s="1169"/>
      <c r="CG112" s="1169"/>
      <c r="CH112" s="1169"/>
      <c r="CI112" s="1169"/>
      <c r="CJ112" s="1169"/>
      <c r="CK112" s="1169"/>
      <c r="CL112" s="1182"/>
      <c r="CM112" s="1200"/>
      <c r="CN112" s="1169"/>
      <c r="CO112" s="1169"/>
      <c r="CP112" s="1169"/>
      <c r="CQ112" s="1169"/>
      <c r="CR112" s="1169"/>
      <c r="CS112" s="1169"/>
      <c r="CT112" s="1124"/>
      <c r="CU112" s="1124"/>
      <c r="CV112" s="1153"/>
      <c r="CW112" s="1153"/>
      <c r="CX112" s="1153"/>
      <c r="CY112" s="1153"/>
      <c r="CZ112" s="1124"/>
      <c r="DA112" s="1124"/>
      <c r="DB112" s="1124"/>
      <c r="DC112" s="1124"/>
      <c r="DD112" s="1124"/>
    </row>
    <row r="113" spans="1:108" s="1123" customFormat="1" ht="27.6" hidden="1" outlineLevel="1">
      <c r="A113" s="1179" t="s">
        <v>464</v>
      </c>
      <c r="B113" s="1180" t="s">
        <v>465</v>
      </c>
      <c r="C113" s="1184"/>
      <c r="D113" s="1156"/>
      <c r="E113" s="1156"/>
      <c r="F113" s="1156"/>
      <c r="G113" s="1156"/>
      <c r="H113" s="1157"/>
      <c r="I113" s="1157">
        <f>R113+Z113+AH113+AP113+AX113+BF113+BN113+BV113+CD113+CL113</f>
        <v>0</v>
      </c>
      <c r="J113" s="1157"/>
      <c r="K113" s="1157">
        <f>S113+AA113+AI113+AQ113+AY113+BG113+BO113+BW113+CE113+CM113</f>
        <v>0</v>
      </c>
      <c r="L113" s="1157">
        <f>T113+AB113+AJ113+AR113+AZ113+BH113+BP113+BX113+CF113+CN113</f>
        <v>0</v>
      </c>
      <c r="M113" s="1157">
        <f t="shared" si="231"/>
        <v>0</v>
      </c>
      <c r="N113" s="1157"/>
      <c r="O113" s="1157">
        <f>K113-N113</f>
        <v>0</v>
      </c>
      <c r="P113" s="1157">
        <f>O113-Q113</f>
        <v>0</v>
      </c>
      <c r="Q113" s="1157"/>
      <c r="R113" s="1186">
        <v>0</v>
      </c>
      <c r="S113" s="1199">
        <f>T113+U113</f>
        <v>0</v>
      </c>
      <c r="T113" s="1157"/>
      <c r="U113" s="1157"/>
      <c r="V113" s="1157"/>
      <c r="W113" s="1157">
        <f>X113+Y113</f>
        <v>0</v>
      </c>
      <c r="X113" s="1157">
        <f>S113*100%</f>
        <v>0</v>
      </c>
      <c r="Y113" s="1157"/>
      <c r="Z113" s="1182"/>
      <c r="AA113" s="1199"/>
      <c r="AB113" s="1157"/>
      <c r="AC113" s="1157"/>
      <c r="AD113" s="1157"/>
      <c r="AE113" s="1157"/>
      <c r="AF113" s="1157"/>
      <c r="AG113" s="1157"/>
      <c r="AH113" s="1182"/>
      <c r="AI113" s="1401"/>
      <c r="AJ113" s="1402"/>
      <c r="AK113" s="1402"/>
      <c r="AL113" s="1157"/>
      <c r="AM113" s="1157"/>
      <c r="AN113" s="1157"/>
      <c r="AO113" s="1157"/>
      <c r="AP113" s="1182"/>
      <c r="AQ113" s="1199"/>
      <c r="AR113" s="1157"/>
      <c r="AS113" s="1157"/>
      <c r="AT113" s="1157"/>
      <c r="AU113" s="1157"/>
      <c r="AV113" s="1157"/>
      <c r="AW113" s="1157"/>
      <c r="AX113" s="1182"/>
      <c r="AY113" s="1199"/>
      <c r="AZ113" s="1157"/>
      <c r="BA113" s="1157"/>
      <c r="BB113" s="1157"/>
      <c r="BC113" s="1157"/>
      <c r="BD113" s="1157"/>
      <c r="BE113" s="1157"/>
      <c r="BF113" s="1182"/>
      <c r="BG113" s="1199"/>
      <c r="BH113" s="1157"/>
      <c r="BI113" s="1157"/>
      <c r="BJ113" s="1157"/>
      <c r="BK113" s="1157"/>
      <c r="BL113" s="1157"/>
      <c r="BM113" s="1157"/>
      <c r="BN113" s="1182"/>
      <c r="BO113" s="1199"/>
      <c r="BP113" s="1157"/>
      <c r="BQ113" s="1157"/>
      <c r="BR113" s="1157"/>
      <c r="BS113" s="1157"/>
      <c r="BT113" s="1157"/>
      <c r="BU113" s="1157"/>
      <c r="BV113" s="1182"/>
      <c r="BW113" s="1199"/>
      <c r="BX113" s="1157"/>
      <c r="BY113" s="1157"/>
      <c r="BZ113" s="1157"/>
      <c r="CA113" s="1157"/>
      <c r="CB113" s="1157"/>
      <c r="CC113" s="1157"/>
      <c r="CD113" s="1182"/>
      <c r="CE113" s="1199"/>
      <c r="CF113" s="1157"/>
      <c r="CG113" s="1157"/>
      <c r="CH113" s="1157"/>
      <c r="CI113" s="1157"/>
      <c r="CJ113" s="1157"/>
      <c r="CK113" s="1157"/>
      <c r="CL113" s="1182"/>
      <c r="CM113" s="1199"/>
      <c r="CN113" s="1157"/>
      <c r="CO113" s="1157"/>
      <c r="CP113" s="1157"/>
      <c r="CQ113" s="1157"/>
      <c r="CR113" s="1157"/>
      <c r="CS113" s="1157"/>
      <c r="CT113" s="1124"/>
      <c r="CU113" s="1124"/>
      <c r="CV113" s="1153"/>
      <c r="CW113" s="1153"/>
      <c r="CX113" s="1153"/>
      <c r="CY113" s="1153"/>
      <c r="CZ113" s="1124"/>
      <c r="DA113" s="1124"/>
      <c r="DB113" s="1124"/>
      <c r="DC113" s="1124"/>
      <c r="DD113" s="1124"/>
    </row>
    <row r="114" spans="1:108" ht="16.5" customHeight="1" collapsed="1">
      <c r="A114" s="1154" t="s">
        <v>28</v>
      </c>
      <c r="B114" s="1202" t="s">
        <v>609</v>
      </c>
      <c r="C114" s="1202"/>
      <c r="D114" s="1156">
        <v>1</v>
      </c>
      <c r="E114" s="1203"/>
      <c r="F114" s="1203"/>
      <c r="G114" s="1203"/>
      <c r="H114" s="1169"/>
      <c r="I114" s="1157">
        <f>I115+I119+I120</f>
        <v>293000</v>
      </c>
      <c r="J114" s="1157">
        <f>J115+J119+J120</f>
        <v>295000</v>
      </c>
      <c r="K114" s="1157">
        <f t="shared" ref="K114:AW114" si="232">K115+K119+K120</f>
        <v>295000</v>
      </c>
      <c r="L114" s="1157">
        <f t="shared" si="232"/>
        <v>295000</v>
      </c>
      <c r="M114" s="1157">
        <f t="shared" si="232"/>
        <v>0</v>
      </c>
      <c r="N114" s="1157">
        <f t="shared" si="232"/>
        <v>295000</v>
      </c>
      <c r="O114" s="1157">
        <f t="shared" si="232"/>
        <v>0</v>
      </c>
      <c r="P114" s="1157">
        <f t="shared" si="232"/>
        <v>0</v>
      </c>
      <c r="Q114" s="1157">
        <f t="shared" si="232"/>
        <v>0</v>
      </c>
      <c r="R114" s="1157">
        <v>0</v>
      </c>
      <c r="S114" s="1157">
        <f t="shared" si="232"/>
        <v>0</v>
      </c>
      <c r="T114" s="1157">
        <f t="shared" si="232"/>
        <v>0</v>
      </c>
      <c r="U114" s="1157">
        <f t="shared" si="232"/>
        <v>0</v>
      </c>
      <c r="V114" s="1157">
        <f t="shared" si="232"/>
        <v>0</v>
      </c>
      <c r="W114" s="1157">
        <f t="shared" si="232"/>
        <v>0</v>
      </c>
      <c r="X114" s="1157">
        <f t="shared" si="232"/>
        <v>0</v>
      </c>
      <c r="Y114" s="1157">
        <f t="shared" si="232"/>
        <v>0</v>
      </c>
      <c r="Z114" s="1157">
        <v>0</v>
      </c>
      <c r="AA114" s="1157">
        <f t="shared" si="232"/>
        <v>0</v>
      </c>
      <c r="AB114" s="1157">
        <f t="shared" si="232"/>
        <v>0</v>
      </c>
      <c r="AC114" s="1157">
        <f t="shared" si="232"/>
        <v>0</v>
      </c>
      <c r="AD114" s="1157">
        <f t="shared" si="232"/>
        <v>0</v>
      </c>
      <c r="AE114" s="1157">
        <f t="shared" si="232"/>
        <v>0</v>
      </c>
      <c r="AF114" s="1157">
        <f t="shared" si="232"/>
        <v>0</v>
      </c>
      <c r="AG114" s="1157">
        <f t="shared" si="232"/>
        <v>0</v>
      </c>
      <c r="AH114" s="1157">
        <v>0</v>
      </c>
      <c r="AI114" s="1402">
        <f t="shared" si="232"/>
        <v>0</v>
      </c>
      <c r="AJ114" s="1402">
        <f t="shared" si="232"/>
        <v>0</v>
      </c>
      <c r="AK114" s="1402">
        <f t="shared" si="232"/>
        <v>0</v>
      </c>
      <c r="AL114" s="1157">
        <f t="shared" si="232"/>
        <v>0</v>
      </c>
      <c r="AM114" s="1157">
        <f t="shared" si="232"/>
        <v>0</v>
      </c>
      <c r="AN114" s="1157">
        <f t="shared" si="232"/>
        <v>0</v>
      </c>
      <c r="AO114" s="1157">
        <f t="shared" si="232"/>
        <v>0</v>
      </c>
      <c r="AP114" s="1157">
        <v>293000</v>
      </c>
      <c r="AQ114" s="1157">
        <f t="shared" si="232"/>
        <v>295000</v>
      </c>
      <c r="AR114" s="1157">
        <f t="shared" si="232"/>
        <v>295000</v>
      </c>
      <c r="AS114" s="1157">
        <f t="shared" si="232"/>
        <v>0</v>
      </c>
      <c r="AT114" s="1157">
        <f t="shared" si="232"/>
        <v>295000</v>
      </c>
      <c r="AU114" s="1157">
        <f t="shared" si="232"/>
        <v>0</v>
      </c>
      <c r="AV114" s="1157">
        <f t="shared" si="232"/>
        <v>0</v>
      </c>
      <c r="AW114" s="1157">
        <f t="shared" si="232"/>
        <v>0</v>
      </c>
      <c r="AX114" s="1182">
        <v>0</v>
      </c>
      <c r="AY114" s="1157">
        <f t="shared" ref="AY114:CC114" si="233">AY115+AY119</f>
        <v>0</v>
      </c>
      <c r="AZ114" s="1157">
        <f t="shared" si="233"/>
        <v>0</v>
      </c>
      <c r="BA114" s="1157">
        <f t="shared" si="233"/>
        <v>0</v>
      </c>
      <c r="BB114" s="1157">
        <f t="shared" si="233"/>
        <v>0</v>
      </c>
      <c r="BC114" s="1157">
        <f t="shared" si="233"/>
        <v>0</v>
      </c>
      <c r="BD114" s="1157">
        <f t="shared" si="233"/>
        <v>0</v>
      </c>
      <c r="BE114" s="1157">
        <f t="shared" si="233"/>
        <v>0</v>
      </c>
      <c r="BF114" s="1182">
        <v>0</v>
      </c>
      <c r="BG114" s="1157">
        <f t="shared" si="233"/>
        <v>0</v>
      </c>
      <c r="BH114" s="1157">
        <f t="shared" si="233"/>
        <v>0</v>
      </c>
      <c r="BI114" s="1157">
        <f t="shared" si="233"/>
        <v>0</v>
      </c>
      <c r="BJ114" s="1157">
        <f t="shared" si="233"/>
        <v>0</v>
      </c>
      <c r="BK114" s="1157">
        <f t="shared" si="233"/>
        <v>0</v>
      </c>
      <c r="BL114" s="1157">
        <f t="shared" si="233"/>
        <v>0</v>
      </c>
      <c r="BM114" s="1157">
        <f t="shared" si="233"/>
        <v>0</v>
      </c>
      <c r="BN114" s="1182">
        <v>0</v>
      </c>
      <c r="BO114" s="1157">
        <f t="shared" si="233"/>
        <v>0</v>
      </c>
      <c r="BP114" s="1157">
        <f t="shared" si="233"/>
        <v>0</v>
      </c>
      <c r="BQ114" s="1157">
        <f t="shared" si="233"/>
        <v>0</v>
      </c>
      <c r="BR114" s="1157">
        <f t="shared" si="233"/>
        <v>0</v>
      </c>
      <c r="BS114" s="1157">
        <f t="shared" si="233"/>
        <v>0</v>
      </c>
      <c r="BT114" s="1157">
        <f t="shared" si="233"/>
        <v>0</v>
      </c>
      <c r="BU114" s="1157">
        <f t="shared" si="233"/>
        <v>0</v>
      </c>
      <c r="BV114" s="1182">
        <v>0</v>
      </c>
      <c r="BW114" s="1157">
        <f t="shared" si="233"/>
        <v>0</v>
      </c>
      <c r="BX114" s="1157">
        <f t="shared" si="233"/>
        <v>0</v>
      </c>
      <c r="BY114" s="1157">
        <f t="shared" si="233"/>
        <v>0</v>
      </c>
      <c r="BZ114" s="1157">
        <f t="shared" si="233"/>
        <v>0</v>
      </c>
      <c r="CA114" s="1157">
        <f t="shared" si="233"/>
        <v>0</v>
      </c>
      <c r="CB114" s="1157">
        <f t="shared" si="233"/>
        <v>0</v>
      </c>
      <c r="CC114" s="1157">
        <f t="shared" si="233"/>
        <v>0</v>
      </c>
      <c r="CD114" s="1182">
        <v>0</v>
      </c>
      <c r="CE114" s="1157">
        <f t="shared" ref="CE114:CS114" si="234">CE115+CE119</f>
        <v>0</v>
      </c>
      <c r="CF114" s="1157">
        <f t="shared" si="234"/>
        <v>0</v>
      </c>
      <c r="CG114" s="1157">
        <f t="shared" si="234"/>
        <v>0</v>
      </c>
      <c r="CH114" s="1157">
        <f t="shared" si="234"/>
        <v>0</v>
      </c>
      <c r="CI114" s="1157">
        <f t="shared" si="234"/>
        <v>0</v>
      </c>
      <c r="CJ114" s="1157">
        <f t="shared" si="234"/>
        <v>0</v>
      </c>
      <c r="CK114" s="1157">
        <f t="shared" si="234"/>
        <v>0</v>
      </c>
      <c r="CL114" s="1182">
        <v>0</v>
      </c>
      <c r="CM114" s="1157">
        <f t="shared" si="234"/>
        <v>0</v>
      </c>
      <c r="CN114" s="1157">
        <f t="shared" si="234"/>
        <v>0</v>
      </c>
      <c r="CO114" s="1157">
        <f t="shared" si="234"/>
        <v>0</v>
      </c>
      <c r="CP114" s="1157">
        <f t="shared" si="234"/>
        <v>0</v>
      </c>
      <c r="CQ114" s="1157">
        <f t="shared" si="234"/>
        <v>0</v>
      </c>
      <c r="CR114" s="1157">
        <f t="shared" si="234"/>
        <v>0</v>
      </c>
      <c r="CS114" s="1157">
        <f t="shared" si="234"/>
        <v>0</v>
      </c>
      <c r="CT114" s="1124"/>
      <c r="CU114" s="1124"/>
      <c r="CV114" s="1153"/>
      <c r="CW114" s="1153"/>
      <c r="CX114" s="1153"/>
      <c r="CY114" s="1153"/>
      <c r="CZ114" s="1124"/>
      <c r="DA114" s="1124"/>
      <c r="DB114" s="1124"/>
      <c r="DC114" s="1124"/>
      <c r="DD114" s="1124"/>
    </row>
    <row r="115" spans="1:108" ht="16.5" customHeight="1">
      <c r="A115" s="1183" t="s">
        <v>18</v>
      </c>
      <c r="B115" s="1167" t="s">
        <v>610</v>
      </c>
      <c r="C115" s="1167"/>
      <c r="D115" s="1185">
        <v>1</v>
      </c>
      <c r="E115" s="1185"/>
      <c r="F115" s="1185"/>
      <c r="G115" s="1185"/>
      <c r="H115" s="1169"/>
      <c r="I115" s="1169">
        <f t="shared" ref="I115:I120" si="235">R115+Z115+AH115+AP115+AX115+BF115+BN115+BV115+CD115+CL115</f>
        <v>13800</v>
      </c>
      <c r="J115" s="1169">
        <f>J116+J117+J118</f>
        <v>6500</v>
      </c>
      <c r="K115" s="1169">
        <f>S115+AA115+AI115+AQ115+AY115+BG115+BO115+BW115+CE115+CM115</f>
        <v>6500</v>
      </c>
      <c r="L115" s="1169">
        <f t="shared" ref="K115:M120" si="236">T115+AB115+AJ115+AR115+AZ115+BH115+BP115+BX115+CF115+CN115</f>
        <v>6500</v>
      </c>
      <c r="M115" s="1169">
        <f t="shared" si="236"/>
        <v>0</v>
      </c>
      <c r="N115" s="1169">
        <f>K115</f>
        <v>6500</v>
      </c>
      <c r="O115" s="1169">
        <f>K115-N115</f>
        <v>0</v>
      </c>
      <c r="P115" s="1169">
        <f>O115-Q115</f>
        <v>0</v>
      </c>
      <c r="Q115" s="1169">
        <f>Y115+AG115+AO115+AW115+BE115+BM115+BU115+CC115+CK115+CS115</f>
        <v>0</v>
      </c>
      <c r="R115" s="1181">
        <v>0</v>
      </c>
      <c r="S115" s="1200">
        <f>T115+U115</f>
        <v>0</v>
      </c>
      <c r="T115" s="1200">
        <f>T116+T117</f>
        <v>0</v>
      </c>
      <c r="U115" s="1200">
        <v>0</v>
      </c>
      <c r="V115" s="1157">
        <f>S115</f>
        <v>0</v>
      </c>
      <c r="W115" s="1169">
        <f>X115+Y115</f>
        <v>0</v>
      </c>
      <c r="X115" s="1169"/>
      <c r="Y115" s="1169"/>
      <c r="Z115" s="1182">
        <v>0</v>
      </c>
      <c r="AA115" s="1200">
        <f>AB115+AC115</f>
        <v>0</v>
      </c>
      <c r="AB115" s="1200">
        <v>0</v>
      </c>
      <c r="AC115" s="1200">
        <v>0</v>
      </c>
      <c r="AD115" s="1157">
        <f>AA115</f>
        <v>0</v>
      </c>
      <c r="AE115" s="1169">
        <f>AF115+AG115</f>
        <v>0</v>
      </c>
      <c r="AF115" s="1169"/>
      <c r="AG115" s="1169"/>
      <c r="AH115" s="1182">
        <v>0</v>
      </c>
      <c r="AI115" s="1403">
        <f>AJ115+AK115</f>
        <v>0</v>
      </c>
      <c r="AJ115" s="1403">
        <v>0</v>
      </c>
      <c r="AK115" s="1403">
        <v>0</v>
      </c>
      <c r="AL115" s="1157">
        <f>AI115</f>
        <v>0</v>
      </c>
      <c r="AM115" s="1169">
        <f>AN115+AO115</f>
        <v>0</v>
      </c>
      <c r="AN115" s="1169"/>
      <c r="AO115" s="1169"/>
      <c r="AP115" s="1182">
        <v>13800</v>
      </c>
      <c r="AQ115" s="1200">
        <f>AR115+AS115</f>
        <v>6500</v>
      </c>
      <c r="AR115" s="1200">
        <f>AR116+AR117</f>
        <v>6500</v>
      </c>
      <c r="AS115" s="1200">
        <v>0</v>
      </c>
      <c r="AT115" s="1157">
        <f>AQ115</f>
        <v>6500</v>
      </c>
      <c r="AU115" s="1169">
        <f>AV115+AW115</f>
        <v>0</v>
      </c>
      <c r="AV115" s="1169"/>
      <c r="AW115" s="1169"/>
      <c r="AX115" s="1182">
        <v>0</v>
      </c>
      <c r="AY115" s="1200">
        <f>AZ115+BA115</f>
        <v>0</v>
      </c>
      <c r="AZ115" s="1200">
        <v>0</v>
      </c>
      <c r="BA115" s="1200">
        <v>0</v>
      </c>
      <c r="BB115" s="1157">
        <f>AY115</f>
        <v>0</v>
      </c>
      <c r="BC115" s="1169">
        <f>BD115+BE115</f>
        <v>0</v>
      </c>
      <c r="BD115" s="1169"/>
      <c r="BE115" s="1169"/>
      <c r="BF115" s="1182">
        <v>0</v>
      </c>
      <c r="BG115" s="1200">
        <f>BH115+BI115</f>
        <v>0</v>
      </c>
      <c r="BH115" s="1200">
        <v>0</v>
      </c>
      <c r="BI115" s="1200">
        <v>0</v>
      </c>
      <c r="BJ115" s="1157">
        <f>BG115</f>
        <v>0</v>
      </c>
      <c r="BK115" s="1169">
        <f>BL115+BM115</f>
        <v>0</v>
      </c>
      <c r="BL115" s="1169"/>
      <c r="BM115" s="1169"/>
      <c r="BN115" s="1182">
        <v>0</v>
      </c>
      <c r="BO115" s="1200">
        <f>BP115+BQ115</f>
        <v>0</v>
      </c>
      <c r="BP115" s="1200">
        <v>0</v>
      </c>
      <c r="BQ115" s="1200">
        <v>0</v>
      </c>
      <c r="BR115" s="1157">
        <f>BO115</f>
        <v>0</v>
      </c>
      <c r="BS115" s="1169">
        <f>BT115+BU115</f>
        <v>0</v>
      </c>
      <c r="BT115" s="1169"/>
      <c r="BU115" s="1169"/>
      <c r="BV115" s="1182">
        <v>0</v>
      </c>
      <c r="BW115" s="1200">
        <f>BX115+BY115</f>
        <v>0</v>
      </c>
      <c r="BX115" s="1200">
        <v>0</v>
      </c>
      <c r="BY115" s="1200">
        <v>0</v>
      </c>
      <c r="BZ115" s="1157">
        <f>BW115</f>
        <v>0</v>
      </c>
      <c r="CA115" s="1169">
        <f>CB115+CC115</f>
        <v>0</v>
      </c>
      <c r="CB115" s="1169"/>
      <c r="CC115" s="1169"/>
      <c r="CD115" s="1182">
        <v>0</v>
      </c>
      <c r="CE115" s="1200">
        <f>CF115+CG115</f>
        <v>0</v>
      </c>
      <c r="CF115" s="1200">
        <v>0</v>
      </c>
      <c r="CG115" s="1200">
        <v>0</v>
      </c>
      <c r="CH115" s="1157">
        <f>CE115</f>
        <v>0</v>
      </c>
      <c r="CI115" s="1169">
        <f>CJ115+CK115</f>
        <v>0</v>
      </c>
      <c r="CJ115" s="1169"/>
      <c r="CK115" s="1169"/>
      <c r="CL115" s="1182">
        <v>0</v>
      </c>
      <c r="CM115" s="1200">
        <f>CN115+CO115</f>
        <v>0</v>
      </c>
      <c r="CN115" s="1200">
        <v>0</v>
      </c>
      <c r="CO115" s="1200">
        <v>0</v>
      </c>
      <c r="CP115" s="1157">
        <f>CM115</f>
        <v>0</v>
      </c>
      <c r="CQ115" s="1169">
        <f>CR115+CS115</f>
        <v>0</v>
      </c>
      <c r="CR115" s="1169"/>
      <c r="CS115" s="1169"/>
      <c r="CT115" s="1124"/>
      <c r="CU115" s="1124"/>
      <c r="CV115" s="1153"/>
      <c r="CW115" s="1153"/>
      <c r="CX115" s="1153"/>
      <c r="CY115" s="1153"/>
      <c r="CZ115" s="1124"/>
      <c r="DA115" s="1124"/>
      <c r="DB115" s="1124"/>
      <c r="DC115" s="1124"/>
      <c r="DD115" s="1124"/>
    </row>
    <row r="116" spans="1:108" ht="16.5" customHeight="1">
      <c r="A116" s="1183"/>
      <c r="B116" s="1167" t="s">
        <v>443</v>
      </c>
      <c r="C116" s="1167"/>
      <c r="D116" s="1185"/>
      <c r="E116" s="1185"/>
      <c r="F116" s="1185"/>
      <c r="G116" s="1185"/>
      <c r="H116" s="1169"/>
      <c r="I116" s="1169">
        <f t="shared" si="235"/>
        <v>5800</v>
      </c>
      <c r="J116" s="1169">
        <f>K116</f>
        <v>6000</v>
      </c>
      <c r="K116" s="1169">
        <f t="shared" si="236"/>
        <v>6000</v>
      </c>
      <c r="L116" s="1169">
        <f t="shared" si="236"/>
        <v>6000</v>
      </c>
      <c r="M116" s="1169">
        <f t="shared" si="236"/>
        <v>0</v>
      </c>
      <c r="N116" s="1169">
        <f>K116</f>
        <v>6000</v>
      </c>
      <c r="O116" s="1169">
        <f>K116-N116</f>
        <v>0</v>
      </c>
      <c r="P116" s="1169">
        <f>O116-Q116</f>
        <v>0</v>
      </c>
      <c r="Q116" s="1169">
        <f>Y116+AG116+AO116+AW116+BE116+BM116+BU116+CC116+CK116+CS116</f>
        <v>0</v>
      </c>
      <c r="R116" s="1186">
        <v>0</v>
      </c>
      <c r="S116" s="1200">
        <f>T116+U116</f>
        <v>0</v>
      </c>
      <c r="T116" s="1200"/>
      <c r="U116" s="1200"/>
      <c r="V116" s="1169"/>
      <c r="W116" s="1169"/>
      <c r="X116" s="1169"/>
      <c r="Y116" s="1169"/>
      <c r="Z116" s="1182"/>
      <c r="AA116" s="1200"/>
      <c r="AB116" s="1200"/>
      <c r="AC116" s="1200"/>
      <c r="AD116" s="1169"/>
      <c r="AE116" s="1169"/>
      <c r="AF116" s="1169"/>
      <c r="AG116" s="1169"/>
      <c r="AH116" s="1182"/>
      <c r="AI116" s="1403"/>
      <c r="AJ116" s="1403"/>
      <c r="AK116" s="1403"/>
      <c r="AL116" s="1169"/>
      <c r="AM116" s="1169"/>
      <c r="AN116" s="1169"/>
      <c r="AO116" s="1169"/>
      <c r="AP116" s="1182">
        <v>5800</v>
      </c>
      <c r="AQ116" s="1200">
        <f>AR116+AS116</f>
        <v>6000</v>
      </c>
      <c r="AR116" s="1200">
        <v>6000</v>
      </c>
      <c r="AS116" s="1200"/>
      <c r="AT116" s="1169">
        <f>AR116</f>
        <v>6000</v>
      </c>
      <c r="AU116" s="1169"/>
      <c r="AV116" s="1169"/>
      <c r="AW116" s="1169"/>
      <c r="AX116" s="1182"/>
      <c r="AY116" s="1200"/>
      <c r="AZ116" s="1200"/>
      <c r="BA116" s="1200"/>
      <c r="BB116" s="1169"/>
      <c r="BC116" s="1169"/>
      <c r="BD116" s="1169"/>
      <c r="BE116" s="1169"/>
      <c r="BF116" s="1182"/>
      <c r="BG116" s="1200"/>
      <c r="BH116" s="1200"/>
      <c r="BI116" s="1200"/>
      <c r="BJ116" s="1169"/>
      <c r="BK116" s="1169"/>
      <c r="BL116" s="1169"/>
      <c r="BM116" s="1169"/>
      <c r="BN116" s="1182"/>
      <c r="BO116" s="1200"/>
      <c r="BP116" s="1200"/>
      <c r="BQ116" s="1200"/>
      <c r="BR116" s="1169"/>
      <c r="BS116" s="1169"/>
      <c r="BT116" s="1169"/>
      <c r="BU116" s="1169"/>
      <c r="BV116" s="1182"/>
      <c r="BW116" s="1200"/>
      <c r="BX116" s="1200"/>
      <c r="BY116" s="1200"/>
      <c r="BZ116" s="1169"/>
      <c r="CA116" s="1169"/>
      <c r="CB116" s="1169"/>
      <c r="CC116" s="1169"/>
      <c r="CD116" s="1182"/>
      <c r="CE116" s="1200"/>
      <c r="CF116" s="1200"/>
      <c r="CG116" s="1200"/>
      <c r="CH116" s="1169"/>
      <c r="CI116" s="1169"/>
      <c r="CJ116" s="1169"/>
      <c r="CK116" s="1169"/>
      <c r="CL116" s="1182"/>
      <c r="CM116" s="1200"/>
      <c r="CN116" s="1200"/>
      <c r="CO116" s="1200"/>
      <c r="CP116" s="1169"/>
      <c r="CQ116" s="1169"/>
      <c r="CR116" s="1169"/>
      <c r="CS116" s="1169"/>
      <c r="CT116" s="1124"/>
      <c r="CU116" s="1124"/>
      <c r="CV116" s="1153"/>
      <c r="CW116" s="1153"/>
      <c r="CX116" s="1153"/>
      <c r="CY116" s="1153"/>
      <c r="CZ116" s="1124"/>
      <c r="DA116" s="1124"/>
      <c r="DB116" s="1124"/>
      <c r="DC116" s="1124"/>
      <c r="DD116" s="1124"/>
    </row>
    <row r="117" spans="1:108" ht="16.5" customHeight="1">
      <c r="A117" s="1183"/>
      <c r="B117" s="1167" t="s">
        <v>444</v>
      </c>
      <c r="C117" s="1167"/>
      <c r="D117" s="1185"/>
      <c r="E117" s="1185"/>
      <c r="F117" s="1185"/>
      <c r="G117" s="1185"/>
      <c r="H117" s="1169"/>
      <c r="I117" s="1169">
        <f t="shared" si="235"/>
        <v>8000</v>
      </c>
      <c r="J117" s="1169">
        <f t="shared" ref="J117:J120" si="237">K117</f>
        <v>500</v>
      </c>
      <c r="K117" s="1169">
        <f t="shared" si="236"/>
        <v>500</v>
      </c>
      <c r="L117" s="1169">
        <f t="shared" si="236"/>
        <v>500</v>
      </c>
      <c r="M117" s="1169"/>
      <c r="N117" s="1169"/>
      <c r="O117" s="1169"/>
      <c r="P117" s="1169"/>
      <c r="Q117" s="1169"/>
      <c r="R117" s="1186">
        <v>0</v>
      </c>
      <c r="S117" s="1200">
        <f>T117+U117</f>
        <v>0</v>
      </c>
      <c r="T117" s="1200"/>
      <c r="U117" s="1200"/>
      <c r="V117" s="1169">
        <f>T117</f>
        <v>0</v>
      </c>
      <c r="W117" s="1169"/>
      <c r="X117" s="1169"/>
      <c r="Y117" s="1169"/>
      <c r="Z117" s="1182"/>
      <c r="AA117" s="1200"/>
      <c r="AB117" s="1200"/>
      <c r="AC117" s="1200"/>
      <c r="AD117" s="1169"/>
      <c r="AE117" s="1169"/>
      <c r="AF117" s="1169"/>
      <c r="AG117" s="1169"/>
      <c r="AH117" s="1182"/>
      <c r="AI117" s="1403"/>
      <c r="AJ117" s="1403"/>
      <c r="AK117" s="1403"/>
      <c r="AL117" s="1169"/>
      <c r="AM117" s="1169"/>
      <c r="AN117" s="1169"/>
      <c r="AO117" s="1169"/>
      <c r="AP117" s="1182">
        <v>8000</v>
      </c>
      <c r="AQ117" s="1200">
        <f>AR117+AS117</f>
        <v>500</v>
      </c>
      <c r="AR117" s="1200">
        <v>500</v>
      </c>
      <c r="AS117" s="1200"/>
      <c r="AT117" s="1169">
        <f>AR117</f>
        <v>500</v>
      </c>
      <c r="AU117" s="1169"/>
      <c r="AV117" s="1169"/>
      <c r="AW117" s="1169"/>
      <c r="AX117" s="1182"/>
      <c r="AY117" s="1200"/>
      <c r="AZ117" s="1200"/>
      <c r="BA117" s="1200"/>
      <c r="BB117" s="1169"/>
      <c r="BC117" s="1169"/>
      <c r="BD117" s="1169"/>
      <c r="BE117" s="1169"/>
      <c r="BF117" s="1182"/>
      <c r="BG117" s="1200"/>
      <c r="BH117" s="1200"/>
      <c r="BI117" s="1200"/>
      <c r="BJ117" s="1169"/>
      <c r="BK117" s="1169"/>
      <c r="BL117" s="1169"/>
      <c r="BM117" s="1169"/>
      <c r="BN117" s="1182"/>
      <c r="BO117" s="1200"/>
      <c r="BP117" s="1200"/>
      <c r="BQ117" s="1200"/>
      <c r="BR117" s="1169"/>
      <c r="BS117" s="1169"/>
      <c r="BT117" s="1169"/>
      <c r="BU117" s="1169"/>
      <c r="BV117" s="1182"/>
      <c r="BW117" s="1200"/>
      <c r="BX117" s="1200"/>
      <c r="BY117" s="1200"/>
      <c r="BZ117" s="1169"/>
      <c r="CA117" s="1169"/>
      <c r="CB117" s="1169"/>
      <c r="CC117" s="1169"/>
      <c r="CD117" s="1182"/>
      <c r="CE117" s="1200"/>
      <c r="CF117" s="1200"/>
      <c r="CG117" s="1200"/>
      <c r="CH117" s="1169"/>
      <c r="CI117" s="1169"/>
      <c r="CJ117" s="1169"/>
      <c r="CK117" s="1169"/>
      <c r="CL117" s="1182"/>
      <c r="CM117" s="1200"/>
      <c r="CN117" s="1200"/>
      <c r="CO117" s="1200"/>
      <c r="CP117" s="1169"/>
      <c r="CQ117" s="1169"/>
      <c r="CR117" s="1169"/>
      <c r="CS117" s="1169"/>
      <c r="CT117" s="1124"/>
      <c r="CU117" s="1124"/>
      <c r="CV117" s="1153"/>
      <c r="CW117" s="1153"/>
      <c r="CX117" s="1153"/>
      <c r="CY117" s="1153"/>
      <c r="CZ117" s="1124"/>
      <c r="DA117" s="1124"/>
      <c r="DB117" s="1124"/>
      <c r="DC117" s="1124"/>
      <c r="DD117" s="1124"/>
    </row>
    <row r="118" spans="1:108" ht="16.5" hidden="1" customHeight="1" outlineLevel="1">
      <c r="A118" s="1183"/>
      <c r="B118" s="1167" t="s">
        <v>611</v>
      </c>
      <c r="C118" s="1167"/>
      <c r="D118" s="1185"/>
      <c r="E118" s="1185"/>
      <c r="F118" s="1185"/>
      <c r="G118" s="1185"/>
      <c r="H118" s="1169"/>
      <c r="I118" s="1169">
        <f t="shared" si="235"/>
        <v>0</v>
      </c>
      <c r="J118" s="1169">
        <f t="shared" si="237"/>
        <v>0</v>
      </c>
      <c r="K118" s="1169">
        <f t="shared" si="236"/>
        <v>0</v>
      </c>
      <c r="L118" s="1169">
        <f t="shared" si="236"/>
        <v>0</v>
      </c>
      <c r="M118" s="1169">
        <f t="shared" si="236"/>
        <v>0</v>
      </c>
      <c r="N118" s="1169">
        <f>K118</f>
        <v>0</v>
      </c>
      <c r="O118" s="1169">
        <f>K118-N118</f>
        <v>0</v>
      </c>
      <c r="P118" s="1169">
        <f>O118-Q118</f>
        <v>0</v>
      </c>
      <c r="Q118" s="1169">
        <f>Y118+AG118+AO118+AW118+BE118+BM118+BU118+CC118+CK118+CS118</f>
        <v>0</v>
      </c>
      <c r="R118" s="1186"/>
      <c r="S118" s="1200"/>
      <c r="T118" s="1200"/>
      <c r="U118" s="1200"/>
      <c r="V118" s="1169"/>
      <c r="W118" s="1169"/>
      <c r="X118" s="1169"/>
      <c r="Y118" s="1169"/>
      <c r="Z118" s="1182"/>
      <c r="AA118" s="1200"/>
      <c r="AB118" s="1200"/>
      <c r="AC118" s="1200"/>
      <c r="AD118" s="1169"/>
      <c r="AE118" s="1169"/>
      <c r="AF118" s="1169"/>
      <c r="AG118" s="1169"/>
      <c r="AH118" s="1182"/>
      <c r="AI118" s="1403"/>
      <c r="AJ118" s="1403"/>
      <c r="AK118" s="1403"/>
      <c r="AL118" s="1169"/>
      <c r="AM118" s="1169"/>
      <c r="AN118" s="1169"/>
      <c r="AO118" s="1169"/>
      <c r="AP118" s="1182"/>
      <c r="AQ118" s="1200"/>
      <c r="AR118" s="1200"/>
      <c r="AS118" s="1200"/>
      <c r="AT118" s="1169"/>
      <c r="AU118" s="1169"/>
      <c r="AV118" s="1169"/>
      <c r="AW118" s="1169"/>
      <c r="AX118" s="1182"/>
      <c r="AY118" s="1200"/>
      <c r="AZ118" s="1200"/>
      <c r="BA118" s="1200"/>
      <c r="BB118" s="1169"/>
      <c r="BC118" s="1169"/>
      <c r="BD118" s="1169"/>
      <c r="BE118" s="1169"/>
      <c r="BF118" s="1182"/>
      <c r="BG118" s="1200"/>
      <c r="BH118" s="1200"/>
      <c r="BI118" s="1200"/>
      <c r="BJ118" s="1169"/>
      <c r="BK118" s="1169"/>
      <c r="BL118" s="1169"/>
      <c r="BM118" s="1169"/>
      <c r="BN118" s="1182"/>
      <c r="BO118" s="1200"/>
      <c r="BP118" s="1200"/>
      <c r="BQ118" s="1200"/>
      <c r="BR118" s="1169"/>
      <c r="BS118" s="1169"/>
      <c r="BT118" s="1169"/>
      <c r="BU118" s="1169"/>
      <c r="BV118" s="1182"/>
      <c r="BW118" s="1200"/>
      <c r="BX118" s="1200"/>
      <c r="BY118" s="1200"/>
      <c r="BZ118" s="1169"/>
      <c r="CA118" s="1169"/>
      <c r="CB118" s="1169"/>
      <c r="CC118" s="1169"/>
      <c r="CD118" s="1182"/>
      <c r="CE118" s="1200"/>
      <c r="CF118" s="1200"/>
      <c r="CG118" s="1200"/>
      <c r="CH118" s="1169"/>
      <c r="CI118" s="1169"/>
      <c r="CJ118" s="1169"/>
      <c r="CK118" s="1169"/>
      <c r="CL118" s="1182"/>
      <c r="CM118" s="1200"/>
      <c r="CN118" s="1200"/>
      <c r="CO118" s="1200"/>
      <c r="CP118" s="1169"/>
      <c r="CQ118" s="1169"/>
      <c r="CR118" s="1169"/>
      <c r="CS118" s="1169"/>
      <c r="CT118" s="1124"/>
      <c r="CU118" s="1124"/>
      <c r="CV118" s="1153"/>
      <c r="CW118" s="1153"/>
      <c r="CX118" s="1153"/>
      <c r="CY118" s="1153"/>
      <c r="CZ118" s="1124"/>
      <c r="DA118" s="1124"/>
      <c r="DB118" s="1124"/>
      <c r="DC118" s="1124"/>
      <c r="DD118" s="1124"/>
    </row>
    <row r="119" spans="1:108" ht="16.5" customHeight="1" collapsed="1">
      <c r="A119" s="1183" t="s">
        <v>26</v>
      </c>
      <c r="B119" s="1167" t="s">
        <v>445</v>
      </c>
      <c r="C119" s="1167"/>
      <c r="D119" s="1185">
        <v>1</v>
      </c>
      <c r="E119" s="1185"/>
      <c r="F119" s="1185"/>
      <c r="G119" s="1185"/>
      <c r="H119" s="1169"/>
      <c r="I119" s="1169">
        <f t="shared" si="235"/>
        <v>279000</v>
      </c>
      <c r="J119" s="1169">
        <f t="shared" si="237"/>
        <v>288000</v>
      </c>
      <c r="K119" s="1169">
        <f t="shared" si="236"/>
        <v>288000</v>
      </c>
      <c r="L119" s="1169">
        <f t="shared" si="236"/>
        <v>288000</v>
      </c>
      <c r="M119" s="1169">
        <f t="shared" si="236"/>
        <v>0</v>
      </c>
      <c r="N119" s="1169">
        <f>K119</f>
        <v>288000</v>
      </c>
      <c r="O119" s="1169">
        <f>K119-N119</f>
        <v>0</v>
      </c>
      <c r="P119" s="1169">
        <f>O119-Q119</f>
        <v>0</v>
      </c>
      <c r="Q119" s="1169">
        <f>Y119+AG119+AO119+AW119+BE119+BM119+BU119+CC119+CK119+CS119</f>
        <v>0</v>
      </c>
      <c r="R119" s="1181">
        <v>0</v>
      </c>
      <c r="S119" s="1200">
        <f>T119+U119</f>
        <v>0</v>
      </c>
      <c r="T119" s="1200"/>
      <c r="U119" s="1200">
        <v>0</v>
      </c>
      <c r="V119" s="1169">
        <f>S119</f>
        <v>0</v>
      </c>
      <c r="W119" s="1169">
        <f>X119+Y119</f>
        <v>0</v>
      </c>
      <c r="X119" s="1169"/>
      <c r="Y119" s="1169"/>
      <c r="Z119" s="1182">
        <v>0</v>
      </c>
      <c r="AA119" s="1200">
        <f>AB119+AC119</f>
        <v>0</v>
      </c>
      <c r="AB119" s="1200">
        <v>0</v>
      </c>
      <c r="AC119" s="1200">
        <v>0</v>
      </c>
      <c r="AD119" s="1157">
        <f>AA119</f>
        <v>0</v>
      </c>
      <c r="AE119" s="1169">
        <f>AF119+AG119</f>
        <v>0</v>
      </c>
      <c r="AF119" s="1169"/>
      <c r="AG119" s="1169"/>
      <c r="AH119" s="1182">
        <v>0</v>
      </c>
      <c r="AI119" s="1403">
        <f>AJ119+AK119</f>
        <v>0</v>
      </c>
      <c r="AJ119" s="1403">
        <v>0</v>
      </c>
      <c r="AK119" s="1403">
        <v>0</v>
      </c>
      <c r="AL119" s="1157">
        <f>AI119</f>
        <v>0</v>
      </c>
      <c r="AM119" s="1169">
        <f>AN119+AO119</f>
        <v>0</v>
      </c>
      <c r="AN119" s="1169"/>
      <c r="AO119" s="1169"/>
      <c r="AP119" s="1182">
        <v>279000</v>
      </c>
      <c r="AQ119" s="1200">
        <f>AR119+AS119</f>
        <v>288000</v>
      </c>
      <c r="AR119" s="1200">
        <v>288000</v>
      </c>
      <c r="AS119" s="1200">
        <v>0</v>
      </c>
      <c r="AT119" s="1169">
        <f>AQ119</f>
        <v>288000</v>
      </c>
      <c r="AU119" s="1169">
        <f>AV119+AW119</f>
        <v>0</v>
      </c>
      <c r="AV119" s="1169"/>
      <c r="AW119" s="1169"/>
      <c r="AX119" s="1182">
        <v>0</v>
      </c>
      <c r="AY119" s="1200">
        <f>AZ119+BA119</f>
        <v>0</v>
      </c>
      <c r="AZ119" s="1200">
        <v>0</v>
      </c>
      <c r="BA119" s="1200">
        <v>0</v>
      </c>
      <c r="BB119" s="1157">
        <f>AY119</f>
        <v>0</v>
      </c>
      <c r="BC119" s="1169">
        <f>BD119+BE119</f>
        <v>0</v>
      </c>
      <c r="BD119" s="1169"/>
      <c r="BE119" s="1169"/>
      <c r="BF119" s="1182">
        <v>0</v>
      </c>
      <c r="BG119" s="1200">
        <f>BH119+BI119</f>
        <v>0</v>
      </c>
      <c r="BH119" s="1200">
        <v>0</v>
      </c>
      <c r="BI119" s="1200">
        <v>0</v>
      </c>
      <c r="BJ119" s="1157">
        <f>BG119</f>
        <v>0</v>
      </c>
      <c r="BK119" s="1169">
        <f>BL119+BM119</f>
        <v>0</v>
      </c>
      <c r="BL119" s="1169"/>
      <c r="BM119" s="1169"/>
      <c r="BN119" s="1182">
        <v>0</v>
      </c>
      <c r="BO119" s="1200">
        <f>BP119+BQ119</f>
        <v>0</v>
      </c>
      <c r="BP119" s="1200">
        <v>0</v>
      </c>
      <c r="BQ119" s="1200">
        <v>0</v>
      </c>
      <c r="BR119" s="1157">
        <f>BO119</f>
        <v>0</v>
      </c>
      <c r="BS119" s="1169">
        <f>BT119+BU119</f>
        <v>0</v>
      </c>
      <c r="BT119" s="1169"/>
      <c r="BU119" s="1169"/>
      <c r="BV119" s="1182">
        <v>0</v>
      </c>
      <c r="BW119" s="1200">
        <f>BX119+BY119</f>
        <v>0</v>
      </c>
      <c r="BX119" s="1200">
        <v>0</v>
      </c>
      <c r="BY119" s="1200">
        <v>0</v>
      </c>
      <c r="BZ119" s="1157">
        <f>BW119</f>
        <v>0</v>
      </c>
      <c r="CA119" s="1169">
        <f>CB119+CC119</f>
        <v>0</v>
      </c>
      <c r="CB119" s="1169"/>
      <c r="CC119" s="1169"/>
      <c r="CD119" s="1182">
        <v>0</v>
      </c>
      <c r="CE119" s="1200">
        <f>CF119+CG119</f>
        <v>0</v>
      </c>
      <c r="CF119" s="1200">
        <v>0</v>
      </c>
      <c r="CG119" s="1200">
        <v>0</v>
      </c>
      <c r="CH119" s="1157">
        <f>CE119</f>
        <v>0</v>
      </c>
      <c r="CI119" s="1169">
        <f>CJ119+CK119</f>
        <v>0</v>
      </c>
      <c r="CJ119" s="1169"/>
      <c r="CK119" s="1169"/>
      <c r="CL119" s="1182">
        <v>0</v>
      </c>
      <c r="CM119" s="1200">
        <f>CN119+CO119</f>
        <v>0</v>
      </c>
      <c r="CN119" s="1200">
        <v>0</v>
      </c>
      <c r="CO119" s="1200">
        <v>0</v>
      </c>
      <c r="CP119" s="1157">
        <f>CM119</f>
        <v>0</v>
      </c>
      <c r="CQ119" s="1169">
        <f>CR119+CS119</f>
        <v>0</v>
      </c>
      <c r="CR119" s="1169"/>
      <c r="CS119" s="1169"/>
      <c r="CT119" s="1124"/>
      <c r="CU119" s="1124"/>
      <c r="CV119" s="1153"/>
      <c r="CW119" s="1153"/>
      <c r="CX119" s="1153"/>
      <c r="CY119" s="1153"/>
      <c r="CZ119" s="1124"/>
      <c r="DA119" s="1124"/>
      <c r="DB119" s="1124"/>
      <c r="DC119" s="1124"/>
      <c r="DD119" s="1124"/>
    </row>
    <row r="120" spans="1:108" ht="16.5" customHeight="1">
      <c r="A120" s="1204" t="s">
        <v>59</v>
      </c>
      <c r="B120" s="1205" t="s">
        <v>408</v>
      </c>
      <c r="C120" s="1205"/>
      <c r="D120" s="1206">
        <v>1</v>
      </c>
      <c r="E120" s="1206"/>
      <c r="F120" s="1206"/>
      <c r="G120" s="1206"/>
      <c r="H120" s="1207"/>
      <c r="I120" s="1207">
        <f t="shared" si="235"/>
        <v>200</v>
      </c>
      <c r="J120" s="1207">
        <f t="shared" si="237"/>
        <v>500</v>
      </c>
      <c r="K120" s="1207">
        <f t="shared" si="236"/>
        <v>500</v>
      </c>
      <c r="L120" s="1207">
        <f t="shared" si="236"/>
        <v>500</v>
      </c>
      <c r="M120" s="1207">
        <f t="shared" si="236"/>
        <v>0</v>
      </c>
      <c r="N120" s="1207">
        <f>K120</f>
        <v>500</v>
      </c>
      <c r="O120" s="1207">
        <f>K120-N120</f>
        <v>0</v>
      </c>
      <c r="P120" s="1207">
        <f>O120-Q120</f>
        <v>0</v>
      </c>
      <c r="Q120" s="1207">
        <f>Y120+AG120+AO120+AW120+BE120+BM120+BU120+CC120+CK120+CS120</f>
        <v>0</v>
      </c>
      <c r="R120" s="1208">
        <v>0</v>
      </c>
      <c r="S120" s="1209">
        <f>T120+U120</f>
        <v>0</v>
      </c>
      <c r="T120" s="1209"/>
      <c r="U120" s="1209">
        <v>0</v>
      </c>
      <c r="V120" s="1207">
        <f>S120</f>
        <v>0</v>
      </c>
      <c r="W120" s="1207">
        <f>X120+Y120</f>
        <v>0</v>
      </c>
      <c r="X120" s="1207"/>
      <c r="Y120" s="1207"/>
      <c r="Z120" s="1210">
        <v>0</v>
      </c>
      <c r="AA120" s="1209">
        <f>AB120+AC120</f>
        <v>0</v>
      </c>
      <c r="AB120" s="1209">
        <v>0</v>
      </c>
      <c r="AC120" s="1209">
        <v>0</v>
      </c>
      <c r="AD120" s="1211">
        <f>AA120</f>
        <v>0</v>
      </c>
      <c r="AE120" s="1207">
        <f>AF120+AG120</f>
        <v>0</v>
      </c>
      <c r="AF120" s="1207"/>
      <c r="AG120" s="1207"/>
      <c r="AH120" s="1210">
        <v>0</v>
      </c>
      <c r="AI120" s="1406">
        <f>AJ120+AK120</f>
        <v>0</v>
      </c>
      <c r="AJ120" s="1406">
        <v>0</v>
      </c>
      <c r="AK120" s="1406">
        <v>0</v>
      </c>
      <c r="AL120" s="1211">
        <f>AI120</f>
        <v>0</v>
      </c>
      <c r="AM120" s="1207">
        <f>AN120+AO120</f>
        <v>0</v>
      </c>
      <c r="AN120" s="1207"/>
      <c r="AO120" s="1207"/>
      <c r="AP120" s="1210">
        <v>200</v>
      </c>
      <c r="AQ120" s="1209">
        <f>AR120+AS120</f>
        <v>500</v>
      </c>
      <c r="AR120" s="1209">
        <v>500</v>
      </c>
      <c r="AS120" s="1209">
        <v>0</v>
      </c>
      <c r="AT120" s="1207">
        <f>AQ120</f>
        <v>500</v>
      </c>
      <c r="AU120" s="1207">
        <f>AV120+AW120</f>
        <v>0</v>
      </c>
      <c r="AV120" s="1207"/>
      <c r="AW120" s="1207"/>
      <c r="AX120" s="1210">
        <v>0</v>
      </c>
      <c r="AY120" s="1209">
        <f>AZ120+BA120</f>
        <v>0</v>
      </c>
      <c r="AZ120" s="1209">
        <v>0</v>
      </c>
      <c r="BA120" s="1209">
        <v>0</v>
      </c>
      <c r="BB120" s="1211">
        <f>AY120</f>
        <v>0</v>
      </c>
      <c r="BC120" s="1207">
        <f>BD120+BE120</f>
        <v>0</v>
      </c>
      <c r="BD120" s="1207"/>
      <c r="BE120" s="1207"/>
      <c r="BF120" s="1210">
        <v>0</v>
      </c>
      <c r="BG120" s="1209">
        <f>BH120+BI120</f>
        <v>0</v>
      </c>
      <c r="BH120" s="1209">
        <v>0</v>
      </c>
      <c r="BI120" s="1209">
        <v>0</v>
      </c>
      <c r="BJ120" s="1211">
        <f>BG120</f>
        <v>0</v>
      </c>
      <c r="BK120" s="1207">
        <f>BL120+BM120</f>
        <v>0</v>
      </c>
      <c r="BL120" s="1207"/>
      <c r="BM120" s="1207"/>
      <c r="BN120" s="1210">
        <v>0</v>
      </c>
      <c r="BO120" s="1209">
        <f>BP120+BQ120</f>
        <v>0</v>
      </c>
      <c r="BP120" s="1209">
        <v>0</v>
      </c>
      <c r="BQ120" s="1209">
        <v>0</v>
      </c>
      <c r="BR120" s="1211">
        <f>BO120</f>
        <v>0</v>
      </c>
      <c r="BS120" s="1207">
        <f>BT120+BU120</f>
        <v>0</v>
      </c>
      <c r="BT120" s="1207"/>
      <c r="BU120" s="1207"/>
      <c r="BV120" s="1210">
        <v>0</v>
      </c>
      <c r="BW120" s="1209">
        <f>BX120+BY120</f>
        <v>0</v>
      </c>
      <c r="BX120" s="1209">
        <v>0</v>
      </c>
      <c r="BY120" s="1209">
        <v>0</v>
      </c>
      <c r="BZ120" s="1211">
        <f>BW120</f>
        <v>0</v>
      </c>
      <c r="CA120" s="1207">
        <f>CB120+CC120</f>
        <v>0</v>
      </c>
      <c r="CB120" s="1207"/>
      <c r="CC120" s="1207"/>
      <c r="CD120" s="1210">
        <v>0</v>
      </c>
      <c r="CE120" s="1209">
        <f>CF120+CG120</f>
        <v>0</v>
      </c>
      <c r="CF120" s="1209">
        <v>0</v>
      </c>
      <c r="CG120" s="1209">
        <v>0</v>
      </c>
      <c r="CH120" s="1211">
        <f>CE120</f>
        <v>0</v>
      </c>
      <c r="CI120" s="1207">
        <f>CJ120+CK120</f>
        <v>0</v>
      </c>
      <c r="CJ120" s="1207"/>
      <c r="CK120" s="1207"/>
      <c r="CL120" s="1210">
        <v>0</v>
      </c>
      <c r="CM120" s="1209">
        <f>CN120+CO120</f>
        <v>0</v>
      </c>
      <c r="CN120" s="1209">
        <v>0</v>
      </c>
      <c r="CO120" s="1209">
        <v>0</v>
      </c>
      <c r="CP120" s="1211">
        <f>CM120</f>
        <v>0</v>
      </c>
      <c r="CQ120" s="1207">
        <f>CR120+CS120</f>
        <v>0</v>
      </c>
      <c r="CR120" s="1207"/>
      <c r="CS120" s="1207"/>
      <c r="CT120" s="1124"/>
      <c r="CU120" s="1124"/>
      <c r="CV120" s="1153"/>
      <c r="CW120" s="1153"/>
      <c r="CX120" s="1153"/>
      <c r="CY120" s="1153"/>
      <c r="CZ120" s="1124"/>
      <c r="DA120" s="1124"/>
      <c r="DB120" s="1124"/>
      <c r="DC120" s="1124"/>
      <c r="DD120" s="1124"/>
    </row>
    <row r="122" spans="1:108" ht="13.8">
      <c r="A122" s="1212"/>
      <c r="B122" s="1213"/>
      <c r="C122" s="1213"/>
      <c r="N122" s="1213"/>
      <c r="O122" s="1213"/>
      <c r="P122" s="1213"/>
      <c r="Q122" s="1213"/>
      <c r="V122" s="1213"/>
      <c r="W122" s="1213"/>
      <c r="X122" s="1213"/>
      <c r="Y122" s="1213"/>
      <c r="AD122" s="1124"/>
      <c r="AE122" s="1124"/>
      <c r="AF122" s="1124"/>
      <c r="AG122" s="1124"/>
      <c r="AL122" s="1124"/>
      <c r="AM122" s="1124"/>
      <c r="AN122" s="1124"/>
      <c r="AO122" s="1124"/>
      <c r="AT122" s="1124"/>
      <c r="AU122" s="1124"/>
      <c r="AV122" s="1124"/>
      <c r="AW122" s="1124"/>
      <c r="BB122" s="1124"/>
      <c r="BC122" s="1124"/>
      <c r="BD122" s="1124"/>
      <c r="BE122" s="1124"/>
      <c r="BJ122" s="1124"/>
      <c r="BK122" s="1124"/>
      <c r="BL122" s="1124"/>
      <c r="BM122" s="1124"/>
      <c r="BR122" s="1124"/>
      <c r="BS122" s="1124"/>
      <c r="BT122" s="1124"/>
      <c r="BU122" s="1124"/>
      <c r="BZ122" s="1124"/>
      <c r="CA122" s="1124"/>
      <c r="CB122" s="1124"/>
      <c r="CC122" s="1124"/>
      <c r="CH122" s="1124"/>
      <c r="CI122" s="1124"/>
      <c r="CJ122" s="1124"/>
      <c r="CK122" s="1124"/>
      <c r="CP122" s="1124"/>
      <c r="CQ122" s="1124"/>
      <c r="CR122" s="1124"/>
      <c r="CS122" s="1124"/>
    </row>
    <row r="123" spans="1:108" ht="13.8" hidden="1">
      <c r="A123" s="1214"/>
      <c r="B123" s="1215" t="e">
        <f ca="1">CELL("filename")</f>
        <v>#N/A</v>
      </c>
      <c r="C123" s="1216"/>
      <c r="N123" s="1217"/>
      <c r="O123" s="1217"/>
      <c r="P123" s="1217"/>
      <c r="Q123" s="1217"/>
      <c r="V123" s="1213"/>
      <c r="W123" s="1213"/>
      <c r="X123" s="1213"/>
      <c r="Y123" s="1213"/>
      <c r="AD123" s="1213"/>
      <c r="AE123" s="1213"/>
      <c r="AF123" s="1213"/>
      <c r="AG123" s="1213"/>
      <c r="AL123" s="1213"/>
      <c r="AM123" s="1213"/>
      <c r="AN123" s="1213"/>
      <c r="AO123" s="1213"/>
      <c r="AT123" s="1213"/>
      <c r="AU123" s="1213"/>
      <c r="AV123" s="1213"/>
      <c r="AW123" s="1213"/>
      <c r="BB123" s="1213"/>
      <c r="BC123" s="1213"/>
      <c r="BD123" s="1213"/>
      <c r="BE123" s="1213"/>
      <c r="BJ123" s="1213"/>
      <c r="BK123" s="1213"/>
      <c r="BL123" s="1213"/>
      <c r="BM123" s="1213"/>
      <c r="BR123" s="1213"/>
      <c r="BS123" s="1213"/>
      <c r="BT123" s="1213"/>
      <c r="BU123" s="1213"/>
      <c r="BZ123" s="1213"/>
      <c r="CA123" s="1213"/>
      <c r="CB123" s="1213"/>
      <c r="CC123" s="1213"/>
      <c r="CH123" s="1213"/>
      <c r="CI123" s="1213"/>
      <c r="CJ123" s="1213"/>
      <c r="CK123" s="1213"/>
      <c r="CP123" s="1213"/>
      <c r="CQ123" s="1213"/>
      <c r="CR123" s="1213"/>
      <c r="CS123" s="1213"/>
    </row>
    <row r="124" spans="1:108" ht="13.8">
      <c r="A124" s="1214"/>
      <c r="B124" s="1216"/>
      <c r="C124" s="1216"/>
      <c r="N124" s="1213"/>
      <c r="O124" s="1213"/>
      <c r="P124" s="1213"/>
      <c r="Q124" s="1213"/>
      <c r="V124" s="1213"/>
      <c r="W124" s="1213"/>
      <c r="X124" s="1213"/>
      <c r="Y124" s="1213"/>
      <c r="AD124" s="1213"/>
      <c r="AE124" s="1213"/>
      <c r="AF124" s="1213"/>
      <c r="AG124" s="1213"/>
      <c r="AL124" s="1213"/>
      <c r="AM124" s="1213"/>
      <c r="AN124" s="1213"/>
      <c r="AO124" s="1213"/>
      <c r="AT124" s="1213"/>
      <c r="AU124" s="1213"/>
      <c r="AV124" s="1213"/>
      <c r="AW124" s="1213"/>
      <c r="BB124" s="1213"/>
      <c r="BC124" s="1213"/>
      <c r="BD124" s="1213"/>
      <c r="BE124" s="1213"/>
      <c r="BJ124" s="1213"/>
      <c r="BK124" s="1213"/>
      <c r="BL124" s="1213"/>
      <c r="BM124" s="1213"/>
      <c r="BR124" s="1213"/>
      <c r="BS124" s="1213"/>
      <c r="BT124" s="1213"/>
      <c r="BU124" s="1213"/>
      <c r="BZ124" s="1213"/>
      <c r="CA124" s="1213"/>
      <c r="CB124" s="1213"/>
      <c r="CC124" s="1213"/>
      <c r="CH124" s="1213"/>
      <c r="CI124" s="1213"/>
      <c r="CJ124" s="1213"/>
      <c r="CK124" s="1213"/>
      <c r="CP124" s="1213"/>
      <c r="CQ124" s="1213"/>
      <c r="CR124" s="1213"/>
      <c r="CS124" s="1213"/>
    </row>
    <row r="125" spans="1:108" ht="13.8">
      <c r="A125" s="1214"/>
      <c r="B125" s="1216"/>
      <c r="C125" s="1216"/>
      <c r="K125" s="1218"/>
      <c r="N125" s="1217"/>
      <c r="O125" s="1217"/>
      <c r="P125" s="1217"/>
      <c r="Q125" s="1217"/>
      <c r="V125" s="1213"/>
      <c r="W125" s="1213"/>
      <c r="X125" s="1213"/>
      <c r="Y125" s="1213"/>
      <c r="AD125" s="1213"/>
      <c r="AE125" s="1213"/>
      <c r="AF125" s="1213"/>
      <c r="AG125" s="1213"/>
      <c r="AL125" s="1213"/>
      <c r="AM125" s="1213"/>
      <c r="AN125" s="1213"/>
      <c r="AO125" s="1213"/>
      <c r="AT125" s="1213"/>
      <c r="AU125" s="1213"/>
      <c r="AV125" s="1213"/>
      <c r="AW125" s="1213"/>
      <c r="BB125" s="1213"/>
      <c r="BC125" s="1213"/>
      <c r="BD125" s="1213"/>
      <c r="BE125" s="1213"/>
      <c r="BJ125" s="1213"/>
      <c r="BK125" s="1213"/>
      <c r="BL125" s="1213"/>
      <c r="BM125" s="1213"/>
      <c r="BR125" s="1213"/>
      <c r="BS125" s="1213"/>
      <c r="BT125" s="1213"/>
      <c r="BU125" s="1213"/>
      <c r="BZ125" s="1213"/>
      <c r="CA125" s="1213"/>
      <c r="CB125" s="1213"/>
      <c r="CC125" s="1213"/>
      <c r="CH125" s="1213"/>
      <c r="CI125" s="1213"/>
      <c r="CJ125" s="1213"/>
      <c r="CK125" s="1213"/>
      <c r="CP125" s="1213"/>
      <c r="CQ125" s="1213"/>
      <c r="CR125" s="1213"/>
      <c r="CS125" s="1213"/>
    </row>
    <row r="126" spans="1:108" ht="14.4">
      <c r="A126" s="1214"/>
      <c r="B126" s="1216"/>
      <c r="C126" s="1216"/>
      <c r="L126" s="1128"/>
      <c r="N126" s="1213"/>
      <c r="O126" s="1213"/>
      <c r="P126" s="1217"/>
      <c r="Q126" s="1217"/>
      <c r="V126" s="1213"/>
      <c r="W126" s="1213"/>
      <c r="X126" s="1213"/>
      <c r="Y126" s="1213"/>
      <c r="AD126" s="1213"/>
      <c r="AE126" s="1213"/>
      <c r="AF126" s="1213"/>
      <c r="AG126" s="1213"/>
      <c r="AL126" s="1213"/>
      <c r="AM126" s="1213"/>
      <c r="AN126" s="1213"/>
      <c r="AO126" s="1213"/>
      <c r="AT126" s="1213"/>
      <c r="AU126" s="1213"/>
      <c r="AV126" s="1213"/>
      <c r="AW126" s="1213"/>
      <c r="BB126" s="1213"/>
      <c r="BC126" s="1213"/>
      <c r="BD126" s="1213"/>
      <c r="BE126" s="1213"/>
      <c r="BJ126" s="1213"/>
      <c r="BK126" s="1213"/>
      <c r="BL126" s="1213"/>
      <c r="BM126" s="1213"/>
      <c r="BR126" s="1213"/>
      <c r="BS126" s="1213"/>
      <c r="BT126" s="1213"/>
      <c r="BU126" s="1213"/>
      <c r="BZ126" s="1213"/>
      <c r="CA126" s="1213"/>
      <c r="CB126" s="1213"/>
      <c r="CC126" s="1213"/>
      <c r="CH126" s="1213"/>
      <c r="CI126" s="1213"/>
      <c r="CJ126" s="1213"/>
      <c r="CK126" s="1213"/>
      <c r="CP126" s="1213"/>
      <c r="CQ126" s="1213"/>
      <c r="CR126" s="1213"/>
      <c r="CS126" s="1213"/>
    </row>
    <row r="127" spans="1:108" ht="13.8">
      <c r="A127" s="1214"/>
      <c r="C127" s="1216"/>
      <c r="N127" s="1217"/>
      <c r="O127" s="1217"/>
      <c r="P127" s="1217"/>
      <c r="Q127" s="1217"/>
      <c r="V127" s="1213"/>
      <c r="W127" s="1213"/>
      <c r="X127" s="1213"/>
      <c r="Y127" s="1213"/>
      <c r="AD127" s="1213"/>
      <c r="AE127" s="1213"/>
      <c r="AF127" s="1213"/>
      <c r="AG127" s="1213"/>
      <c r="AL127" s="1213"/>
      <c r="AM127" s="1213"/>
      <c r="AN127" s="1213"/>
      <c r="AO127" s="1213"/>
      <c r="AT127" s="1213"/>
      <c r="AU127" s="1213"/>
      <c r="AV127" s="1213"/>
      <c r="AW127" s="1213"/>
      <c r="BB127" s="1213"/>
      <c r="BC127" s="1213"/>
      <c r="BD127" s="1213"/>
      <c r="BE127" s="1213"/>
      <c r="BJ127" s="1213"/>
      <c r="BK127" s="1213"/>
      <c r="BL127" s="1213"/>
      <c r="BM127" s="1213"/>
      <c r="BR127" s="1213"/>
      <c r="BS127" s="1213"/>
      <c r="BT127" s="1213"/>
      <c r="BU127" s="1213"/>
      <c r="BZ127" s="1213"/>
      <c r="CA127" s="1213"/>
      <c r="CB127" s="1213"/>
      <c r="CC127" s="1213"/>
      <c r="CH127" s="1213"/>
      <c r="CI127" s="1213"/>
      <c r="CJ127" s="1213"/>
      <c r="CK127" s="1213"/>
      <c r="CP127" s="1213"/>
      <c r="CQ127" s="1213"/>
      <c r="CR127" s="1213"/>
      <c r="CS127" s="1213"/>
    </row>
    <row r="128" spans="1:108" ht="13.8">
      <c r="A128" s="1214"/>
      <c r="B128" s="1216"/>
      <c r="C128" s="1216"/>
      <c r="N128" s="1217"/>
      <c r="O128" s="1217"/>
      <c r="P128" s="1217"/>
      <c r="Q128" s="1217"/>
      <c r="V128" s="1213"/>
      <c r="W128" s="1213"/>
      <c r="X128" s="1213"/>
      <c r="Y128" s="1213"/>
      <c r="AD128" s="1213"/>
      <c r="AE128" s="1213"/>
      <c r="AF128" s="1213"/>
      <c r="AG128" s="1213"/>
      <c r="AL128" s="1213"/>
      <c r="AM128" s="1213"/>
      <c r="AN128" s="1213"/>
      <c r="AO128" s="1213"/>
      <c r="AT128" s="1213"/>
      <c r="AU128" s="1213"/>
      <c r="AV128" s="1213"/>
      <c r="AW128" s="1213"/>
      <c r="BB128" s="1213"/>
      <c r="BC128" s="1213"/>
      <c r="BD128" s="1213"/>
      <c r="BE128" s="1213"/>
      <c r="BJ128" s="1213"/>
      <c r="BK128" s="1213"/>
      <c r="BL128" s="1213"/>
      <c r="BM128" s="1213"/>
      <c r="BR128" s="1213"/>
      <c r="BS128" s="1213"/>
      <c r="BT128" s="1213"/>
      <c r="BU128" s="1213"/>
      <c r="BZ128" s="1213"/>
      <c r="CA128" s="1213"/>
      <c r="CB128" s="1213"/>
      <c r="CC128" s="1213"/>
      <c r="CH128" s="1213"/>
      <c r="CI128" s="1213"/>
      <c r="CJ128" s="1213"/>
      <c r="CK128" s="1213"/>
      <c r="CP128" s="1213"/>
      <c r="CQ128" s="1213"/>
      <c r="CR128" s="1213"/>
      <c r="CS128" s="1213"/>
    </row>
    <row r="129" spans="1:97" ht="13.8">
      <c r="A129" s="1214"/>
      <c r="B129" s="1216"/>
      <c r="C129" s="1216"/>
      <c r="N129" s="1217"/>
      <c r="O129" s="1217"/>
      <c r="P129" s="1217"/>
      <c r="Q129" s="1217"/>
      <c r="V129" s="1213"/>
      <c r="W129" s="1213"/>
      <c r="X129" s="1213"/>
      <c r="Y129" s="1213"/>
      <c r="AD129" s="1213"/>
      <c r="AE129" s="1213"/>
      <c r="AF129" s="1213"/>
      <c r="AG129" s="1213"/>
      <c r="AL129" s="1213"/>
      <c r="AM129" s="1213"/>
      <c r="AN129" s="1213"/>
      <c r="AO129" s="1213"/>
      <c r="AT129" s="1213"/>
      <c r="AU129" s="1213"/>
      <c r="AV129" s="1213"/>
      <c r="AW129" s="1213"/>
      <c r="BB129" s="1213"/>
      <c r="BC129" s="1213"/>
      <c r="BD129" s="1213"/>
      <c r="BE129" s="1213"/>
      <c r="BJ129" s="1213"/>
      <c r="BK129" s="1213"/>
      <c r="BL129" s="1213"/>
      <c r="BM129" s="1213"/>
      <c r="BR129" s="1213"/>
      <c r="BS129" s="1213"/>
      <c r="BT129" s="1213"/>
      <c r="BU129" s="1213"/>
      <c r="BZ129" s="1213"/>
      <c r="CA129" s="1213"/>
      <c r="CB129" s="1213"/>
      <c r="CC129" s="1213"/>
      <c r="CH129" s="1213"/>
      <c r="CI129" s="1213"/>
      <c r="CJ129" s="1213"/>
      <c r="CK129" s="1213"/>
      <c r="CP129" s="1213"/>
      <c r="CQ129" s="1213"/>
      <c r="CR129" s="1213"/>
      <c r="CS129" s="1213"/>
    </row>
    <row r="130" spans="1:97" ht="13.8">
      <c r="A130" s="1214"/>
      <c r="B130" s="1216"/>
      <c r="C130" s="1216"/>
      <c r="N130" s="1217"/>
      <c r="O130" s="1217"/>
      <c r="P130" s="1217"/>
      <c r="Q130" s="1217"/>
      <c r="V130" s="1213"/>
      <c r="W130" s="1213"/>
      <c r="X130" s="1213"/>
      <c r="Y130" s="1213"/>
      <c r="AD130" s="1213"/>
      <c r="AE130" s="1213"/>
      <c r="AF130" s="1213"/>
      <c r="AG130" s="1213"/>
      <c r="AL130" s="1213"/>
      <c r="AM130" s="1213"/>
      <c r="AN130" s="1213"/>
      <c r="AO130" s="1213"/>
      <c r="AT130" s="1213"/>
      <c r="AU130" s="1213"/>
      <c r="AV130" s="1213"/>
      <c r="AW130" s="1213"/>
      <c r="BB130" s="1213"/>
      <c r="BC130" s="1213"/>
      <c r="BD130" s="1213"/>
      <c r="BE130" s="1213"/>
      <c r="BJ130" s="1213"/>
      <c r="BK130" s="1213"/>
      <c r="BL130" s="1213"/>
      <c r="BM130" s="1213"/>
      <c r="BR130" s="1213"/>
      <c r="BS130" s="1213"/>
      <c r="BT130" s="1213"/>
      <c r="BU130" s="1213"/>
      <c r="BZ130" s="1213"/>
      <c r="CA130" s="1213"/>
      <c r="CB130" s="1213"/>
      <c r="CC130" s="1213"/>
      <c r="CH130" s="1213"/>
      <c r="CI130" s="1213"/>
      <c r="CJ130" s="1213"/>
      <c r="CK130" s="1213"/>
      <c r="CP130" s="1213"/>
      <c r="CQ130" s="1213"/>
      <c r="CR130" s="1213"/>
      <c r="CS130" s="1213"/>
    </row>
    <row r="131" spans="1:97" ht="13.8">
      <c r="A131" s="1214"/>
      <c r="B131" s="1216"/>
      <c r="C131" s="1216"/>
      <c r="N131" s="1213"/>
      <c r="O131" s="1213"/>
      <c r="P131" s="1213"/>
      <c r="Q131" s="1213"/>
      <c r="V131" s="1213"/>
      <c r="W131" s="1213"/>
      <c r="X131" s="1213"/>
      <c r="Y131" s="1213"/>
      <c r="AD131" s="1213"/>
      <c r="AE131" s="1213"/>
      <c r="AF131" s="1213"/>
      <c r="AG131" s="1213"/>
      <c r="AL131" s="1213"/>
      <c r="AM131" s="1213"/>
      <c r="AN131" s="1213"/>
      <c r="AO131" s="1213"/>
      <c r="AT131" s="1213"/>
      <c r="AU131" s="1213"/>
      <c r="AV131" s="1213"/>
      <c r="AW131" s="1213"/>
      <c r="BB131" s="1213"/>
      <c r="BC131" s="1213"/>
      <c r="BD131" s="1213"/>
      <c r="BE131" s="1213"/>
      <c r="BJ131" s="1213"/>
      <c r="BK131" s="1213"/>
      <c r="BL131" s="1213"/>
      <c r="BM131" s="1213"/>
      <c r="BR131" s="1213"/>
      <c r="BS131" s="1213"/>
      <c r="BT131" s="1213"/>
      <c r="BU131" s="1213"/>
      <c r="BZ131" s="1213"/>
      <c r="CA131" s="1213"/>
      <c r="CB131" s="1213"/>
      <c r="CC131" s="1213"/>
      <c r="CH131" s="1213"/>
      <c r="CI131" s="1213"/>
      <c r="CJ131" s="1213"/>
      <c r="CK131" s="1213"/>
      <c r="CP131" s="1213"/>
      <c r="CQ131" s="1213"/>
      <c r="CR131" s="1213"/>
      <c r="CS131" s="1213"/>
    </row>
    <row r="132" spans="1:97" ht="13.8">
      <c r="A132" s="1212"/>
      <c r="B132" s="1213"/>
      <c r="C132" s="1213"/>
      <c r="N132" s="1213"/>
      <c r="O132" s="1213"/>
      <c r="P132" s="1213"/>
      <c r="Q132" s="1213"/>
      <c r="V132" s="1213"/>
      <c r="W132" s="1213"/>
      <c r="X132" s="1213"/>
      <c r="Y132" s="1213"/>
      <c r="AD132" s="1213"/>
      <c r="AE132" s="1213"/>
      <c r="AF132" s="1213"/>
      <c r="AG132" s="1213"/>
      <c r="AL132" s="1213"/>
      <c r="AM132" s="1213"/>
      <c r="AN132" s="1213"/>
      <c r="AO132" s="1213"/>
      <c r="AT132" s="1213"/>
      <c r="AU132" s="1213"/>
      <c r="AV132" s="1213"/>
      <c r="AW132" s="1213"/>
      <c r="BB132" s="1213"/>
      <c r="BC132" s="1213"/>
      <c r="BD132" s="1213"/>
      <c r="BE132" s="1213"/>
      <c r="BJ132" s="1213"/>
      <c r="BK132" s="1213"/>
      <c r="BL132" s="1213"/>
      <c r="BM132" s="1213"/>
      <c r="BR132" s="1213"/>
      <c r="BS132" s="1213"/>
      <c r="BT132" s="1213"/>
      <c r="BU132" s="1213"/>
      <c r="BZ132" s="1213"/>
      <c r="CA132" s="1213"/>
      <c r="CB132" s="1213"/>
      <c r="CC132" s="1213"/>
      <c r="CH132" s="1213"/>
      <c r="CI132" s="1213"/>
      <c r="CJ132" s="1213"/>
      <c r="CK132" s="1213"/>
      <c r="CP132" s="1213"/>
      <c r="CQ132" s="1213"/>
      <c r="CR132" s="1213"/>
      <c r="CS132" s="1213"/>
    </row>
    <row r="133" spans="1:97" ht="13.8">
      <c r="A133" s="1214"/>
      <c r="B133" s="1216"/>
      <c r="C133" s="1216"/>
      <c r="N133" s="1217"/>
      <c r="O133" s="1217"/>
      <c r="P133" s="1217"/>
      <c r="Q133" s="1217"/>
      <c r="V133" s="1213"/>
      <c r="W133" s="1213"/>
      <c r="X133" s="1213"/>
      <c r="Y133" s="1213"/>
      <c r="AD133" s="1213"/>
      <c r="AE133" s="1213"/>
      <c r="AF133" s="1213"/>
      <c r="AG133" s="1213"/>
      <c r="AL133" s="1213"/>
      <c r="AM133" s="1213"/>
      <c r="AN133" s="1213"/>
      <c r="AO133" s="1213"/>
      <c r="AT133" s="1213"/>
      <c r="AU133" s="1213"/>
      <c r="AV133" s="1213"/>
      <c r="AW133" s="1213"/>
      <c r="BB133" s="1213"/>
      <c r="BC133" s="1213"/>
      <c r="BD133" s="1213"/>
      <c r="BE133" s="1213"/>
      <c r="BJ133" s="1213"/>
      <c r="BK133" s="1213"/>
      <c r="BL133" s="1213"/>
      <c r="BM133" s="1213"/>
      <c r="BR133" s="1213"/>
      <c r="BS133" s="1213"/>
      <c r="BT133" s="1213"/>
      <c r="BU133" s="1213"/>
      <c r="BZ133" s="1213"/>
      <c r="CA133" s="1213"/>
      <c r="CB133" s="1213"/>
      <c r="CC133" s="1213"/>
      <c r="CH133" s="1213"/>
      <c r="CI133" s="1213"/>
      <c r="CJ133" s="1213"/>
      <c r="CK133" s="1213"/>
      <c r="CP133" s="1213"/>
      <c r="CQ133" s="1213"/>
      <c r="CR133" s="1213"/>
      <c r="CS133" s="1213"/>
    </row>
    <row r="134" spans="1:97" ht="13.8">
      <c r="A134" s="1214"/>
      <c r="B134" s="1216"/>
      <c r="C134" s="1216"/>
      <c r="N134" s="1217"/>
      <c r="O134" s="1217"/>
      <c r="P134" s="1217"/>
      <c r="Q134" s="1217"/>
      <c r="V134" s="1213"/>
      <c r="W134" s="1213"/>
      <c r="X134" s="1213"/>
      <c r="Y134" s="1213"/>
      <c r="AD134" s="1213"/>
      <c r="AE134" s="1213"/>
      <c r="AF134" s="1213"/>
      <c r="AG134" s="1213"/>
      <c r="AL134" s="1213"/>
      <c r="AM134" s="1213"/>
      <c r="AN134" s="1213"/>
      <c r="AO134" s="1213"/>
      <c r="AT134" s="1213"/>
      <c r="AU134" s="1213"/>
      <c r="AV134" s="1213"/>
      <c r="AW134" s="1213"/>
      <c r="BB134" s="1213"/>
      <c r="BC134" s="1213"/>
      <c r="BD134" s="1213"/>
      <c r="BE134" s="1213"/>
      <c r="BJ134" s="1213"/>
      <c r="BK134" s="1213"/>
      <c r="BL134" s="1213"/>
      <c r="BM134" s="1213"/>
      <c r="BR134" s="1213"/>
      <c r="BS134" s="1213"/>
      <c r="BT134" s="1213"/>
      <c r="BU134" s="1213"/>
      <c r="BZ134" s="1213"/>
      <c r="CA134" s="1213"/>
      <c r="CB134" s="1213"/>
      <c r="CC134" s="1213"/>
      <c r="CH134" s="1213"/>
      <c r="CI134" s="1213"/>
      <c r="CJ134" s="1213"/>
      <c r="CK134" s="1213"/>
      <c r="CP134" s="1213"/>
      <c r="CQ134" s="1213"/>
      <c r="CR134" s="1213"/>
      <c r="CS134" s="1213"/>
    </row>
    <row r="135" spans="1:97" ht="13.8">
      <c r="A135" s="1214"/>
      <c r="B135" s="1216"/>
      <c r="C135" s="1216"/>
      <c r="N135" s="1217"/>
      <c r="O135" s="1217"/>
      <c r="P135" s="1217"/>
      <c r="Q135" s="1217"/>
      <c r="V135" s="1213"/>
      <c r="W135" s="1213"/>
      <c r="X135" s="1213"/>
      <c r="Y135" s="1213"/>
      <c r="AD135" s="1213"/>
      <c r="AE135" s="1213"/>
      <c r="AF135" s="1213"/>
      <c r="AG135" s="1213"/>
      <c r="AL135" s="1213"/>
      <c r="AM135" s="1213"/>
      <c r="AN135" s="1213"/>
      <c r="AO135" s="1213"/>
      <c r="AT135" s="1213"/>
      <c r="AU135" s="1213"/>
      <c r="AV135" s="1213"/>
      <c r="AW135" s="1213"/>
      <c r="BB135" s="1213"/>
      <c r="BC135" s="1213"/>
      <c r="BD135" s="1213"/>
      <c r="BE135" s="1213"/>
      <c r="BJ135" s="1213"/>
      <c r="BK135" s="1213"/>
      <c r="BL135" s="1213"/>
      <c r="BM135" s="1213"/>
      <c r="BR135" s="1213"/>
      <c r="BS135" s="1213"/>
      <c r="BT135" s="1213"/>
      <c r="BU135" s="1213"/>
      <c r="BZ135" s="1213"/>
      <c r="CA135" s="1213"/>
      <c r="CB135" s="1213"/>
      <c r="CC135" s="1213"/>
      <c r="CH135" s="1213"/>
      <c r="CI135" s="1213"/>
      <c r="CJ135" s="1213"/>
      <c r="CK135" s="1213"/>
      <c r="CP135" s="1213"/>
      <c r="CQ135" s="1213"/>
      <c r="CR135" s="1213"/>
      <c r="CS135" s="1213"/>
    </row>
    <row r="136" spans="1:97" ht="13.8">
      <c r="A136" s="1214"/>
      <c r="B136" s="1216"/>
      <c r="C136" s="1216"/>
      <c r="N136" s="1213"/>
      <c r="O136" s="1213"/>
      <c r="P136" s="1213"/>
      <c r="Q136" s="1213"/>
      <c r="V136" s="1213"/>
      <c r="W136" s="1213"/>
      <c r="X136" s="1213"/>
      <c r="Y136" s="1213"/>
      <c r="AD136" s="1213"/>
      <c r="AE136" s="1213"/>
      <c r="AF136" s="1213"/>
      <c r="AG136" s="1213"/>
      <c r="AL136" s="1213"/>
      <c r="AM136" s="1213"/>
      <c r="AN136" s="1213"/>
      <c r="AO136" s="1213"/>
      <c r="AT136" s="1213"/>
      <c r="AU136" s="1213"/>
      <c r="AV136" s="1213"/>
      <c r="AW136" s="1213"/>
      <c r="BB136" s="1213"/>
      <c r="BC136" s="1213"/>
      <c r="BD136" s="1213"/>
      <c r="BE136" s="1213"/>
      <c r="BJ136" s="1213"/>
      <c r="BK136" s="1213"/>
      <c r="BL136" s="1213"/>
      <c r="BM136" s="1213"/>
      <c r="BR136" s="1213"/>
      <c r="BS136" s="1213"/>
      <c r="BT136" s="1213"/>
      <c r="BU136" s="1213"/>
      <c r="BZ136" s="1213"/>
      <c r="CA136" s="1213"/>
      <c r="CB136" s="1213"/>
      <c r="CC136" s="1213"/>
      <c r="CH136" s="1213"/>
      <c r="CI136" s="1213"/>
      <c r="CJ136" s="1213"/>
      <c r="CK136" s="1213"/>
      <c r="CP136" s="1213"/>
      <c r="CQ136" s="1213"/>
      <c r="CR136" s="1213"/>
      <c r="CS136" s="1213"/>
    </row>
    <row r="137" spans="1:97" ht="13.8">
      <c r="A137" s="1214"/>
      <c r="B137" s="1216"/>
      <c r="C137" s="1216"/>
      <c r="N137" s="1217"/>
      <c r="O137" s="1217"/>
      <c r="P137" s="1217"/>
      <c r="Q137" s="1217"/>
      <c r="V137" s="1213"/>
      <c r="W137" s="1213"/>
      <c r="X137" s="1213"/>
      <c r="Y137" s="1213"/>
      <c r="AD137" s="1213"/>
      <c r="AE137" s="1213"/>
      <c r="AF137" s="1213"/>
      <c r="AG137" s="1213"/>
      <c r="AL137" s="1213"/>
      <c r="AM137" s="1213"/>
      <c r="AN137" s="1213"/>
      <c r="AO137" s="1213"/>
      <c r="AT137" s="1213"/>
      <c r="AU137" s="1213"/>
      <c r="AV137" s="1213"/>
      <c r="AW137" s="1213"/>
      <c r="BB137" s="1213"/>
      <c r="BC137" s="1213"/>
      <c r="BD137" s="1213"/>
      <c r="BE137" s="1213"/>
      <c r="BJ137" s="1213"/>
      <c r="BK137" s="1213"/>
      <c r="BL137" s="1213"/>
      <c r="BM137" s="1213"/>
      <c r="BR137" s="1213"/>
      <c r="BS137" s="1213"/>
      <c r="BT137" s="1213"/>
      <c r="BU137" s="1213"/>
      <c r="BZ137" s="1213"/>
      <c r="CA137" s="1213"/>
      <c r="CB137" s="1213"/>
      <c r="CC137" s="1213"/>
      <c r="CH137" s="1213"/>
      <c r="CI137" s="1213"/>
      <c r="CJ137" s="1213"/>
      <c r="CK137" s="1213"/>
      <c r="CP137" s="1213"/>
      <c r="CQ137" s="1213"/>
      <c r="CR137" s="1213"/>
      <c r="CS137" s="1213"/>
    </row>
    <row r="138" spans="1:97" ht="13.8">
      <c r="A138" s="1214"/>
      <c r="B138" s="1216"/>
      <c r="C138" s="1216"/>
      <c r="N138" s="1217"/>
      <c r="O138" s="1217"/>
      <c r="P138" s="1217"/>
      <c r="Q138" s="1217"/>
      <c r="V138" s="1213"/>
      <c r="W138" s="1213"/>
      <c r="X138" s="1213"/>
      <c r="Y138" s="1213"/>
      <c r="AD138" s="1213"/>
      <c r="AE138" s="1213"/>
      <c r="AF138" s="1213"/>
      <c r="AG138" s="1213"/>
      <c r="AL138" s="1213"/>
      <c r="AM138" s="1213"/>
      <c r="AN138" s="1213"/>
      <c r="AO138" s="1213"/>
      <c r="AT138" s="1213"/>
      <c r="AU138" s="1213"/>
      <c r="AV138" s="1213"/>
      <c r="AW138" s="1213"/>
      <c r="BB138" s="1213"/>
      <c r="BC138" s="1213"/>
      <c r="BD138" s="1213"/>
      <c r="BE138" s="1213"/>
      <c r="BJ138" s="1213"/>
      <c r="BK138" s="1213"/>
      <c r="BL138" s="1213"/>
      <c r="BM138" s="1213"/>
      <c r="BR138" s="1213"/>
      <c r="BS138" s="1213"/>
      <c r="BT138" s="1213"/>
      <c r="BU138" s="1213"/>
      <c r="BZ138" s="1213"/>
      <c r="CA138" s="1213"/>
      <c r="CB138" s="1213"/>
      <c r="CC138" s="1213"/>
      <c r="CH138" s="1213"/>
      <c r="CI138" s="1213"/>
      <c r="CJ138" s="1213"/>
      <c r="CK138" s="1213"/>
      <c r="CP138" s="1213"/>
      <c r="CQ138" s="1213"/>
      <c r="CR138" s="1213"/>
      <c r="CS138" s="1213"/>
    </row>
    <row r="139" spans="1:97" ht="13.8">
      <c r="A139" s="1214"/>
      <c r="B139" s="1216"/>
      <c r="C139" s="1216"/>
      <c r="N139" s="1217"/>
      <c r="O139" s="1217"/>
      <c r="P139" s="1217"/>
      <c r="Q139" s="1217"/>
      <c r="V139" s="1213"/>
      <c r="W139" s="1213"/>
      <c r="X139" s="1213"/>
      <c r="Y139" s="1213"/>
      <c r="AD139" s="1213"/>
      <c r="AE139" s="1213"/>
      <c r="AF139" s="1213"/>
      <c r="AG139" s="1213"/>
      <c r="AL139" s="1213"/>
      <c r="AM139" s="1213"/>
      <c r="AN139" s="1213"/>
      <c r="AO139" s="1213"/>
      <c r="AT139" s="1213"/>
      <c r="AU139" s="1213"/>
      <c r="AV139" s="1213"/>
      <c r="AW139" s="1213"/>
      <c r="BB139" s="1213"/>
      <c r="BC139" s="1213"/>
      <c r="BD139" s="1213"/>
      <c r="BE139" s="1213"/>
      <c r="BJ139" s="1213"/>
      <c r="BK139" s="1213"/>
      <c r="BL139" s="1213"/>
      <c r="BM139" s="1213"/>
      <c r="BR139" s="1213"/>
      <c r="BS139" s="1213"/>
      <c r="BT139" s="1213"/>
      <c r="BU139" s="1213"/>
      <c r="BZ139" s="1213"/>
      <c r="CA139" s="1213"/>
      <c r="CB139" s="1213"/>
      <c r="CC139" s="1213"/>
      <c r="CH139" s="1213"/>
      <c r="CI139" s="1213"/>
      <c r="CJ139" s="1213"/>
      <c r="CK139" s="1213"/>
      <c r="CP139" s="1213"/>
      <c r="CQ139" s="1213"/>
      <c r="CR139" s="1213"/>
      <c r="CS139" s="1213"/>
    </row>
    <row r="140" spans="1:97" ht="13.8">
      <c r="A140" s="1214"/>
      <c r="B140" s="1216"/>
      <c r="C140" s="1216"/>
      <c r="N140" s="1217"/>
      <c r="O140" s="1217"/>
      <c r="P140" s="1217"/>
      <c r="Q140" s="1217"/>
      <c r="V140" s="1213"/>
      <c r="W140" s="1213"/>
      <c r="X140" s="1213"/>
      <c r="Y140" s="1213"/>
      <c r="AD140" s="1213"/>
      <c r="AE140" s="1213"/>
      <c r="AF140" s="1213"/>
      <c r="AG140" s="1213"/>
      <c r="AL140" s="1213"/>
      <c r="AM140" s="1213"/>
      <c r="AN140" s="1213"/>
      <c r="AO140" s="1213"/>
      <c r="AT140" s="1213"/>
      <c r="AU140" s="1213"/>
      <c r="AV140" s="1213"/>
      <c r="AW140" s="1213"/>
      <c r="BB140" s="1213"/>
      <c r="BC140" s="1213"/>
      <c r="BD140" s="1213"/>
      <c r="BE140" s="1213"/>
      <c r="BJ140" s="1213"/>
      <c r="BK140" s="1213"/>
      <c r="BL140" s="1213"/>
      <c r="BM140" s="1213"/>
      <c r="BR140" s="1213"/>
      <c r="BS140" s="1213"/>
      <c r="BT140" s="1213"/>
      <c r="BU140" s="1213"/>
      <c r="BZ140" s="1213"/>
      <c r="CA140" s="1213"/>
      <c r="CB140" s="1213"/>
      <c r="CC140" s="1213"/>
      <c r="CH140" s="1213"/>
      <c r="CI140" s="1213"/>
      <c r="CJ140" s="1213"/>
      <c r="CK140" s="1213"/>
      <c r="CP140" s="1213"/>
      <c r="CQ140" s="1213"/>
      <c r="CR140" s="1213"/>
      <c r="CS140" s="1213"/>
    </row>
    <row r="141" spans="1:97" ht="13.8">
      <c r="A141" s="1212"/>
      <c r="B141" s="1213"/>
      <c r="C141" s="1213"/>
      <c r="N141" s="1213"/>
      <c r="O141" s="1213"/>
      <c r="P141" s="1213"/>
      <c r="Q141" s="1213"/>
      <c r="V141" s="1213"/>
      <c r="W141" s="1213"/>
      <c r="X141" s="1213"/>
      <c r="Y141" s="1213"/>
      <c r="AD141" s="1213"/>
      <c r="AE141" s="1213"/>
      <c r="AF141" s="1213"/>
      <c r="AG141" s="1213"/>
      <c r="AL141" s="1213"/>
      <c r="AM141" s="1213"/>
      <c r="AN141" s="1213"/>
      <c r="AO141" s="1213"/>
      <c r="AT141" s="1213"/>
      <c r="AU141" s="1213"/>
      <c r="AV141" s="1213"/>
      <c r="AW141" s="1213"/>
      <c r="BB141" s="1213"/>
      <c r="BC141" s="1213"/>
      <c r="BD141" s="1213"/>
      <c r="BE141" s="1213"/>
      <c r="BJ141" s="1213"/>
      <c r="BK141" s="1213"/>
      <c r="BL141" s="1213"/>
      <c r="BM141" s="1213"/>
      <c r="BR141" s="1213"/>
      <c r="BS141" s="1213"/>
      <c r="BT141" s="1213"/>
      <c r="BU141" s="1213"/>
      <c r="BZ141" s="1213"/>
      <c r="CA141" s="1213"/>
      <c r="CB141" s="1213"/>
      <c r="CC141" s="1213"/>
      <c r="CH141" s="1213"/>
      <c r="CI141" s="1213"/>
      <c r="CJ141" s="1213"/>
      <c r="CK141" s="1213"/>
      <c r="CP141" s="1213"/>
      <c r="CQ141" s="1213"/>
      <c r="CR141" s="1213"/>
      <c r="CS141" s="1213"/>
    </row>
    <row r="142" spans="1:97" ht="13.8">
      <c r="A142" s="1214"/>
      <c r="B142" s="1216"/>
      <c r="C142" s="1216"/>
      <c r="N142" s="1217"/>
      <c r="O142" s="1217"/>
      <c r="P142" s="1217"/>
      <c r="Q142" s="1217"/>
      <c r="V142" s="1213"/>
      <c r="W142" s="1213"/>
      <c r="X142" s="1213"/>
      <c r="Y142" s="1213"/>
      <c r="AD142" s="1213"/>
      <c r="AE142" s="1213"/>
      <c r="AF142" s="1213"/>
      <c r="AG142" s="1213"/>
      <c r="AL142" s="1213"/>
      <c r="AM142" s="1213"/>
      <c r="AN142" s="1213"/>
      <c r="AO142" s="1213"/>
      <c r="AT142" s="1213"/>
      <c r="AU142" s="1213"/>
      <c r="AV142" s="1213"/>
      <c r="AW142" s="1213"/>
      <c r="BB142" s="1213"/>
      <c r="BC142" s="1213"/>
      <c r="BD142" s="1213"/>
      <c r="BE142" s="1213"/>
      <c r="BJ142" s="1213"/>
      <c r="BK142" s="1213"/>
      <c r="BL142" s="1213"/>
      <c r="BM142" s="1213"/>
      <c r="BR142" s="1213"/>
      <c r="BS142" s="1213"/>
      <c r="BT142" s="1213"/>
      <c r="BU142" s="1213"/>
      <c r="BZ142" s="1213"/>
      <c r="CA142" s="1213"/>
      <c r="CB142" s="1213"/>
      <c r="CC142" s="1213"/>
      <c r="CH142" s="1213"/>
      <c r="CI142" s="1213"/>
      <c r="CJ142" s="1213"/>
      <c r="CK142" s="1213"/>
      <c r="CP142" s="1213"/>
      <c r="CQ142" s="1213"/>
      <c r="CR142" s="1213"/>
      <c r="CS142" s="1213"/>
    </row>
    <row r="143" spans="1:97" ht="13.8">
      <c r="A143" s="1214"/>
      <c r="B143" s="1216"/>
      <c r="C143" s="1216"/>
      <c r="N143" s="1217"/>
      <c r="O143" s="1217"/>
      <c r="P143" s="1217"/>
      <c r="Q143" s="1217"/>
      <c r="V143" s="1213"/>
      <c r="W143" s="1213"/>
      <c r="X143" s="1213"/>
      <c r="Y143" s="1213"/>
      <c r="AD143" s="1213"/>
      <c r="AE143" s="1213"/>
      <c r="AF143" s="1213"/>
      <c r="AG143" s="1213"/>
      <c r="AL143" s="1213"/>
      <c r="AM143" s="1213"/>
      <c r="AN143" s="1213"/>
      <c r="AO143" s="1213"/>
      <c r="AT143" s="1213"/>
      <c r="AU143" s="1213"/>
      <c r="AV143" s="1213"/>
      <c r="AW143" s="1213"/>
      <c r="BB143" s="1213"/>
      <c r="BC143" s="1213"/>
      <c r="BD143" s="1213"/>
      <c r="BE143" s="1213"/>
      <c r="BJ143" s="1213"/>
      <c r="BK143" s="1213"/>
      <c r="BL143" s="1213"/>
      <c r="BM143" s="1213"/>
      <c r="BR143" s="1213"/>
      <c r="BS143" s="1213"/>
      <c r="BT143" s="1213"/>
      <c r="BU143" s="1213"/>
      <c r="BZ143" s="1213"/>
      <c r="CA143" s="1213"/>
      <c r="CB143" s="1213"/>
      <c r="CC143" s="1213"/>
      <c r="CH143" s="1213"/>
      <c r="CI143" s="1213"/>
      <c r="CJ143" s="1213"/>
      <c r="CK143" s="1213"/>
      <c r="CP143" s="1213"/>
      <c r="CQ143" s="1213"/>
      <c r="CR143" s="1213"/>
      <c r="CS143" s="1213"/>
    </row>
    <row r="144" spans="1:97" ht="13.8">
      <c r="A144" s="1214"/>
      <c r="B144" s="1216"/>
      <c r="C144" s="1216"/>
      <c r="N144" s="1217"/>
      <c r="O144" s="1217"/>
      <c r="P144" s="1217"/>
      <c r="Q144" s="1217"/>
      <c r="V144" s="1213"/>
      <c r="W144" s="1213"/>
      <c r="X144" s="1213"/>
      <c r="Y144" s="1213"/>
      <c r="AD144" s="1213"/>
      <c r="AE144" s="1213"/>
      <c r="AF144" s="1213"/>
      <c r="AG144" s="1213"/>
      <c r="AL144" s="1213"/>
      <c r="AM144" s="1213"/>
      <c r="AN144" s="1213"/>
      <c r="AO144" s="1213"/>
      <c r="AT144" s="1213"/>
      <c r="AU144" s="1213"/>
      <c r="AV144" s="1213"/>
      <c r="AW144" s="1213"/>
      <c r="BB144" s="1213"/>
      <c r="BC144" s="1213"/>
      <c r="BD144" s="1213"/>
      <c r="BE144" s="1213"/>
      <c r="BJ144" s="1213"/>
      <c r="BK144" s="1213"/>
      <c r="BL144" s="1213"/>
      <c r="BM144" s="1213"/>
      <c r="BR144" s="1213"/>
      <c r="BS144" s="1213"/>
      <c r="BT144" s="1213"/>
      <c r="BU144" s="1213"/>
      <c r="BZ144" s="1213"/>
      <c r="CA144" s="1213"/>
      <c r="CB144" s="1213"/>
      <c r="CC144" s="1213"/>
      <c r="CH144" s="1213"/>
      <c r="CI144" s="1213"/>
      <c r="CJ144" s="1213"/>
      <c r="CK144" s="1213"/>
      <c r="CP144" s="1213"/>
      <c r="CQ144" s="1213"/>
      <c r="CR144" s="1213"/>
      <c r="CS144" s="1213"/>
    </row>
    <row r="145" spans="1:97" ht="13.8">
      <c r="A145" s="1214"/>
      <c r="B145" s="1216"/>
      <c r="C145" s="1216"/>
      <c r="N145" s="1217"/>
      <c r="O145" s="1217"/>
      <c r="P145" s="1217"/>
      <c r="Q145" s="1217"/>
      <c r="V145" s="1213"/>
      <c r="W145" s="1213"/>
      <c r="X145" s="1213"/>
      <c r="Y145" s="1213"/>
      <c r="AD145" s="1213"/>
      <c r="AE145" s="1213"/>
      <c r="AF145" s="1213"/>
      <c r="AG145" s="1213"/>
      <c r="AL145" s="1213"/>
      <c r="AM145" s="1213"/>
      <c r="AN145" s="1213"/>
      <c r="AO145" s="1213"/>
      <c r="AT145" s="1213"/>
      <c r="AU145" s="1213"/>
      <c r="AV145" s="1213"/>
      <c r="AW145" s="1213"/>
      <c r="BB145" s="1213"/>
      <c r="BC145" s="1213"/>
      <c r="BD145" s="1213"/>
      <c r="BE145" s="1213"/>
      <c r="BJ145" s="1213"/>
      <c r="BK145" s="1213"/>
      <c r="BL145" s="1213"/>
      <c r="BM145" s="1213"/>
      <c r="BR145" s="1213"/>
      <c r="BS145" s="1213"/>
      <c r="BT145" s="1213"/>
      <c r="BU145" s="1213"/>
      <c r="BZ145" s="1213"/>
      <c r="CA145" s="1213"/>
      <c r="CB145" s="1213"/>
      <c r="CC145" s="1213"/>
      <c r="CH145" s="1213"/>
      <c r="CI145" s="1213"/>
      <c r="CJ145" s="1213"/>
      <c r="CK145" s="1213"/>
      <c r="CP145" s="1213"/>
      <c r="CQ145" s="1213"/>
      <c r="CR145" s="1213"/>
      <c r="CS145" s="1213"/>
    </row>
    <row r="146" spans="1:97" ht="13.8">
      <c r="A146" s="1214"/>
      <c r="B146" s="1216"/>
      <c r="C146" s="1216"/>
      <c r="N146" s="1217"/>
      <c r="O146" s="1217"/>
      <c r="P146" s="1217"/>
      <c r="Q146" s="1217"/>
      <c r="V146" s="1213"/>
      <c r="W146" s="1213"/>
      <c r="X146" s="1213"/>
      <c r="Y146" s="1213"/>
      <c r="AD146" s="1213"/>
      <c r="AE146" s="1213"/>
      <c r="AF146" s="1213"/>
      <c r="AG146" s="1213"/>
      <c r="AL146" s="1213"/>
      <c r="AM146" s="1213"/>
      <c r="AN146" s="1213"/>
      <c r="AO146" s="1213"/>
      <c r="AT146" s="1213"/>
      <c r="AU146" s="1213"/>
      <c r="AV146" s="1213"/>
      <c r="AW146" s="1213"/>
      <c r="BB146" s="1213"/>
      <c r="BC146" s="1213"/>
      <c r="BD146" s="1213"/>
      <c r="BE146" s="1213"/>
      <c r="BJ146" s="1213"/>
      <c r="BK146" s="1213"/>
      <c r="BL146" s="1213"/>
      <c r="BM146" s="1213"/>
      <c r="BR146" s="1213"/>
      <c r="BS146" s="1213"/>
      <c r="BT146" s="1213"/>
      <c r="BU146" s="1213"/>
      <c r="BZ146" s="1213"/>
      <c r="CA146" s="1213"/>
      <c r="CB146" s="1213"/>
      <c r="CC146" s="1213"/>
      <c r="CH146" s="1213"/>
      <c r="CI146" s="1213"/>
      <c r="CJ146" s="1213"/>
      <c r="CK146" s="1213"/>
      <c r="CP146" s="1213"/>
      <c r="CQ146" s="1213"/>
      <c r="CR146" s="1213"/>
      <c r="CS146" s="1213"/>
    </row>
    <row r="147" spans="1:97" ht="13.8">
      <c r="A147" s="1214"/>
      <c r="B147" s="1216"/>
      <c r="C147" s="1216"/>
      <c r="N147" s="1217"/>
      <c r="O147" s="1217"/>
      <c r="P147" s="1217"/>
      <c r="Q147" s="1217"/>
      <c r="V147" s="1213"/>
      <c r="W147" s="1213"/>
      <c r="X147" s="1213"/>
      <c r="Y147" s="1213"/>
      <c r="AD147" s="1213"/>
      <c r="AE147" s="1213"/>
      <c r="AF147" s="1213"/>
      <c r="AG147" s="1213"/>
      <c r="AL147" s="1213"/>
      <c r="AM147" s="1213"/>
      <c r="AN147" s="1213"/>
      <c r="AO147" s="1213"/>
      <c r="AT147" s="1213"/>
      <c r="AU147" s="1213"/>
      <c r="AV147" s="1213"/>
      <c r="AW147" s="1213"/>
      <c r="BB147" s="1213"/>
      <c r="BC147" s="1213"/>
      <c r="BD147" s="1213"/>
      <c r="BE147" s="1213"/>
      <c r="BJ147" s="1213"/>
      <c r="BK147" s="1213"/>
      <c r="BL147" s="1213"/>
      <c r="BM147" s="1213"/>
      <c r="BR147" s="1213"/>
      <c r="BS147" s="1213"/>
      <c r="BT147" s="1213"/>
      <c r="BU147" s="1213"/>
      <c r="BZ147" s="1213"/>
      <c r="CA147" s="1213"/>
      <c r="CB147" s="1213"/>
      <c r="CC147" s="1213"/>
      <c r="CH147" s="1213"/>
      <c r="CI147" s="1213"/>
      <c r="CJ147" s="1213"/>
      <c r="CK147" s="1213"/>
      <c r="CP147" s="1213"/>
      <c r="CQ147" s="1213"/>
      <c r="CR147" s="1213"/>
      <c r="CS147" s="1213"/>
    </row>
    <row r="148" spans="1:97" ht="13.8">
      <c r="A148" s="1214"/>
      <c r="B148" s="1216"/>
      <c r="C148" s="1216"/>
      <c r="N148" s="1217"/>
      <c r="O148" s="1217"/>
      <c r="P148" s="1217"/>
      <c r="Q148" s="1217"/>
      <c r="V148" s="1213"/>
      <c r="W148" s="1213"/>
      <c r="X148" s="1213"/>
      <c r="Y148" s="1213"/>
      <c r="AD148" s="1213"/>
      <c r="AE148" s="1213"/>
      <c r="AF148" s="1213"/>
      <c r="AG148" s="1213"/>
      <c r="AL148" s="1213"/>
      <c r="AM148" s="1213"/>
      <c r="AN148" s="1213"/>
      <c r="AO148" s="1213"/>
      <c r="AT148" s="1213"/>
      <c r="AU148" s="1213"/>
      <c r="AV148" s="1213"/>
      <c r="AW148" s="1213"/>
      <c r="BB148" s="1213"/>
      <c r="BC148" s="1213"/>
      <c r="BD148" s="1213"/>
      <c r="BE148" s="1213"/>
      <c r="BJ148" s="1213"/>
      <c r="BK148" s="1213"/>
      <c r="BL148" s="1213"/>
      <c r="BM148" s="1213"/>
      <c r="BR148" s="1213"/>
      <c r="BS148" s="1213"/>
      <c r="BT148" s="1213"/>
      <c r="BU148" s="1213"/>
      <c r="BZ148" s="1213"/>
      <c r="CA148" s="1213"/>
      <c r="CB148" s="1213"/>
      <c r="CC148" s="1213"/>
      <c r="CH148" s="1213"/>
      <c r="CI148" s="1213"/>
      <c r="CJ148" s="1213"/>
      <c r="CK148" s="1213"/>
      <c r="CP148" s="1213"/>
      <c r="CQ148" s="1213"/>
      <c r="CR148" s="1213"/>
      <c r="CS148" s="1213"/>
    </row>
    <row r="149" spans="1:97" ht="13.8">
      <c r="A149" s="1212"/>
      <c r="B149" s="1213"/>
      <c r="C149" s="1213"/>
      <c r="N149" s="1213"/>
      <c r="O149" s="1213"/>
      <c r="P149" s="1213"/>
      <c r="Q149" s="1213"/>
      <c r="V149" s="1213"/>
      <c r="W149" s="1213"/>
      <c r="X149" s="1213"/>
      <c r="Y149" s="1213"/>
      <c r="AD149" s="1213"/>
      <c r="AE149" s="1213"/>
      <c r="AF149" s="1213"/>
      <c r="AG149" s="1213"/>
      <c r="AL149" s="1213"/>
      <c r="AM149" s="1213"/>
      <c r="AN149" s="1213"/>
      <c r="AO149" s="1213"/>
      <c r="AT149" s="1213"/>
      <c r="AU149" s="1213"/>
      <c r="AV149" s="1213"/>
      <c r="AW149" s="1213"/>
      <c r="BB149" s="1213"/>
      <c r="BC149" s="1213"/>
      <c r="BD149" s="1213"/>
      <c r="BE149" s="1213"/>
      <c r="BJ149" s="1213"/>
      <c r="BK149" s="1213"/>
      <c r="BL149" s="1213"/>
      <c r="BM149" s="1213"/>
      <c r="BR149" s="1213"/>
      <c r="BS149" s="1213"/>
      <c r="BT149" s="1213"/>
      <c r="BU149" s="1213"/>
      <c r="BZ149" s="1213"/>
      <c r="CA149" s="1213"/>
      <c r="CB149" s="1213"/>
      <c r="CC149" s="1213"/>
      <c r="CH149" s="1213"/>
      <c r="CI149" s="1213"/>
      <c r="CJ149" s="1213"/>
      <c r="CK149" s="1213"/>
      <c r="CP149" s="1213"/>
      <c r="CQ149" s="1213"/>
      <c r="CR149" s="1213"/>
      <c r="CS149" s="1213"/>
    </row>
    <row r="150" spans="1:97" ht="13.8">
      <c r="A150" s="1214"/>
      <c r="B150" s="1216"/>
      <c r="C150" s="1216"/>
      <c r="N150" s="1217"/>
      <c r="O150" s="1217"/>
      <c r="P150" s="1217"/>
      <c r="Q150" s="1217"/>
      <c r="V150" s="1213"/>
      <c r="W150" s="1213"/>
      <c r="X150" s="1213"/>
      <c r="Y150" s="1213"/>
      <c r="AD150" s="1213"/>
      <c r="AE150" s="1213"/>
      <c r="AF150" s="1213"/>
      <c r="AG150" s="1213"/>
      <c r="AL150" s="1213"/>
      <c r="AM150" s="1213"/>
      <c r="AN150" s="1213"/>
      <c r="AO150" s="1213"/>
      <c r="AT150" s="1213"/>
      <c r="AU150" s="1213"/>
      <c r="AV150" s="1213"/>
      <c r="AW150" s="1213"/>
      <c r="BB150" s="1213"/>
      <c r="BC150" s="1213"/>
      <c r="BD150" s="1213"/>
      <c r="BE150" s="1213"/>
      <c r="BJ150" s="1213"/>
      <c r="BK150" s="1213"/>
      <c r="BL150" s="1213"/>
      <c r="BM150" s="1213"/>
      <c r="BR150" s="1213"/>
      <c r="BS150" s="1213"/>
      <c r="BT150" s="1213"/>
      <c r="BU150" s="1213"/>
      <c r="BZ150" s="1213"/>
      <c r="CA150" s="1213"/>
      <c r="CB150" s="1213"/>
      <c r="CC150" s="1213"/>
      <c r="CH150" s="1213"/>
      <c r="CI150" s="1213"/>
      <c r="CJ150" s="1213"/>
      <c r="CK150" s="1213"/>
      <c r="CP150" s="1213"/>
      <c r="CQ150" s="1213"/>
      <c r="CR150" s="1213"/>
      <c r="CS150" s="1213"/>
    </row>
    <row r="151" spans="1:97" ht="13.8">
      <c r="A151" s="1214"/>
      <c r="B151" s="1216"/>
      <c r="C151" s="1216"/>
      <c r="N151" s="1213"/>
      <c r="O151" s="1213"/>
      <c r="P151" s="1213"/>
      <c r="Q151" s="1213"/>
      <c r="V151" s="1213"/>
      <c r="W151" s="1213"/>
      <c r="X151" s="1213"/>
      <c r="Y151" s="1213"/>
      <c r="AD151" s="1213"/>
      <c r="AE151" s="1213"/>
      <c r="AF151" s="1213"/>
      <c r="AG151" s="1213"/>
      <c r="AL151" s="1213"/>
      <c r="AM151" s="1213"/>
      <c r="AN151" s="1213"/>
      <c r="AO151" s="1213"/>
      <c r="AT151" s="1213"/>
      <c r="AU151" s="1213"/>
      <c r="AV151" s="1213"/>
      <c r="AW151" s="1213"/>
      <c r="BB151" s="1213"/>
      <c r="BC151" s="1213"/>
      <c r="BD151" s="1213"/>
      <c r="BE151" s="1213"/>
      <c r="BJ151" s="1213"/>
      <c r="BK151" s="1213"/>
      <c r="BL151" s="1213"/>
      <c r="BM151" s="1213"/>
      <c r="BR151" s="1213"/>
      <c r="BS151" s="1213"/>
      <c r="BT151" s="1213"/>
      <c r="BU151" s="1213"/>
      <c r="BZ151" s="1213"/>
      <c r="CA151" s="1213"/>
      <c r="CB151" s="1213"/>
      <c r="CC151" s="1213"/>
      <c r="CH151" s="1213"/>
      <c r="CI151" s="1213"/>
      <c r="CJ151" s="1213"/>
      <c r="CK151" s="1213"/>
      <c r="CP151" s="1213"/>
      <c r="CQ151" s="1213"/>
      <c r="CR151" s="1213"/>
      <c r="CS151" s="1213"/>
    </row>
    <row r="152" spans="1:97" ht="13.8">
      <c r="A152" s="1214"/>
      <c r="B152" s="1216"/>
      <c r="C152" s="1216"/>
      <c r="N152" s="1213"/>
      <c r="O152" s="1213"/>
      <c r="P152" s="1213"/>
      <c r="Q152" s="1213"/>
      <c r="V152" s="1213"/>
      <c r="W152" s="1213"/>
      <c r="X152" s="1213"/>
      <c r="Y152" s="1213"/>
      <c r="AD152" s="1213"/>
      <c r="AE152" s="1213"/>
      <c r="AF152" s="1213"/>
      <c r="AG152" s="1213"/>
      <c r="AL152" s="1213"/>
      <c r="AM152" s="1213"/>
      <c r="AN152" s="1213"/>
      <c r="AO152" s="1213"/>
      <c r="AT152" s="1213"/>
      <c r="AU152" s="1213"/>
      <c r="AV152" s="1213"/>
      <c r="AW152" s="1213"/>
      <c r="BB152" s="1213"/>
      <c r="BC152" s="1213"/>
      <c r="BD152" s="1213"/>
      <c r="BE152" s="1213"/>
      <c r="BJ152" s="1213"/>
      <c r="BK152" s="1213"/>
      <c r="BL152" s="1213"/>
      <c r="BM152" s="1213"/>
      <c r="BR152" s="1213"/>
      <c r="BS152" s="1213"/>
      <c r="BT152" s="1213"/>
      <c r="BU152" s="1213"/>
      <c r="BZ152" s="1213"/>
      <c r="CA152" s="1213"/>
      <c r="CB152" s="1213"/>
      <c r="CC152" s="1213"/>
      <c r="CH152" s="1213"/>
      <c r="CI152" s="1213"/>
      <c r="CJ152" s="1213"/>
      <c r="CK152" s="1213"/>
      <c r="CP152" s="1213"/>
      <c r="CQ152" s="1213"/>
      <c r="CR152" s="1213"/>
      <c r="CS152" s="1213"/>
    </row>
    <row r="153" spans="1:97" ht="13.8">
      <c r="A153" s="1214"/>
      <c r="B153" s="1216"/>
      <c r="C153" s="1216"/>
      <c r="N153" s="1213"/>
      <c r="O153" s="1213"/>
      <c r="P153" s="1213"/>
      <c r="Q153" s="1213"/>
      <c r="V153" s="1213"/>
      <c r="W153" s="1213"/>
      <c r="X153" s="1213"/>
      <c r="Y153" s="1213"/>
      <c r="AD153" s="1213"/>
      <c r="AE153" s="1213"/>
      <c r="AF153" s="1213"/>
      <c r="AG153" s="1213"/>
      <c r="AL153" s="1213"/>
      <c r="AM153" s="1213"/>
      <c r="AN153" s="1213"/>
      <c r="AO153" s="1213"/>
      <c r="AT153" s="1213"/>
      <c r="AU153" s="1213"/>
      <c r="AV153" s="1213"/>
      <c r="AW153" s="1213"/>
      <c r="BB153" s="1213"/>
      <c r="BC153" s="1213"/>
      <c r="BD153" s="1213"/>
      <c r="BE153" s="1213"/>
      <c r="BJ153" s="1213"/>
      <c r="BK153" s="1213"/>
      <c r="BL153" s="1213"/>
      <c r="BM153" s="1213"/>
      <c r="BR153" s="1213"/>
      <c r="BS153" s="1213"/>
      <c r="BT153" s="1213"/>
      <c r="BU153" s="1213"/>
      <c r="BZ153" s="1213"/>
      <c r="CA153" s="1213"/>
      <c r="CB153" s="1213"/>
      <c r="CC153" s="1213"/>
      <c r="CH153" s="1213"/>
      <c r="CI153" s="1213"/>
      <c r="CJ153" s="1213"/>
      <c r="CK153" s="1213"/>
      <c r="CP153" s="1213"/>
      <c r="CQ153" s="1213"/>
      <c r="CR153" s="1213"/>
      <c r="CS153" s="1213"/>
    </row>
    <row r="154" spans="1:97" ht="13.8">
      <c r="A154" s="1214"/>
      <c r="B154" s="1216"/>
      <c r="C154" s="1216"/>
      <c r="N154" s="1213"/>
      <c r="O154" s="1213"/>
      <c r="P154" s="1213"/>
      <c r="Q154" s="1213"/>
      <c r="V154" s="1213"/>
      <c r="W154" s="1213"/>
      <c r="X154" s="1213"/>
      <c r="Y154" s="1213"/>
      <c r="AD154" s="1213"/>
      <c r="AE154" s="1213"/>
      <c r="AF154" s="1213"/>
      <c r="AG154" s="1213"/>
      <c r="AL154" s="1213"/>
      <c r="AM154" s="1213"/>
      <c r="AN154" s="1213"/>
      <c r="AO154" s="1213"/>
      <c r="AT154" s="1213"/>
      <c r="AU154" s="1213"/>
      <c r="AV154" s="1213"/>
      <c r="AW154" s="1213"/>
      <c r="BB154" s="1213"/>
      <c r="BC154" s="1213"/>
      <c r="BD154" s="1213"/>
      <c r="BE154" s="1213"/>
      <c r="BJ154" s="1213"/>
      <c r="BK154" s="1213"/>
      <c r="BL154" s="1213"/>
      <c r="BM154" s="1213"/>
      <c r="BR154" s="1213"/>
      <c r="BS154" s="1213"/>
      <c r="BT154" s="1213"/>
      <c r="BU154" s="1213"/>
      <c r="BZ154" s="1213"/>
      <c r="CA154" s="1213"/>
      <c r="CB154" s="1213"/>
      <c r="CC154" s="1213"/>
      <c r="CH154" s="1213"/>
      <c r="CI154" s="1213"/>
      <c r="CJ154" s="1213"/>
      <c r="CK154" s="1213"/>
      <c r="CP154" s="1213"/>
      <c r="CQ154" s="1213"/>
      <c r="CR154" s="1213"/>
      <c r="CS154" s="1213"/>
    </row>
    <row r="155" spans="1:97" ht="13.8">
      <c r="A155" s="1214"/>
      <c r="B155" s="1216"/>
      <c r="C155" s="1216"/>
      <c r="N155" s="1213"/>
      <c r="O155" s="1213"/>
      <c r="P155" s="1213"/>
      <c r="Q155" s="1213"/>
      <c r="V155" s="1213"/>
      <c r="W155" s="1213"/>
      <c r="X155" s="1213"/>
      <c r="Y155" s="1213"/>
      <c r="AD155" s="1213"/>
      <c r="AE155" s="1213"/>
      <c r="AF155" s="1213"/>
      <c r="AG155" s="1213"/>
      <c r="AL155" s="1213"/>
      <c r="AM155" s="1213"/>
      <c r="AN155" s="1213"/>
      <c r="AO155" s="1213"/>
      <c r="AT155" s="1213"/>
      <c r="AU155" s="1213"/>
      <c r="AV155" s="1213"/>
      <c r="AW155" s="1213"/>
      <c r="BB155" s="1213"/>
      <c r="BC155" s="1213"/>
      <c r="BD155" s="1213"/>
      <c r="BE155" s="1213"/>
      <c r="BJ155" s="1213"/>
      <c r="BK155" s="1213"/>
      <c r="BL155" s="1213"/>
      <c r="BM155" s="1213"/>
      <c r="BR155" s="1213"/>
      <c r="BS155" s="1213"/>
      <c r="BT155" s="1213"/>
      <c r="BU155" s="1213"/>
      <c r="BZ155" s="1213"/>
      <c r="CA155" s="1213"/>
      <c r="CB155" s="1213"/>
      <c r="CC155" s="1213"/>
      <c r="CH155" s="1213"/>
      <c r="CI155" s="1213"/>
      <c r="CJ155" s="1213"/>
      <c r="CK155" s="1213"/>
      <c r="CP155" s="1213"/>
      <c r="CQ155" s="1213"/>
      <c r="CR155" s="1213"/>
      <c r="CS155" s="1213"/>
    </row>
    <row r="156" spans="1:97" ht="13.8">
      <c r="A156" s="1214"/>
      <c r="B156" s="1216"/>
      <c r="C156" s="1216"/>
      <c r="N156" s="1217"/>
      <c r="O156" s="1217"/>
      <c r="P156" s="1217"/>
      <c r="Q156" s="1217"/>
      <c r="V156" s="1213"/>
      <c r="W156" s="1213"/>
      <c r="X156" s="1213"/>
      <c r="Y156" s="1213"/>
      <c r="AD156" s="1213"/>
      <c r="AE156" s="1213"/>
      <c r="AF156" s="1213"/>
      <c r="AG156" s="1213"/>
      <c r="AL156" s="1213"/>
      <c r="AM156" s="1213"/>
      <c r="AN156" s="1213"/>
      <c r="AO156" s="1213"/>
      <c r="AT156" s="1213"/>
      <c r="AU156" s="1213"/>
      <c r="AV156" s="1213"/>
      <c r="AW156" s="1213"/>
      <c r="BB156" s="1213"/>
      <c r="BC156" s="1213"/>
      <c r="BD156" s="1213"/>
      <c r="BE156" s="1213"/>
      <c r="BJ156" s="1213"/>
      <c r="BK156" s="1213"/>
      <c r="BL156" s="1213"/>
      <c r="BM156" s="1213"/>
      <c r="BR156" s="1213"/>
      <c r="BS156" s="1213"/>
      <c r="BT156" s="1213"/>
      <c r="BU156" s="1213"/>
      <c r="BZ156" s="1213"/>
      <c r="CA156" s="1213"/>
      <c r="CB156" s="1213"/>
      <c r="CC156" s="1213"/>
      <c r="CH156" s="1213"/>
      <c r="CI156" s="1213"/>
      <c r="CJ156" s="1213"/>
      <c r="CK156" s="1213"/>
      <c r="CP156" s="1213"/>
      <c r="CQ156" s="1213"/>
      <c r="CR156" s="1213"/>
      <c r="CS156" s="1213"/>
    </row>
    <row r="157" spans="1:97" ht="13.8">
      <c r="A157" s="1214"/>
      <c r="B157" s="1216"/>
      <c r="C157" s="1216"/>
      <c r="N157" s="1217"/>
      <c r="O157" s="1217"/>
      <c r="P157" s="1217"/>
      <c r="Q157" s="1217"/>
      <c r="V157" s="1213"/>
      <c r="W157" s="1213"/>
      <c r="X157" s="1213"/>
      <c r="Y157" s="1213"/>
      <c r="AD157" s="1213"/>
      <c r="AE157" s="1213"/>
      <c r="AF157" s="1213"/>
      <c r="AG157" s="1213"/>
      <c r="AL157" s="1213"/>
      <c r="AM157" s="1213"/>
      <c r="AN157" s="1213"/>
      <c r="AO157" s="1213"/>
      <c r="AT157" s="1213"/>
      <c r="AU157" s="1213"/>
      <c r="AV157" s="1213"/>
      <c r="AW157" s="1213"/>
      <c r="BB157" s="1213"/>
      <c r="BC157" s="1213"/>
      <c r="BD157" s="1213"/>
      <c r="BE157" s="1213"/>
      <c r="BJ157" s="1213"/>
      <c r="BK157" s="1213"/>
      <c r="BL157" s="1213"/>
      <c r="BM157" s="1213"/>
      <c r="BR157" s="1213"/>
      <c r="BS157" s="1213"/>
      <c r="BT157" s="1213"/>
      <c r="BU157" s="1213"/>
      <c r="BZ157" s="1213"/>
      <c r="CA157" s="1213"/>
      <c r="CB157" s="1213"/>
      <c r="CC157" s="1213"/>
      <c r="CH157" s="1213"/>
      <c r="CI157" s="1213"/>
      <c r="CJ157" s="1213"/>
      <c r="CK157" s="1213"/>
      <c r="CP157" s="1213"/>
      <c r="CQ157" s="1213"/>
      <c r="CR157" s="1213"/>
      <c r="CS157" s="1213"/>
    </row>
    <row r="158" spans="1:97" ht="13.8">
      <c r="A158" s="1214"/>
      <c r="B158" s="1216"/>
      <c r="C158" s="1216"/>
      <c r="N158" s="1213"/>
      <c r="O158" s="1213"/>
      <c r="P158" s="1213"/>
      <c r="Q158" s="1213"/>
      <c r="V158" s="1213"/>
      <c r="W158" s="1213"/>
      <c r="X158" s="1213"/>
      <c r="Y158" s="1213"/>
      <c r="AD158" s="1213"/>
      <c r="AE158" s="1213"/>
      <c r="AF158" s="1213"/>
      <c r="AG158" s="1213"/>
      <c r="AL158" s="1213"/>
      <c r="AM158" s="1213"/>
      <c r="AN158" s="1213"/>
      <c r="AO158" s="1213"/>
      <c r="AT158" s="1213"/>
      <c r="AU158" s="1213"/>
      <c r="AV158" s="1213"/>
      <c r="AW158" s="1213"/>
      <c r="BB158" s="1213"/>
      <c r="BC158" s="1213"/>
      <c r="BD158" s="1213"/>
      <c r="BE158" s="1213"/>
      <c r="BJ158" s="1213"/>
      <c r="BK158" s="1213"/>
      <c r="BL158" s="1213"/>
      <c r="BM158" s="1213"/>
      <c r="BR158" s="1213"/>
      <c r="BS158" s="1213"/>
      <c r="BT158" s="1213"/>
      <c r="BU158" s="1213"/>
      <c r="BZ158" s="1213"/>
      <c r="CA158" s="1213"/>
      <c r="CB158" s="1213"/>
      <c r="CC158" s="1213"/>
      <c r="CH158" s="1213"/>
      <c r="CI158" s="1213"/>
      <c r="CJ158" s="1213"/>
      <c r="CK158" s="1213"/>
      <c r="CP158" s="1213"/>
      <c r="CQ158" s="1213"/>
      <c r="CR158" s="1213"/>
      <c r="CS158" s="1213"/>
    </row>
    <row r="159" spans="1:97" ht="13.8">
      <c r="A159" s="1214"/>
      <c r="B159" s="1216"/>
      <c r="C159" s="1216"/>
      <c r="N159" s="1217"/>
      <c r="O159" s="1217"/>
      <c r="P159" s="1217"/>
      <c r="Q159" s="1217"/>
      <c r="V159" s="1213"/>
      <c r="W159" s="1213"/>
      <c r="X159" s="1213"/>
      <c r="Y159" s="1213"/>
      <c r="AD159" s="1213"/>
      <c r="AE159" s="1213"/>
      <c r="AF159" s="1213"/>
      <c r="AG159" s="1213"/>
      <c r="AL159" s="1213"/>
      <c r="AM159" s="1213"/>
      <c r="AN159" s="1213"/>
      <c r="AO159" s="1213"/>
      <c r="AT159" s="1213"/>
      <c r="AU159" s="1213"/>
      <c r="AV159" s="1213"/>
      <c r="AW159" s="1213"/>
      <c r="BB159" s="1213"/>
      <c r="BC159" s="1213"/>
      <c r="BD159" s="1213"/>
      <c r="BE159" s="1213"/>
      <c r="BJ159" s="1213"/>
      <c r="BK159" s="1213"/>
      <c r="BL159" s="1213"/>
      <c r="BM159" s="1213"/>
      <c r="BR159" s="1213"/>
      <c r="BS159" s="1213"/>
      <c r="BT159" s="1213"/>
      <c r="BU159" s="1213"/>
      <c r="BZ159" s="1213"/>
      <c r="CA159" s="1213"/>
      <c r="CB159" s="1213"/>
      <c r="CC159" s="1213"/>
      <c r="CH159" s="1213"/>
      <c r="CI159" s="1213"/>
      <c r="CJ159" s="1213"/>
      <c r="CK159" s="1213"/>
      <c r="CP159" s="1213"/>
      <c r="CQ159" s="1213"/>
      <c r="CR159" s="1213"/>
      <c r="CS159" s="1213"/>
    </row>
    <row r="160" spans="1:97" ht="13.8">
      <c r="A160" s="1214"/>
      <c r="B160" s="1216"/>
      <c r="C160" s="1216"/>
      <c r="N160" s="1217"/>
      <c r="O160" s="1217"/>
      <c r="P160" s="1217"/>
      <c r="Q160" s="1217"/>
      <c r="V160" s="1213"/>
      <c r="W160" s="1213"/>
      <c r="X160" s="1213"/>
      <c r="Y160" s="1213"/>
      <c r="AD160" s="1213"/>
      <c r="AE160" s="1213"/>
      <c r="AF160" s="1213"/>
      <c r="AG160" s="1213"/>
      <c r="AL160" s="1213"/>
      <c r="AM160" s="1213"/>
      <c r="AN160" s="1213"/>
      <c r="AO160" s="1213"/>
      <c r="AT160" s="1213"/>
      <c r="AU160" s="1213"/>
      <c r="AV160" s="1213"/>
      <c r="AW160" s="1213"/>
      <c r="BB160" s="1213"/>
      <c r="BC160" s="1213"/>
      <c r="BD160" s="1213"/>
      <c r="BE160" s="1213"/>
      <c r="BJ160" s="1213"/>
      <c r="BK160" s="1213"/>
      <c r="BL160" s="1213"/>
      <c r="BM160" s="1213"/>
      <c r="BR160" s="1213"/>
      <c r="BS160" s="1213"/>
      <c r="BT160" s="1213"/>
      <c r="BU160" s="1213"/>
      <c r="BZ160" s="1213"/>
      <c r="CA160" s="1213"/>
      <c r="CB160" s="1213"/>
      <c r="CC160" s="1213"/>
      <c r="CH160" s="1213"/>
      <c r="CI160" s="1213"/>
      <c r="CJ160" s="1213"/>
      <c r="CK160" s="1213"/>
      <c r="CP160" s="1213"/>
      <c r="CQ160" s="1213"/>
      <c r="CR160" s="1213"/>
      <c r="CS160" s="1213"/>
    </row>
    <row r="161" spans="1:97" ht="13.8">
      <c r="A161" s="1214"/>
      <c r="B161" s="1216"/>
      <c r="C161" s="1216"/>
      <c r="N161" s="1217"/>
      <c r="O161" s="1217"/>
      <c r="P161" s="1217"/>
      <c r="Q161" s="1217"/>
      <c r="V161" s="1213"/>
      <c r="W161" s="1213"/>
      <c r="X161" s="1213"/>
      <c r="Y161" s="1213"/>
      <c r="AD161" s="1213"/>
      <c r="AE161" s="1213"/>
      <c r="AF161" s="1213"/>
      <c r="AG161" s="1213"/>
      <c r="AL161" s="1213"/>
      <c r="AM161" s="1213"/>
      <c r="AN161" s="1213"/>
      <c r="AO161" s="1213"/>
      <c r="AT161" s="1213"/>
      <c r="AU161" s="1213"/>
      <c r="AV161" s="1213"/>
      <c r="AW161" s="1213"/>
      <c r="BB161" s="1213"/>
      <c r="BC161" s="1213"/>
      <c r="BD161" s="1213"/>
      <c r="BE161" s="1213"/>
      <c r="BJ161" s="1213"/>
      <c r="BK161" s="1213"/>
      <c r="BL161" s="1213"/>
      <c r="BM161" s="1213"/>
      <c r="BR161" s="1213"/>
      <c r="BS161" s="1213"/>
      <c r="BT161" s="1213"/>
      <c r="BU161" s="1213"/>
      <c r="BZ161" s="1213"/>
      <c r="CA161" s="1213"/>
      <c r="CB161" s="1213"/>
      <c r="CC161" s="1213"/>
      <c r="CH161" s="1213"/>
      <c r="CI161" s="1213"/>
      <c r="CJ161" s="1213"/>
      <c r="CK161" s="1213"/>
      <c r="CP161" s="1213"/>
      <c r="CQ161" s="1213"/>
      <c r="CR161" s="1213"/>
      <c r="CS161" s="1213"/>
    </row>
    <row r="162" spans="1:97" ht="13.8">
      <c r="A162" s="1214"/>
      <c r="B162" s="1216"/>
      <c r="C162" s="1216"/>
      <c r="N162" s="1217"/>
      <c r="O162" s="1217"/>
      <c r="P162" s="1217"/>
      <c r="Q162" s="1217"/>
      <c r="V162" s="1213"/>
      <c r="W162" s="1213"/>
      <c r="X162" s="1213"/>
      <c r="Y162" s="1213"/>
      <c r="AD162" s="1213"/>
      <c r="AE162" s="1213"/>
      <c r="AF162" s="1213"/>
      <c r="AG162" s="1213"/>
      <c r="AL162" s="1213"/>
      <c r="AM162" s="1213"/>
      <c r="AN162" s="1213"/>
      <c r="AO162" s="1213"/>
      <c r="AT162" s="1213"/>
      <c r="AU162" s="1213"/>
      <c r="AV162" s="1213"/>
      <c r="AW162" s="1213"/>
      <c r="BB162" s="1213"/>
      <c r="BC162" s="1213"/>
      <c r="BD162" s="1213"/>
      <c r="BE162" s="1213"/>
      <c r="BJ162" s="1213"/>
      <c r="BK162" s="1213"/>
      <c r="BL162" s="1213"/>
      <c r="BM162" s="1213"/>
      <c r="BR162" s="1213"/>
      <c r="BS162" s="1213"/>
      <c r="BT162" s="1213"/>
      <c r="BU162" s="1213"/>
      <c r="BZ162" s="1213"/>
      <c r="CA162" s="1213"/>
      <c r="CB162" s="1213"/>
      <c r="CC162" s="1213"/>
      <c r="CH162" s="1213"/>
      <c r="CI162" s="1213"/>
      <c r="CJ162" s="1213"/>
      <c r="CK162" s="1213"/>
      <c r="CP162" s="1213"/>
      <c r="CQ162" s="1213"/>
      <c r="CR162" s="1213"/>
      <c r="CS162" s="1213"/>
    </row>
    <row r="163" spans="1:97" ht="13.8">
      <c r="A163" s="1214"/>
      <c r="B163" s="1216"/>
      <c r="C163" s="1216"/>
      <c r="N163" s="1217"/>
      <c r="O163" s="1217"/>
      <c r="P163" s="1217"/>
      <c r="Q163" s="1217"/>
      <c r="V163" s="1213"/>
      <c r="W163" s="1213"/>
      <c r="X163" s="1213"/>
      <c r="Y163" s="1213"/>
      <c r="AD163" s="1213"/>
      <c r="AE163" s="1213"/>
      <c r="AF163" s="1213"/>
      <c r="AG163" s="1213"/>
      <c r="AL163" s="1213"/>
      <c r="AM163" s="1213"/>
      <c r="AN163" s="1213"/>
      <c r="AO163" s="1213"/>
      <c r="AT163" s="1213"/>
      <c r="AU163" s="1213"/>
      <c r="AV163" s="1213"/>
      <c r="AW163" s="1213"/>
      <c r="BB163" s="1213"/>
      <c r="BC163" s="1213"/>
      <c r="BD163" s="1213"/>
      <c r="BE163" s="1213"/>
      <c r="BJ163" s="1213"/>
      <c r="BK163" s="1213"/>
      <c r="BL163" s="1213"/>
      <c r="BM163" s="1213"/>
      <c r="BR163" s="1213"/>
      <c r="BS163" s="1213"/>
      <c r="BT163" s="1213"/>
      <c r="BU163" s="1213"/>
      <c r="BZ163" s="1213"/>
      <c r="CA163" s="1213"/>
      <c r="CB163" s="1213"/>
      <c r="CC163" s="1213"/>
      <c r="CH163" s="1213"/>
      <c r="CI163" s="1213"/>
      <c r="CJ163" s="1213"/>
      <c r="CK163" s="1213"/>
      <c r="CP163" s="1213"/>
      <c r="CQ163" s="1213"/>
      <c r="CR163" s="1213"/>
      <c r="CS163" s="1213"/>
    </row>
    <row r="164" spans="1:97" ht="13.8">
      <c r="A164" s="1212"/>
      <c r="B164" s="1213"/>
      <c r="C164" s="1213"/>
      <c r="N164" s="1217"/>
      <c r="O164" s="1217"/>
      <c r="P164" s="1217"/>
      <c r="Q164" s="1217"/>
      <c r="V164" s="1213"/>
      <c r="W164" s="1213"/>
      <c r="X164" s="1213"/>
      <c r="Y164" s="1213"/>
      <c r="AD164" s="1213"/>
      <c r="AE164" s="1213"/>
      <c r="AF164" s="1213"/>
      <c r="AG164" s="1213"/>
      <c r="AL164" s="1213"/>
      <c r="AM164" s="1213"/>
      <c r="AN164" s="1213"/>
      <c r="AO164" s="1213"/>
      <c r="AT164" s="1213"/>
      <c r="AU164" s="1213"/>
      <c r="AV164" s="1213"/>
      <c r="AW164" s="1213"/>
      <c r="BB164" s="1213"/>
      <c r="BC164" s="1213"/>
      <c r="BD164" s="1213"/>
      <c r="BE164" s="1213"/>
      <c r="BJ164" s="1213"/>
      <c r="BK164" s="1213"/>
      <c r="BL164" s="1213"/>
      <c r="BM164" s="1213"/>
      <c r="BR164" s="1213"/>
      <c r="BS164" s="1213"/>
      <c r="BT164" s="1213"/>
      <c r="BU164" s="1213"/>
      <c r="BZ164" s="1213"/>
      <c r="CA164" s="1213"/>
      <c r="CB164" s="1213"/>
      <c r="CC164" s="1213"/>
      <c r="CH164" s="1213"/>
      <c r="CI164" s="1213"/>
      <c r="CJ164" s="1213"/>
      <c r="CK164" s="1213"/>
      <c r="CP164" s="1213"/>
      <c r="CQ164" s="1213"/>
      <c r="CR164" s="1213"/>
      <c r="CS164" s="1213"/>
    </row>
    <row r="165" spans="1:97" ht="13.8">
      <c r="A165" s="1212"/>
      <c r="B165" s="1213"/>
      <c r="C165" s="1213"/>
      <c r="N165" s="1217"/>
      <c r="O165" s="1217"/>
      <c r="P165" s="1217"/>
      <c r="Q165" s="1217"/>
      <c r="V165" s="1213"/>
      <c r="W165" s="1213"/>
      <c r="X165" s="1213"/>
      <c r="Y165" s="1213"/>
      <c r="AD165" s="1213"/>
      <c r="AE165" s="1213"/>
      <c r="AF165" s="1213"/>
      <c r="AG165" s="1213"/>
      <c r="AL165" s="1213"/>
      <c r="AM165" s="1213"/>
      <c r="AN165" s="1213"/>
      <c r="AO165" s="1213"/>
      <c r="AT165" s="1213"/>
      <c r="AU165" s="1213"/>
      <c r="AV165" s="1213"/>
      <c r="AW165" s="1213"/>
      <c r="BB165" s="1213"/>
      <c r="BC165" s="1213"/>
      <c r="BD165" s="1213"/>
      <c r="BE165" s="1213"/>
      <c r="BJ165" s="1213"/>
      <c r="BK165" s="1213"/>
      <c r="BL165" s="1213"/>
      <c r="BM165" s="1213"/>
      <c r="BR165" s="1213"/>
      <c r="BS165" s="1213"/>
      <c r="BT165" s="1213"/>
      <c r="BU165" s="1213"/>
      <c r="BZ165" s="1213"/>
      <c r="CA165" s="1213"/>
      <c r="CB165" s="1213"/>
      <c r="CC165" s="1213"/>
      <c r="CH165" s="1213"/>
      <c r="CI165" s="1213"/>
      <c r="CJ165" s="1213"/>
      <c r="CK165" s="1213"/>
      <c r="CP165" s="1213"/>
      <c r="CQ165" s="1213"/>
      <c r="CR165" s="1213"/>
      <c r="CS165" s="1213"/>
    </row>
    <row r="166" spans="1:97" ht="13.8">
      <c r="A166" s="1212"/>
      <c r="B166" s="1213"/>
      <c r="C166" s="1213"/>
      <c r="N166" s="1217"/>
      <c r="O166" s="1217"/>
      <c r="P166" s="1217"/>
      <c r="Q166" s="1217"/>
      <c r="V166" s="1213"/>
      <c r="W166" s="1213"/>
      <c r="X166" s="1213"/>
      <c r="Y166" s="1213"/>
      <c r="AD166" s="1213"/>
      <c r="AE166" s="1213"/>
      <c r="AF166" s="1213"/>
      <c r="AG166" s="1213"/>
      <c r="AL166" s="1213"/>
      <c r="AM166" s="1213"/>
      <c r="AN166" s="1213"/>
      <c r="AO166" s="1213"/>
      <c r="AT166" s="1213"/>
      <c r="AU166" s="1213"/>
      <c r="AV166" s="1213"/>
      <c r="AW166" s="1213"/>
      <c r="BB166" s="1213"/>
      <c r="BC166" s="1213"/>
      <c r="BD166" s="1213"/>
      <c r="BE166" s="1213"/>
      <c r="BJ166" s="1213"/>
      <c r="BK166" s="1213"/>
      <c r="BL166" s="1213"/>
      <c r="BM166" s="1213"/>
      <c r="BR166" s="1213"/>
      <c r="BS166" s="1213"/>
      <c r="BT166" s="1213"/>
      <c r="BU166" s="1213"/>
      <c r="BZ166" s="1213"/>
      <c r="CA166" s="1213"/>
      <c r="CB166" s="1213"/>
      <c r="CC166" s="1213"/>
      <c r="CH166" s="1213"/>
      <c r="CI166" s="1213"/>
      <c r="CJ166" s="1213"/>
      <c r="CK166" s="1213"/>
      <c r="CP166" s="1213"/>
      <c r="CQ166" s="1213"/>
      <c r="CR166" s="1213"/>
      <c r="CS166" s="1213"/>
    </row>
    <row r="167" spans="1:97" ht="13.8">
      <c r="A167" s="1212"/>
      <c r="B167" s="1213"/>
      <c r="C167" s="1213"/>
      <c r="N167" s="1217"/>
      <c r="O167" s="1217"/>
      <c r="P167" s="1217"/>
      <c r="Q167" s="1217"/>
      <c r="V167" s="1213"/>
      <c r="W167" s="1213"/>
      <c r="X167" s="1213"/>
      <c r="Y167" s="1213"/>
      <c r="AD167" s="1213"/>
      <c r="AE167" s="1213"/>
      <c r="AF167" s="1213"/>
      <c r="AG167" s="1213"/>
      <c r="AL167" s="1213"/>
      <c r="AM167" s="1213"/>
      <c r="AN167" s="1213"/>
      <c r="AO167" s="1213"/>
      <c r="AT167" s="1213"/>
      <c r="AU167" s="1213"/>
      <c r="AV167" s="1213"/>
      <c r="AW167" s="1213"/>
      <c r="BB167" s="1213"/>
      <c r="BC167" s="1213"/>
      <c r="BD167" s="1213"/>
      <c r="BE167" s="1213"/>
      <c r="BJ167" s="1213"/>
      <c r="BK167" s="1213"/>
      <c r="BL167" s="1213"/>
      <c r="BM167" s="1213"/>
      <c r="BR167" s="1213"/>
      <c r="BS167" s="1213"/>
      <c r="BT167" s="1213"/>
      <c r="BU167" s="1213"/>
      <c r="BZ167" s="1213"/>
      <c r="CA167" s="1213"/>
      <c r="CB167" s="1213"/>
      <c r="CC167" s="1213"/>
      <c r="CH167" s="1213"/>
      <c r="CI167" s="1213"/>
      <c r="CJ167" s="1213"/>
      <c r="CK167" s="1213"/>
      <c r="CP167" s="1213"/>
      <c r="CQ167" s="1213"/>
      <c r="CR167" s="1213"/>
      <c r="CS167" s="1213"/>
    </row>
    <row r="168" spans="1:97" ht="13.8">
      <c r="A168" s="1212"/>
      <c r="B168" s="1213"/>
      <c r="C168" s="1213"/>
      <c r="N168" s="1217"/>
      <c r="O168" s="1217"/>
      <c r="P168" s="1217"/>
      <c r="Q168" s="1217"/>
      <c r="V168" s="1213"/>
      <c r="W168" s="1213"/>
      <c r="X168" s="1213"/>
      <c r="Y168" s="1213"/>
      <c r="AD168" s="1213"/>
      <c r="AE168" s="1213"/>
      <c r="AF168" s="1213"/>
      <c r="AG168" s="1213"/>
      <c r="AL168" s="1213"/>
      <c r="AM168" s="1213"/>
      <c r="AN168" s="1213"/>
      <c r="AO168" s="1213"/>
      <c r="AT168" s="1213"/>
      <c r="AU168" s="1213"/>
      <c r="AV168" s="1213"/>
      <c r="AW168" s="1213"/>
      <c r="BB168" s="1213"/>
      <c r="BC168" s="1213"/>
      <c r="BD168" s="1213"/>
      <c r="BE168" s="1213"/>
      <c r="BJ168" s="1213"/>
      <c r="BK168" s="1213"/>
      <c r="BL168" s="1213"/>
      <c r="BM168" s="1213"/>
      <c r="BR168" s="1213"/>
      <c r="BS168" s="1213"/>
      <c r="BT168" s="1213"/>
      <c r="BU168" s="1213"/>
      <c r="BZ168" s="1213"/>
      <c r="CA168" s="1213"/>
      <c r="CB168" s="1213"/>
      <c r="CC168" s="1213"/>
      <c r="CH168" s="1213"/>
      <c r="CI168" s="1213"/>
      <c r="CJ168" s="1213"/>
      <c r="CK168" s="1213"/>
      <c r="CP168" s="1213"/>
      <c r="CQ168" s="1213"/>
      <c r="CR168" s="1213"/>
      <c r="CS168" s="1213"/>
    </row>
    <row r="169" spans="1:97" ht="13.8">
      <c r="A169" s="1214"/>
      <c r="B169" s="1216"/>
      <c r="C169" s="1216"/>
      <c r="N169" s="1217"/>
      <c r="O169" s="1217"/>
      <c r="P169" s="1217"/>
      <c r="Q169" s="1217"/>
      <c r="V169" s="1213"/>
      <c r="W169" s="1213"/>
      <c r="X169" s="1213"/>
      <c r="Y169" s="1213"/>
      <c r="AD169" s="1213"/>
      <c r="AE169" s="1213"/>
      <c r="AF169" s="1213"/>
      <c r="AG169" s="1213"/>
      <c r="AL169" s="1213"/>
      <c r="AM169" s="1213"/>
      <c r="AN169" s="1213"/>
      <c r="AO169" s="1213"/>
      <c r="AT169" s="1213"/>
      <c r="AU169" s="1213"/>
      <c r="AV169" s="1213"/>
      <c r="AW169" s="1213"/>
      <c r="BB169" s="1213"/>
      <c r="BC169" s="1213"/>
      <c r="BD169" s="1213"/>
      <c r="BE169" s="1213"/>
      <c r="BJ169" s="1213"/>
      <c r="BK169" s="1213"/>
      <c r="BL169" s="1213"/>
      <c r="BM169" s="1213"/>
      <c r="BR169" s="1213"/>
      <c r="BS169" s="1213"/>
      <c r="BT169" s="1213"/>
      <c r="BU169" s="1213"/>
      <c r="BZ169" s="1213"/>
      <c r="CA169" s="1213"/>
      <c r="CB169" s="1213"/>
      <c r="CC169" s="1213"/>
      <c r="CH169" s="1213"/>
      <c r="CI169" s="1213"/>
      <c r="CJ169" s="1213"/>
      <c r="CK169" s="1213"/>
      <c r="CP169" s="1213"/>
      <c r="CQ169" s="1213"/>
      <c r="CR169" s="1213"/>
      <c r="CS169" s="1213"/>
    </row>
    <row r="170" spans="1:97" ht="13.8">
      <c r="A170" s="1214"/>
      <c r="B170" s="1216"/>
      <c r="C170" s="1216"/>
      <c r="N170" s="1217"/>
      <c r="O170" s="1217"/>
      <c r="P170" s="1217"/>
      <c r="Q170" s="1217"/>
      <c r="V170" s="1213"/>
      <c r="W170" s="1213"/>
      <c r="X170" s="1213"/>
      <c r="Y170" s="1213"/>
      <c r="AD170" s="1213"/>
      <c r="AE170" s="1213"/>
      <c r="AF170" s="1213"/>
      <c r="AG170" s="1213"/>
      <c r="AL170" s="1213"/>
      <c r="AM170" s="1213"/>
      <c r="AN170" s="1213"/>
      <c r="AO170" s="1213"/>
      <c r="AT170" s="1213"/>
      <c r="AU170" s="1213"/>
      <c r="AV170" s="1213"/>
      <c r="AW170" s="1213"/>
      <c r="BB170" s="1213"/>
      <c r="BC170" s="1213"/>
      <c r="BD170" s="1213"/>
      <c r="BE170" s="1213"/>
      <c r="BJ170" s="1213"/>
      <c r="BK170" s="1213"/>
      <c r="BL170" s="1213"/>
      <c r="BM170" s="1213"/>
      <c r="BR170" s="1213"/>
      <c r="BS170" s="1213"/>
      <c r="BT170" s="1213"/>
      <c r="BU170" s="1213"/>
      <c r="BZ170" s="1213"/>
      <c r="CA170" s="1213"/>
      <c r="CB170" s="1213"/>
      <c r="CC170" s="1213"/>
      <c r="CH170" s="1213"/>
      <c r="CI170" s="1213"/>
      <c r="CJ170" s="1213"/>
      <c r="CK170" s="1213"/>
      <c r="CP170" s="1213"/>
      <c r="CQ170" s="1213"/>
      <c r="CR170" s="1213"/>
      <c r="CS170" s="1213"/>
    </row>
    <row r="171" spans="1:97" ht="13.8">
      <c r="A171" s="1212"/>
      <c r="B171" s="1213"/>
      <c r="C171" s="1213"/>
      <c r="N171" s="1213"/>
      <c r="O171" s="1213"/>
      <c r="P171" s="1213"/>
      <c r="Q171" s="1213"/>
      <c r="V171" s="1213"/>
      <c r="W171" s="1213"/>
      <c r="X171" s="1213"/>
      <c r="Y171" s="1213"/>
      <c r="AD171" s="1213"/>
      <c r="AE171" s="1213"/>
      <c r="AF171" s="1213"/>
      <c r="AG171" s="1213"/>
      <c r="AL171" s="1213"/>
      <c r="AM171" s="1213"/>
      <c r="AN171" s="1213"/>
      <c r="AO171" s="1213"/>
      <c r="AT171" s="1213"/>
      <c r="AU171" s="1213"/>
      <c r="AV171" s="1213"/>
      <c r="AW171" s="1213"/>
      <c r="BB171" s="1213"/>
      <c r="BC171" s="1213"/>
      <c r="BD171" s="1213"/>
      <c r="BE171" s="1213"/>
      <c r="BJ171" s="1213"/>
      <c r="BK171" s="1213"/>
      <c r="BL171" s="1213"/>
      <c r="BM171" s="1213"/>
      <c r="BR171" s="1213"/>
      <c r="BS171" s="1213"/>
      <c r="BT171" s="1213"/>
      <c r="BU171" s="1213"/>
      <c r="BZ171" s="1213"/>
      <c r="CA171" s="1213"/>
      <c r="CB171" s="1213"/>
      <c r="CC171" s="1213"/>
      <c r="CH171" s="1213"/>
      <c r="CI171" s="1213"/>
      <c r="CJ171" s="1213"/>
      <c r="CK171" s="1213"/>
      <c r="CP171" s="1213"/>
      <c r="CQ171" s="1213"/>
      <c r="CR171" s="1213"/>
      <c r="CS171" s="1213"/>
    </row>
    <row r="172" spans="1:97" ht="13.8">
      <c r="A172" s="1219"/>
      <c r="B172" s="1216"/>
      <c r="C172" s="1216"/>
      <c r="N172" s="1217"/>
      <c r="O172" s="1217"/>
      <c r="P172" s="1217"/>
      <c r="Q172" s="1217"/>
      <c r="V172" s="1213"/>
      <c r="W172" s="1213"/>
      <c r="X172" s="1213"/>
      <c r="Y172" s="1213"/>
      <c r="AD172" s="1213"/>
      <c r="AE172" s="1213"/>
      <c r="AF172" s="1213"/>
      <c r="AG172" s="1213"/>
      <c r="AL172" s="1213"/>
      <c r="AM172" s="1213"/>
      <c r="AN172" s="1213"/>
      <c r="AO172" s="1213"/>
      <c r="AT172" s="1213"/>
      <c r="AU172" s="1213"/>
      <c r="AV172" s="1213"/>
      <c r="AW172" s="1213"/>
      <c r="BB172" s="1213"/>
      <c r="BC172" s="1213"/>
      <c r="BD172" s="1213"/>
      <c r="BE172" s="1213"/>
      <c r="BJ172" s="1213"/>
      <c r="BK172" s="1213"/>
      <c r="BL172" s="1213"/>
      <c r="BM172" s="1213"/>
      <c r="BR172" s="1213"/>
      <c r="BS172" s="1213"/>
      <c r="BT172" s="1213"/>
      <c r="BU172" s="1213"/>
      <c r="BZ172" s="1213"/>
      <c r="CA172" s="1213"/>
      <c r="CB172" s="1213"/>
      <c r="CC172" s="1213"/>
      <c r="CH172" s="1213"/>
      <c r="CI172" s="1213"/>
      <c r="CJ172" s="1213"/>
      <c r="CK172" s="1213"/>
      <c r="CP172" s="1213"/>
      <c r="CQ172" s="1213"/>
      <c r="CR172" s="1213"/>
      <c r="CS172" s="1213"/>
    </row>
    <row r="173" spans="1:97" ht="13.8">
      <c r="A173" s="1219"/>
      <c r="B173" s="1216"/>
      <c r="C173" s="1216"/>
      <c r="N173" s="1213"/>
      <c r="O173" s="1213"/>
      <c r="P173" s="1213"/>
      <c r="Q173" s="1213"/>
      <c r="V173" s="1213"/>
      <c r="W173" s="1213"/>
      <c r="X173" s="1213"/>
      <c r="Y173" s="1213"/>
      <c r="AD173" s="1213"/>
      <c r="AE173" s="1213"/>
      <c r="AF173" s="1213"/>
      <c r="AG173" s="1213"/>
      <c r="AL173" s="1213"/>
      <c r="AM173" s="1213"/>
      <c r="AN173" s="1213"/>
      <c r="AO173" s="1213"/>
      <c r="AT173" s="1213"/>
      <c r="AU173" s="1213"/>
      <c r="AV173" s="1213"/>
      <c r="AW173" s="1213"/>
      <c r="BB173" s="1213"/>
      <c r="BC173" s="1213"/>
      <c r="BD173" s="1213"/>
      <c r="BE173" s="1213"/>
      <c r="BJ173" s="1213"/>
      <c r="BK173" s="1213"/>
      <c r="BL173" s="1213"/>
      <c r="BM173" s="1213"/>
      <c r="BR173" s="1213"/>
      <c r="BS173" s="1213"/>
      <c r="BT173" s="1213"/>
      <c r="BU173" s="1213"/>
      <c r="BZ173" s="1213"/>
      <c r="CA173" s="1213"/>
      <c r="CB173" s="1213"/>
      <c r="CC173" s="1213"/>
      <c r="CH173" s="1213"/>
      <c r="CI173" s="1213"/>
      <c r="CJ173" s="1213"/>
      <c r="CK173" s="1213"/>
      <c r="CP173" s="1213"/>
      <c r="CQ173" s="1213"/>
      <c r="CR173" s="1213"/>
      <c r="CS173" s="1213"/>
    </row>
    <row r="174" spans="1:97" ht="13.8">
      <c r="A174" s="1214"/>
      <c r="B174" s="1216"/>
      <c r="C174" s="1216"/>
      <c r="N174" s="1217"/>
      <c r="O174" s="1217"/>
      <c r="P174" s="1217"/>
      <c r="Q174" s="1217"/>
      <c r="V174" s="1213"/>
      <c r="W174" s="1213"/>
      <c r="X174" s="1213"/>
      <c r="Y174" s="1213"/>
      <c r="AD174" s="1213"/>
      <c r="AE174" s="1213"/>
      <c r="AF174" s="1213"/>
      <c r="AG174" s="1213"/>
      <c r="AL174" s="1213"/>
      <c r="AM174" s="1213"/>
      <c r="AN174" s="1213"/>
      <c r="AO174" s="1213"/>
      <c r="AT174" s="1213"/>
      <c r="AU174" s="1213"/>
      <c r="AV174" s="1213"/>
      <c r="AW174" s="1213"/>
      <c r="BB174" s="1213"/>
      <c r="BC174" s="1213"/>
      <c r="BD174" s="1213"/>
      <c r="BE174" s="1213"/>
      <c r="BJ174" s="1213"/>
      <c r="BK174" s="1213"/>
      <c r="BL174" s="1213"/>
      <c r="BM174" s="1213"/>
      <c r="BR174" s="1213"/>
      <c r="BS174" s="1213"/>
      <c r="BT174" s="1213"/>
      <c r="BU174" s="1213"/>
      <c r="BZ174" s="1213"/>
      <c r="CA174" s="1213"/>
      <c r="CB174" s="1213"/>
      <c r="CC174" s="1213"/>
      <c r="CH174" s="1213"/>
      <c r="CI174" s="1213"/>
      <c r="CJ174" s="1213"/>
      <c r="CK174" s="1213"/>
      <c r="CP174" s="1213"/>
      <c r="CQ174" s="1213"/>
      <c r="CR174" s="1213"/>
      <c r="CS174" s="1213"/>
    </row>
    <row r="175" spans="1:97" ht="13.8">
      <c r="A175" s="1214"/>
      <c r="B175" s="1216"/>
      <c r="C175" s="1216"/>
      <c r="N175" s="1217"/>
      <c r="O175" s="1217"/>
      <c r="P175" s="1217"/>
      <c r="Q175" s="1217"/>
      <c r="V175" s="1213"/>
      <c r="W175" s="1213"/>
      <c r="X175" s="1213"/>
      <c r="Y175" s="1213"/>
      <c r="AD175" s="1213"/>
      <c r="AE175" s="1213"/>
      <c r="AF175" s="1213"/>
      <c r="AG175" s="1213"/>
      <c r="AL175" s="1213"/>
      <c r="AM175" s="1213"/>
      <c r="AN175" s="1213"/>
      <c r="AO175" s="1213"/>
      <c r="AT175" s="1213"/>
      <c r="AU175" s="1213"/>
      <c r="AV175" s="1213"/>
      <c r="AW175" s="1213"/>
      <c r="BB175" s="1213"/>
      <c r="BC175" s="1213"/>
      <c r="BD175" s="1213"/>
      <c r="BE175" s="1213"/>
      <c r="BJ175" s="1213"/>
      <c r="BK175" s="1213"/>
      <c r="BL175" s="1213"/>
      <c r="BM175" s="1213"/>
      <c r="BR175" s="1213"/>
      <c r="BS175" s="1213"/>
      <c r="BT175" s="1213"/>
      <c r="BU175" s="1213"/>
      <c r="BZ175" s="1213"/>
      <c r="CA175" s="1213"/>
      <c r="CB175" s="1213"/>
      <c r="CC175" s="1213"/>
      <c r="CH175" s="1213"/>
      <c r="CI175" s="1213"/>
      <c r="CJ175" s="1213"/>
      <c r="CK175" s="1213"/>
      <c r="CP175" s="1213"/>
      <c r="CQ175" s="1213"/>
      <c r="CR175" s="1213"/>
      <c r="CS175" s="1213"/>
    </row>
    <row r="176" spans="1:97" ht="13.8">
      <c r="A176" s="1214"/>
      <c r="B176" s="1216"/>
      <c r="C176" s="1216"/>
      <c r="N176" s="1217"/>
      <c r="O176" s="1217"/>
      <c r="P176" s="1217"/>
      <c r="Q176" s="1217"/>
      <c r="V176" s="1213"/>
      <c r="W176" s="1213"/>
      <c r="X176" s="1213"/>
      <c r="Y176" s="1213"/>
      <c r="AD176" s="1213"/>
      <c r="AE176" s="1213"/>
      <c r="AF176" s="1213"/>
      <c r="AG176" s="1213"/>
      <c r="AL176" s="1213"/>
      <c r="AM176" s="1213"/>
      <c r="AN176" s="1213"/>
      <c r="AO176" s="1213"/>
      <c r="AT176" s="1213"/>
      <c r="AU176" s="1213"/>
      <c r="AV176" s="1213"/>
      <c r="AW176" s="1213"/>
      <c r="BB176" s="1213"/>
      <c r="BC176" s="1213"/>
      <c r="BD176" s="1213"/>
      <c r="BE176" s="1213"/>
      <c r="BJ176" s="1213"/>
      <c r="BK176" s="1213"/>
      <c r="BL176" s="1213"/>
      <c r="BM176" s="1213"/>
      <c r="BR176" s="1213"/>
      <c r="BS176" s="1213"/>
      <c r="BT176" s="1213"/>
      <c r="BU176" s="1213"/>
      <c r="BZ176" s="1213"/>
      <c r="CA176" s="1213"/>
      <c r="CB176" s="1213"/>
      <c r="CC176" s="1213"/>
      <c r="CH176" s="1213"/>
      <c r="CI176" s="1213"/>
      <c r="CJ176" s="1213"/>
      <c r="CK176" s="1213"/>
      <c r="CP176" s="1213"/>
      <c r="CQ176" s="1213"/>
      <c r="CR176" s="1213"/>
      <c r="CS176" s="1213"/>
    </row>
    <row r="177" spans="1:97" ht="13.8">
      <c r="A177" s="1214"/>
      <c r="B177" s="1216"/>
      <c r="C177" s="1216"/>
      <c r="N177" s="1217"/>
      <c r="O177" s="1217"/>
      <c r="P177" s="1217"/>
      <c r="Q177" s="1217"/>
      <c r="V177" s="1213"/>
      <c r="W177" s="1213"/>
      <c r="X177" s="1213"/>
      <c r="Y177" s="1213"/>
      <c r="AD177" s="1213"/>
      <c r="AE177" s="1213"/>
      <c r="AF177" s="1213"/>
      <c r="AG177" s="1213"/>
      <c r="AL177" s="1213"/>
      <c r="AM177" s="1213"/>
      <c r="AN177" s="1213"/>
      <c r="AO177" s="1213"/>
      <c r="AT177" s="1213"/>
      <c r="AU177" s="1213"/>
      <c r="AV177" s="1213"/>
      <c r="AW177" s="1213"/>
      <c r="BB177" s="1213"/>
      <c r="BC177" s="1213"/>
      <c r="BD177" s="1213"/>
      <c r="BE177" s="1213"/>
      <c r="BJ177" s="1213"/>
      <c r="BK177" s="1213"/>
      <c r="BL177" s="1213"/>
      <c r="BM177" s="1213"/>
      <c r="BR177" s="1213"/>
      <c r="BS177" s="1213"/>
      <c r="BT177" s="1213"/>
      <c r="BU177" s="1213"/>
      <c r="BZ177" s="1213"/>
      <c r="CA177" s="1213"/>
      <c r="CB177" s="1213"/>
      <c r="CC177" s="1213"/>
      <c r="CH177" s="1213"/>
      <c r="CI177" s="1213"/>
      <c r="CJ177" s="1213"/>
      <c r="CK177" s="1213"/>
      <c r="CP177" s="1213"/>
      <c r="CQ177" s="1213"/>
      <c r="CR177" s="1213"/>
      <c r="CS177" s="1213"/>
    </row>
    <row r="178" spans="1:97" ht="13.8">
      <c r="A178" s="1212"/>
      <c r="B178" s="1213"/>
      <c r="C178" s="1213"/>
      <c r="N178" s="1213"/>
      <c r="O178" s="1213"/>
      <c r="P178" s="1213"/>
      <c r="Q178" s="1213"/>
      <c r="V178" s="1213"/>
      <c r="W178" s="1213"/>
      <c r="X178" s="1213"/>
      <c r="Y178" s="1213"/>
      <c r="AD178" s="1213"/>
      <c r="AE178" s="1213"/>
      <c r="AF178" s="1213"/>
      <c r="AG178" s="1213"/>
      <c r="AL178" s="1213"/>
      <c r="AM178" s="1213"/>
      <c r="AN178" s="1213"/>
      <c r="AO178" s="1213"/>
      <c r="AT178" s="1213"/>
      <c r="AU178" s="1213"/>
      <c r="AV178" s="1213"/>
      <c r="AW178" s="1213"/>
      <c r="BB178" s="1213"/>
      <c r="BC178" s="1213"/>
      <c r="BD178" s="1213"/>
      <c r="BE178" s="1213"/>
      <c r="BJ178" s="1213"/>
      <c r="BK178" s="1213"/>
      <c r="BL178" s="1213"/>
      <c r="BM178" s="1213"/>
      <c r="BR178" s="1213"/>
      <c r="BS178" s="1213"/>
      <c r="BT178" s="1213"/>
      <c r="BU178" s="1213"/>
      <c r="BZ178" s="1213"/>
      <c r="CA178" s="1213"/>
      <c r="CB178" s="1213"/>
      <c r="CC178" s="1213"/>
      <c r="CH178" s="1213"/>
      <c r="CI178" s="1213"/>
      <c r="CJ178" s="1213"/>
      <c r="CK178" s="1213"/>
      <c r="CP178" s="1213"/>
      <c r="CQ178" s="1213"/>
      <c r="CR178" s="1213"/>
      <c r="CS178" s="1213"/>
    </row>
    <row r="179" spans="1:97" ht="13.8">
      <c r="A179" s="1214"/>
      <c r="B179" s="1216"/>
      <c r="C179" s="1216"/>
      <c r="N179" s="1213"/>
      <c r="O179" s="1213"/>
      <c r="P179" s="1213"/>
      <c r="Q179" s="1213"/>
      <c r="V179" s="1213"/>
      <c r="W179" s="1213"/>
      <c r="X179" s="1213"/>
      <c r="Y179" s="1213"/>
      <c r="AD179" s="1213"/>
      <c r="AE179" s="1213"/>
      <c r="AF179" s="1213"/>
      <c r="AG179" s="1213"/>
      <c r="AL179" s="1213"/>
      <c r="AM179" s="1213"/>
      <c r="AN179" s="1213"/>
      <c r="AO179" s="1213"/>
      <c r="AT179" s="1213"/>
      <c r="AU179" s="1213"/>
      <c r="AV179" s="1213"/>
      <c r="AW179" s="1213"/>
      <c r="BB179" s="1213"/>
      <c r="BC179" s="1213"/>
      <c r="BD179" s="1213"/>
      <c r="BE179" s="1213"/>
      <c r="BJ179" s="1213"/>
      <c r="BK179" s="1213"/>
      <c r="BL179" s="1213"/>
      <c r="BM179" s="1213"/>
      <c r="BR179" s="1213"/>
      <c r="BS179" s="1213"/>
      <c r="BT179" s="1213"/>
      <c r="BU179" s="1213"/>
      <c r="BZ179" s="1213"/>
      <c r="CA179" s="1213"/>
      <c r="CB179" s="1213"/>
      <c r="CC179" s="1213"/>
      <c r="CH179" s="1213"/>
      <c r="CI179" s="1213"/>
      <c r="CJ179" s="1213"/>
      <c r="CK179" s="1213"/>
      <c r="CP179" s="1213"/>
      <c r="CQ179" s="1213"/>
      <c r="CR179" s="1213"/>
      <c r="CS179" s="1213"/>
    </row>
    <row r="180" spans="1:97" ht="13.8">
      <c r="A180" s="1214"/>
      <c r="B180" s="1216"/>
      <c r="C180" s="1216"/>
      <c r="N180" s="1213"/>
      <c r="O180" s="1213"/>
      <c r="P180" s="1213"/>
      <c r="Q180" s="1213"/>
      <c r="V180" s="1213"/>
      <c r="W180" s="1213"/>
      <c r="X180" s="1213"/>
      <c r="Y180" s="1213"/>
      <c r="AD180" s="1213"/>
      <c r="AE180" s="1213"/>
      <c r="AF180" s="1213"/>
      <c r="AG180" s="1213"/>
      <c r="AL180" s="1213"/>
      <c r="AM180" s="1213"/>
      <c r="AN180" s="1213"/>
      <c r="AO180" s="1213"/>
      <c r="AT180" s="1213"/>
      <c r="AU180" s="1213"/>
      <c r="AV180" s="1213"/>
      <c r="AW180" s="1213"/>
      <c r="BB180" s="1213"/>
      <c r="BC180" s="1213"/>
      <c r="BD180" s="1213"/>
      <c r="BE180" s="1213"/>
      <c r="BJ180" s="1213"/>
      <c r="BK180" s="1213"/>
      <c r="BL180" s="1213"/>
      <c r="BM180" s="1213"/>
      <c r="BR180" s="1213"/>
      <c r="BS180" s="1213"/>
      <c r="BT180" s="1213"/>
      <c r="BU180" s="1213"/>
      <c r="BZ180" s="1213"/>
      <c r="CA180" s="1213"/>
      <c r="CB180" s="1213"/>
      <c r="CC180" s="1213"/>
      <c r="CH180" s="1213"/>
      <c r="CI180" s="1213"/>
      <c r="CJ180" s="1213"/>
      <c r="CK180" s="1213"/>
      <c r="CP180" s="1213"/>
      <c r="CQ180" s="1213"/>
      <c r="CR180" s="1213"/>
      <c r="CS180" s="1213"/>
    </row>
    <row r="181" spans="1:97" ht="13.8">
      <c r="A181" s="1212"/>
      <c r="B181" s="1213"/>
      <c r="C181" s="1213"/>
      <c r="N181" s="1213"/>
      <c r="O181" s="1213"/>
      <c r="P181" s="1213"/>
      <c r="Q181" s="1213"/>
      <c r="V181" s="1213"/>
      <c r="W181" s="1213"/>
      <c r="X181" s="1213"/>
      <c r="Y181" s="1213"/>
      <c r="AD181" s="1213"/>
      <c r="AE181" s="1213"/>
      <c r="AF181" s="1213"/>
      <c r="AG181" s="1213"/>
      <c r="AL181" s="1213"/>
      <c r="AM181" s="1213"/>
      <c r="AN181" s="1213"/>
      <c r="AO181" s="1213"/>
      <c r="AT181" s="1213"/>
      <c r="AU181" s="1213"/>
      <c r="AV181" s="1213"/>
      <c r="AW181" s="1213"/>
      <c r="BB181" s="1213"/>
      <c r="BC181" s="1213"/>
      <c r="BD181" s="1213"/>
      <c r="BE181" s="1213"/>
      <c r="BJ181" s="1213"/>
      <c r="BK181" s="1213"/>
      <c r="BL181" s="1213"/>
      <c r="BM181" s="1213"/>
      <c r="BR181" s="1213"/>
      <c r="BS181" s="1213"/>
      <c r="BT181" s="1213"/>
      <c r="BU181" s="1213"/>
      <c r="BZ181" s="1213"/>
      <c r="CA181" s="1213"/>
      <c r="CB181" s="1213"/>
      <c r="CC181" s="1213"/>
      <c r="CH181" s="1213"/>
      <c r="CI181" s="1213"/>
      <c r="CJ181" s="1213"/>
      <c r="CK181" s="1213"/>
      <c r="CP181" s="1213"/>
      <c r="CQ181" s="1213"/>
      <c r="CR181" s="1213"/>
      <c r="CS181" s="1213"/>
    </row>
    <row r="182" spans="1:97" ht="13.8">
      <c r="A182" s="1212"/>
      <c r="B182" s="1213"/>
      <c r="C182" s="1213"/>
      <c r="N182" s="1213"/>
      <c r="O182" s="1213"/>
      <c r="P182" s="1213"/>
      <c r="Q182" s="1213"/>
      <c r="V182" s="1213"/>
      <c r="W182" s="1213"/>
      <c r="X182" s="1213"/>
      <c r="Y182" s="1213"/>
      <c r="AD182" s="1213"/>
      <c r="AE182" s="1213"/>
      <c r="AF182" s="1213"/>
      <c r="AG182" s="1213"/>
      <c r="AL182" s="1213"/>
      <c r="AM182" s="1213"/>
      <c r="AN182" s="1213"/>
      <c r="AO182" s="1213"/>
      <c r="AT182" s="1213"/>
      <c r="AU182" s="1213"/>
      <c r="AV182" s="1213"/>
      <c r="AW182" s="1213"/>
      <c r="BB182" s="1213"/>
      <c r="BC182" s="1213"/>
      <c r="BD182" s="1213"/>
      <c r="BE182" s="1213"/>
      <c r="BJ182" s="1213"/>
      <c r="BK182" s="1213"/>
      <c r="BL182" s="1213"/>
      <c r="BM182" s="1213"/>
      <c r="BR182" s="1213"/>
      <c r="BS182" s="1213"/>
      <c r="BT182" s="1213"/>
      <c r="BU182" s="1213"/>
      <c r="BZ182" s="1213"/>
      <c r="CA182" s="1213"/>
      <c r="CB182" s="1213"/>
      <c r="CC182" s="1213"/>
      <c r="CH182" s="1213"/>
      <c r="CI182" s="1213"/>
      <c r="CJ182" s="1213"/>
      <c r="CK182" s="1213"/>
      <c r="CP182" s="1213"/>
      <c r="CQ182" s="1213"/>
      <c r="CR182" s="1213"/>
      <c r="CS182" s="1213"/>
    </row>
    <row r="183" spans="1:97" ht="13.8">
      <c r="A183" s="1212"/>
      <c r="B183" s="1213"/>
      <c r="C183" s="1213"/>
      <c r="N183" s="1213"/>
      <c r="O183" s="1213"/>
      <c r="P183" s="1213"/>
      <c r="Q183" s="1213"/>
      <c r="V183" s="1213"/>
      <c r="W183" s="1213"/>
      <c r="X183" s="1213"/>
      <c r="Y183" s="1213"/>
      <c r="AD183" s="1213"/>
      <c r="AE183" s="1213"/>
      <c r="AF183" s="1213"/>
      <c r="AG183" s="1213"/>
      <c r="AL183" s="1213"/>
      <c r="AM183" s="1213"/>
      <c r="AN183" s="1213"/>
      <c r="AO183" s="1213"/>
      <c r="AT183" s="1213"/>
      <c r="AU183" s="1213"/>
      <c r="AV183" s="1213"/>
      <c r="AW183" s="1213"/>
      <c r="BB183" s="1213"/>
      <c r="BC183" s="1213"/>
      <c r="BD183" s="1213"/>
      <c r="BE183" s="1213"/>
      <c r="BJ183" s="1213"/>
      <c r="BK183" s="1213"/>
      <c r="BL183" s="1213"/>
      <c r="BM183" s="1213"/>
      <c r="BR183" s="1213"/>
      <c r="BS183" s="1213"/>
      <c r="BT183" s="1213"/>
      <c r="BU183" s="1213"/>
      <c r="BZ183" s="1213"/>
      <c r="CA183" s="1213"/>
      <c r="CB183" s="1213"/>
      <c r="CC183" s="1213"/>
      <c r="CH183" s="1213"/>
      <c r="CI183" s="1213"/>
      <c r="CJ183" s="1213"/>
      <c r="CK183" s="1213"/>
      <c r="CP183" s="1213"/>
      <c r="CQ183" s="1213"/>
      <c r="CR183" s="1213"/>
      <c r="CS183" s="1213"/>
    </row>
    <row r="184" spans="1:97" ht="13.8">
      <c r="A184" s="1214"/>
      <c r="B184" s="1220"/>
      <c r="C184" s="1220"/>
      <c r="N184" s="1213"/>
      <c r="O184" s="1213"/>
      <c r="P184" s="1213"/>
      <c r="Q184" s="1213"/>
      <c r="V184" s="1213"/>
      <c r="W184" s="1213"/>
      <c r="X184" s="1213"/>
      <c r="Y184" s="1213"/>
      <c r="AD184" s="1213"/>
      <c r="AE184" s="1213"/>
      <c r="AF184" s="1213"/>
      <c r="AG184" s="1213"/>
      <c r="AL184" s="1213"/>
      <c r="AM184" s="1213"/>
      <c r="AN184" s="1213"/>
      <c r="AO184" s="1213"/>
      <c r="AT184" s="1213"/>
      <c r="AU184" s="1213"/>
      <c r="AV184" s="1213"/>
      <c r="AW184" s="1213"/>
      <c r="BB184" s="1213"/>
      <c r="BC184" s="1213"/>
      <c r="BD184" s="1213"/>
      <c r="BE184" s="1213"/>
      <c r="BJ184" s="1213"/>
      <c r="BK184" s="1213"/>
      <c r="BL184" s="1213"/>
      <c r="BM184" s="1213"/>
      <c r="BR184" s="1213"/>
      <c r="BS184" s="1213"/>
      <c r="BT184" s="1213"/>
      <c r="BU184" s="1213"/>
      <c r="BZ184" s="1213"/>
      <c r="CA184" s="1213"/>
      <c r="CB184" s="1213"/>
      <c r="CC184" s="1213"/>
      <c r="CH184" s="1213"/>
      <c r="CI184" s="1213"/>
      <c r="CJ184" s="1213"/>
      <c r="CK184" s="1213"/>
      <c r="CP184" s="1213"/>
      <c r="CQ184" s="1213"/>
      <c r="CR184" s="1213"/>
      <c r="CS184" s="1213"/>
    </row>
    <row r="185" spans="1:97" ht="13.8">
      <c r="A185" s="1214"/>
      <c r="B185" s="1220"/>
      <c r="C185" s="1220"/>
      <c r="N185" s="1213"/>
      <c r="O185" s="1213"/>
      <c r="P185" s="1213"/>
      <c r="Q185" s="1213"/>
      <c r="V185" s="1213"/>
      <c r="W185" s="1213"/>
      <c r="X185" s="1213"/>
      <c r="Y185" s="1213"/>
      <c r="AD185" s="1213"/>
      <c r="AE185" s="1213"/>
      <c r="AF185" s="1213"/>
      <c r="AG185" s="1213"/>
      <c r="AL185" s="1213"/>
      <c r="AM185" s="1213"/>
      <c r="AN185" s="1213"/>
      <c r="AO185" s="1213"/>
      <c r="AT185" s="1213"/>
      <c r="AU185" s="1213"/>
      <c r="AV185" s="1213"/>
      <c r="AW185" s="1213"/>
      <c r="BB185" s="1213"/>
      <c r="BC185" s="1213"/>
      <c r="BD185" s="1213"/>
      <c r="BE185" s="1213"/>
      <c r="BJ185" s="1213"/>
      <c r="BK185" s="1213"/>
      <c r="BL185" s="1213"/>
      <c r="BM185" s="1213"/>
      <c r="BR185" s="1213"/>
      <c r="BS185" s="1213"/>
      <c r="BT185" s="1213"/>
      <c r="BU185" s="1213"/>
      <c r="BZ185" s="1213"/>
      <c r="CA185" s="1213"/>
      <c r="CB185" s="1213"/>
      <c r="CC185" s="1213"/>
      <c r="CH185" s="1213"/>
      <c r="CI185" s="1213"/>
      <c r="CJ185" s="1213"/>
      <c r="CK185" s="1213"/>
      <c r="CP185" s="1213"/>
      <c r="CQ185" s="1213"/>
      <c r="CR185" s="1213"/>
      <c r="CS185" s="1213"/>
    </row>
    <row r="186" spans="1:97" ht="13.8">
      <c r="A186" s="1214"/>
      <c r="B186" s="1220"/>
      <c r="C186" s="1220"/>
      <c r="N186" s="1213"/>
      <c r="O186" s="1213"/>
      <c r="P186" s="1213"/>
      <c r="Q186" s="1213"/>
      <c r="V186" s="1213"/>
      <c r="W186" s="1213"/>
      <c r="X186" s="1213"/>
      <c r="Y186" s="1213"/>
      <c r="AD186" s="1213"/>
      <c r="AE186" s="1213"/>
      <c r="AF186" s="1213"/>
      <c r="AG186" s="1213"/>
      <c r="AL186" s="1213"/>
      <c r="AM186" s="1213"/>
      <c r="AN186" s="1213"/>
      <c r="AO186" s="1213"/>
      <c r="AT186" s="1213"/>
      <c r="AU186" s="1213"/>
      <c r="AV186" s="1213"/>
      <c r="AW186" s="1213"/>
      <c r="BB186" s="1213"/>
      <c r="BC186" s="1213"/>
      <c r="BD186" s="1213"/>
      <c r="BE186" s="1213"/>
      <c r="BJ186" s="1213"/>
      <c r="BK186" s="1213"/>
      <c r="BL186" s="1213"/>
      <c r="BM186" s="1213"/>
      <c r="BR186" s="1213"/>
      <c r="BS186" s="1213"/>
      <c r="BT186" s="1213"/>
      <c r="BU186" s="1213"/>
      <c r="BZ186" s="1213"/>
      <c r="CA186" s="1213"/>
      <c r="CB186" s="1213"/>
      <c r="CC186" s="1213"/>
      <c r="CH186" s="1213"/>
      <c r="CI186" s="1213"/>
      <c r="CJ186" s="1213"/>
      <c r="CK186" s="1213"/>
      <c r="CP186" s="1213"/>
      <c r="CQ186" s="1213"/>
      <c r="CR186" s="1213"/>
      <c r="CS186" s="1213"/>
    </row>
    <row r="187" spans="1:97" ht="13.8">
      <c r="A187" s="1214"/>
      <c r="B187" s="1220"/>
      <c r="C187" s="1220"/>
      <c r="N187" s="1213"/>
      <c r="O187" s="1213"/>
      <c r="P187" s="1213"/>
      <c r="Q187" s="1213"/>
      <c r="V187" s="1213"/>
      <c r="W187" s="1213"/>
      <c r="X187" s="1213"/>
      <c r="Y187" s="1213"/>
      <c r="AD187" s="1213"/>
      <c r="AE187" s="1213"/>
      <c r="AF187" s="1213"/>
      <c r="AG187" s="1213"/>
      <c r="AL187" s="1213"/>
      <c r="AM187" s="1213"/>
      <c r="AN187" s="1213"/>
      <c r="AO187" s="1213"/>
      <c r="AT187" s="1213"/>
      <c r="AU187" s="1213"/>
      <c r="AV187" s="1213"/>
      <c r="AW187" s="1213"/>
      <c r="BB187" s="1213"/>
      <c r="BC187" s="1213"/>
      <c r="BD187" s="1213"/>
      <c r="BE187" s="1213"/>
      <c r="BJ187" s="1213"/>
      <c r="BK187" s="1213"/>
      <c r="BL187" s="1213"/>
      <c r="BM187" s="1213"/>
      <c r="BR187" s="1213"/>
      <c r="BS187" s="1213"/>
      <c r="BT187" s="1213"/>
      <c r="BU187" s="1213"/>
      <c r="BZ187" s="1213"/>
      <c r="CA187" s="1213"/>
      <c r="CB187" s="1213"/>
      <c r="CC187" s="1213"/>
      <c r="CH187" s="1213"/>
      <c r="CI187" s="1213"/>
      <c r="CJ187" s="1213"/>
      <c r="CK187" s="1213"/>
      <c r="CP187" s="1213"/>
      <c r="CQ187" s="1213"/>
      <c r="CR187" s="1213"/>
      <c r="CS187" s="1213"/>
    </row>
    <row r="188" spans="1:97" ht="13.8">
      <c r="A188" s="1214"/>
      <c r="B188" s="1220"/>
      <c r="C188" s="1220"/>
      <c r="N188" s="1213"/>
      <c r="O188" s="1213"/>
      <c r="P188" s="1213"/>
      <c r="Q188" s="1213"/>
      <c r="V188" s="1213"/>
      <c r="W188" s="1213"/>
      <c r="X188" s="1213"/>
      <c r="Y188" s="1213"/>
      <c r="AD188" s="1213"/>
      <c r="AE188" s="1213"/>
      <c r="AF188" s="1213"/>
      <c r="AG188" s="1213"/>
      <c r="AL188" s="1213"/>
      <c r="AM188" s="1213"/>
      <c r="AN188" s="1213"/>
      <c r="AO188" s="1213"/>
      <c r="AT188" s="1213"/>
      <c r="AU188" s="1213"/>
      <c r="AV188" s="1213"/>
      <c r="AW188" s="1213"/>
      <c r="BB188" s="1213"/>
      <c r="BC188" s="1213"/>
      <c r="BD188" s="1213"/>
      <c r="BE188" s="1213"/>
      <c r="BJ188" s="1213"/>
      <c r="BK188" s="1213"/>
      <c r="BL188" s="1213"/>
      <c r="BM188" s="1213"/>
      <c r="BR188" s="1213"/>
      <c r="BS188" s="1213"/>
      <c r="BT188" s="1213"/>
      <c r="BU188" s="1213"/>
      <c r="BZ188" s="1213"/>
      <c r="CA188" s="1213"/>
      <c r="CB188" s="1213"/>
      <c r="CC188" s="1213"/>
      <c r="CH188" s="1213"/>
      <c r="CI188" s="1213"/>
      <c r="CJ188" s="1213"/>
      <c r="CK188" s="1213"/>
      <c r="CP188" s="1213"/>
      <c r="CQ188" s="1213"/>
      <c r="CR188" s="1213"/>
      <c r="CS188" s="1213"/>
    </row>
    <row r="189" spans="1:97" ht="13.8">
      <c r="A189" s="1214"/>
      <c r="B189" s="1220"/>
      <c r="C189" s="1220"/>
      <c r="N189" s="1213"/>
      <c r="O189" s="1213"/>
      <c r="P189" s="1213"/>
      <c r="Q189" s="1213"/>
      <c r="V189" s="1213"/>
      <c r="W189" s="1213"/>
      <c r="X189" s="1213"/>
      <c r="Y189" s="1213"/>
      <c r="AD189" s="1213"/>
      <c r="AE189" s="1213"/>
      <c r="AF189" s="1213"/>
      <c r="AG189" s="1213"/>
      <c r="AL189" s="1213"/>
      <c r="AM189" s="1213"/>
      <c r="AN189" s="1213"/>
      <c r="AO189" s="1213"/>
      <c r="AT189" s="1213"/>
      <c r="AU189" s="1213"/>
      <c r="AV189" s="1213"/>
      <c r="AW189" s="1213"/>
      <c r="BB189" s="1213"/>
      <c r="BC189" s="1213"/>
      <c r="BD189" s="1213"/>
      <c r="BE189" s="1213"/>
      <c r="BJ189" s="1213"/>
      <c r="BK189" s="1213"/>
      <c r="BL189" s="1213"/>
      <c r="BM189" s="1213"/>
      <c r="BR189" s="1213"/>
      <c r="BS189" s="1213"/>
      <c r="BT189" s="1213"/>
      <c r="BU189" s="1213"/>
      <c r="BZ189" s="1213"/>
      <c r="CA189" s="1213"/>
      <c r="CB189" s="1213"/>
      <c r="CC189" s="1213"/>
      <c r="CH189" s="1213"/>
      <c r="CI189" s="1213"/>
      <c r="CJ189" s="1213"/>
      <c r="CK189" s="1213"/>
      <c r="CP189" s="1213"/>
      <c r="CQ189" s="1213"/>
      <c r="CR189" s="1213"/>
      <c r="CS189" s="1213"/>
    </row>
    <row r="190" spans="1:97" ht="13.8">
      <c r="A190" s="1214"/>
      <c r="B190" s="1220"/>
      <c r="C190" s="1220"/>
      <c r="N190" s="1213"/>
      <c r="O190" s="1213"/>
      <c r="P190" s="1213"/>
      <c r="Q190" s="1213"/>
      <c r="V190" s="1213"/>
      <c r="W190" s="1213"/>
      <c r="X190" s="1213"/>
      <c r="Y190" s="1213"/>
      <c r="AD190" s="1213"/>
      <c r="AE190" s="1213"/>
      <c r="AF190" s="1213"/>
      <c r="AG190" s="1213"/>
      <c r="AL190" s="1213"/>
      <c r="AM190" s="1213"/>
      <c r="AN190" s="1213"/>
      <c r="AO190" s="1213"/>
      <c r="AT190" s="1213"/>
      <c r="AU190" s="1213"/>
      <c r="AV190" s="1213"/>
      <c r="AW190" s="1213"/>
      <c r="BB190" s="1213"/>
      <c r="BC190" s="1213"/>
      <c r="BD190" s="1213"/>
      <c r="BE190" s="1213"/>
      <c r="BJ190" s="1213"/>
      <c r="BK190" s="1213"/>
      <c r="BL190" s="1213"/>
      <c r="BM190" s="1213"/>
      <c r="BR190" s="1213"/>
      <c r="BS190" s="1213"/>
      <c r="BT190" s="1213"/>
      <c r="BU190" s="1213"/>
      <c r="BZ190" s="1213"/>
      <c r="CA190" s="1213"/>
      <c r="CB190" s="1213"/>
      <c r="CC190" s="1213"/>
      <c r="CH190" s="1213"/>
      <c r="CI190" s="1213"/>
      <c r="CJ190" s="1213"/>
      <c r="CK190" s="1213"/>
      <c r="CP190" s="1213"/>
      <c r="CQ190" s="1213"/>
      <c r="CR190" s="1213"/>
      <c r="CS190" s="1213"/>
    </row>
    <row r="191" spans="1:97" ht="13.8">
      <c r="A191" s="1214"/>
      <c r="B191" s="1216"/>
      <c r="C191" s="1216"/>
      <c r="N191" s="1213"/>
      <c r="O191" s="1213"/>
      <c r="P191" s="1213"/>
      <c r="Q191" s="1213"/>
      <c r="V191" s="1213"/>
      <c r="W191" s="1213"/>
      <c r="X191" s="1213"/>
      <c r="Y191" s="1213"/>
      <c r="AD191" s="1213"/>
      <c r="AE191" s="1213"/>
      <c r="AF191" s="1213"/>
      <c r="AG191" s="1213"/>
      <c r="AL191" s="1213"/>
      <c r="AM191" s="1213"/>
      <c r="AN191" s="1213"/>
      <c r="AO191" s="1213"/>
      <c r="AT191" s="1213"/>
      <c r="AU191" s="1213"/>
      <c r="AV191" s="1213"/>
      <c r="AW191" s="1213"/>
      <c r="BB191" s="1213"/>
      <c r="BC191" s="1213"/>
      <c r="BD191" s="1213"/>
      <c r="BE191" s="1213"/>
      <c r="BJ191" s="1213"/>
      <c r="BK191" s="1213"/>
      <c r="BL191" s="1213"/>
      <c r="BM191" s="1213"/>
      <c r="BR191" s="1213"/>
      <c r="BS191" s="1213"/>
      <c r="BT191" s="1213"/>
      <c r="BU191" s="1213"/>
      <c r="BZ191" s="1213"/>
      <c r="CA191" s="1213"/>
      <c r="CB191" s="1213"/>
      <c r="CC191" s="1213"/>
      <c r="CH191" s="1213"/>
      <c r="CI191" s="1213"/>
      <c r="CJ191" s="1213"/>
      <c r="CK191" s="1213"/>
      <c r="CP191" s="1213"/>
      <c r="CQ191" s="1213"/>
      <c r="CR191" s="1213"/>
      <c r="CS191" s="1213"/>
    </row>
    <row r="192" spans="1:97" ht="13.8">
      <c r="A192" s="1214"/>
      <c r="B192" s="1216"/>
      <c r="C192" s="1216"/>
      <c r="N192" s="1213"/>
      <c r="O192" s="1213"/>
      <c r="P192" s="1213"/>
      <c r="Q192" s="1213"/>
      <c r="V192" s="1213"/>
      <c r="W192" s="1213"/>
      <c r="X192" s="1213"/>
      <c r="Y192" s="1213"/>
      <c r="AD192" s="1213"/>
      <c r="AE192" s="1213"/>
      <c r="AF192" s="1213"/>
      <c r="AG192" s="1213"/>
      <c r="AL192" s="1213"/>
      <c r="AM192" s="1213"/>
      <c r="AN192" s="1213"/>
      <c r="AO192" s="1213"/>
      <c r="AT192" s="1213"/>
      <c r="AU192" s="1213"/>
      <c r="AV192" s="1213"/>
      <c r="AW192" s="1213"/>
      <c r="BB192" s="1213"/>
      <c r="BC192" s="1213"/>
      <c r="BD192" s="1213"/>
      <c r="BE192" s="1213"/>
      <c r="BJ192" s="1213"/>
      <c r="BK192" s="1213"/>
      <c r="BL192" s="1213"/>
      <c r="BM192" s="1213"/>
      <c r="BR192" s="1213"/>
      <c r="BS192" s="1213"/>
      <c r="BT192" s="1213"/>
      <c r="BU192" s="1213"/>
      <c r="BZ192" s="1213"/>
      <c r="CA192" s="1213"/>
      <c r="CB192" s="1213"/>
      <c r="CC192" s="1213"/>
      <c r="CH192" s="1213"/>
      <c r="CI192" s="1213"/>
      <c r="CJ192" s="1213"/>
      <c r="CK192" s="1213"/>
      <c r="CP192" s="1213"/>
      <c r="CQ192" s="1213"/>
      <c r="CR192" s="1213"/>
      <c r="CS192" s="1213"/>
    </row>
    <row r="193" spans="1:97" ht="13.8">
      <c r="A193" s="1212"/>
      <c r="B193" s="1221"/>
      <c r="C193" s="1221"/>
      <c r="N193" s="1213"/>
      <c r="O193" s="1213"/>
      <c r="P193" s="1213"/>
      <c r="Q193" s="1213"/>
      <c r="V193" s="1213"/>
      <c r="W193" s="1213"/>
      <c r="X193" s="1213"/>
      <c r="Y193" s="1213"/>
      <c r="AD193" s="1213"/>
      <c r="AE193" s="1213"/>
      <c r="AF193" s="1213"/>
      <c r="AG193" s="1213"/>
      <c r="AL193" s="1213"/>
      <c r="AM193" s="1213"/>
      <c r="AN193" s="1213"/>
      <c r="AO193" s="1213"/>
      <c r="AT193" s="1213"/>
      <c r="AU193" s="1213"/>
      <c r="AV193" s="1213"/>
      <c r="AW193" s="1213"/>
      <c r="BB193" s="1213"/>
      <c r="BC193" s="1213"/>
      <c r="BD193" s="1213"/>
      <c r="BE193" s="1213"/>
      <c r="BJ193" s="1213"/>
      <c r="BK193" s="1213"/>
      <c r="BL193" s="1213"/>
      <c r="BM193" s="1213"/>
      <c r="BR193" s="1213"/>
      <c r="BS193" s="1213"/>
      <c r="BT193" s="1213"/>
      <c r="BU193" s="1213"/>
      <c r="BZ193" s="1213"/>
      <c r="CA193" s="1213"/>
      <c r="CB193" s="1213"/>
      <c r="CC193" s="1213"/>
      <c r="CH193" s="1213"/>
      <c r="CI193" s="1213"/>
      <c r="CJ193" s="1213"/>
      <c r="CK193" s="1213"/>
      <c r="CP193" s="1213"/>
      <c r="CQ193" s="1213"/>
      <c r="CR193" s="1213"/>
      <c r="CS193" s="1213"/>
    </row>
    <row r="194" spans="1:97" ht="13.8">
      <c r="A194" s="1214"/>
      <c r="B194" s="1220"/>
      <c r="C194" s="1220"/>
      <c r="N194" s="1213"/>
      <c r="O194" s="1213"/>
      <c r="P194" s="1213"/>
      <c r="Q194" s="1213"/>
      <c r="V194" s="1213"/>
      <c r="W194" s="1213"/>
      <c r="X194" s="1213"/>
      <c r="Y194" s="1213"/>
      <c r="AD194" s="1213"/>
      <c r="AE194" s="1213"/>
      <c r="AF194" s="1213"/>
      <c r="AG194" s="1213"/>
      <c r="AL194" s="1213"/>
      <c r="AM194" s="1213"/>
      <c r="AN194" s="1213"/>
      <c r="AO194" s="1213"/>
      <c r="AT194" s="1213"/>
      <c r="AU194" s="1213"/>
      <c r="AV194" s="1213"/>
      <c r="AW194" s="1213"/>
      <c r="BB194" s="1213"/>
      <c r="BC194" s="1213"/>
      <c r="BD194" s="1213"/>
      <c r="BE194" s="1213"/>
      <c r="BJ194" s="1213"/>
      <c r="BK194" s="1213"/>
      <c r="BL194" s="1213"/>
      <c r="BM194" s="1213"/>
      <c r="BR194" s="1213"/>
      <c r="BS194" s="1213"/>
      <c r="BT194" s="1213"/>
      <c r="BU194" s="1213"/>
      <c r="BZ194" s="1213"/>
      <c r="CA194" s="1213"/>
      <c r="CB194" s="1213"/>
      <c r="CC194" s="1213"/>
      <c r="CH194" s="1213"/>
      <c r="CI194" s="1213"/>
      <c r="CJ194" s="1213"/>
      <c r="CK194" s="1213"/>
      <c r="CP194" s="1213"/>
      <c r="CQ194" s="1213"/>
      <c r="CR194" s="1213"/>
      <c r="CS194" s="1213"/>
    </row>
    <row r="195" spans="1:97" ht="13.8">
      <c r="A195" s="1212"/>
      <c r="B195" s="1220"/>
      <c r="C195" s="1220"/>
      <c r="N195" s="1213"/>
      <c r="O195" s="1213"/>
      <c r="P195" s="1213"/>
      <c r="Q195" s="1213"/>
      <c r="V195" s="1213"/>
      <c r="W195" s="1213"/>
      <c r="X195" s="1213"/>
      <c r="Y195" s="1213"/>
      <c r="AD195" s="1213"/>
      <c r="AE195" s="1213"/>
      <c r="AF195" s="1213"/>
      <c r="AG195" s="1213"/>
      <c r="AL195" s="1213"/>
      <c r="AM195" s="1213"/>
      <c r="AN195" s="1213"/>
      <c r="AO195" s="1213"/>
      <c r="AT195" s="1213"/>
      <c r="AU195" s="1213"/>
      <c r="AV195" s="1213"/>
      <c r="AW195" s="1213"/>
      <c r="BB195" s="1213"/>
      <c r="BC195" s="1213"/>
      <c r="BD195" s="1213"/>
      <c r="BE195" s="1213"/>
      <c r="BJ195" s="1213"/>
      <c r="BK195" s="1213"/>
      <c r="BL195" s="1213"/>
      <c r="BM195" s="1213"/>
      <c r="BR195" s="1213"/>
      <c r="BS195" s="1213"/>
      <c r="BT195" s="1213"/>
      <c r="BU195" s="1213"/>
      <c r="BZ195" s="1213"/>
      <c r="CA195" s="1213"/>
      <c r="CB195" s="1213"/>
      <c r="CC195" s="1213"/>
      <c r="CH195" s="1213"/>
      <c r="CI195" s="1213"/>
      <c r="CJ195" s="1213"/>
      <c r="CK195" s="1213"/>
      <c r="CP195" s="1213"/>
      <c r="CQ195" s="1213"/>
      <c r="CR195" s="1213"/>
      <c r="CS195" s="1213"/>
    </row>
    <row r="196" spans="1:97" ht="13.8">
      <c r="A196" s="1212"/>
      <c r="B196" s="1213"/>
      <c r="C196" s="1213"/>
      <c r="N196" s="1213"/>
      <c r="O196" s="1213"/>
      <c r="P196" s="1213"/>
      <c r="Q196" s="1213"/>
      <c r="V196" s="1213"/>
      <c r="W196" s="1213"/>
      <c r="X196" s="1213"/>
      <c r="Y196" s="1213"/>
      <c r="AD196" s="1213"/>
      <c r="AE196" s="1213"/>
      <c r="AF196" s="1213"/>
      <c r="AG196" s="1213"/>
      <c r="AL196" s="1213"/>
      <c r="AM196" s="1213"/>
      <c r="AN196" s="1213"/>
      <c r="AO196" s="1213"/>
      <c r="AT196" s="1213"/>
      <c r="AU196" s="1213"/>
      <c r="AV196" s="1213"/>
      <c r="AW196" s="1213"/>
      <c r="BB196" s="1213"/>
      <c r="BC196" s="1213"/>
      <c r="BD196" s="1213"/>
      <c r="BE196" s="1213"/>
      <c r="BJ196" s="1213"/>
      <c r="BK196" s="1213"/>
      <c r="BL196" s="1213"/>
      <c r="BM196" s="1213"/>
      <c r="BR196" s="1213"/>
      <c r="BS196" s="1213"/>
      <c r="BT196" s="1213"/>
      <c r="BU196" s="1213"/>
      <c r="BZ196" s="1213"/>
      <c r="CA196" s="1213"/>
      <c r="CB196" s="1213"/>
      <c r="CC196" s="1213"/>
      <c r="CH196" s="1213"/>
      <c r="CI196" s="1213"/>
      <c r="CJ196" s="1213"/>
      <c r="CK196" s="1213"/>
      <c r="CP196" s="1213"/>
      <c r="CQ196" s="1213"/>
      <c r="CR196" s="1213"/>
      <c r="CS196" s="1213"/>
    </row>
    <row r="197" spans="1:97" ht="13.8">
      <c r="A197" s="1212"/>
      <c r="B197" s="1213"/>
      <c r="C197" s="1213"/>
      <c r="N197" s="1213"/>
      <c r="O197" s="1213"/>
      <c r="P197" s="1213"/>
      <c r="Q197" s="1213"/>
      <c r="V197" s="1213"/>
      <c r="W197" s="1213"/>
      <c r="X197" s="1213"/>
      <c r="Y197" s="1213"/>
      <c r="AD197" s="1213"/>
      <c r="AE197" s="1213"/>
      <c r="AF197" s="1213"/>
      <c r="AG197" s="1213"/>
      <c r="AL197" s="1213"/>
      <c r="AM197" s="1213"/>
      <c r="AN197" s="1213"/>
      <c r="AO197" s="1213"/>
      <c r="AT197" s="1213"/>
      <c r="AU197" s="1213"/>
      <c r="AV197" s="1213"/>
      <c r="AW197" s="1213"/>
      <c r="BB197" s="1213"/>
      <c r="BC197" s="1213"/>
      <c r="BD197" s="1213"/>
      <c r="BE197" s="1213"/>
      <c r="BJ197" s="1213"/>
      <c r="BK197" s="1213"/>
      <c r="BL197" s="1213"/>
      <c r="BM197" s="1213"/>
      <c r="BR197" s="1213"/>
      <c r="BS197" s="1213"/>
      <c r="BT197" s="1213"/>
      <c r="BU197" s="1213"/>
      <c r="BZ197" s="1213"/>
      <c r="CA197" s="1213"/>
      <c r="CB197" s="1213"/>
      <c r="CC197" s="1213"/>
      <c r="CH197" s="1213"/>
      <c r="CI197" s="1213"/>
      <c r="CJ197" s="1213"/>
      <c r="CK197" s="1213"/>
      <c r="CP197" s="1213"/>
      <c r="CQ197" s="1213"/>
      <c r="CR197" s="1213"/>
      <c r="CS197" s="1213"/>
    </row>
    <row r="198" spans="1:97" ht="13.8">
      <c r="A198" s="1222"/>
      <c r="B198" s="1223"/>
      <c r="C198" s="1223"/>
      <c r="N198" s="1213"/>
      <c r="O198" s="1213"/>
      <c r="P198" s="1213"/>
      <c r="Q198" s="1213"/>
      <c r="V198" s="1213"/>
      <c r="W198" s="1213"/>
      <c r="X198" s="1213"/>
      <c r="Y198" s="1213"/>
      <c r="AD198" s="1213"/>
      <c r="AE198" s="1213"/>
      <c r="AF198" s="1213"/>
      <c r="AG198" s="1213"/>
      <c r="AL198" s="1213"/>
      <c r="AM198" s="1213"/>
      <c r="AN198" s="1213"/>
      <c r="AO198" s="1213"/>
      <c r="AT198" s="1213"/>
      <c r="AU198" s="1213"/>
      <c r="AV198" s="1213"/>
      <c r="AW198" s="1213"/>
      <c r="BB198" s="1213"/>
      <c r="BC198" s="1213"/>
      <c r="BD198" s="1213"/>
      <c r="BE198" s="1213"/>
      <c r="BJ198" s="1213"/>
      <c r="BK198" s="1213"/>
      <c r="BL198" s="1213"/>
      <c r="BM198" s="1213"/>
      <c r="BR198" s="1213"/>
      <c r="BS198" s="1213"/>
      <c r="BT198" s="1213"/>
      <c r="BU198" s="1213"/>
      <c r="BZ198" s="1213"/>
      <c r="CA198" s="1213"/>
      <c r="CB198" s="1213"/>
      <c r="CC198" s="1213"/>
      <c r="CH198" s="1213"/>
      <c r="CI198" s="1213"/>
      <c r="CJ198" s="1213"/>
      <c r="CK198" s="1213"/>
      <c r="CP198" s="1213"/>
      <c r="CQ198" s="1213"/>
      <c r="CR198" s="1213"/>
      <c r="CS198" s="1213"/>
    </row>
    <row r="199" spans="1:97" ht="13.8">
      <c r="A199" s="1214"/>
      <c r="B199" s="1220"/>
      <c r="C199" s="1220"/>
      <c r="N199" s="1213"/>
      <c r="O199" s="1213"/>
      <c r="P199" s="1213"/>
      <c r="Q199" s="1213"/>
      <c r="V199" s="1213"/>
      <c r="W199" s="1213"/>
      <c r="X199" s="1213"/>
      <c r="Y199" s="1213"/>
      <c r="AD199" s="1213"/>
      <c r="AE199" s="1213"/>
      <c r="AF199" s="1213"/>
      <c r="AG199" s="1213"/>
      <c r="AL199" s="1213"/>
      <c r="AM199" s="1213"/>
      <c r="AN199" s="1213"/>
      <c r="AO199" s="1213"/>
      <c r="AT199" s="1213"/>
      <c r="AU199" s="1213"/>
      <c r="AV199" s="1213"/>
      <c r="AW199" s="1213"/>
      <c r="BB199" s="1213"/>
      <c r="BC199" s="1213"/>
      <c r="BD199" s="1213"/>
      <c r="BE199" s="1213"/>
      <c r="BJ199" s="1213"/>
      <c r="BK199" s="1213"/>
      <c r="BL199" s="1213"/>
      <c r="BM199" s="1213"/>
      <c r="BR199" s="1213"/>
      <c r="BS199" s="1213"/>
      <c r="BT199" s="1213"/>
      <c r="BU199" s="1213"/>
      <c r="BZ199" s="1213"/>
      <c r="CA199" s="1213"/>
      <c r="CB199" s="1213"/>
      <c r="CC199" s="1213"/>
      <c r="CH199" s="1213"/>
      <c r="CI199" s="1213"/>
      <c r="CJ199" s="1213"/>
      <c r="CK199" s="1213"/>
      <c r="CP199" s="1213"/>
      <c r="CQ199" s="1213"/>
      <c r="CR199" s="1213"/>
      <c r="CS199" s="1213"/>
    </row>
    <row r="200" spans="1:97" ht="13.8">
      <c r="A200" s="1214"/>
      <c r="B200" s="1220"/>
      <c r="C200" s="1220"/>
      <c r="N200" s="1213"/>
      <c r="O200" s="1213"/>
      <c r="P200" s="1213"/>
      <c r="Q200" s="1213"/>
      <c r="V200" s="1213"/>
      <c r="W200" s="1213"/>
      <c r="X200" s="1213"/>
      <c r="Y200" s="1213"/>
      <c r="AD200" s="1213"/>
      <c r="AE200" s="1213"/>
      <c r="AF200" s="1213"/>
      <c r="AG200" s="1213"/>
      <c r="AL200" s="1213"/>
      <c r="AM200" s="1213"/>
      <c r="AN200" s="1213"/>
      <c r="AO200" s="1213"/>
      <c r="AT200" s="1213"/>
      <c r="AU200" s="1213"/>
      <c r="AV200" s="1213"/>
      <c r="AW200" s="1213"/>
      <c r="BB200" s="1213"/>
      <c r="BC200" s="1213"/>
      <c r="BD200" s="1213"/>
      <c r="BE200" s="1213"/>
      <c r="BJ200" s="1213"/>
      <c r="BK200" s="1213"/>
      <c r="BL200" s="1213"/>
      <c r="BM200" s="1213"/>
      <c r="BR200" s="1213"/>
      <c r="BS200" s="1213"/>
      <c r="BT200" s="1213"/>
      <c r="BU200" s="1213"/>
      <c r="BZ200" s="1213"/>
      <c r="CA200" s="1213"/>
      <c r="CB200" s="1213"/>
      <c r="CC200" s="1213"/>
      <c r="CH200" s="1213"/>
      <c r="CI200" s="1213"/>
      <c r="CJ200" s="1213"/>
      <c r="CK200" s="1213"/>
      <c r="CP200" s="1213"/>
      <c r="CQ200" s="1213"/>
      <c r="CR200" s="1213"/>
      <c r="CS200" s="1213"/>
    </row>
    <row r="201" spans="1:97" ht="13.8">
      <c r="A201" s="1222"/>
      <c r="B201" s="1213"/>
      <c r="C201" s="1213"/>
      <c r="N201" s="1213"/>
      <c r="O201" s="1213"/>
      <c r="P201" s="1213"/>
      <c r="Q201" s="1213"/>
      <c r="V201" s="1213"/>
      <c r="W201" s="1213"/>
      <c r="X201" s="1213"/>
      <c r="Y201" s="1213"/>
      <c r="AD201" s="1213"/>
      <c r="AE201" s="1213"/>
      <c r="AF201" s="1213"/>
      <c r="AG201" s="1213"/>
      <c r="AL201" s="1213"/>
      <c r="AM201" s="1213"/>
      <c r="AN201" s="1213"/>
      <c r="AO201" s="1213"/>
      <c r="AT201" s="1213"/>
      <c r="AU201" s="1213"/>
      <c r="AV201" s="1213"/>
      <c r="AW201" s="1213"/>
      <c r="BB201" s="1213"/>
      <c r="BC201" s="1213"/>
      <c r="BD201" s="1213"/>
      <c r="BE201" s="1213"/>
      <c r="BJ201" s="1213"/>
      <c r="BK201" s="1213"/>
      <c r="BL201" s="1213"/>
      <c r="BM201" s="1213"/>
      <c r="BR201" s="1213"/>
      <c r="BS201" s="1213"/>
      <c r="BT201" s="1213"/>
      <c r="BU201" s="1213"/>
      <c r="BZ201" s="1213"/>
      <c r="CA201" s="1213"/>
      <c r="CB201" s="1213"/>
      <c r="CC201" s="1213"/>
      <c r="CH201" s="1213"/>
      <c r="CI201" s="1213"/>
      <c r="CJ201" s="1213"/>
      <c r="CK201" s="1213"/>
      <c r="CP201" s="1213"/>
      <c r="CQ201" s="1213"/>
      <c r="CR201" s="1213"/>
      <c r="CS201" s="1213"/>
    </row>
    <row r="202" spans="1:97" ht="13.8">
      <c r="A202" s="1214"/>
      <c r="B202" s="1220"/>
      <c r="C202" s="1220"/>
      <c r="N202" s="1213"/>
      <c r="O202" s="1213"/>
      <c r="P202" s="1213"/>
      <c r="Q202" s="1213"/>
      <c r="V202" s="1213"/>
      <c r="W202" s="1213"/>
      <c r="X202" s="1213"/>
      <c r="Y202" s="1213"/>
      <c r="AD202" s="1213"/>
      <c r="AE202" s="1213"/>
      <c r="AF202" s="1213"/>
      <c r="AG202" s="1213"/>
      <c r="AL202" s="1213"/>
      <c r="AM202" s="1213"/>
      <c r="AN202" s="1213"/>
      <c r="AO202" s="1213"/>
      <c r="AT202" s="1213"/>
      <c r="AU202" s="1213"/>
      <c r="AV202" s="1213"/>
      <c r="AW202" s="1213"/>
      <c r="BB202" s="1213"/>
      <c r="BC202" s="1213"/>
      <c r="BD202" s="1213"/>
      <c r="BE202" s="1213"/>
      <c r="BJ202" s="1213"/>
      <c r="BK202" s="1213"/>
      <c r="BL202" s="1213"/>
      <c r="BM202" s="1213"/>
      <c r="BR202" s="1213"/>
      <c r="BS202" s="1213"/>
      <c r="BT202" s="1213"/>
      <c r="BU202" s="1213"/>
      <c r="BZ202" s="1213"/>
      <c r="CA202" s="1213"/>
      <c r="CB202" s="1213"/>
      <c r="CC202" s="1213"/>
      <c r="CH202" s="1213"/>
      <c r="CI202" s="1213"/>
      <c r="CJ202" s="1213"/>
      <c r="CK202" s="1213"/>
      <c r="CP202" s="1213"/>
      <c r="CQ202" s="1213"/>
      <c r="CR202" s="1213"/>
      <c r="CS202" s="1213"/>
    </row>
    <row r="203" spans="1:97" ht="13.8">
      <c r="A203" s="1214"/>
      <c r="B203" s="1220"/>
      <c r="C203" s="1220"/>
      <c r="N203" s="1213"/>
      <c r="O203" s="1213"/>
      <c r="P203" s="1213"/>
      <c r="Q203" s="1213"/>
      <c r="V203" s="1213"/>
      <c r="W203" s="1213"/>
      <c r="X203" s="1213"/>
      <c r="Y203" s="1213"/>
      <c r="AD203" s="1213"/>
      <c r="AE203" s="1213"/>
      <c r="AF203" s="1213"/>
      <c r="AG203" s="1213"/>
      <c r="AL203" s="1213"/>
      <c r="AM203" s="1213"/>
      <c r="AN203" s="1213"/>
      <c r="AO203" s="1213"/>
      <c r="AT203" s="1213"/>
      <c r="AU203" s="1213"/>
      <c r="AV203" s="1213"/>
      <c r="AW203" s="1213"/>
      <c r="BB203" s="1213"/>
      <c r="BC203" s="1213"/>
      <c r="BD203" s="1213"/>
      <c r="BE203" s="1213"/>
      <c r="BJ203" s="1213"/>
      <c r="BK203" s="1213"/>
      <c r="BL203" s="1213"/>
      <c r="BM203" s="1213"/>
      <c r="BR203" s="1213"/>
      <c r="BS203" s="1213"/>
      <c r="BT203" s="1213"/>
      <c r="BU203" s="1213"/>
      <c r="BZ203" s="1213"/>
      <c r="CA203" s="1213"/>
      <c r="CB203" s="1213"/>
      <c r="CC203" s="1213"/>
      <c r="CH203" s="1213"/>
      <c r="CI203" s="1213"/>
      <c r="CJ203" s="1213"/>
      <c r="CK203" s="1213"/>
      <c r="CP203" s="1213"/>
      <c r="CQ203" s="1213"/>
      <c r="CR203" s="1213"/>
      <c r="CS203" s="1213"/>
    </row>
    <row r="204" spans="1:97" ht="13.8">
      <c r="A204" s="1214"/>
      <c r="B204" s="1220"/>
      <c r="C204" s="1220"/>
      <c r="N204" s="1213"/>
      <c r="O204" s="1213"/>
      <c r="P204" s="1213"/>
      <c r="Q204" s="1213"/>
      <c r="V204" s="1213"/>
      <c r="W204" s="1213"/>
      <c r="X204" s="1213"/>
      <c r="Y204" s="1213"/>
      <c r="AD204" s="1213"/>
      <c r="AE204" s="1213"/>
      <c r="AF204" s="1213"/>
      <c r="AG204" s="1213"/>
      <c r="AL204" s="1213"/>
      <c r="AM204" s="1213"/>
      <c r="AN204" s="1213"/>
      <c r="AO204" s="1213"/>
      <c r="AT204" s="1213"/>
      <c r="AU204" s="1213"/>
      <c r="AV204" s="1213"/>
      <c r="AW204" s="1213"/>
      <c r="BB204" s="1213"/>
      <c r="BC204" s="1213"/>
      <c r="BD204" s="1213"/>
      <c r="BE204" s="1213"/>
      <c r="BJ204" s="1213"/>
      <c r="BK204" s="1213"/>
      <c r="BL204" s="1213"/>
      <c r="BM204" s="1213"/>
      <c r="BR204" s="1213"/>
      <c r="BS204" s="1213"/>
      <c r="BT204" s="1213"/>
      <c r="BU204" s="1213"/>
      <c r="BZ204" s="1213"/>
      <c r="CA204" s="1213"/>
      <c r="CB204" s="1213"/>
      <c r="CC204" s="1213"/>
      <c r="CH204" s="1213"/>
      <c r="CI204" s="1213"/>
      <c r="CJ204" s="1213"/>
      <c r="CK204" s="1213"/>
      <c r="CP204" s="1213"/>
      <c r="CQ204" s="1213"/>
      <c r="CR204" s="1213"/>
      <c r="CS204" s="1213"/>
    </row>
    <row r="205" spans="1:97" ht="13.8">
      <c r="A205" s="1214"/>
      <c r="B205" s="1220"/>
      <c r="C205" s="1220"/>
      <c r="N205" s="1213"/>
      <c r="O205" s="1213"/>
      <c r="P205" s="1213"/>
      <c r="Q205" s="1213"/>
      <c r="V205" s="1213"/>
      <c r="W205" s="1213"/>
      <c r="X205" s="1213"/>
      <c r="Y205" s="1213"/>
      <c r="AD205" s="1213"/>
      <c r="AE205" s="1213"/>
      <c r="AF205" s="1213"/>
      <c r="AG205" s="1213"/>
      <c r="AL205" s="1213"/>
      <c r="AM205" s="1213"/>
      <c r="AN205" s="1213"/>
      <c r="AO205" s="1213"/>
      <c r="AT205" s="1213"/>
      <c r="AU205" s="1213"/>
      <c r="AV205" s="1213"/>
      <c r="AW205" s="1213"/>
      <c r="BB205" s="1213"/>
      <c r="BC205" s="1213"/>
      <c r="BD205" s="1213"/>
      <c r="BE205" s="1213"/>
      <c r="BJ205" s="1213"/>
      <c r="BK205" s="1213"/>
      <c r="BL205" s="1213"/>
      <c r="BM205" s="1213"/>
      <c r="BR205" s="1213"/>
      <c r="BS205" s="1213"/>
      <c r="BT205" s="1213"/>
      <c r="BU205" s="1213"/>
      <c r="BZ205" s="1213"/>
      <c r="CA205" s="1213"/>
      <c r="CB205" s="1213"/>
      <c r="CC205" s="1213"/>
      <c r="CH205" s="1213"/>
      <c r="CI205" s="1213"/>
      <c r="CJ205" s="1213"/>
      <c r="CK205" s="1213"/>
      <c r="CP205" s="1213"/>
      <c r="CQ205" s="1213"/>
      <c r="CR205" s="1213"/>
      <c r="CS205" s="1213"/>
    </row>
    <row r="206" spans="1:97" ht="13.8">
      <c r="A206" s="1222"/>
      <c r="B206" s="1213"/>
      <c r="C206" s="1213"/>
      <c r="N206" s="1213"/>
      <c r="O206" s="1213"/>
      <c r="P206" s="1213"/>
      <c r="Q206" s="1213"/>
    </row>
    <row r="207" spans="1:97" ht="13.8">
      <c r="N207" s="1213"/>
      <c r="O207" s="1213"/>
      <c r="P207" s="1213"/>
      <c r="Q207" s="1213"/>
    </row>
    <row r="208" spans="1:97" ht="13.8">
      <c r="N208" s="1213"/>
      <c r="O208" s="1213"/>
      <c r="P208" s="1213"/>
      <c r="Q208" s="1213"/>
    </row>
    <row r="209" spans="14:17" ht="13.8">
      <c r="N209" s="1213"/>
      <c r="O209" s="1213"/>
      <c r="P209" s="1213"/>
      <c r="Q209" s="1213"/>
    </row>
    <row r="210" spans="14:17" ht="13.8">
      <c r="N210" s="1213"/>
      <c r="O210" s="1213"/>
      <c r="P210" s="1213"/>
      <c r="Q210" s="1213"/>
    </row>
    <row r="211" spans="14:17" ht="13.8">
      <c r="N211" s="1213"/>
      <c r="O211" s="1213"/>
      <c r="P211" s="1213"/>
      <c r="Q211" s="1213"/>
    </row>
    <row r="212" spans="14:17" ht="13.8">
      <c r="N212" s="1213"/>
      <c r="O212" s="1213"/>
      <c r="P212" s="1213"/>
      <c r="Q212" s="1213"/>
    </row>
    <row r="213" spans="14:17" ht="13.8">
      <c r="N213" s="1213"/>
      <c r="O213" s="1213"/>
      <c r="P213" s="1213"/>
      <c r="Q213" s="1213"/>
    </row>
  </sheetData>
  <mergeCells count="112">
    <mergeCell ref="AM13:AO13"/>
    <mergeCell ref="V13:V14"/>
    <mergeCell ref="W13:Y13"/>
    <mergeCell ref="AB13:AB14"/>
    <mergeCell ref="AC13:AC14"/>
    <mergeCell ref="AD13:AD14"/>
    <mergeCell ref="AE13:AG13"/>
    <mergeCell ref="AJ13:AJ14"/>
    <mergeCell ref="V12:Y12"/>
    <mergeCell ref="Z12:Z14"/>
    <mergeCell ref="AA12:AA14"/>
    <mergeCell ref="AB12:AC12"/>
    <mergeCell ref="AD12:AG12"/>
    <mergeCell ref="AH12:AH14"/>
    <mergeCell ref="AI12:AI14"/>
    <mergeCell ref="AJ12:AK12"/>
    <mergeCell ref="CA13:CC13"/>
    <mergeCell ref="CF13:CF14"/>
    <mergeCell ref="CG13:CG14"/>
    <mergeCell ref="CH13:CH14"/>
    <mergeCell ref="CI13:CK13"/>
    <mergeCell ref="CN13:CN14"/>
    <mergeCell ref="E13:E14"/>
    <mergeCell ref="F13:G13"/>
    <mergeCell ref="L13:L14"/>
    <mergeCell ref="M13:M14"/>
    <mergeCell ref="O13:O14"/>
    <mergeCell ref="P13:P14"/>
    <mergeCell ref="Q13:Q14"/>
    <mergeCell ref="T13:T14"/>
    <mergeCell ref="U13:U14"/>
    <mergeCell ref="CD12:CD14"/>
    <mergeCell ref="CE12:CE14"/>
    <mergeCell ref="CF12:CG12"/>
    <mergeCell ref="CH12:CK12"/>
    <mergeCell ref="CL12:CL14"/>
    <mergeCell ref="CM12:CM14"/>
    <mergeCell ref="CN12:CO12"/>
    <mergeCell ref="CO13:CO14"/>
    <mergeCell ref="AL12:AO12"/>
    <mergeCell ref="AI11:AK11"/>
    <mergeCell ref="AQ11:AS11"/>
    <mergeCell ref="AY11:BA11"/>
    <mergeCell ref="BH13:BH14"/>
    <mergeCell ref="BG11:BI11"/>
    <mergeCell ref="CP12:CS12"/>
    <mergeCell ref="BB12:BE12"/>
    <mergeCell ref="BF12:BF14"/>
    <mergeCell ref="BG12:BG14"/>
    <mergeCell ref="BH12:BI12"/>
    <mergeCell ref="BJ12:BM12"/>
    <mergeCell ref="BN12:BN14"/>
    <mergeCell ref="BO12:BO14"/>
    <mergeCell ref="BX13:BX14"/>
    <mergeCell ref="BY13:BY14"/>
    <mergeCell ref="BI13:BI14"/>
    <mergeCell ref="BJ13:BJ14"/>
    <mergeCell ref="BK13:BM13"/>
    <mergeCell ref="BP13:BP14"/>
    <mergeCell ref="BQ13:BQ14"/>
    <mergeCell ref="BR13:BR14"/>
    <mergeCell ref="BS13:BU13"/>
    <mergeCell ref="BO11:BQ11"/>
    <mergeCell ref="BZ13:BZ14"/>
    <mergeCell ref="BW11:BY11"/>
    <mergeCell ref="CE11:CG11"/>
    <mergeCell ref="CM11:CO11"/>
    <mergeCell ref="A11:A14"/>
    <mergeCell ref="B11:B14"/>
    <mergeCell ref="D11:G11"/>
    <mergeCell ref="H11:H14"/>
    <mergeCell ref="I11:I14"/>
    <mergeCell ref="J11:J14"/>
    <mergeCell ref="K11:M11"/>
    <mergeCell ref="N11:Q11"/>
    <mergeCell ref="S11:U11"/>
    <mergeCell ref="D12:D14"/>
    <mergeCell ref="E12:G12"/>
    <mergeCell ref="K12:K14"/>
    <mergeCell ref="L12:M12"/>
    <mergeCell ref="N12:N14"/>
    <mergeCell ref="O12:Q12"/>
    <mergeCell ref="R12:R14"/>
    <mergeCell ref="S12:S14"/>
    <mergeCell ref="T12:U12"/>
    <mergeCell ref="AK13:AK14"/>
    <mergeCell ref="AL13:AL14"/>
    <mergeCell ref="AA11:AC11"/>
    <mergeCell ref="A9:U9"/>
    <mergeCell ref="CP13:CP14"/>
    <mergeCell ref="CQ13:CS13"/>
    <mergeCell ref="AP12:AP14"/>
    <mergeCell ref="AQ12:AQ14"/>
    <mergeCell ref="AR12:AS12"/>
    <mergeCell ref="AT12:AW12"/>
    <mergeCell ref="AX12:AX14"/>
    <mergeCell ref="AY12:AY14"/>
    <mergeCell ref="AZ12:BA12"/>
    <mergeCell ref="AR13:AR14"/>
    <mergeCell ref="AS13:AS14"/>
    <mergeCell ref="AT13:AT14"/>
    <mergeCell ref="AU13:AW13"/>
    <mergeCell ref="AZ13:AZ14"/>
    <mergeCell ref="BA13:BA14"/>
    <mergeCell ref="BV12:BV14"/>
    <mergeCell ref="BW12:BW14"/>
    <mergeCell ref="BX12:BY12"/>
    <mergeCell ref="BZ12:CC12"/>
    <mergeCell ref="BP12:BQ12"/>
    <mergeCell ref="BR12:BU12"/>
    <mergeCell ref="BB13:BB14"/>
    <mergeCell ref="BC13:BE13"/>
  </mergeCells>
  <dataValidations count="1">
    <dataValidation allowBlank="1" showInputMessage="1" showErrorMessage="1" prompt="Sáng ngày 18/11/2016 Lãnh đạo Cục Thuế + STC thống nhất tăng số thu phí của VPC TP Kon Tum 5.000 triệu đồng" sqref="CN77:CO77 BX77:BY77 AJ77:AK77 AR77:AS77 AZ77:BA77 BH77:BI77 BP77:BQ77"/>
  </dataValidations>
  <printOptions horizontalCentered="1"/>
  <pageMargins left="0.19685039370078741" right="0.19685039370078741" top="0.45" bottom="0.39370078740157483" header="0.19685039370078741" footer="0.19685039370078741"/>
  <pageSetup paperSize="9" scale="91" fitToHeight="0" orientation="portrait" verticalDpi="1200" r:id="rId1"/>
  <headerFoot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6"/>
  <sheetViews>
    <sheetView zoomScale="85" zoomScaleNormal="85" workbookViewId="0">
      <pane xSplit="2" ySplit="10" topLeftCell="O11" activePane="bottomRight" state="frozen"/>
      <selection activeCell="A71" sqref="A71:Q71"/>
      <selection pane="topRight" activeCell="A71" sqref="A71:Q71"/>
      <selection pane="bottomLeft" activeCell="A71" sqref="A71:Q71"/>
      <selection pane="bottomRight" activeCell="W10" sqref="W10"/>
    </sheetView>
  </sheetViews>
  <sheetFormatPr defaultColWidth="8" defaultRowHeight="13.8" outlineLevelCol="1"/>
  <cols>
    <col min="1" max="1" width="5.33203125" style="808" customWidth="1"/>
    <col min="2" max="2" width="37.109375" style="394" customWidth="1"/>
    <col min="3" max="5" width="8.33203125" style="394" hidden="1" customWidth="1" outlineLevel="1"/>
    <col min="6" max="6" width="7.6640625" style="394" hidden="1" customWidth="1" outlineLevel="1"/>
    <col min="7" max="7" width="8.33203125" style="394" hidden="1" customWidth="1" outlineLevel="1"/>
    <col min="8" max="9" width="9.44140625" style="394" hidden="1" customWidth="1" outlineLevel="1"/>
    <col min="10" max="10" width="10.5546875" style="394" hidden="1" customWidth="1" outlineLevel="1"/>
    <col min="11" max="11" width="12.5546875" style="394" hidden="1" customWidth="1" outlineLevel="1"/>
    <col min="12" max="14" width="8.109375" style="394" hidden="1" customWidth="1" outlineLevel="1"/>
    <col min="15" max="15" width="8.33203125" style="394" customWidth="1" collapsed="1"/>
    <col min="16" max="16" width="8.44140625" style="394" customWidth="1"/>
    <col min="17" max="17" width="8.5546875" style="394" customWidth="1"/>
    <col min="18" max="18" width="8.44140625" style="394" customWidth="1"/>
    <col min="19" max="19" width="8" style="394" customWidth="1"/>
    <col min="20" max="20" width="9.44140625" style="394" customWidth="1"/>
    <col min="21" max="21" width="7.33203125" style="394" customWidth="1"/>
    <col min="22" max="22" width="11.6640625" style="394" customWidth="1"/>
    <col min="23" max="23" width="14.44140625" style="394" customWidth="1"/>
    <col min="24" max="24" width="32.44140625" style="830" hidden="1" customWidth="1" outlineLevel="1"/>
    <col min="25" max="25" width="8" style="394" collapsed="1"/>
    <col min="26" max="16384" width="8" style="394"/>
  </cols>
  <sheetData>
    <row r="1" spans="1:25" s="804" customFormat="1" ht="15.6">
      <c r="A1" s="392" t="s">
        <v>1844</v>
      </c>
      <c r="C1" s="805"/>
      <c r="D1" s="805"/>
      <c r="E1" s="805"/>
      <c r="F1" s="805"/>
      <c r="G1" s="805"/>
      <c r="H1" s="805"/>
      <c r="I1" s="805"/>
      <c r="J1" s="805"/>
      <c r="K1" s="805"/>
      <c r="L1" s="805"/>
      <c r="M1" s="805"/>
      <c r="N1" s="805"/>
      <c r="O1" s="805"/>
      <c r="P1" s="805"/>
      <c r="Q1" s="805"/>
      <c r="R1" s="805"/>
      <c r="S1" s="805"/>
      <c r="T1" s="805"/>
      <c r="U1" s="805"/>
      <c r="V1" s="805"/>
      <c r="W1" s="805"/>
      <c r="X1" s="806"/>
    </row>
    <row r="2" spans="1:25" s="804" customFormat="1" ht="18">
      <c r="A2" s="392"/>
      <c r="B2" s="393"/>
      <c r="C2" s="805"/>
      <c r="D2" s="805"/>
      <c r="E2" s="805"/>
      <c r="F2" s="805"/>
      <c r="G2" s="805"/>
      <c r="H2" s="519"/>
      <c r="I2" s="805"/>
      <c r="J2" s="805"/>
      <c r="K2" s="805"/>
      <c r="L2" s="805"/>
      <c r="M2" s="805"/>
      <c r="N2" s="805"/>
      <c r="O2" s="805"/>
      <c r="P2" s="807"/>
      <c r="Q2" s="805"/>
      <c r="R2" s="805"/>
      <c r="S2" s="805"/>
      <c r="T2" s="805"/>
      <c r="U2" s="805"/>
      <c r="V2" s="805"/>
      <c r="W2" s="805"/>
      <c r="X2" s="806"/>
    </row>
    <row r="3" spans="1:25" s="804" customFormat="1" ht="15.6">
      <c r="A3" s="1521" t="s">
        <v>1951</v>
      </c>
      <c r="B3" s="1521"/>
      <c r="C3" s="1521"/>
      <c r="D3" s="1521"/>
      <c r="E3" s="1521"/>
      <c r="F3" s="1521"/>
      <c r="G3" s="1521"/>
      <c r="H3" s="1521"/>
      <c r="I3" s="1521"/>
      <c r="J3" s="1521"/>
      <c r="K3" s="1521"/>
      <c r="L3" s="1521"/>
      <c r="M3" s="1521"/>
      <c r="N3" s="1521"/>
      <c r="O3" s="1521"/>
      <c r="P3" s="1521"/>
      <c r="Q3" s="1521"/>
      <c r="R3" s="1521"/>
      <c r="S3" s="1521"/>
      <c r="T3" s="1521"/>
      <c r="U3" s="1521"/>
      <c r="V3" s="1521"/>
      <c r="W3" s="1521"/>
      <c r="X3" s="1521"/>
    </row>
    <row r="4" spans="1:25" s="804" customFormat="1" ht="15.6">
      <c r="A4" s="1509" t="s">
        <v>1903</v>
      </c>
      <c r="B4" s="1509"/>
      <c r="C4" s="1509"/>
      <c r="D4" s="1509"/>
      <c r="E4" s="1509"/>
      <c r="F4" s="1509"/>
      <c r="G4" s="1509"/>
      <c r="H4" s="1509"/>
      <c r="I4" s="1509"/>
      <c r="J4" s="1509"/>
      <c r="K4" s="1509"/>
      <c r="L4" s="1509"/>
      <c r="M4" s="1509"/>
      <c r="N4" s="1509"/>
      <c r="O4" s="1509"/>
      <c r="P4" s="1509"/>
      <c r="Q4" s="1509"/>
      <c r="R4" s="1509"/>
      <c r="S4" s="1509"/>
      <c r="T4" s="1509"/>
      <c r="U4" s="1509"/>
      <c r="V4" s="1509"/>
      <c r="W4" s="1509"/>
      <c r="X4" s="1017"/>
    </row>
    <row r="5" spans="1:25">
      <c r="C5" s="416">
        <f>D10+G10</f>
        <v>22051.4</v>
      </c>
      <c r="H5" s="1522" t="s">
        <v>0</v>
      </c>
      <c r="I5" s="1522"/>
      <c r="J5" s="1522"/>
      <c r="K5" s="1522"/>
      <c r="L5" s="1522"/>
      <c r="M5" s="1522"/>
      <c r="N5" s="1522"/>
      <c r="O5" s="1522"/>
      <c r="P5" s="1522"/>
      <c r="Q5" s="1522"/>
      <c r="R5" s="1522"/>
      <c r="S5" s="1522"/>
      <c r="T5" s="1522"/>
      <c r="U5" s="1522"/>
      <c r="V5" s="1522"/>
      <c r="W5" s="1522"/>
      <c r="X5" s="1522"/>
    </row>
    <row r="6" spans="1:25">
      <c r="A6" s="1517" t="s">
        <v>1</v>
      </c>
      <c r="B6" s="1517" t="s">
        <v>1260</v>
      </c>
      <c r="C6" s="1517" t="s">
        <v>1700</v>
      </c>
      <c r="D6" s="1517"/>
      <c r="E6" s="1517"/>
      <c r="F6" s="1517"/>
      <c r="G6" s="1517"/>
      <c r="H6" s="1517"/>
      <c r="I6" s="1517"/>
      <c r="J6" s="1517"/>
      <c r="K6" s="1517"/>
      <c r="L6" s="1517" t="s">
        <v>1952</v>
      </c>
      <c r="M6" s="1517"/>
      <c r="N6" s="1517"/>
      <c r="O6" s="1517" t="s">
        <v>1905</v>
      </c>
      <c r="P6" s="1517"/>
      <c r="Q6" s="1517"/>
      <c r="R6" s="1517"/>
      <c r="S6" s="1517"/>
      <c r="T6" s="1517"/>
      <c r="U6" s="1517"/>
      <c r="V6" s="1517"/>
      <c r="W6" s="1517"/>
      <c r="X6" s="1518" t="s">
        <v>663</v>
      </c>
    </row>
    <row r="7" spans="1:25">
      <c r="A7" s="1517"/>
      <c r="B7" s="1517"/>
      <c r="C7" s="1517"/>
      <c r="D7" s="1517"/>
      <c r="E7" s="1517"/>
      <c r="F7" s="1517"/>
      <c r="G7" s="1517"/>
      <c r="H7" s="1517"/>
      <c r="I7" s="1517"/>
      <c r="J7" s="1517"/>
      <c r="K7" s="1517"/>
      <c r="L7" s="1517"/>
      <c r="M7" s="1517"/>
      <c r="N7" s="1517"/>
      <c r="O7" s="1517"/>
      <c r="P7" s="1517"/>
      <c r="Q7" s="1517"/>
      <c r="R7" s="1517"/>
      <c r="S7" s="1517"/>
      <c r="T7" s="1517"/>
      <c r="U7" s="1517"/>
      <c r="V7" s="1517"/>
      <c r="W7" s="1517"/>
      <c r="X7" s="1519"/>
    </row>
    <row r="8" spans="1:25" ht="33.75" customHeight="1">
      <c r="A8" s="1517"/>
      <c r="B8" s="1517"/>
      <c r="C8" s="1517" t="s">
        <v>1261</v>
      </c>
      <c r="D8" s="1517"/>
      <c r="E8" s="1517"/>
      <c r="F8" s="1517" t="s">
        <v>1262</v>
      </c>
      <c r="G8" s="1517"/>
      <c r="H8" s="1517"/>
      <c r="I8" s="1517" t="s">
        <v>1734</v>
      </c>
      <c r="J8" s="1517"/>
      <c r="K8" s="1517"/>
      <c r="L8" s="1517" t="s">
        <v>1263</v>
      </c>
      <c r="M8" s="1517" t="s">
        <v>1264</v>
      </c>
      <c r="N8" s="1517" t="s">
        <v>1953</v>
      </c>
      <c r="O8" s="1517" t="s">
        <v>1261</v>
      </c>
      <c r="P8" s="1517"/>
      <c r="Q8" s="1517"/>
      <c r="R8" s="1517" t="s">
        <v>1262</v>
      </c>
      <c r="S8" s="1517"/>
      <c r="T8" s="1517"/>
      <c r="U8" s="1517" t="s">
        <v>1734</v>
      </c>
      <c r="V8" s="1517"/>
      <c r="W8" s="1517"/>
      <c r="X8" s="1519"/>
    </row>
    <row r="9" spans="1:25" ht="110.4">
      <c r="A9" s="1517"/>
      <c r="B9" s="1517"/>
      <c r="C9" s="1016" t="s">
        <v>1564</v>
      </c>
      <c r="D9" s="1016" t="s">
        <v>1265</v>
      </c>
      <c r="E9" s="1016" t="s">
        <v>1266</v>
      </c>
      <c r="F9" s="1016" t="s">
        <v>1564</v>
      </c>
      <c r="G9" s="1016" t="s">
        <v>1267</v>
      </c>
      <c r="H9" s="1016" t="s">
        <v>1268</v>
      </c>
      <c r="I9" s="1016" t="s">
        <v>612</v>
      </c>
      <c r="J9" s="1016" t="s">
        <v>1954</v>
      </c>
      <c r="K9" s="1016" t="s">
        <v>1955</v>
      </c>
      <c r="L9" s="1517"/>
      <c r="M9" s="1517"/>
      <c r="N9" s="1517"/>
      <c r="O9" s="1016" t="s">
        <v>1956</v>
      </c>
      <c r="P9" s="1016" t="s">
        <v>1265</v>
      </c>
      <c r="Q9" s="1016" t="s">
        <v>1266</v>
      </c>
      <c r="R9" s="1016" t="s">
        <v>1956</v>
      </c>
      <c r="S9" s="1016" t="s">
        <v>1267</v>
      </c>
      <c r="T9" s="1016" t="s">
        <v>1268</v>
      </c>
      <c r="U9" s="1016" t="s">
        <v>1956</v>
      </c>
      <c r="V9" s="1016" t="s">
        <v>1954</v>
      </c>
      <c r="W9" s="1016" t="s">
        <v>1955</v>
      </c>
      <c r="X9" s="1520"/>
    </row>
    <row r="10" spans="1:25">
      <c r="A10" s="809"/>
      <c r="B10" s="809" t="s">
        <v>1957</v>
      </c>
      <c r="C10" s="395">
        <f t="shared" ref="C10:W10" si="0">C11+C41+C99+C100</f>
        <v>31831</v>
      </c>
      <c r="D10" s="395">
        <f t="shared" si="0"/>
        <v>18126.400000000001</v>
      </c>
      <c r="E10" s="395">
        <f t="shared" si="0"/>
        <v>13704.600000000002</v>
      </c>
      <c r="F10" s="395">
        <f t="shared" si="0"/>
        <v>3925</v>
      </c>
      <c r="G10" s="395">
        <f t="shared" si="0"/>
        <v>3925</v>
      </c>
      <c r="H10" s="395">
        <f t="shared" si="0"/>
        <v>1482</v>
      </c>
      <c r="I10" s="395">
        <f t="shared" si="0"/>
        <v>2566</v>
      </c>
      <c r="J10" s="395">
        <f t="shared" si="0"/>
        <v>1429</v>
      </c>
      <c r="K10" s="395">
        <f t="shared" si="0"/>
        <v>1137</v>
      </c>
      <c r="L10" s="395">
        <f t="shared" si="0"/>
        <v>27569.3</v>
      </c>
      <c r="M10" s="395">
        <f t="shared" si="0"/>
        <v>4044</v>
      </c>
      <c r="N10" s="395">
        <f t="shared" si="0"/>
        <v>465</v>
      </c>
      <c r="O10" s="395">
        <f t="shared" si="0"/>
        <v>33230</v>
      </c>
      <c r="P10" s="395">
        <f t="shared" si="0"/>
        <v>19705.849999999999</v>
      </c>
      <c r="Q10" s="395">
        <f t="shared" si="0"/>
        <v>13524.15</v>
      </c>
      <c r="R10" s="395">
        <f t="shared" si="0"/>
        <v>3750</v>
      </c>
      <c r="S10" s="395">
        <f t="shared" si="0"/>
        <v>3750</v>
      </c>
      <c r="T10" s="395">
        <f t="shared" si="0"/>
        <v>1846</v>
      </c>
      <c r="U10" s="395">
        <f t="shared" si="0"/>
        <v>2918</v>
      </c>
      <c r="V10" s="395">
        <f t="shared" si="0"/>
        <v>1218</v>
      </c>
      <c r="W10" s="395">
        <f t="shared" si="0"/>
        <v>1700</v>
      </c>
      <c r="X10" s="396"/>
      <c r="Y10" s="810">
        <f>O10-P10-Q10</f>
        <v>0</v>
      </c>
    </row>
    <row r="11" spans="1:25">
      <c r="A11" s="397" t="s">
        <v>14</v>
      </c>
      <c r="B11" s="398" t="s">
        <v>1269</v>
      </c>
      <c r="C11" s="271">
        <f t="shared" ref="C11:L11" si="1">C12+C32</f>
        <v>18339</v>
      </c>
      <c r="D11" s="271">
        <f t="shared" si="1"/>
        <v>13725.3</v>
      </c>
      <c r="E11" s="271">
        <f t="shared" si="1"/>
        <v>4613.7000000000007</v>
      </c>
      <c r="F11" s="271">
        <f t="shared" si="1"/>
        <v>831</v>
      </c>
      <c r="G11" s="271">
        <f t="shared" si="1"/>
        <v>831</v>
      </c>
      <c r="H11" s="271">
        <f t="shared" si="1"/>
        <v>651</v>
      </c>
      <c r="I11" s="271">
        <f t="shared" si="1"/>
        <v>0</v>
      </c>
      <c r="J11" s="271">
        <f t="shared" si="1"/>
        <v>0</v>
      </c>
      <c r="K11" s="271">
        <f t="shared" si="1"/>
        <v>0</v>
      </c>
      <c r="L11" s="271">
        <f t="shared" si="1"/>
        <v>17063</v>
      </c>
      <c r="M11" s="271">
        <f>M12+M32</f>
        <v>960</v>
      </c>
      <c r="N11" s="271">
        <f t="shared" ref="N11:W11" si="2">N12+N32</f>
        <v>0</v>
      </c>
      <c r="O11" s="271">
        <f t="shared" si="2"/>
        <v>18672</v>
      </c>
      <c r="P11" s="271">
        <f t="shared" si="2"/>
        <v>14285.5</v>
      </c>
      <c r="Q11" s="271">
        <f t="shared" si="2"/>
        <v>4386.5</v>
      </c>
      <c r="R11" s="271">
        <f t="shared" si="2"/>
        <v>821</v>
      </c>
      <c r="S11" s="271">
        <f t="shared" si="2"/>
        <v>821</v>
      </c>
      <c r="T11" s="271">
        <f t="shared" si="2"/>
        <v>644</v>
      </c>
      <c r="U11" s="271">
        <f t="shared" si="2"/>
        <v>0</v>
      </c>
      <c r="V11" s="271">
        <f t="shared" si="2"/>
        <v>0</v>
      </c>
      <c r="W11" s="271">
        <f t="shared" si="2"/>
        <v>0</v>
      </c>
      <c r="X11" s="271"/>
      <c r="Y11" s="810">
        <f t="shared" ref="Y11:Y74" si="3">O11-P11-Q11</f>
        <v>0</v>
      </c>
    </row>
    <row r="12" spans="1:25">
      <c r="A12" s="397" t="s">
        <v>16</v>
      </c>
      <c r="B12" s="398" t="s">
        <v>1270</v>
      </c>
      <c r="C12" s="271">
        <f t="shared" ref="C12:L12" si="4">C13+C24+C28+C30</f>
        <v>18339</v>
      </c>
      <c r="D12" s="271">
        <f t="shared" si="4"/>
        <v>13725.3</v>
      </c>
      <c r="E12" s="271">
        <f t="shared" si="4"/>
        <v>4613.7000000000007</v>
      </c>
      <c r="F12" s="271">
        <f t="shared" si="4"/>
        <v>0</v>
      </c>
      <c r="G12" s="271">
        <f t="shared" si="4"/>
        <v>0</v>
      </c>
      <c r="H12" s="271">
        <f t="shared" si="4"/>
        <v>0</v>
      </c>
      <c r="I12" s="271">
        <f t="shared" si="4"/>
        <v>0</v>
      </c>
      <c r="J12" s="271">
        <f t="shared" si="4"/>
        <v>0</v>
      </c>
      <c r="K12" s="271">
        <f t="shared" si="4"/>
        <v>0</v>
      </c>
      <c r="L12" s="271">
        <f t="shared" si="4"/>
        <v>17063</v>
      </c>
      <c r="M12" s="271">
        <f>M13+M24+M28+M30</f>
        <v>0</v>
      </c>
      <c r="N12" s="271">
        <f t="shared" ref="N12:W12" si="5">N13+N24+N28+N30</f>
        <v>0</v>
      </c>
      <c r="O12" s="271">
        <f t="shared" si="5"/>
        <v>18672</v>
      </c>
      <c r="P12" s="271">
        <f t="shared" si="5"/>
        <v>14285.5</v>
      </c>
      <c r="Q12" s="271">
        <f t="shared" si="5"/>
        <v>4386.5</v>
      </c>
      <c r="R12" s="271">
        <f t="shared" si="5"/>
        <v>0</v>
      </c>
      <c r="S12" s="271">
        <f t="shared" si="5"/>
        <v>0</v>
      </c>
      <c r="T12" s="271">
        <f t="shared" si="5"/>
        <v>0</v>
      </c>
      <c r="U12" s="271">
        <f t="shared" si="5"/>
        <v>0</v>
      </c>
      <c r="V12" s="271">
        <f t="shared" si="5"/>
        <v>0</v>
      </c>
      <c r="W12" s="271">
        <f t="shared" si="5"/>
        <v>0</v>
      </c>
      <c r="X12" s="271"/>
      <c r="Y12" s="810">
        <f t="shared" si="3"/>
        <v>0</v>
      </c>
    </row>
    <row r="13" spans="1:25" ht="27.6">
      <c r="A13" s="397">
        <v>1</v>
      </c>
      <c r="B13" s="398" t="s">
        <v>1271</v>
      </c>
      <c r="C13" s="271">
        <f>SUM(C14:C23)</f>
        <v>4151</v>
      </c>
      <c r="D13" s="271">
        <f t="shared" ref="D13:W13" si="6">SUM(D14:D23)</f>
        <v>1725</v>
      </c>
      <c r="E13" s="271">
        <f t="shared" si="6"/>
        <v>2426</v>
      </c>
      <c r="F13" s="271">
        <f t="shared" si="6"/>
        <v>0</v>
      </c>
      <c r="G13" s="271">
        <f t="shared" si="6"/>
        <v>0</v>
      </c>
      <c r="H13" s="271">
        <f t="shared" si="6"/>
        <v>0</v>
      </c>
      <c r="I13" s="271">
        <f t="shared" si="6"/>
        <v>0</v>
      </c>
      <c r="J13" s="271">
        <f t="shared" si="6"/>
        <v>0</v>
      </c>
      <c r="K13" s="271">
        <f t="shared" si="6"/>
        <v>0</v>
      </c>
      <c r="L13" s="271">
        <f t="shared" si="6"/>
        <v>3875</v>
      </c>
      <c r="M13" s="271">
        <f t="shared" si="6"/>
        <v>0</v>
      </c>
      <c r="N13" s="271">
        <f t="shared" si="6"/>
        <v>0</v>
      </c>
      <c r="O13" s="271">
        <f t="shared" si="6"/>
        <v>3886</v>
      </c>
      <c r="P13" s="271">
        <f t="shared" si="6"/>
        <v>1785</v>
      </c>
      <c r="Q13" s="271">
        <f t="shared" si="6"/>
        <v>2101</v>
      </c>
      <c r="R13" s="271">
        <f t="shared" si="6"/>
        <v>0</v>
      </c>
      <c r="S13" s="271">
        <f t="shared" si="6"/>
        <v>0</v>
      </c>
      <c r="T13" s="271">
        <f t="shared" si="6"/>
        <v>0</v>
      </c>
      <c r="U13" s="271">
        <f t="shared" si="6"/>
        <v>0</v>
      </c>
      <c r="V13" s="271">
        <f t="shared" si="6"/>
        <v>0</v>
      </c>
      <c r="W13" s="271">
        <f t="shared" si="6"/>
        <v>0</v>
      </c>
      <c r="X13" s="271"/>
      <c r="Y13" s="810">
        <f t="shared" si="3"/>
        <v>0</v>
      </c>
    </row>
    <row r="14" spans="1:25" ht="41.4">
      <c r="A14" s="811" t="s">
        <v>23</v>
      </c>
      <c r="B14" s="399" t="s">
        <v>1272</v>
      </c>
      <c r="C14" s="272">
        <v>600</v>
      </c>
      <c r="D14" s="272">
        <f>0%*C14</f>
        <v>0</v>
      </c>
      <c r="E14" s="272">
        <f>C14-D14</f>
        <v>600</v>
      </c>
      <c r="F14" s="272"/>
      <c r="G14" s="272"/>
      <c r="H14" s="272"/>
      <c r="I14" s="272"/>
      <c r="J14" s="272"/>
      <c r="K14" s="272"/>
      <c r="L14" s="272">
        <v>250</v>
      </c>
      <c r="M14" s="272"/>
      <c r="N14" s="272"/>
      <c r="O14" s="520">
        <v>300</v>
      </c>
      <c r="P14" s="520">
        <v>0</v>
      </c>
      <c r="Q14" s="520">
        <v>300</v>
      </c>
      <c r="R14" s="272"/>
      <c r="S14" s="272"/>
      <c r="T14" s="272"/>
      <c r="U14" s="272"/>
      <c r="V14" s="272"/>
      <c r="W14" s="272"/>
      <c r="X14" s="1510" t="s">
        <v>1701</v>
      </c>
      <c r="Y14" s="810">
        <f t="shared" si="3"/>
        <v>0</v>
      </c>
    </row>
    <row r="15" spans="1:25" ht="41.4">
      <c r="A15" s="811" t="s">
        <v>23</v>
      </c>
      <c r="B15" s="399" t="s">
        <v>1273</v>
      </c>
      <c r="C15" s="272">
        <v>100</v>
      </c>
      <c r="D15" s="272">
        <f>C15*10%</f>
        <v>10</v>
      </c>
      <c r="E15" s="272">
        <f t="shared" ref="E15:E22" si="7">C15-D15</f>
        <v>90</v>
      </c>
      <c r="F15" s="272"/>
      <c r="G15" s="272"/>
      <c r="H15" s="272"/>
      <c r="I15" s="272"/>
      <c r="J15" s="272"/>
      <c r="K15" s="272"/>
      <c r="L15" s="272">
        <v>20</v>
      </c>
      <c r="M15" s="272"/>
      <c r="N15" s="272"/>
      <c r="O15" s="520">
        <v>50</v>
      </c>
      <c r="P15" s="520">
        <v>5</v>
      </c>
      <c r="Q15" s="520">
        <v>45</v>
      </c>
      <c r="R15" s="272"/>
      <c r="S15" s="272"/>
      <c r="T15" s="272"/>
      <c r="U15" s="272"/>
      <c r="V15" s="272"/>
      <c r="W15" s="272"/>
      <c r="X15" s="1511"/>
      <c r="Y15" s="810">
        <f t="shared" si="3"/>
        <v>0</v>
      </c>
    </row>
    <row r="16" spans="1:25" ht="27.6">
      <c r="A16" s="811" t="s">
        <v>23</v>
      </c>
      <c r="B16" s="399" t="s">
        <v>1274</v>
      </c>
      <c r="C16" s="272">
        <v>2400</v>
      </c>
      <c r="D16" s="272">
        <f>C16*50%</f>
        <v>1200</v>
      </c>
      <c r="E16" s="272">
        <f t="shared" si="7"/>
        <v>1200</v>
      </c>
      <c r="F16" s="272"/>
      <c r="G16" s="272"/>
      <c r="H16" s="272"/>
      <c r="I16" s="272"/>
      <c r="J16" s="272"/>
      <c r="K16" s="272"/>
      <c r="L16" s="272">
        <v>2420</v>
      </c>
      <c r="M16" s="272"/>
      <c r="N16" s="272"/>
      <c r="O16" s="520">
        <v>2390</v>
      </c>
      <c r="P16" s="520">
        <v>1195</v>
      </c>
      <c r="Q16" s="520">
        <v>1195</v>
      </c>
      <c r="R16" s="272"/>
      <c r="S16" s="272"/>
      <c r="T16" s="272"/>
      <c r="U16" s="272"/>
      <c r="V16" s="272"/>
      <c r="W16" s="272"/>
      <c r="X16" s="1511"/>
      <c r="Y16" s="810">
        <f t="shared" si="3"/>
        <v>0</v>
      </c>
    </row>
    <row r="17" spans="1:25" ht="27.6">
      <c r="A17" s="812" t="s">
        <v>23</v>
      </c>
      <c r="B17" s="813" t="s">
        <v>1958</v>
      </c>
      <c r="C17" s="520">
        <v>0</v>
      </c>
      <c r="D17" s="520"/>
      <c r="E17" s="520"/>
      <c r="F17" s="520"/>
      <c r="G17" s="520"/>
      <c r="H17" s="520"/>
      <c r="I17" s="520"/>
      <c r="J17" s="520"/>
      <c r="K17" s="520"/>
      <c r="L17" s="520">
        <v>10</v>
      </c>
      <c r="M17" s="520"/>
      <c r="N17" s="520"/>
      <c r="O17" s="520">
        <v>10</v>
      </c>
      <c r="P17" s="520">
        <v>2.5</v>
      </c>
      <c r="Q17" s="520">
        <f>O17-P17</f>
        <v>7.5</v>
      </c>
      <c r="R17" s="520"/>
      <c r="S17" s="520"/>
      <c r="T17" s="520"/>
      <c r="U17" s="520"/>
      <c r="V17" s="520"/>
      <c r="W17" s="520"/>
      <c r="X17" s="1511"/>
      <c r="Y17" s="810">
        <f t="shared" si="3"/>
        <v>0</v>
      </c>
    </row>
    <row r="18" spans="1:25" ht="27.6">
      <c r="A18" s="812" t="s">
        <v>23</v>
      </c>
      <c r="B18" s="813" t="s">
        <v>1959</v>
      </c>
      <c r="C18" s="520">
        <v>0</v>
      </c>
      <c r="D18" s="520"/>
      <c r="E18" s="520"/>
      <c r="F18" s="520"/>
      <c r="G18" s="520"/>
      <c r="H18" s="520"/>
      <c r="I18" s="520"/>
      <c r="J18" s="520"/>
      <c r="K18" s="520"/>
      <c r="L18" s="520">
        <v>10</v>
      </c>
      <c r="M18" s="520"/>
      <c r="N18" s="520"/>
      <c r="O18" s="520">
        <v>10</v>
      </c>
      <c r="P18" s="520">
        <v>2.5</v>
      </c>
      <c r="Q18" s="520">
        <f t="shared" ref="Q18:Q19" si="8">O18-P18</f>
        <v>7.5</v>
      </c>
      <c r="R18" s="520"/>
      <c r="S18" s="520"/>
      <c r="T18" s="520"/>
      <c r="U18" s="520"/>
      <c r="V18" s="520"/>
      <c r="W18" s="520"/>
      <c r="X18" s="1511"/>
      <c r="Y18" s="810">
        <f t="shared" si="3"/>
        <v>0</v>
      </c>
    </row>
    <row r="19" spans="1:25" s="400" customFormat="1">
      <c r="A19" s="812" t="s">
        <v>23</v>
      </c>
      <c r="B19" s="813" t="s">
        <v>1960</v>
      </c>
      <c r="C19" s="520">
        <v>0</v>
      </c>
      <c r="D19" s="520"/>
      <c r="E19" s="520"/>
      <c r="F19" s="520"/>
      <c r="G19" s="520"/>
      <c r="H19" s="520"/>
      <c r="I19" s="520"/>
      <c r="J19" s="520"/>
      <c r="K19" s="520"/>
      <c r="L19" s="520">
        <v>10</v>
      </c>
      <c r="M19" s="520"/>
      <c r="N19" s="520"/>
      <c r="O19" s="520">
        <v>10</v>
      </c>
      <c r="P19" s="520">
        <v>2.5</v>
      </c>
      <c r="Q19" s="520">
        <f t="shared" si="8"/>
        <v>7.5</v>
      </c>
      <c r="R19" s="520"/>
      <c r="S19" s="520"/>
      <c r="T19" s="520"/>
      <c r="U19" s="520"/>
      <c r="V19" s="520"/>
      <c r="W19" s="520"/>
      <c r="X19" s="1511"/>
      <c r="Y19" s="810">
        <f t="shared" si="3"/>
        <v>0</v>
      </c>
    </row>
    <row r="20" spans="1:25" ht="41.4">
      <c r="A20" s="811" t="s">
        <v>23</v>
      </c>
      <c r="B20" s="399" t="s">
        <v>1275</v>
      </c>
      <c r="C20" s="272">
        <v>10</v>
      </c>
      <c r="D20" s="272">
        <f>ROUND(C20*25%,0)</f>
        <v>3</v>
      </c>
      <c r="E20" s="272">
        <f t="shared" si="7"/>
        <v>7</v>
      </c>
      <c r="F20" s="271"/>
      <c r="G20" s="271"/>
      <c r="H20" s="271"/>
      <c r="I20" s="271"/>
      <c r="J20" s="271"/>
      <c r="K20" s="271"/>
      <c r="L20" s="272">
        <v>10</v>
      </c>
      <c r="M20" s="271"/>
      <c r="N20" s="271"/>
      <c r="O20" s="520">
        <v>10</v>
      </c>
      <c r="P20" s="520">
        <v>3</v>
      </c>
      <c r="Q20" s="520">
        <v>7</v>
      </c>
      <c r="R20" s="271"/>
      <c r="S20" s="271"/>
      <c r="T20" s="271"/>
      <c r="U20" s="271"/>
      <c r="V20" s="271"/>
      <c r="W20" s="271"/>
      <c r="X20" s="1511"/>
      <c r="Y20" s="810">
        <f t="shared" si="3"/>
        <v>0</v>
      </c>
    </row>
    <row r="21" spans="1:25" ht="41.4">
      <c r="A21" s="811" t="s">
        <v>23</v>
      </c>
      <c r="B21" s="399" t="s">
        <v>1276</v>
      </c>
      <c r="C21" s="272">
        <v>1006</v>
      </c>
      <c r="D21" s="272">
        <f>C21*50%</f>
        <v>503</v>
      </c>
      <c r="E21" s="272">
        <f t="shared" si="7"/>
        <v>503</v>
      </c>
      <c r="F21" s="271"/>
      <c r="G21" s="271"/>
      <c r="H21" s="271"/>
      <c r="I21" s="271"/>
      <c r="J21" s="271"/>
      <c r="K21" s="271"/>
      <c r="L21" s="272">
        <v>1056</v>
      </c>
      <c r="M21" s="271"/>
      <c r="N21" s="271"/>
      <c r="O21" s="520">
        <v>1011</v>
      </c>
      <c r="P21" s="520">
        <v>505.5</v>
      </c>
      <c r="Q21" s="520">
        <v>505.5</v>
      </c>
      <c r="R21" s="271"/>
      <c r="S21" s="271"/>
      <c r="T21" s="271"/>
      <c r="U21" s="271"/>
      <c r="V21" s="271"/>
      <c r="W21" s="271"/>
      <c r="X21" s="1511"/>
      <c r="Y21" s="810">
        <f t="shared" si="3"/>
        <v>0</v>
      </c>
    </row>
    <row r="22" spans="1:25" s="400" customFormat="1">
      <c r="A22" s="811" t="s">
        <v>23</v>
      </c>
      <c r="B22" s="399" t="s">
        <v>1277</v>
      </c>
      <c r="C22" s="272">
        <v>35</v>
      </c>
      <c r="D22" s="272">
        <f>ROUND(C22*25%,0)</f>
        <v>9</v>
      </c>
      <c r="E22" s="272">
        <f t="shared" si="7"/>
        <v>26</v>
      </c>
      <c r="F22" s="272"/>
      <c r="G22" s="272"/>
      <c r="H22" s="272"/>
      <c r="I22" s="272"/>
      <c r="J22" s="272"/>
      <c r="K22" s="272"/>
      <c r="L22" s="272">
        <v>39</v>
      </c>
      <c r="M22" s="272"/>
      <c r="N22" s="272"/>
      <c r="O22" s="520">
        <v>35</v>
      </c>
      <c r="P22" s="520">
        <v>9</v>
      </c>
      <c r="Q22" s="520">
        <v>26</v>
      </c>
      <c r="R22" s="272"/>
      <c r="S22" s="272"/>
      <c r="T22" s="272"/>
      <c r="U22" s="272"/>
      <c r="V22" s="272"/>
      <c r="W22" s="272"/>
      <c r="X22" s="1512"/>
      <c r="Y22" s="810">
        <f t="shared" si="3"/>
        <v>0</v>
      </c>
    </row>
    <row r="23" spans="1:25" ht="27.6">
      <c r="A23" s="811" t="s">
        <v>23</v>
      </c>
      <c r="B23" s="399" t="s">
        <v>1961</v>
      </c>
      <c r="C23" s="272"/>
      <c r="D23" s="275"/>
      <c r="E23" s="272"/>
      <c r="F23" s="272"/>
      <c r="G23" s="272"/>
      <c r="H23" s="272"/>
      <c r="I23" s="272"/>
      <c r="J23" s="272"/>
      <c r="K23" s="272"/>
      <c r="L23" s="272">
        <v>50</v>
      </c>
      <c r="M23" s="272"/>
      <c r="N23" s="272"/>
      <c r="O23" s="272">
        <v>60</v>
      </c>
      <c r="P23" s="275">
        <v>60</v>
      </c>
      <c r="Q23" s="272">
        <f>O23-P23</f>
        <v>0</v>
      </c>
      <c r="R23" s="272"/>
      <c r="S23" s="272"/>
      <c r="T23" s="272"/>
      <c r="U23" s="272"/>
      <c r="V23" s="272"/>
      <c r="W23" s="272"/>
      <c r="X23" s="272" t="s">
        <v>1703</v>
      </c>
      <c r="Y23" s="810">
        <f t="shared" si="3"/>
        <v>0</v>
      </c>
    </row>
    <row r="24" spans="1:25" s="400" customFormat="1" ht="27.6">
      <c r="A24" s="401">
        <v>2</v>
      </c>
      <c r="B24" s="398" t="s">
        <v>1278</v>
      </c>
      <c r="C24" s="273">
        <f t="shared" ref="C24:H24" si="9">SUM(C25:C27)</f>
        <v>70</v>
      </c>
      <c r="D24" s="273">
        <f t="shared" si="9"/>
        <v>0</v>
      </c>
      <c r="E24" s="273">
        <f t="shared" si="9"/>
        <v>70</v>
      </c>
      <c r="F24" s="273">
        <f t="shared" si="9"/>
        <v>0</v>
      </c>
      <c r="G24" s="273">
        <f t="shared" si="9"/>
        <v>0</v>
      </c>
      <c r="H24" s="273">
        <f t="shared" si="9"/>
        <v>0</v>
      </c>
      <c r="I24" s="273"/>
      <c r="J24" s="273"/>
      <c r="K24" s="273"/>
      <c r="L24" s="273">
        <f t="shared" ref="L24:T24" si="10">SUM(L25:L27)</f>
        <v>70</v>
      </c>
      <c r="M24" s="273">
        <f t="shared" si="10"/>
        <v>0</v>
      </c>
      <c r="N24" s="273"/>
      <c r="O24" s="273">
        <f t="shared" si="10"/>
        <v>75</v>
      </c>
      <c r="P24" s="273">
        <f t="shared" si="10"/>
        <v>0</v>
      </c>
      <c r="Q24" s="273">
        <f t="shared" si="10"/>
        <v>75</v>
      </c>
      <c r="R24" s="273">
        <f t="shared" si="10"/>
        <v>0</v>
      </c>
      <c r="S24" s="273">
        <f t="shared" si="10"/>
        <v>0</v>
      </c>
      <c r="T24" s="273">
        <f t="shared" si="10"/>
        <v>0</v>
      </c>
      <c r="U24" s="273"/>
      <c r="V24" s="273"/>
      <c r="W24" s="273"/>
      <c r="X24" s="402"/>
      <c r="Y24" s="810">
        <f t="shared" si="3"/>
        <v>0</v>
      </c>
    </row>
    <row r="25" spans="1:25">
      <c r="A25" s="811" t="s">
        <v>23</v>
      </c>
      <c r="B25" s="399" t="s">
        <v>1279</v>
      </c>
      <c r="C25" s="272">
        <v>40</v>
      </c>
      <c r="D25" s="272">
        <f>C25*0%</f>
        <v>0</v>
      </c>
      <c r="E25" s="272">
        <f>C25-D25</f>
        <v>40</v>
      </c>
      <c r="F25" s="272"/>
      <c r="G25" s="272"/>
      <c r="H25" s="272"/>
      <c r="I25" s="272"/>
      <c r="J25" s="272"/>
      <c r="K25" s="272"/>
      <c r="L25" s="272">
        <v>43</v>
      </c>
      <c r="M25" s="272"/>
      <c r="N25" s="272"/>
      <c r="O25" s="272">
        <v>48</v>
      </c>
      <c r="P25" s="272">
        <f>O25*0%</f>
        <v>0</v>
      </c>
      <c r="Q25" s="272">
        <f>O25-P25</f>
        <v>48</v>
      </c>
      <c r="R25" s="272"/>
      <c r="S25" s="272"/>
      <c r="T25" s="272"/>
      <c r="U25" s="272"/>
      <c r="V25" s="272"/>
      <c r="W25" s="272"/>
      <c r="X25" s="1510" t="s">
        <v>1702</v>
      </c>
      <c r="Y25" s="810">
        <f t="shared" si="3"/>
        <v>0</v>
      </c>
    </row>
    <row r="26" spans="1:25">
      <c r="A26" s="811" t="s">
        <v>23</v>
      </c>
      <c r="B26" s="399" t="s">
        <v>1280</v>
      </c>
      <c r="C26" s="272">
        <v>25</v>
      </c>
      <c r="D26" s="272">
        <f t="shared" ref="D26:D27" si="11">C26*0%</f>
        <v>0</v>
      </c>
      <c r="E26" s="272">
        <f t="shared" ref="E26:E27" si="12">C26-D26</f>
        <v>25</v>
      </c>
      <c r="F26" s="272"/>
      <c r="G26" s="272"/>
      <c r="H26" s="272"/>
      <c r="I26" s="272"/>
      <c r="J26" s="272"/>
      <c r="K26" s="272"/>
      <c r="L26" s="272">
        <v>25</v>
      </c>
      <c r="M26" s="272"/>
      <c r="N26" s="272"/>
      <c r="O26" s="272">
        <v>25</v>
      </c>
      <c r="P26" s="272">
        <f t="shared" ref="P26:P27" si="13">O26*0%</f>
        <v>0</v>
      </c>
      <c r="Q26" s="272">
        <f t="shared" ref="Q26:Q27" si="14">O26-P26</f>
        <v>25</v>
      </c>
      <c r="R26" s="272"/>
      <c r="S26" s="272"/>
      <c r="T26" s="272"/>
      <c r="U26" s="272"/>
      <c r="V26" s="272"/>
      <c r="W26" s="272"/>
      <c r="X26" s="1513"/>
      <c r="Y26" s="810">
        <f t="shared" si="3"/>
        <v>0</v>
      </c>
    </row>
    <row r="27" spans="1:25" ht="27.6">
      <c r="A27" s="811" t="s">
        <v>23</v>
      </c>
      <c r="B27" s="399" t="s">
        <v>1281</v>
      </c>
      <c r="C27" s="272">
        <v>5</v>
      </c>
      <c r="D27" s="272">
        <f t="shared" si="11"/>
        <v>0</v>
      </c>
      <c r="E27" s="272">
        <f t="shared" si="12"/>
        <v>5</v>
      </c>
      <c r="F27" s="272"/>
      <c r="G27" s="272"/>
      <c r="H27" s="272"/>
      <c r="I27" s="272"/>
      <c r="J27" s="272"/>
      <c r="K27" s="272"/>
      <c r="L27" s="272">
        <v>2</v>
      </c>
      <c r="M27" s="272"/>
      <c r="N27" s="272"/>
      <c r="O27" s="272">
        <v>2</v>
      </c>
      <c r="P27" s="272">
        <f t="shared" si="13"/>
        <v>0</v>
      </c>
      <c r="Q27" s="272">
        <f t="shared" si="14"/>
        <v>2</v>
      </c>
      <c r="R27" s="272"/>
      <c r="S27" s="272"/>
      <c r="T27" s="272"/>
      <c r="U27" s="272"/>
      <c r="V27" s="272"/>
      <c r="W27" s="272"/>
      <c r="X27" s="272" t="s">
        <v>1703</v>
      </c>
      <c r="Y27" s="810">
        <f t="shared" si="3"/>
        <v>0</v>
      </c>
    </row>
    <row r="28" spans="1:25" ht="19.5" customHeight="1">
      <c r="A28" s="397">
        <v>3</v>
      </c>
      <c r="B28" s="398" t="s">
        <v>1282</v>
      </c>
      <c r="C28" s="271">
        <f t="shared" ref="C28:W28" si="15">C29</f>
        <v>14118</v>
      </c>
      <c r="D28" s="271">
        <f t="shared" si="15"/>
        <v>12000.3</v>
      </c>
      <c r="E28" s="271">
        <f t="shared" si="15"/>
        <v>2117.7000000000007</v>
      </c>
      <c r="F28" s="271">
        <f t="shared" si="15"/>
        <v>0</v>
      </c>
      <c r="G28" s="271">
        <f t="shared" si="15"/>
        <v>0</v>
      </c>
      <c r="H28" s="271">
        <f t="shared" si="15"/>
        <v>0</v>
      </c>
      <c r="I28" s="271"/>
      <c r="J28" s="271"/>
      <c r="K28" s="271"/>
      <c r="L28" s="271">
        <f t="shared" si="15"/>
        <v>13118</v>
      </c>
      <c r="M28" s="271">
        <f t="shared" si="15"/>
        <v>0</v>
      </c>
      <c r="N28" s="271">
        <f t="shared" si="15"/>
        <v>0</v>
      </c>
      <c r="O28" s="271">
        <f t="shared" si="15"/>
        <v>14706</v>
      </c>
      <c r="P28" s="271">
        <f t="shared" si="15"/>
        <v>12500</v>
      </c>
      <c r="Q28" s="271">
        <f t="shared" si="15"/>
        <v>2206</v>
      </c>
      <c r="R28" s="271">
        <f t="shared" si="15"/>
        <v>0</v>
      </c>
      <c r="S28" s="271">
        <f t="shared" si="15"/>
        <v>0</v>
      </c>
      <c r="T28" s="271">
        <f t="shared" si="15"/>
        <v>0</v>
      </c>
      <c r="U28" s="271">
        <f t="shared" si="15"/>
        <v>0</v>
      </c>
      <c r="V28" s="271">
        <f t="shared" si="15"/>
        <v>0</v>
      </c>
      <c r="W28" s="271">
        <f t="shared" si="15"/>
        <v>0</v>
      </c>
      <c r="X28" s="271"/>
      <c r="Y28" s="810">
        <f t="shared" si="3"/>
        <v>0</v>
      </c>
    </row>
    <row r="29" spans="1:25" ht="39" customHeight="1">
      <c r="A29" s="811" t="s">
        <v>23</v>
      </c>
      <c r="B29" s="399" t="s">
        <v>1283</v>
      </c>
      <c r="C29" s="275">
        <v>14118</v>
      </c>
      <c r="D29" s="275">
        <f>C29*85%</f>
        <v>12000.3</v>
      </c>
      <c r="E29" s="275">
        <f>C29-D29</f>
        <v>2117.7000000000007</v>
      </c>
      <c r="F29" s="275"/>
      <c r="G29" s="275"/>
      <c r="H29" s="275"/>
      <c r="I29" s="275"/>
      <c r="J29" s="275"/>
      <c r="K29" s="275"/>
      <c r="L29" s="275">
        <v>13118</v>
      </c>
      <c r="M29" s="275"/>
      <c r="N29" s="275"/>
      <c r="O29" s="275">
        <v>14706</v>
      </c>
      <c r="P29" s="275">
        <f>ROUND(O29*85%,0)</f>
        <v>12500</v>
      </c>
      <c r="Q29" s="275">
        <f>O29-P29</f>
        <v>2206</v>
      </c>
      <c r="R29" s="275"/>
      <c r="S29" s="275"/>
      <c r="T29" s="275"/>
      <c r="U29" s="275"/>
      <c r="V29" s="275"/>
      <c r="W29" s="275"/>
      <c r="X29" s="272" t="s">
        <v>1703</v>
      </c>
      <c r="Y29" s="810">
        <f t="shared" si="3"/>
        <v>0</v>
      </c>
    </row>
    <row r="30" spans="1:25" ht="19.5" customHeight="1">
      <c r="A30" s="397">
        <v>4</v>
      </c>
      <c r="B30" s="398" t="s">
        <v>1284</v>
      </c>
      <c r="C30" s="273">
        <f t="shared" ref="C30:T30" si="16">C31</f>
        <v>0</v>
      </c>
      <c r="D30" s="273">
        <f t="shared" si="16"/>
        <v>0</v>
      </c>
      <c r="E30" s="273">
        <f t="shared" si="16"/>
        <v>0</v>
      </c>
      <c r="F30" s="273">
        <f t="shared" si="16"/>
        <v>0</v>
      </c>
      <c r="G30" s="273">
        <f t="shared" si="16"/>
        <v>0</v>
      </c>
      <c r="H30" s="273">
        <f t="shared" si="16"/>
        <v>0</v>
      </c>
      <c r="I30" s="273"/>
      <c r="J30" s="273"/>
      <c r="K30" s="273"/>
      <c r="L30" s="273">
        <f t="shared" si="16"/>
        <v>0</v>
      </c>
      <c r="M30" s="273">
        <f t="shared" si="16"/>
        <v>0</v>
      </c>
      <c r="N30" s="273"/>
      <c r="O30" s="273">
        <f t="shared" si="16"/>
        <v>5</v>
      </c>
      <c r="P30" s="273">
        <f t="shared" si="16"/>
        <v>0.5</v>
      </c>
      <c r="Q30" s="273">
        <f t="shared" si="16"/>
        <v>4.5</v>
      </c>
      <c r="R30" s="273">
        <f t="shared" si="16"/>
        <v>0</v>
      </c>
      <c r="S30" s="273">
        <f t="shared" si="16"/>
        <v>0</v>
      </c>
      <c r="T30" s="273">
        <f t="shared" si="16"/>
        <v>0</v>
      </c>
      <c r="U30" s="273"/>
      <c r="V30" s="273"/>
      <c r="W30" s="273"/>
      <c r="X30" s="274"/>
      <c r="Y30" s="810">
        <f t="shared" si="3"/>
        <v>0</v>
      </c>
    </row>
    <row r="31" spans="1:25" ht="27.6">
      <c r="A31" s="811" t="s">
        <v>23</v>
      </c>
      <c r="B31" s="399" t="s">
        <v>1285</v>
      </c>
      <c r="C31" s="271"/>
      <c r="D31" s="275">
        <f>C31*10%</f>
        <v>0</v>
      </c>
      <c r="E31" s="275">
        <f>C31-D31</f>
        <v>0</v>
      </c>
      <c r="F31" s="271"/>
      <c r="G31" s="271"/>
      <c r="H31" s="271"/>
      <c r="I31" s="271"/>
      <c r="J31" s="271"/>
      <c r="K31" s="271"/>
      <c r="L31" s="271">
        <v>0</v>
      </c>
      <c r="M31" s="271"/>
      <c r="N31" s="271"/>
      <c r="O31" s="272">
        <v>5</v>
      </c>
      <c r="P31" s="275">
        <f>O31*10%</f>
        <v>0.5</v>
      </c>
      <c r="Q31" s="275">
        <f>O31-P31</f>
        <v>4.5</v>
      </c>
      <c r="R31" s="271"/>
      <c r="S31" s="271"/>
      <c r="T31" s="271"/>
      <c r="U31" s="271"/>
      <c r="V31" s="271"/>
      <c r="W31" s="271"/>
      <c r="X31" s="272" t="s">
        <v>1704</v>
      </c>
      <c r="Y31" s="810">
        <f t="shared" si="3"/>
        <v>0</v>
      </c>
    </row>
    <row r="32" spans="1:25" ht="20.100000000000001" customHeight="1">
      <c r="A32" s="401" t="s">
        <v>28</v>
      </c>
      <c r="B32" s="398" t="s">
        <v>1286</v>
      </c>
      <c r="C32" s="271">
        <f t="shared" ref="C32:H32" si="17">C33+C35+C37+C39</f>
        <v>0</v>
      </c>
      <c r="D32" s="271">
        <f t="shared" si="17"/>
        <v>0</v>
      </c>
      <c r="E32" s="271">
        <f t="shared" si="17"/>
        <v>0</v>
      </c>
      <c r="F32" s="271">
        <f t="shared" si="17"/>
        <v>831</v>
      </c>
      <c r="G32" s="271">
        <f t="shared" si="17"/>
        <v>831</v>
      </c>
      <c r="H32" s="271">
        <f t="shared" si="17"/>
        <v>651</v>
      </c>
      <c r="I32" s="271"/>
      <c r="J32" s="271"/>
      <c r="K32" s="271"/>
      <c r="L32" s="271">
        <f t="shared" ref="L32:T32" si="18">L33+L35+L37+L39</f>
        <v>0</v>
      </c>
      <c r="M32" s="271">
        <f t="shared" si="18"/>
        <v>960</v>
      </c>
      <c r="N32" s="271"/>
      <c r="O32" s="271">
        <f t="shared" si="18"/>
        <v>0</v>
      </c>
      <c r="P32" s="271">
        <f t="shared" si="18"/>
        <v>0</v>
      </c>
      <c r="Q32" s="271">
        <f t="shared" si="18"/>
        <v>0</v>
      </c>
      <c r="R32" s="271">
        <f t="shared" si="18"/>
        <v>821</v>
      </c>
      <c r="S32" s="271">
        <f t="shared" si="18"/>
        <v>821</v>
      </c>
      <c r="T32" s="271">
        <f t="shared" si="18"/>
        <v>644</v>
      </c>
      <c r="U32" s="271"/>
      <c r="V32" s="271"/>
      <c r="W32" s="271"/>
      <c r="X32" s="271"/>
      <c r="Y32" s="810">
        <f t="shared" si="3"/>
        <v>0</v>
      </c>
    </row>
    <row r="33" spans="1:25" s="400" customFormat="1" ht="20.100000000000001" customHeight="1">
      <c r="A33" s="401">
        <v>1</v>
      </c>
      <c r="B33" s="398" t="s">
        <v>629</v>
      </c>
      <c r="C33" s="271">
        <f t="shared" ref="C33:T33" si="19">C34</f>
        <v>0</v>
      </c>
      <c r="D33" s="271">
        <f t="shared" si="19"/>
        <v>0</v>
      </c>
      <c r="E33" s="271">
        <f t="shared" si="19"/>
        <v>0</v>
      </c>
      <c r="F33" s="271">
        <f t="shared" si="19"/>
        <v>6</v>
      </c>
      <c r="G33" s="271">
        <f t="shared" si="19"/>
        <v>6</v>
      </c>
      <c r="H33" s="271">
        <f t="shared" si="19"/>
        <v>2</v>
      </c>
      <c r="I33" s="271"/>
      <c r="J33" s="271"/>
      <c r="K33" s="271"/>
      <c r="L33" s="271">
        <f t="shared" si="19"/>
        <v>0</v>
      </c>
      <c r="M33" s="271">
        <f t="shared" si="19"/>
        <v>9</v>
      </c>
      <c r="N33" s="271"/>
      <c r="O33" s="271">
        <f t="shared" si="19"/>
        <v>0</v>
      </c>
      <c r="P33" s="271">
        <f t="shared" si="19"/>
        <v>0</v>
      </c>
      <c r="Q33" s="271">
        <f t="shared" si="19"/>
        <v>0</v>
      </c>
      <c r="R33" s="271">
        <f t="shared" si="19"/>
        <v>6</v>
      </c>
      <c r="S33" s="271">
        <f t="shared" si="19"/>
        <v>6</v>
      </c>
      <c r="T33" s="271">
        <f t="shared" si="19"/>
        <v>2</v>
      </c>
      <c r="U33" s="271"/>
      <c r="V33" s="271"/>
      <c r="W33" s="271"/>
      <c r="X33" s="272"/>
      <c r="Y33" s="810">
        <f t="shared" si="3"/>
        <v>0</v>
      </c>
    </row>
    <row r="34" spans="1:25" ht="27.6">
      <c r="A34" s="403" t="s">
        <v>23</v>
      </c>
      <c r="B34" s="399" t="s">
        <v>1287</v>
      </c>
      <c r="C34" s="272"/>
      <c r="D34" s="272"/>
      <c r="E34" s="272"/>
      <c r="F34" s="272">
        <v>6</v>
      </c>
      <c r="G34" s="272">
        <f>F34</f>
        <v>6</v>
      </c>
      <c r="H34" s="272">
        <v>2</v>
      </c>
      <c r="I34" s="272"/>
      <c r="J34" s="272"/>
      <c r="K34" s="272"/>
      <c r="L34" s="272"/>
      <c r="M34" s="272">
        <v>9</v>
      </c>
      <c r="N34" s="272"/>
      <c r="O34" s="272"/>
      <c r="P34" s="272"/>
      <c r="Q34" s="272"/>
      <c r="R34" s="272">
        <v>6</v>
      </c>
      <c r="S34" s="272">
        <f>R34</f>
        <v>6</v>
      </c>
      <c r="T34" s="272">
        <v>2</v>
      </c>
      <c r="U34" s="272"/>
      <c r="V34" s="272"/>
      <c r="W34" s="272"/>
      <c r="X34" s="272" t="s">
        <v>1703</v>
      </c>
      <c r="Y34" s="810">
        <f t="shared" si="3"/>
        <v>0</v>
      </c>
    </row>
    <row r="35" spans="1:25" ht="20.100000000000001" customHeight="1">
      <c r="A35" s="401">
        <v>2</v>
      </c>
      <c r="B35" s="398" t="s">
        <v>626</v>
      </c>
      <c r="C35" s="271">
        <f t="shared" ref="C35:T35" si="20">C36</f>
        <v>0</v>
      </c>
      <c r="D35" s="271">
        <f t="shared" si="20"/>
        <v>0</v>
      </c>
      <c r="E35" s="271">
        <f t="shared" si="20"/>
        <v>0</v>
      </c>
      <c r="F35" s="271">
        <f t="shared" si="20"/>
        <v>750</v>
      </c>
      <c r="G35" s="271">
        <f t="shared" si="20"/>
        <v>750</v>
      </c>
      <c r="H35" s="271">
        <f t="shared" si="20"/>
        <v>600</v>
      </c>
      <c r="I35" s="271"/>
      <c r="J35" s="271"/>
      <c r="K35" s="271"/>
      <c r="L35" s="271">
        <f t="shared" si="20"/>
        <v>0</v>
      </c>
      <c r="M35" s="271">
        <f t="shared" si="20"/>
        <v>880</v>
      </c>
      <c r="N35" s="271"/>
      <c r="O35" s="271">
        <f t="shared" si="20"/>
        <v>0</v>
      </c>
      <c r="P35" s="271">
        <f t="shared" si="20"/>
        <v>0</v>
      </c>
      <c r="Q35" s="271">
        <f t="shared" si="20"/>
        <v>0</v>
      </c>
      <c r="R35" s="271">
        <f t="shared" si="20"/>
        <v>750</v>
      </c>
      <c r="S35" s="271">
        <f t="shared" si="20"/>
        <v>750</v>
      </c>
      <c r="T35" s="271">
        <f t="shared" si="20"/>
        <v>600</v>
      </c>
      <c r="U35" s="271"/>
      <c r="V35" s="271"/>
      <c r="W35" s="271"/>
      <c r="X35" s="271"/>
      <c r="Y35" s="810">
        <f t="shared" si="3"/>
        <v>0</v>
      </c>
    </row>
    <row r="36" spans="1:25" ht="27.6">
      <c r="A36" s="814" t="s">
        <v>23</v>
      </c>
      <c r="B36" s="399" t="s">
        <v>1288</v>
      </c>
      <c r="C36" s="272"/>
      <c r="D36" s="272"/>
      <c r="E36" s="272"/>
      <c r="F36" s="272">
        <v>750</v>
      </c>
      <c r="G36" s="272">
        <f>F36</f>
        <v>750</v>
      </c>
      <c r="H36" s="272">
        <f>F36*0.8</f>
        <v>600</v>
      </c>
      <c r="I36" s="272"/>
      <c r="J36" s="272"/>
      <c r="K36" s="272"/>
      <c r="L36" s="272"/>
      <c r="M36" s="272">
        <v>880</v>
      </c>
      <c r="N36" s="272"/>
      <c r="O36" s="272"/>
      <c r="P36" s="272"/>
      <c r="Q36" s="272"/>
      <c r="R36" s="272">
        <v>750</v>
      </c>
      <c r="S36" s="272">
        <f>R36</f>
        <v>750</v>
      </c>
      <c r="T36" s="272">
        <f>R36*0.8</f>
        <v>600</v>
      </c>
      <c r="U36" s="272"/>
      <c r="V36" s="272"/>
      <c r="W36" s="272"/>
      <c r="X36" s="272" t="s">
        <v>1703</v>
      </c>
      <c r="Y36" s="810">
        <f t="shared" si="3"/>
        <v>0</v>
      </c>
    </row>
    <row r="37" spans="1:25" ht="20.100000000000001" customHeight="1">
      <c r="A37" s="401">
        <v>3</v>
      </c>
      <c r="B37" s="398" t="s">
        <v>865</v>
      </c>
      <c r="C37" s="271">
        <f t="shared" ref="C37:T37" si="21">C38</f>
        <v>0</v>
      </c>
      <c r="D37" s="271">
        <f t="shared" si="21"/>
        <v>0</v>
      </c>
      <c r="E37" s="271">
        <f t="shared" si="21"/>
        <v>0</v>
      </c>
      <c r="F37" s="271">
        <f t="shared" si="21"/>
        <v>5</v>
      </c>
      <c r="G37" s="271">
        <f t="shared" si="21"/>
        <v>5</v>
      </c>
      <c r="H37" s="271">
        <f t="shared" si="21"/>
        <v>0</v>
      </c>
      <c r="I37" s="271"/>
      <c r="J37" s="271"/>
      <c r="K37" s="271"/>
      <c r="L37" s="271">
        <f t="shared" si="21"/>
        <v>0</v>
      </c>
      <c r="M37" s="271">
        <f t="shared" si="21"/>
        <v>1</v>
      </c>
      <c r="N37" s="271"/>
      <c r="O37" s="271">
        <f t="shared" si="21"/>
        <v>0</v>
      </c>
      <c r="P37" s="271">
        <f t="shared" si="21"/>
        <v>0</v>
      </c>
      <c r="Q37" s="271">
        <f t="shared" si="21"/>
        <v>0</v>
      </c>
      <c r="R37" s="271">
        <f t="shared" si="21"/>
        <v>5</v>
      </c>
      <c r="S37" s="271">
        <f t="shared" si="21"/>
        <v>5</v>
      </c>
      <c r="T37" s="271">
        <f t="shared" si="21"/>
        <v>0</v>
      </c>
      <c r="U37" s="271"/>
      <c r="V37" s="271"/>
      <c r="W37" s="271"/>
      <c r="X37" s="271"/>
      <c r="Y37" s="810">
        <f t="shared" si="3"/>
        <v>0</v>
      </c>
    </row>
    <row r="38" spans="1:25" ht="27.6">
      <c r="A38" s="403" t="s">
        <v>23</v>
      </c>
      <c r="B38" s="815" t="s">
        <v>1289</v>
      </c>
      <c r="C38" s="272"/>
      <c r="D38" s="272"/>
      <c r="E38" s="272"/>
      <c r="F38" s="272">
        <v>5</v>
      </c>
      <c r="G38" s="272">
        <f>F38</f>
        <v>5</v>
      </c>
      <c r="H38" s="272">
        <f>F38-G38</f>
        <v>0</v>
      </c>
      <c r="I38" s="272"/>
      <c r="J38" s="272"/>
      <c r="K38" s="272"/>
      <c r="L38" s="272"/>
      <c r="M38" s="272">
        <v>1</v>
      </c>
      <c r="N38" s="272"/>
      <c r="O38" s="272"/>
      <c r="P38" s="272"/>
      <c r="Q38" s="272"/>
      <c r="R38" s="272">
        <v>5</v>
      </c>
      <c r="S38" s="272">
        <f>R38</f>
        <v>5</v>
      </c>
      <c r="T38" s="272">
        <f>R38-S38</f>
        <v>0</v>
      </c>
      <c r="U38" s="272"/>
      <c r="V38" s="272"/>
      <c r="W38" s="272"/>
      <c r="X38" s="272" t="s">
        <v>1702</v>
      </c>
      <c r="Y38" s="810">
        <f t="shared" si="3"/>
        <v>0</v>
      </c>
    </row>
    <row r="39" spans="1:25" ht="20.100000000000001" customHeight="1">
      <c r="A39" s="401">
        <v>4</v>
      </c>
      <c r="B39" s="816" t="s">
        <v>635</v>
      </c>
      <c r="C39" s="280">
        <f t="shared" ref="C39:T39" si="22">C40</f>
        <v>0</v>
      </c>
      <c r="D39" s="280">
        <f t="shared" si="22"/>
        <v>0</v>
      </c>
      <c r="E39" s="280">
        <f t="shared" si="22"/>
        <v>0</v>
      </c>
      <c r="F39" s="280">
        <f t="shared" si="22"/>
        <v>70</v>
      </c>
      <c r="G39" s="280">
        <f t="shared" si="22"/>
        <v>70</v>
      </c>
      <c r="H39" s="280">
        <f t="shared" si="22"/>
        <v>49</v>
      </c>
      <c r="I39" s="280"/>
      <c r="J39" s="280"/>
      <c r="K39" s="280"/>
      <c r="L39" s="280">
        <f t="shared" si="22"/>
        <v>0</v>
      </c>
      <c r="M39" s="280">
        <f t="shared" si="22"/>
        <v>70</v>
      </c>
      <c r="N39" s="280"/>
      <c r="O39" s="280">
        <f t="shared" si="22"/>
        <v>0</v>
      </c>
      <c r="P39" s="280">
        <f t="shared" si="22"/>
        <v>0</v>
      </c>
      <c r="Q39" s="280">
        <f t="shared" si="22"/>
        <v>0</v>
      </c>
      <c r="R39" s="280">
        <f t="shared" si="22"/>
        <v>60</v>
      </c>
      <c r="S39" s="280">
        <f t="shared" si="22"/>
        <v>60</v>
      </c>
      <c r="T39" s="280">
        <f t="shared" si="22"/>
        <v>42</v>
      </c>
      <c r="U39" s="280"/>
      <c r="V39" s="280"/>
      <c r="W39" s="280"/>
      <c r="X39" s="274"/>
      <c r="Y39" s="810">
        <f t="shared" si="3"/>
        <v>0</v>
      </c>
    </row>
    <row r="40" spans="1:25" ht="27.6">
      <c r="A40" s="814" t="s">
        <v>23</v>
      </c>
      <c r="B40" s="815" t="s">
        <v>1290</v>
      </c>
      <c r="C40" s="275"/>
      <c r="D40" s="275"/>
      <c r="E40" s="275"/>
      <c r="F40" s="275">
        <f>70</f>
        <v>70</v>
      </c>
      <c r="G40" s="275">
        <f>F40</f>
        <v>70</v>
      </c>
      <c r="H40" s="272">
        <v>49</v>
      </c>
      <c r="I40" s="275"/>
      <c r="J40" s="275"/>
      <c r="K40" s="275"/>
      <c r="L40" s="275"/>
      <c r="M40" s="275">
        <v>70</v>
      </c>
      <c r="N40" s="275"/>
      <c r="O40" s="275"/>
      <c r="P40" s="275"/>
      <c r="Q40" s="275"/>
      <c r="R40" s="275">
        <v>60</v>
      </c>
      <c r="S40" s="275">
        <f>R40</f>
        <v>60</v>
      </c>
      <c r="T40" s="272">
        <f>R40*70%</f>
        <v>42</v>
      </c>
      <c r="U40" s="275"/>
      <c r="V40" s="275"/>
      <c r="W40" s="275"/>
      <c r="X40" s="272" t="s">
        <v>1702</v>
      </c>
      <c r="Y40" s="810">
        <f t="shared" si="3"/>
        <v>0</v>
      </c>
    </row>
    <row r="41" spans="1:25" s="400" customFormat="1" ht="23.25" customHeight="1">
      <c r="A41" s="401" t="s">
        <v>69</v>
      </c>
      <c r="B41" s="398" t="s">
        <v>1291</v>
      </c>
      <c r="C41" s="271">
        <f t="shared" ref="C41:M41" si="23">C42+C51+C55+C58+C64+C74+C81+C87+C89+C91+C97</f>
        <v>11658</v>
      </c>
      <c r="D41" s="271">
        <f t="shared" si="23"/>
        <v>2567.1000000000004</v>
      </c>
      <c r="E41" s="271">
        <f t="shared" si="23"/>
        <v>9090.9000000000015</v>
      </c>
      <c r="F41" s="271">
        <f t="shared" si="23"/>
        <v>3094</v>
      </c>
      <c r="G41" s="271">
        <f t="shared" si="23"/>
        <v>3094</v>
      </c>
      <c r="H41" s="271">
        <f t="shared" si="23"/>
        <v>831</v>
      </c>
      <c r="I41" s="271">
        <f t="shared" si="23"/>
        <v>0</v>
      </c>
      <c r="J41" s="271">
        <f t="shared" si="23"/>
        <v>0</v>
      </c>
      <c r="K41" s="271">
        <f t="shared" si="23"/>
        <v>0</v>
      </c>
      <c r="L41" s="271">
        <f t="shared" si="23"/>
        <v>10506.3</v>
      </c>
      <c r="M41" s="271">
        <f t="shared" si="23"/>
        <v>3084</v>
      </c>
      <c r="N41" s="271"/>
      <c r="O41" s="271">
        <f t="shared" ref="O41:T41" si="24">O42+O51+O55+O58+O64+O74+O81+O87+O89+O91+O97</f>
        <v>12235</v>
      </c>
      <c r="P41" s="271">
        <f t="shared" si="24"/>
        <v>3097.35</v>
      </c>
      <c r="Q41" s="271">
        <f t="shared" si="24"/>
        <v>9137.65</v>
      </c>
      <c r="R41" s="271">
        <f t="shared" si="24"/>
        <v>2929</v>
      </c>
      <c r="S41" s="271">
        <f t="shared" si="24"/>
        <v>2929</v>
      </c>
      <c r="T41" s="271">
        <f t="shared" si="24"/>
        <v>1202</v>
      </c>
      <c r="U41" s="271"/>
      <c r="V41" s="271"/>
      <c r="W41" s="271"/>
      <c r="X41" s="271"/>
      <c r="Y41" s="810">
        <f t="shared" si="3"/>
        <v>0</v>
      </c>
    </row>
    <row r="42" spans="1:25" s="400" customFormat="1" ht="20.100000000000001" customHeight="1">
      <c r="A42" s="401">
        <v>1</v>
      </c>
      <c r="B42" s="817" t="s">
        <v>1284</v>
      </c>
      <c r="C42" s="273">
        <f t="shared" ref="C42:T42" si="25">C43</f>
        <v>177</v>
      </c>
      <c r="D42" s="273">
        <f t="shared" si="25"/>
        <v>28.4</v>
      </c>
      <c r="E42" s="273">
        <f t="shared" si="25"/>
        <v>148.6</v>
      </c>
      <c r="F42" s="273">
        <f t="shared" si="25"/>
        <v>0</v>
      </c>
      <c r="G42" s="273">
        <f t="shared" si="25"/>
        <v>0</v>
      </c>
      <c r="H42" s="273">
        <f t="shared" si="25"/>
        <v>0</v>
      </c>
      <c r="I42" s="273"/>
      <c r="J42" s="273"/>
      <c r="K42" s="273"/>
      <c r="L42" s="273">
        <f t="shared" si="25"/>
        <v>205.3</v>
      </c>
      <c r="M42" s="273">
        <f t="shared" si="25"/>
        <v>0</v>
      </c>
      <c r="N42" s="273"/>
      <c r="O42" s="273">
        <f t="shared" si="25"/>
        <v>226</v>
      </c>
      <c r="P42" s="273">
        <f t="shared" si="25"/>
        <v>33.700000000000003</v>
      </c>
      <c r="Q42" s="273">
        <f t="shared" si="25"/>
        <v>192.29999999999998</v>
      </c>
      <c r="R42" s="273">
        <f t="shared" si="25"/>
        <v>0</v>
      </c>
      <c r="S42" s="273">
        <f t="shared" si="25"/>
        <v>0</v>
      </c>
      <c r="T42" s="273">
        <f t="shared" si="25"/>
        <v>0</v>
      </c>
      <c r="U42" s="273"/>
      <c r="V42" s="273"/>
      <c r="W42" s="273"/>
      <c r="X42" s="274"/>
      <c r="Y42" s="810">
        <f t="shared" si="3"/>
        <v>0</v>
      </c>
    </row>
    <row r="43" spans="1:25" s="400" customFormat="1" ht="22.5" customHeight="1">
      <c r="A43" s="401" t="s">
        <v>45</v>
      </c>
      <c r="B43" s="817" t="s">
        <v>1292</v>
      </c>
      <c r="C43" s="273">
        <f t="shared" ref="C43:H43" si="26">SUM(C44:C50)</f>
        <v>177</v>
      </c>
      <c r="D43" s="273">
        <f t="shared" si="26"/>
        <v>28.4</v>
      </c>
      <c r="E43" s="273">
        <f t="shared" si="26"/>
        <v>148.6</v>
      </c>
      <c r="F43" s="273">
        <f t="shared" si="26"/>
        <v>0</v>
      </c>
      <c r="G43" s="273">
        <f t="shared" si="26"/>
        <v>0</v>
      </c>
      <c r="H43" s="273">
        <f t="shared" si="26"/>
        <v>0</v>
      </c>
      <c r="I43" s="273"/>
      <c r="J43" s="273"/>
      <c r="K43" s="273"/>
      <c r="L43" s="273">
        <f t="shared" ref="L43:T43" si="27">SUM(L44:L50)</f>
        <v>205.3</v>
      </c>
      <c r="M43" s="273">
        <f t="shared" si="27"/>
        <v>0</v>
      </c>
      <c r="N43" s="273"/>
      <c r="O43" s="273">
        <f t="shared" si="27"/>
        <v>226</v>
      </c>
      <c r="P43" s="273">
        <f t="shared" si="27"/>
        <v>33.700000000000003</v>
      </c>
      <c r="Q43" s="273">
        <f t="shared" si="27"/>
        <v>192.29999999999998</v>
      </c>
      <c r="R43" s="273">
        <f t="shared" si="27"/>
        <v>0</v>
      </c>
      <c r="S43" s="273">
        <f t="shared" si="27"/>
        <v>0</v>
      </c>
      <c r="T43" s="273">
        <f t="shared" si="27"/>
        <v>0</v>
      </c>
      <c r="U43" s="273"/>
      <c r="V43" s="273"/>
      <c r="W43" s="273"/>
      <c r="X43" s="274"/>
      <c r="Y43" s="810">
        <f t="shared" si="3"/>
        <v>0</v>
      </c>
    </row>
    <row r="44" spans="1:25" ht="36.75" customHeight="1">
      <c r="A44" s="818" t="s">
        <v>23</v>
      </c>
      <c r="B44" s="819" t="s">
        <v>1705</v>
      </c>
      <c r="C44" s="275">
        <v>50</v>
      </c>
      <c r="D44" s="276">
        <f>C44*10%</f>
        <v>5</v>
      </c>
      <c r="E44" s="275">
        <f t="shared" ref="E44" si="28">C44-D44</f>
        <v>45</v>
      </c>
      <c r="F44" s="275"/>
      <c r="G44" s="275"/>
      <c r="H44" s="275"/>
      <c r="I44" s="275"/>
      <c r="J44" s="275"/>
      <c r="K44" s="275"/>
      <c r="L44" s="275">
        <v>45</v>
      </c>
      <c r="M44" s="275"/>
      <c r="N44" s="275"/>
      <c r="O44" s="521">
        <v>50</v>
      </c>
      <c r="P44" s="522">
        <v>5</v>
      </c>
      <c r="Q44" s="521">
        <v>45</v>
      </c>
      <c r="R44" s="275"/>
      <c r="S44" s="275"/>
      <c r="T44" s="275"/>
      <c r="U44" s="275"/>
      <c r="V44" s="275"/>
      <c r="W44" s="275"/>
      <c r="X44" s="523" t="s">
        <v>1706</v>
      </c>
      <c r="Y44" s="810">
        <f t="shared" si="3"/>
        <v>0</v>
      </c>
    </row>
    <row r="45" spans="1:25" ht="31.5" customHeight="1">
      <c r="A45" s="818" t="s">
        <v>23</v>
      </c>
      <c r="B45" s="647" t="s">
        <v>1707</v>
      </c>
      <c r="C45" s="275">
        <v>34</v>
      </c>
      <c r="D45" s="278">
        <f>C45*20%</f>
        <v>6.8000000000000007</v>
      </c>
      <c r="E45" s="279">
        <f>C45-D45</f>
        <v>27.2</v>
      </c>
      <c r="F45" s="275"/>
      <c r="G45" s="275"/>
      <c r="H45" s="275"/>
      <c r="I45" s="275"/>
      <c r="J45" s="275"/>
      <c r="K45" s="275"/>
      <c r="L45" s="275">
        <v>34</v>
      </c>
      <c r="M45" s="275"/>
      <c r="N45" s="275"/>
      <c r="O45" s="521">
        <v>34</v>
      </c>
      <c r="P45" s="522">
        <v>3.4000000000000004</v>
      </c>
      <c r="Q45" s="521">
        <v>30.6</v>
      </c>
      <c r="R45" s="275"/>
      <c r="S45" s="275"/>
      <c r="T45" s="275"/>
      <c r="U45" s="275"/>
      <c r="V45" s="275"/>
      <c r="W45" s="275"/>
      <c r="X45" s="523" t="s">
        <v>1706</v>
      </c>
      <c r="Y45" s="810">
        <f t="shared" si="3"/>
        <v>0</v>
      </c>
    </row>
    <row r="46" spans="1:25" ht="32.25" customHeight="1">
      <c r="A46" s="818" t="s">
        <v>23</v>
      </c>
      <c r="B46" s="647" t="s">
        <v>1293</v>
      </c>
      <c r="C46" s="275">
        <v>19</v>
      </c>
      <c r="D46" s="278">
        <f>C46*20%</f>
        <v>3.8000000000000003</v>
      </c>
      <c r="E46" s="275">
        <f t="shared" ref="E46:E47" si="29">C46-D46</f>
        <v>15.2</v>
      </c>
      <c r="F46" s="275"/>
      <c r="G46" s="275"/>
      <c r="H46" s="275"/>
      <c r="I46" s="275"/>
      <c r="J46" s="275"/>
      <c r="K46" s="275"/>
      <c r="L46" s="275">
        <v>28</v>
      </c>
      <c r="M46" s="275"/>
      <c r="N46" s="275"/>
      <c r="O46" s="521">
        <v>33</v>
      </c>
      <c r="P46" s="522">
        <v>6.6000000000000005</v>
      </c>
      <c r="Q46" s="521">
        <v>26.4</v>
      </c>
      <c r="R46" s="275"/>
      <c r="S46" s="275"/>
      <c r="T46" s="275"/>
      <c r="U46" s="275"/>
      <c r="V46" s="275"/>
      <c r="W46" s="275"/>
      <c r="X46" s="523" t="s">
        <v>1962</v>
      </c>
      <c r="Y46" s="810">
        <f t="shared" si="3"/>
        <v>0</v>
      </c>
    </row>
    <row r="47" spans="1:25" ht="18" customHeight="1">
      <c r="A47" s="818" t="s">
        <v>23</v>
      </c>
      <c r="B47" s="820" t="s">
        <v>1294</v>
      </c>
      <c r="C47" s="275">
        <v>0</v>
      </c>
      <c r="D47" s="276">
        <f>C47*20%</f>
        <v>0</v>
      </c>
      <c r="E47" s="275">
        <f t="shared" si="29"/>
        <v>0</v>
      </c>
      <c r="F47" s="275"/>
      <c r="G47" s="275"/>
      <c r="H47" s="275"/>
      <c r="I47" s="275"/>
      <c r="J47" s="275"/>
      <c r="K47" s="275"/>
      <c r="L47" s="524">
        <v>0.3</v>
      </c>
      <c r="M47" s="275"/>
      <c r="N47" s="275"/>
      <c r="O47" s="521">
        <v>11</v>
      </c>
      <c r="P47" s="522">
        <v>1.1000000000000001</v>
      </c>
      <c r="Q47" s="521">
        <v>9.9</v>
      </c>
      <c r="R47" s="275"/>
      <c r="S47" s="275"/>
      <c r="T47" s="275"/>
      <c r="U47" s="275"/>
      <c r="V47" s="275"/>
      <c r="W47" s="275"/>
      <c r="X47" s="523" t="s">
        <v>1706</v>
      </c>
      <c r="Y47" s="810">
        <f t="shared" si="3"/>
        <v>0</v>
      </c>
    </row>
    <row r="48" spans="1:25" ht="18.75" customHeight="1">
      <c r="A48" s="818" t="s">
        <v>23</v>
      </c>
      <c r="B48" s="820" t="s">
        <v>1295</v>
      </c>
      <c r="C48" s="275">
        <v>37</v>
      </c>
      <c r="D48" s="276">
        <f>C48*20%</f>
        <v>7.4</v>
      </c>
      <c r="E48" s="275">
        <f>C48-D48</f>
        <v>29.6</v>
      </c>
      <c r="F48" s="275"/>
      <c r="G48" s="275"/>
      <c r="H48" s="275"/>
      <c r="I48" s="275"/>
      <c r="J48" s="275"/>
      <c r="K48" s="275"/>
      <c r="L48" s="275">
        <v>51</v>
      </c>
      <c r="M48" s="275"/>
      <c r="N48" s="275"/>
      <c r="O48" s="521">
        <v>51</v>
      </c>
      <c r="P48" s="522">
        <v>10.200000000000001</v>
      </c>
      <c r="Q48" s="521">
        <v>40.799999999999997</v>
      </c>
      <c r="R48" s="275"/>
      <c r="S48" s="275"/>
      <c r="T48" s="275"/>
      <c r="U48" s="275"/>
      <c r="V48" s="275"/>
      <c r="W48" s="275"/>
      <c r="X48" s="523" t="s">
        <v>1962</v>
      </c>
      <c r="Y48" s="810">
        <f t="shared" si="3"/>
        <v>0</v>
      </c>
    </row>
    <row r="49" spans="1:25" ht="19.5" customHeight="1">
      <c r="A49" s="818" t="s">
        <v>23</v>
      </c>
      <c r="B49" s="820" t="s">
        <v>1296</v>
      </c>
      <c r="C49" s="275">
        <v>20</v>
      </c>
      <c r="D49" s="276">
        <f>C49*10%</f>
        <v>2</v>
      </c>
      <c r="E49" s="275">
        <f t="shared" ref="E49" si="30">C49-D49</f>
        <v>18</v>
      </c>
      <c r="F49" s="275"/>
      <c r="G49" s="275"/>
      <c r="H49" s="275"/>
      <c r="I49" s="275"/>
      <c r="J49" s="275"/>
      <c r="K49" s="275"/>
      <c r="L49" s="275">
        <v>20</v>
      </c>
      <c r="M49" s="275"/>
      <c r="N49" s="275"/>
      <c r="O49" s="521">
        <v>20</v>
      </c>
      <c r="P49" s="522">
        <v>2</v>
      </c>
      <c r="Q49" s="521">
        <v>18</v>
      </c>
      <c r="R49" s="275"/>
      <c r="S49" s="275"/>
      <c r="T49" s="275"/>
      <c r="U49" s="275"/>
      <c r="V49" s="275"/>
      <c r="W49" s="275"/>
      <c r="X49" s="523" t="s">
        <v>1297</v>
      </c>
      <c r="Y49" s="810">
        <f t="shared" si="3"/>
        <v>0</v>
      </c>
    </row>
    <row r="50" spans="1:25" ht="41.4">
      <c r="A50" s="818" t="s">
        <v>23</v>
      </c>
      <c r="B50" s="820" t="s">
        <v>1298</v>
      </c>
      <c r="C50" s="275">
        <v>17</v>
      </c>
      <c r="D50" s="276">
        <f>C50*20%</f>
        <v>3.4000000000000004</v>
      </c>
      <c r="E50" s="275">
        <f>C50-D50</f>
        <v>13.6</v>
      </c>
      <c r="F50" s="275"/>
      <c r="G50" s="275"/>
      <c r="H50" s="275"/>
      <c r="I50" s="275"/>
      <c r="J50" s="275"/>
      <c r="K50" s="275"/>
      <c r="L50" s="275">
        <v>27</v>
      </c>
      <c r="M50" s="275"/>
      <c r="N50" s="275"/>
      <c r="O50" s="521">
        <v>27</v>
      </c>
      <c r="P50" s="522">
        <v>5.4</v>
      </c>
      <c r="Q50" s="521">
        <v>21.6</v>
      </c>
      <c r="R50" s="275"/>
      <c r="S50" s="275"/>
      <c r="T50" s="275"/>
      <c r="U50" s="275"/>
      <c r="V50" s="275"/>
      <c r="W50" s="275"/>
      <c r="X50" s="523" t="s">
        <v>1962</v>
      </c>
      <c r="Y50" s="810">
        <f t="shared" si="3"/>
        <v>0</v>
      </c>
    </row>
    <row r="51" spans="1:25" ht="21" customHeight="1">
      <c r="A51" s="401">
        <v>2</v>
      </c>
      <c r="B51" s="821" t="s">
        <v>627</v>
      </c>
      <c r="C51" s="273">
        <f t="shared" ref="C51:H51" si="31">SUM(C52:C54)</f>
        <v>1050</v>
      </c>
      <c r="D51" s="273">
        <f t="shared" si="31"/>
        <v>221</v>
      </c>
      <c r="E51" s="273">
        <f t="shared" si="31"/>
        <v>829</v>
      </c>
      <c r="F51" s="273">
        <f t="shared" si="31"/>
        <v>0</v>
      </c>
      <c r="G51" s="273">
        <f t="shared" si="31"/>
        <v>0</v>
      </c>
      <c r="H51" s="273">
        <f t="shared" si="31"/>
        <v>0</v>
      </c>
      <c r="I51" s="273"/>
      <c r="J51" s="273"/>
      <c r="K51" s="273"/>
      <c r="L51" s="273">
        <v>846</v>
      </c>
      <c r="M51" s="273">
        <f t="shared" ref="M51:T51" si="32">SUM(M52:M54)</f>
        <v>0</v>
      </c>
      <c r="N51" s="273"/>
      <c r="O51" s="273">
        <f t="shared" si="32"/>
        <v>1050</v>
      </c>
      <c r="P51" s="273">
        <f t="shared" si="32"/>
        <v>221</v>
      </c>
      <c r="Q51" s="273">
        <f t="shared" si="32"/>
        <v>829</v>
      </c>
      <c r="R51" s="273">
        <f t="shared" si="32"/>
        <v>0</v>
      </c>
      <c r="S51" s="273">
        <f t="shared" si="32"/>
        <v>0</v>
      </c>
      <c r="T51" s="273">
        <f t="shared" si="32"/>
        <v>0</v>
      </c>
      <c r="U51" s="273"/>
      <c r="V51" s="273"/>
      <c r="W51" s="273"/>
      <c r="X51" s="274"/>
      <c r="Y51" s="810">
        <f t="shared" si="3"/>
        <v>0</v>
      </c>
    </row>
    <row r="52" spans="1:25" ht="22.5" customHeight="1">
      <c r="A52" s="403" t="s">
        <v>23</v>
      </c>
      <c r="B52" s="820" t="s">
        <v>1299</v>
      </c>
      <c r="C52" s="275">
        <v>600</v>
      </c>
      <c r="D52" s="275">
        <f>C52*30%</f>
        <v>180</v>
      </c>
      <c r="E52" s="275">
        <f>C52-D52</f>
        <v>420</v>
      </c>
      <c r="F52" s="275"/>
      <c r="G52" s="275"/>
      <c r="H52" s="275"/>
      <c r="I52" s="275"/>
      <c r="J52" s="275"/>
      <c r="K52" s="275"/>
      <c r="L52" s="275"/>
      <c r="M52" s="275"/>
      <c r="N52" s="275"/>
      <c r="O52" s="275">
        <v>600</v>
      </c>
      <c r="P52" s="275">
        <f>O52*30%</f>
        <v>180</v>
      </c>
      <c r="Q52" s="275">
        <f>O52-P52</f>
        <v>420</v>
      </c>
      <c r="R52" s="275"/>
      <c r="S52" s="275"/>
      <c r="T52" s="275"/>
      <c r="U52" s="275"/>
      <c r="V52" s="275"/>
      <c r="W52" s="275"/>
      <c r="X52" s="277" t="s">
        <v>1300</v>
      </c>
      <c r="Y52" s="810">
        <f t="shared" si="3"/>
        <v>0</v>
      </c>
    </row>
    <row r="53" spans="1:25" ht="27.6">
      <c r="A53" s="403" t="s">
        <v>23</v>
      </c>
      <c r="B53" s="820" t="s">
        <v>1301</v>
      </c>
      <c r="C53" s="275">
        <v>330</v>
      </c>
      <c r="D53" s="275">
        <f>ROUND(C53*5%,0)</f>
        <v>17</v>
      </c>
      <c r="E53" s="275">
        <f t="shared" ref="E53:E54" si="33">C53-D53</f>
        <v>313</v>
      </c>
      <c r="F53" s="275"/>
      <c r="G53" s="275"/>
      <c r="H53" s="275"/>
      <c r="I53" s="275"/>
      <c r="J53" s="275"/>
      <c r="K53" s="275"/>
      <c r="L53" s="275"/>
      <c r="M53" s="275"/>
      <c r="N53" s="275"/>
      <c r="O53" s="275">
        <v>330</v>
      </c>
      <c r="P53" s="275">
        <f>ROUND(O53*5%,0)</f>
        <v>17</v>
      </c>
      <c r="Q53" s="275">
        <f t="shared" ref="Q53:Q54" si="34">O53-P53</f>
        <v>313</v>
      </c>
      <c r="R53" s="275"/>
      <c r="S53" s="275"/>
      <c r="T53" s="275"/>
      <c r="U53" s="275"/>
      <c r="V53" s="275"/>
      <c r="W53" s="275"/>
      <c r="X53" s="277" t="s">
        <v>1302</v>
      </c>
      <c r="Y53" s="810">
        <f t="shared" si="3"/>
        <v>0</v>
      </c>
    </row>
    <row r="54" spans="1:25" ht="24" customHeight="1">
      <c r="A54" s="403" t="s">
        <v>23</v>
      </c>
      <c r="B54" s="820" t="s">
        <v>1303</v>
      </c>
      <c r="C54" s="275">
        <v>120</v>
      </c>
      <c r="D54" s="275">
        <f>C54*20%</f>
        <v>24</v>
      </c>
      <c r="E54" s="275">
        <f t="shared" si="33"/>
        <v>96</v>
      </c>
      <c r="F54" s="275"/>
      <c r="G54" s="275"/>
      <c r="H54" s="275"/>
      <c r="I54" s="275"/>
      <c r="J54" s="275"/>
      <c r="K54" s="275"/>
      <c r="L54" s="275"/>
      <c r="M54" s="275"/>
      <c r="N54" s="275"/>
      <c r="O54" s="275">
        <v>120</v>
      </c>
      <c r="P54" s="275">
        <f>O54*20%</f>
        <v>24</v>
      </c>
      <c r="Q54" s="275">
        <f t="shared" si="34"/>
        <v>96</v>
      </c>
      <c r="R54" s="275"/>
      <c r="S54" s="275"/>
      <c r="T54" s="275"/>
      <c r="U54" s="275"/>
      <c r="V54" s="275"/>
      <c r="W54" s="275"/>
      <c r="X54" s="277" t="s">
        <v>1304</v>
      </c>
      <c r="Y54" s="810">
        <f t="shared" si="3"/>
        <v>0</v>
      </c>
    </row>
    <row r="55" spans="1:25" s="400" customFormat="1" ht="22.5" customHeight="1">
      <c r="A55" s="401">
        <v>3</v>
      </c>
      <c r="B55" s="821" t="s">
        <v>1305</v>
      </c>
      <c r="C55" s="273">
        <f t="shared" ref="C55:H55" si="35">C56+C57</f>
        <v>5700</v>
      </c>
      <c r="D55" s="273">
        <f t="shared" si="35"/>
        <v>1413</v>
      </c>
      <c r="E55" s="273">
        <f t="shared" si="35"/>
        <v>4287</v>
      </c>
      <c r="F55" s="273">
        <f t="shared" si="35"/>
        <v>0</v>
      </c>
      <c r="G55" s="273">
        <f t="shared" si="35"/>
        <v>0</v>
      </c>
      <c r="H55" s="273">
        <f t="shared" si="35"/>
        <v>0</v>
      </c>
      <c r="I55" s="273"/>
      <c r="J55" s="273"/>
      <c r="K55" s="273"/>
      <c r="L55" s="273">
        <f t="shared" ref="L55:T55" si="36">L56+L57</f>
        <v>5030</v>
      </c>
      <c r="M55" s="273">
        <f t="shared" si="36"/>
        <v>0</v>
      </c>
      <c r="N55" s="273"/>
      <c r="O55" s="273">
        <f t="shared" si="36"/>
        <v>5090</v>
      </c>
      <c r="P55" s="273">
        <f t="shared" si="36"/>
        <v>1248</v>
      </c>
      <c r="Q55" s="273">
        <f t="shared" si="36"/>
        <v>3842</v>
      </c>
      <c r="R55" s="273">
        <f t="shared" si="36"/>
        <v>0</v>
      </c>
      <c r="S55" s="273">
        <f t="shared" si="36"/>
        <v>0</v>
      </c>
      <c r="T55" s="273">
        <f t="shared" si="36"/>
        <v>0</v>
      </c>
      <c r="U55" s="273"/>
      <c r="V55" s="273"/>
      <c r="W55" s="273"/>
      <c r="X55" s="274"/>
      <c r="Y55" s="810">
        <f t="shared" si="3"/>
        <v>0</v>
      </c>
    </row>
    <row r="56" spans="1:25" ht="21.75" customHeight="1">
      <c r="A56" s="818" t="s">
        <v>23</v>
      </c>
      <c r="B56" s="815" t="s">
        <v>1306</v>
      </c>
      <c r="C56" s="275">
        <v>5500</v>
      </c>
      <c r="D56" s="275">
        <f>25%*C56</f>
        <v>1375</v>
      </c>
      <c r="E56" s="275">
        <f>C56-D56</f>
        <v>4125</v>
      </c>
      <c r="F56" s="275"/>
      <c r="G56" s="275"/>
      <c r="H56" s="275"/>
      <c r="I56" s="275"/>
      <c r="J56" s="275"/>
      <c r="K56" s="275"/>
      <c r="L56" s="525">
        <v>4780</v>
      </c>
      <c r="M56" s="525"/>
      <c r="N56" s="525"/>
      <c r="O56" s="525">
        <v>4840</v>
      </c>
      <c r="P56" s="525">
        <v>1210</v>
      </c>
      <c r="Q56" s="525">
        <f>O56-P56</f>
        <v>3630</v>
      </c>
      <c r="R56" s="275"/>
      <c r="S56" s="275"/>
      <c r="T56" s="275"/>
      <c r="U56" s="275"/>
      <c r="V56" s="275"/>
      <c r="W56" s="275"/>
      <c r="X56" s="277" t="s">
        <v>1307</v>
      </c>
      <c r="Y56" s="810">
        <f t="shared" si="3"/>
        <v>0</v>
      </c>
    </row>
    <row r="57" spans="1:25" ht="22.5" customHeight="1">
      <c r="A57" s="818" t="s">
        <v>23</v>
      </c>
      <c r="B57" s="815" t="s">
        <v>1308</v>
      </c>
      <c r="C57" s="275">
        <v>200</v>
      </c>
      <c r="D57" s="275">
        <f>15%*C57+4%*C57</f>
        <v>38</v>
      </c>
      <c r="E57" s="275">
        <f>C57-D57</f>
        <v>162</v>
      </c>
      <c r="F57" s="275"/>
      <c r="G57" s="275"/>
      <c r="H57" s="275"/>
      <c r="I57" s="275"/>
      <c r="J57" s="275"/>
      <c r="K57" s="275"/>
      <c r="L57" s="525">
        <v>250</v>
      </c>
      <c r="M57" s="525"/>
      <c r="N57" s="525"/>
      <c r="O57" s="525">
        <v>250</v>
      </c>
      <c r="P57" s="525">
        <v>38</v>
      </c>
      <c r="Q57" s="525">
        <f>O57-P57</f>
        <v>212</v>
      </c>
      <c r="R57" s="275"/>
      <c r="S57" s="275"/>
      <c r="T57" s="275"/>
      <c r="U57" s="275"/>
      <c r="V57" s="275"/>
      <c r="W57" s="275"/>
      <c r="X57" s="277" t="s">
        <v>1309</v>
      </c>
      <c r="Y57" s="810">
        <f t="shared" si="3"/>
        <v>0</v>
      </c>
    </row>
    <row r="58" spans="1:25" s="400" customFormat="1" ht="21" customHeight="1">
      <c r="A58" s="401">
        <v>4</v>
      </c>
      <c r="B58" s="398" t="s">
        <v>865</v>
      </c>
      <c r="C58" s="274">
        <f>SUM(C59:C63)</f>
        <v>600</v>
      </c>
      <c r="D58" s="274">
        <f t="shared" ref="D58:W58" si="37">SUM(D59:D63)</f>
        <v>72</v>
      </c>
      <c r="E58" s="274">
        <f t="shared" si="37"/>
        <v>528</v>
      </c>
      <c r="F58" s="274">
        <f t="shared" si="37"/>
        <v>100</v>
      </c>
      <c r="G58" s="274">
        <f t="shared" si="37"/>
        <v>100</v>
      </c>
      <c r="H58" s="274">
        <f t="shared" si="37"/>
        <v>15</v>
      </c>
      <c r="I58" s="274">
        <f t="shared" si="37"/>
        <v>0</v>
      </c>
      <c r="J58" s="274">
        <f t="shared" si="37"/>
        <v>0</v>
      </c>
      <c r="K58" s="274">
        <f t="shared" si="37"/>
        <v>0</v>
      </c>
      <c r="L58" s="274">
        <f t="shared" si="37"/>
        <v>330</v>
      </c>
      <c r="M58" s="274">
        <f t="shared" si="37"/>
        <v>200</v>
      </c>
      <c r="N58" s="274">
        <f t="shared" si="37"/>
        <v>0</v>
      </c>
      <c r="O58" s="274">
        <f t="shared" si="37"/>
        <v>472</v>
      </c>
      <c r="P58" s="274">
        <f t="shared" si="37"/>
        <v>59</v>
      </c>
      <c r="Q58" s="274">
        <f t="shared" si="37"/>
        <v>413</v>
      </c>
      <c r="R58" s="274">
        <f t="shared" si="37"/>
        <v>200</v>
      </c>
      <c r="S58" s="274">
        <f t="shared" si="37"/>
        <v>200</v>
      </c>
      <c r="T58" s="274">
        <f t="shared" si="37"/>
        <v>15</v>
      </c>
      <c r="U58" s="274">
        <f t="shared" si="37"/>
        <v>0</v>
      </c>
      <c r="V58" s="274">
        <f t="shared" si="37"/>
        <v>0</v>
      </c>
      <c r="W58" s="274">
        <f t="shared" si="37"/>
        <v>0</v>
      </c>
      <c r="X58" s="274"/>
      <c r="Y58" s="810">
        <f t="shared" si="3"/>
        <v>0</v>
      </c>
    </row>
    <row r="59" spans="1:25" ht="20.25" customHeight="1">
      <c r="A59" s="818" t="s">
        <v>23</v>
      </c>
      <c r="B59" s="822" t="s">
        <v>1310</v>
      </c>
      <c r="C59" s="404">
        <v>30</v>
      </c>
      <c r="D59" s="404">
        <f>C59*50%</f>
        <v>15</v>
      </c>
      <c r="E59" s="404">
        <f>C59-D59</f>
        <v>15</v>
      </c>
      <c r="F59" s="404"/>
      <c r="G59" s="404"/>
      <c r="H59" s="404"/>
      <c r="I59" s="404"/>
      <c r="J59" s="404"/>
      <c r="K59" s="404"/>
      <c r="L59" s="404">
        <v>30</v>
      </c>
      <c r="M59" s="404"/>
      <c r="N59" s="404"/>
      <c r="O59" s="404">
        <v>30</v>
      </c>
      <c r="P59" s="404">
        <f>ROUND(O59*50%,0)</f>
        <v>15</v>
      </c>
      <c r="Q59" s="404">
        <f>O59-P59</f>
        <v>15</v>
      </c>
      <c r="R59" s="404"/>
      <c r="S59" s="404"/>
      <c r="T59" s="404"/>
      <c r="U59" s="404"/>
      <c r="V59" s="404"/>
      <c r="W59" s="404"/>
      <c r="X59" s="1514" t="s">
        <v>1708</v>
      </c>
      <c r="Y59" s="810">
        <f t="shared" si="3"/>
        <v>0</v>
      </c>
    </row>
    <row r="60" spans="1:25" ht="20.25" customHeight="1">
      <c r="A60" s="818" t="s">
        <v>23</v>
      </c>
      <c r="B60" s="822" t="s">
        <v>1311</v>
      </c>
      <c r="C60" s="404">
        <v>70</v>
      </c>
      <c r="D60" s="404">
        <f>C60*10%</f>
        <v>7</v>
      </c>
      <c r="E60" s="404">
        <f t="shared" ref="E60:E61" si="38">C60-D60</f>
        <v>63</v>
      </c>
      <c r="F60" s="404"/>
      <c r="G60" s="404"/>
      <c r="H60" s="404"/>
      <c r="I60" s="404"/>
      <c r="J60" s="404"/>
      <c r="K60" s="404"/>
      <c r="L60" s="404">
        <v>70</v>
      </c>
      <c r="M60" s="404"/>
      <c r="N60" s="404"/>
      <c r="O60" s="404">
        <v>70</v>
      </c>
      <c r="P60" s="404">
        <f>ROUND(O60*10%,0)</f>
        <v>7</v>
      </c>
      <c r="Q60" s="404">
        <f t="shared" ref="Q60:Q62" si="39">O60-P60</f>
        <v>63</v>
      </c>
      <c r="R60" s="404"/>
      <c r="S60" s="404"/>
      <c r="T60" s="404"/>
      <c r="U60" s="404"/>
      <c r="V60" s="404"/>
      <c r="W60" s="404"/>
      <c r="X60" s="1515"/>
      <c r="Y60" s="810">
        <f t="shared" si="3"/>
        <v>0</v>
      </c>
    </row>
    <row r="61" spans="1:25" ht="27.6">
      <c r="A61" s="818" t="s">
        <v>23</v>
      </c>
      <c r="B61" s="822" t="s">
        <v>1709</v>
      </c>
      <c r="C61" s="404">
        <v>500</v>
      </c>
      <c r="D61" s="404">
        <f>C61*10%</f>
        <v>50</v>
      </c>
      <c r="E61" s="404">
        <f t="shared" si="38"/>
        <v>450</v>
      </c>
      <c r="F61" s="404"/>
      <c r="G61" s="404"/>
      <c r="H61" s="404"/>
      <c r="I61" s="404"/>
      <c r="J61" s="404"/>
      <c r="K61" s="404"/>
      <c r="L61" s="404">
        <f>300-L60</f>
        <v>230</v>
      </c>
      <c r="M61" s="404"/>
      <c r="N61" s="404"/>
      <c r="O61" s="404">
        <f>300-O60</f>
        <v>230</v>
      </c>
      <c r="P61" s="404">
        <f t="shared" ref="P61:P62" si="40">ROUND(O61*10%,0)</f>
        <v>23</v>
      </c>
      <c r="Q61" s="404">
        <f t="shared" si="39"/>
        <v>207</v>
      </c>
      <c r="R61" s="404"/>
      <c r="S61" s="404"/>
      <c r="T61" s="404"/>
      <c r="U61" s="404"/>
      <c r="V61" s="404"/>
      <c r="W61" s="404"/>
      <c r="X61" s="277" t="s">
        <v>1710</v>
      </c>
      <c r="Y61" s="810">
        <f t="shared" si="3"/>
        <v>0</v>
      </c>
    </row>
    <row r="62" spans="1:25" ht="24.75" customHeight="1">
      <c r="A62" s="818" t="s">
        <v>23</v>
      </c>
      <c r="B62" s="822" t="s">
        <v>1963</v>
      </c>
      <c r="C62" s="404"/>
      <c r="D62" s="404"/>
      <c r="E62" s="404"/>
      <c r="F62" s="404"/>
      <c r="G62" s="404"/>
      <c r="H62" s="404"/>
      <c r="I62" s="404"/>
      <c r="J62" s="404"/>
      <c r="K62" s="404"/>
      <c r="L62" s="404"/>
      <c r="M62" s="404"/>
      <c r="N62" s="404"/>
      <c r="O62" s="404">
        <v>142</v>
      </c>
      <c r="P62" s="404">
        <f t="shared" si="40"/>
        <v>14</v>
      </c>
      <c r="Q62" s="404">
        <f t="shared" si="39"/>
        <v>128</v>
      </c>
      <c r="R62" s="404"/>
      <c r="S62" s="404"/>
      <c r="T62" s="404"/>
      <c r="U62" s="404"/>
      <c r="V62" s="404"/>
      <c r="W62" s="404"/>
      <c r="X62" s="277" t="s">
        <v>1964</v>
      </c>
      <c r="Y62" s="810">
        <f t="shared" si="3"/>
        <v>0</v>
      </c>
    </row>
    <row r="63" spans="1:25" ht="33.75" customHeight="1">
      <c r="A63" s="823" t="s">
        <v>23</v>
      </c>
      <c r="B63" s="822" t="s">
        <v>1312</v>
      </c>
      <c r="C63" s="404"/>
      <c r="D63" s="404"/>
      <c r="E63" s="404"/>
      <c r="F63" s="404">
        <v>100</v>
      </c>
      <c r="G63" s="404">
        <f>F63</f>
        <v>100</v>
      </c>
      <c r="H63" s="404">
        <v>15</v>
      </c>
      <c r="I63" s="404"/>
      <c r="J63" s="404"/>
      <c r="K63" s="404"/>
      <c r="L63" s="404"/>
      <c r="M63" s="404">
        <v>200</v>
      </c>
      <c r="N63" s="404"/>
      <c r="O63" s="404"/>
      <c r="P63" s="404"/>
      <c r="Q63" s="404"/>
      <c r="R63" s="404">
        <v>200</v>
      </c>
      <c r="S63" s="404">
        <f>R63</f>
        <v>200</v>
      </c>
      <c r="T63" s="404">
        <v>15</v>
      </c>
      <c r="U63" s="404"/>
      <c r="V63" s="404"/>
      <c r="W63" s="404"/>
      <c r="X63" s="277" t="s">
        <v>1711</v>
      </c>
      <c r="Y63" s="810">
        <f t="shared" si="3"/>
        <v>0</v>
      </c>
    </row>
    <row r="64" spans="1:25" ht="20.100000000000001" customHeight="1">
      <c r="A64" s="401">
        <v>5</v>
      </c>
      <c r="B64" s="398" t="s">
        <v>860</v>
      </c>
      <c r="C64" s="280">
        <f t="shared" ref="C64:H64" si="41">C65+C71</f>
        <v>2580</v>
      </c>
      <c r="D64" s="280">
        <f t="shared" si="41"/>
        <v>283</v>
      </c>
      <c r="E64" s="280">
        <f t="shared" si="41"/>
        <v>2297</v>
      </c>
      <c r="F64" s="280">
        <f t="shared" si="41"/>
        <v>2732</v>
      </c>
      <c r="G64" s="280">
        <f t="shared" si="41"/>
        <v>2732</v>
      </c>
      <c r="H64" s="280">
        <f t="shared" si="41"/>
        <v>764</v>
      </c>
      <c r="I64" s="280"/>
      <c r="J64" s="280"/>
      <c r="K64" s="280"/>
      <c r="L64" s="280">
        <f>L65+L71</f>
        <v>2580</v>
      </c>
      <c r="M64" s="280">
        <f>M65+M71</f>
        <v>2732</v>
      </c>
      <c r="N64" s="280"/>
      <c r="O64" s="280">
        <f t="shared" ref="O64:T64" si="42">O65+O71</f>
        <v>4025</v>
      </c>
      <c r="P64" s="280">
        <f t="shared" si="42"/>
        <v>985.25</v>
      </c>
      <c r="Q64" s="280">
        <f t="shared" si="42"/>
        <v>3039.75</v>
      </c>
      <c r="R64" s="280">
        <f t="shared" si="42"/>
        <v>2467</v>
      </c>
      <c r="S64" s="280">
        <f t="shared" si="42"/>
        <v>2467</v>
      </c>
      <c r="T64" s="280">
        <f t="shared" si="42"/>
        <v>1135</v>
      </c>
      <c r="U64" s="280"/>
      <c r="V64" s="280"/>
      <c r="W64" s="280"/>
      <c r="X64" s="274"/>
      <c r="Y64" s="810">
        <f t="shared" si="3"/>
        <v>0</v>
      </c>
    </row>
    <row r="65" spans="1:26" s="400" customFormat="1" ht="21.75" customHeight="1">
      <c r="A65" s="401" t="s">
        <v>880</v>
      </c>
      <c r="B65" s="398" t="s">
        <v>1313</v>
      </c>
      <c r="C65" s="274">
        <f t="shared" ref="C65:H65" si="43">C66+C67+C68+C69+C70</f>
        <v>2580</v>
      </c>
      <c r="D65" s="274">
        <f t="shared" si="43"/>
        <v>283</v>
      </c>
      <c r="E65" s="274">
        <f t="shared" si="43"/>
        <v>2297</v>
      </c>
      <c r="F65" s="274">
        <f t="shared" si="43"/>
        <v>1812</v>
      </c>
      <c r="G65" s="274">
        <f t="shared" si="43"/>
        <v>1812</v>
      </c>
      <c r="H65" s="274">
        <f t="shared" si="43"/>
        <v>760</v>
      </c>
      <c r="I65" s="274"/>
      <c r="J65" s="274"/>
      <c r="K65" s="274"/>
      <c r="L65" s="274">
        <f>L66+L67+L68+L69+L70</f>
        <v>2580</v>
      </c>
      <c r="M65" s="274">
        <f>M66+M67+M68+M69+M70</f>
        <v>1812</v>
      </c>
      <c r="N65" s="274"/>
      <c r="O65" s="274">
        <f t="shared" ref="O65:T65" si="44">O66+O67+O68+O69+O70</f>
        <v>4025</v>
      </c>
      <c r="P65" s="274">
        <f t="shared" si="44"/>
        <v>985.25</v>
      </c>
      <c r="Q65" s="274">
        <f t="shared" si="44"/>
        <v>3039.75</v>
      </c>
      <c r="R65" s="274">
        <f t="shared" si="44"/>
        <v>1967</v>
      </c>
      <c r="S65" s="274">
        <f t="shared" si="44"/>
        <v>1967</v>
      </c>
      <c r="T65" s="274">
        <f t="shared" si="44"/>
        <v>1135</v>
      </c>
      <c r="U65" s="274"/>
      <c r="V65" s="274"/>
      <c r="W65" s="274"/>
      <c r="X65" s="274"/>
      <c r="Y65" s="810">
        <f t="shared" si="3"/>
        <v>0</v>
      </c>
    </row>
    <row r="66" spans="1:26" ht="27.6">
      <c r="A66" s="818" t="s">
        <v>23</v>
      </c>
      <c r="B66" s="820" t="s">
        <v>1314</v>
      </c>
      <c r="C66" s="281">
        <v>1580</v>
      </c>
      <c r="D66" s="281">
        <f>C66*0%</f>
        <v>0</v>
      </c>
      <c r="E66" s="281">
        <f>C66-D66</f>
        <v>1580</v>
      </c>
      <c r="F66" s="281"/>
      <c r="G66" s="281"/>
      <c r="H66" s="281"/>
      <c r="I66" s="281"/>
      <c r="J66" s="281"/>
      <c r="K66" s="281"/>
      <c r="L66" s="281">
        <v>1580</v>
      </c>
      <c r="M66" s="281"/>
      <c r="N66" s="281"/>
      <c r="O66" s="281">
        <v>2520</v>
      </c>
      <c r="P66" s="281">
        <v>630</v>
      </c>
      <c r="Q66" s="281">
        <f>O66-P66</f>
        <v>1890</v>
      </c>
      <c r="R66" s="281"/>
      <c r="S66" s="281"/>
      <c r="T66" s="281"/>
      <c r="U66" s="281"/>
      <c r="V66" s="281"/>
      <c r="W66" s="281"/>
      <c r="X66" s="277" t="s">
        <v>1315</v>
      </c>
      <c r="Y66" s="810">
        <f t="shared" si="3"/>
        <v>0</v>
      </c>
    </row>
    <row r="67" spans="1:26" ht="27" customHeight="1">
      <c r="A67" s="818" t="s">
        <v>23</v>
      </c>
      <c r="B67" s="820" t="s">
        <v>1316</v>
      </c>
      <c r="C67" s="281">
        <v>880</v>
      </c>
      <c r="D67" s="281">
        <v>271</v>
      </c>
      <c r="E67" s="281">
        <f t="shared" ref="E67:E68" si="45">C67-D67</f>
        <v>609</v>
      </c>
      <c r="F67" s="281"/>
      <c r="G67" s="281"/>
      <c r="H67" s="281"/>
      <c r="I67" s="281"/>
      <c r="J67" s="281"/>
      <c r="K67" s="281"/>
      <c r="L67" s="281">
        <v>880</v>
      </c>
      <c r="M67" s="281"/>
      <c r="N67" s="281"/>
      <c r="O67" s="281">
        <v>1365</v>
      </c>
      <c r="P67" s="281">
        <v>341.25</v>
      </c>
      <c r="Q67" s="281">
        <f t="shared" ref="Q67:Q68" si="46">O67-P67</f>
        <v>1023.75</v>
      </c>
      <c r="R67" s="281"/>
      <c r="S67" s="281"/>
      <c r="T67" s="281"/>
      <c r="U67" s="281"/>
      <c r="V67" s="281"/>
      <c r="W67" s="281"/>
      <c r="X67" s="277" t="s">
        <v>1965</v>
      </c>
      <c r="Y67" s="810">
        <f t="shared" si="3"/>
        <v>0</v>
      </c>
      <c r="Z67" s="394">
        <f>P67/O67</f>
        <v>0.25</v>
      </c>
    </row>
    <row r="68" spans="1:26" ht="27.6">
      <c r="A68" s="818" t="s">
        <v>23</v>
      </c>
      <c r="B68" s="820" t="s">
        <v>1317</v>
      </c>
      <c r="C68" s="281">
        <v>120</v>
      </c>
      <c r="D68" s="281">
        <f>C68*10%</f>
        <v>12</v>
      </c>
      <c r="E68" s="281">
        <f t="shared" si="45"/>
        <v>108</v>
      </c>
      <c r="F68" s="281"/>
      <c r="G68" s="281"/>
      <c r="H68" s="281"/>
      <c r="I68" s="281"/>
      <c r="J68" s="281"/>
      <c r="K68" s="281"/>
      <c r="L68" s="281">
        <v>120</v>
      </c>
      <c r="M68" s="281"/>
      <c r="N68" s="281"/>
      <c r="O68" s="281">
        <v>140</v>
      </c>
      <c r="P68" s="281">
        <v>14</v>
      </c>
      <c r="Q68" s="281">
        <f t="shared" si="46"/>
        <v>126</v>
      </c>
      <c r="R68" s="281"/>
      <c r="S68" s="281"/>
      <c r="T68" s="281"/>
      <c r="U68" s="281"/>
      <c r="V68" s="281"/>
      <c r="W68" s="281"/>
      <c r="X68" s="277" t="s">
        <v>1318</v>
      </c>
      <c r="Y68" s="810">
        <f t="shared" si="3"/>
        <v>0</v>
      </c>
    </row>
    <row r="69" spans="1:26" ht="21" customHeight="1">
      <c r="A69" s="818" t="s">
        <v>23</v>
      </c>
      <c r="B69" s="820" t="s">
        <v>1319</v>
      </c>
      <c r="C69" s="281"/>
      <c r="D69" s="281"/>
      <c r="E69" s="281"/>
      <c r="F69" s="281">
        <v>1805</v>
      </c>
      <c r="G69" s="281">
        <v>1805</v>
      </c>
      <c r="H69" s="281">
        <v>756</v>
      </c>
      <c r="I69" s="281"/>
      <c r="J69" s="281"/>
      <c r="K69" s="281"/>
      <c r="L69" s="281"/>
      <c r="M69" s="281">
        <v>1805</v>
      </c>
      <c r="N69" s="281"/>
      <c r="O69" s="281"/>
      <c r="P69" s="281"/>
      <c r="Q69" s="281"/>
      <c r="R69" s="281">
        <v>1957</v>
      </c>
      <c r="S69" s="281">
        <v>1957</v>
      </c>
      <c r="T69" s="281">
        <v>1130</v>
      </c>
      <c r="U69" s="281"/>
      <c r="V69" s="281"/>
      <c r="W69" s="281"/>
      <c r="X69" s="277" t="s">
        <v>1315</v>
      </c>
      <c r="Y69" s="810">
        <f t="shared" si="3"/>
        <v>0</v>
      </c>
    </row>
    <row r="70" spans="1:26" s="400" customFormat="1" ht="18.75" customHeight="1">
      <c r="A70" s="823" t="s">
        <v>23</v>
      </c>
      <c r="B70" s="820" t="s">
        <v>1320</v>
      </c>
      <c r="C70" s="281"/>
      <c r="D70" s="281"/>
      <c r="E70" s="281"/>
      <c r="F70" s="281">
        <v>7</v>
      </c>
      <c r="G70" s="281">
        <v>7</v>
      </c>
      <c r="H70" s="281">
        <f>ROUND(G70*52%,0)</f>
        <v>4</v>
      </c>
      <c r="I70" s="281"/>
      <c r="J70" s="281"/>
      <c r="K70" s="281"/>
      <c r="L70" s="281"/>
      <c r="M70" s="281">
        <v>7</v>
      </c>
      <c r="N70" s="281"/>
      <c r="O70" s="281"/>
      <c r="P70" s="281"/>
      <c r="Q70" s="281"/>
      <c r="R70" s="281">
        <v>10</v>
      </c>
      <c r="S70" s="281">
        <v>10</v>
      </c>
      <c r="T70" s="281">
        <v>5</v>
      </c>
      <c r="U70" s="281"/>
      <c r="V70" s="281"/>
      <c r="W70" s="281"/>
      <c r="X70" s="281"/>
      <c r="Y70" s="810">
        <f t="shared" si="3"/>
        <v>0</v>
      </c>
    </row>
    <row r="71" spans="1:26" s="400" customFormat="1" ht="20.25" customHeight="1">
      <c r="A71" s="397" t="s">
        <v>881</v>
      </c>
      <c r="B71" s="398" t="s">
        <v>1321</v>
      </c>
      <c r="C71" s="282">
        <f t="shared" ref="C71:H71" si="47">C72+C73</f>
        <v>0</v>
      </c>
      <c r="D71" s="282">
        <f t="shared" si="47"/>
        <v>0</v>
      </c>
      <c r="E71" s="282">
        <f t="shared" si="47"/>
        <v>0</v>
      </c>
      <c r="F71" s="282">
        <f t="shared" si="47"/>
        <v>920</v>
      </c>
      <c r="G71" s="282">
        <f t="shared" si="47"/>
        <v>920</v>
      </c>
      <c r="H71" s="282">
        <f t="shared" si="47"/>
        <v>4</v>
      </c>
      <c r="I71" s="282"/>
      <c r="J71" s="282"/>
      <c r="K71" s="282"/>
      <c r="L71" s="282">
        <f t="shared" ref="L71:T71" si="48">L72+L73</f>
        <v>0</v>
      </c>
      <c r="M71" s="282">
        <f t="shared" si="48"/>
        <v>920</v>
      </c>
      <c r="N71" s="282"/>
      <c r="O71" s="282">
        <f t="shared" si="48"/>
        <v>0</v>
      </c>
      <c r="P71" s="282">
        <f t="shared" si="48"/>
        <v>0</v>
      </c>
      <c r="Q71" s="282">
        <f t="shared" si="48"/>
        <v>0</v>
      </c>
      <c r="R71" s="282">
        <f t="shared" si="48"/>
        <v>500</v>
      </c>
      <c r="S71" s="282">
        <f t="shared" si="48"/>
        <v>500</v>
      </c>
      <c r="T71" s="282">
        <f t="shared" si="48"/>
        <v>0</v>
      </c>
      <c r="U71" s="282"/>
      <c r="V71" s="282"/>
      <c r="W71" s="282"/>
      <c r="X71" s="283"/>
      <c r="Y71" s="810">
        <f t="shared" si="3"/>
        <v>0</v>
      </c>
    </row>
    <row r="72" spans="1:26" ht="31.5" customHeight="1">
      <c r="A72" s="823" t="s">
        <v>23</v>
      </c>
      <c r="B72" s="820" t="s">
        <v>1322</v>
      </c>
      <c r="C72" s="284"/>
      <c r="D72" s="284"/>
      <c r="E72" s="284"/>
      <c r="F72" s="284">
        <v>900</v>
      </c>
      <c r="G72" s="284">
        <v>900</v>
      </c>
      <c r="H72" s="284">
        <v>0</v>
      </c>
      <c r="I72" s="284"/>
      <c r="J72" s="284"/>
      <c r="K72" s="284"/>
      <c r="L72" s="284"/>
      <c r="M72" s="284">
        <v>900</v>
      </c>
      <c r="N72" s="284"/>
      <c r="O72" s="284"/>
      <c r="P72" s="284"/>
      <c r="Q72" s="284"/>
      <c r="R72" s="284">
        <v>500</v>
      </c>
      <c r="S72" s="284">
        <v>500</v>
      </c>
      <c r="T72" s="284">
        <v>0</v>
      </c>
      <c r="U72" s="284"/>
      <c r="V72" s="284"/>
      <c r="W72" s="284"/>
      <c r="X72" s="277" t="s">
        <v>1712</v>
      </c>
      <c r="Y72" s="810">
        <f t="shared" si="3"/>
        <v>0</v>
      </c>
    </row>
    <row r="73" spans="1:26" ht="31.5" customHeight="1">
      <c r="A73" s="823" t="s">
        <v>23</v>
      </c>
      <c r="B73" s="820" t="s">
        <v>1323</v>
      </c>
      <c r="C73" s="284"/>
      <c r="D73" s="284"/>
      <c r="E73" s="284"/>
      <c r="F73" s="284">
        <v>20</v>
      </c>
      <c r="G73" s="284">
        <v>20</v>
      </c>
      <c r="H73" s="284">
        <f>ROUND(G73*20%,0)</f>
        <v>4</v>
      </c>
      <c r="I73" s="284"/>
      <c r="J73" s="284"/>
      <c r="K73" s="284"/>
      <c r="L73" s="284"/>
      <c r="M73" s="284">
        <v>20</v>
      </c>
      <c r="N73" s="284"/>
      <c r="O73" s="284"/>
      <c r="P73" s="284"/>
      <c r="Q73" s="284"/>
      <c r="R73" s="284"/>
      <c r="S73" s="284"/>
      <c r="T73" s="284">
        <f>ROUND(S73*20%,0)</f>
        <v>0</v>
      </c>
      <c r="U73" s="284"/>
      <c r="V73" s="284"/>
      <c r="W73" s="284"/>
      <c r="X73" s="277"/>
      <c r="Y73" s="810">
        <f t="shared" si="3"/>
        <v>0</v>
      </c>
    </row>
    <row r="74" spans="1:26" s="400" customFormat="1" ht="20.100000000000001" customHeight="1">
      <c r="A74" s="401">
        <v>6</v>
      </c>
      <c r="B74" s="398" t="s">
        <v>1324</v>
      </c>
      <c r="C74" s="274">
        <f>C75+C76+C77+C78+C79+C80</f>
        <v>347</v>
      </c>
      <c r="D74" s="274">
        <f t="shared" ref="D74:W74" si="49">D75+D76+D77+D78+D79+D80</f>
        <v>72.400000000000006</v>
      </c>
      <c r="E74" s="274">
        <f t="shared" si="49"/>
        <v>274.60000000000002</v>
      </c>
      <c r="F74" s="274">
        <f t="shared" si="49"/>
        <v>0</v>
      </c>
      <c r="G74" s="274">
        <f t="shared" si="49"/>
        <v>0</v>
      </c>
      <c r="H74" s="274">
        <f t="shared" si="49"/>
        <v>0</v>
      </c>
      <c r="I74" s="274">
        <f t="shared" si="49"/>
        <v>0</v>
      </c>
      <c r="J74" s="274">
        <f t="shared" si="49"/>
        <v>0</v>
      </c>
      <c r="K74" s="274">
        <f t="shared" si="49"/>
        <v>0</v>
      </c>
      <c r="L74" s="274">
        <f t="shared" si="49"/>
        <v>347</v>
      </c>
      <c r="M74" s="274">
        <f t="shared" si="49"/>
        <v>0</v>
      </c>
      <c r="N74" s="274">
        <f t="shared" si="49"/>
        <v>0</v>
      </c>
      <c r="O74" s="274">
        <f t="shared" si="49"/>
        <v>347</v>
      </c>
      <c r="P74" s="274">
        <f t="shared" si="49"/>
        <v>72.400000000000006</v>
      </c>
      <c r="Q74" s="274">
        <f t="shared" si="49"/>
        <v>274.60000000000002</v>
      </c>
      <c r="R74" s="274">
        <f t="shared" si="49"/>
        <v>0</v>
      </c>
      <c r="S74" s="274">
        <f t="shared" si="49"/>
        <v>0</v>
      </c>
      <c r="T74" s="274">
        <f t="shared" si="49"/>
        <v>0</v>
      </c>
      <c r="U74" s="274">
        <f t="shared" si="49"/>
        <v>0</v>
      </c>
      <c r="V74" s="274">
        <f t="shared" si="49"/>
        <v>0</v>
      </c>
      <c r="W74" s="274">
        <f t="shared" si="49"/>
        <v>0</v>
      </c>
      <c r="X74" s="274"/>
      <c r="Y74" s="810">
        <f t="shared" si="3"/>
        <v>0</v>
      </c>
    </row>
    <row r="75" spans="1:26" s="400" customFormat="1" ht="41.4">
      <c r="A75" s="818" t="s">
        <v>23</v>
      </c>
      <c r="B75" s="820" t="s">
        <v>1325</v>
      </c>
      <c r="C75" s="281">
        <v>5</v>
      </c>
      <c r="D75" s="286">
        <f>C75*20%</f>
        <v>1</v>
      </c>
      <c r="E75" s="286">
        <f t="shared" ref="E75:E80" si="50">C75-D75</f>
        <v>4</v>
      </c>
      <c r="F75" s="274"/>
      <c r="G75" s="274"/>
      <c r="H75" s="274"/>
      <c r="I75" s="274"/>
      <c r="J75" s="274"/>
      <c r="K75" s="274"/>
      <c r="L75" s="281">
        <v>5</v>
      </c>
      <c r="M75" s="274"/>
      <c r="N75" s="274"/>
      <c r="O75" s="281">
        <v>5</v>
      </c>
      <c r="P75" s="286">
        <f>O75*20%</f>
        <v>1</v>
      </c>
      <c r="Q75" s="286">
        <f t="shared" ref="Q75:Q80" si="51">O75-P75</f>
        <v>4</v>
      </c>
      <c r="R75" s="274"/>
      <c r="S75" s="274"/>
      <c r="T75" s="274"/>
      <c r="U75" s="274"/>
      <c r="V75" s="274"/>
      <c r="W75" s="274"/>
      <c r="X75" s="277" t="s">
        <v>1304</v>
      </c>
      <c r="Y75" s="810">
        <f t="shared" ref="Y75:Y101" si="52">O75-P75-Q75</f>
        <v>0</v>
      </c>
    </row>
    <row r="76" spans="1:26" ht="27.6">
      <c r="A76" s="818" t="s">
        <v>23</v>
      </c>
      <c r="B76" s="820" t="s">
        <v>1326</v>
      </c>
      <c r="C76" s="281">
        <v>5</v>
      </c>
      <c r="D76" s="288">
        <f>C76*10%</f>
        <v>0.5</v>
      </c>
      <c r="E76" s="285">
        <f t="shared" si="50"/>
        <v>4.5</v>
      </c>
      <c r="F76" s="287"/>
      <c r="G76" s="287"/>
      <c r="H76" s="287"/>
      <c r="I76" s="287"/>
      <c r="J76" s="287"/>
      <c r="K76" s="287"/>
      <c r="L76" s="281">
        <v>5</v>
      </c>
      <c r="M76" s="287"/>
      <c r="N76" s="287"/>
      <c r="O76" s="281">
        <v>5</v>
      </c>
      <c r="P76" s="287">
        <f>O76*10%</f>
        <v>0.5</v>
      </c>
      <c r="Q76" s="281">
        <f t="shared" si="51"/>
        <v>4.5</v>
      </c>
      <c r="R76" s="287"/>
      <c r="S76" s="287"/>
      <c r="T76" s="287"/>
      <c r="U76" s="287"/>
      <c r="V76" s="287"/>
      <c r="W76" s="287"/>
      <c r="X76" s="277" t="s">
        <v>1327</v>
      </c>
      <c r="Y76" s="810">
        <f t="shared" si="52"/>
        <v>0</v>
      </c>
    </row>
    <row r="77" spans="1:26" ht="27.6">
      <c r="A77" s="818" t="s">
        <v>23</v>
      </c>
      <c r="B77" s="815" t="s">
        <v>1328</v>
      </c>
      <c r="C77" s="281">
        <v>64</v>
      </c>
      <c r="D77" s="287">
        <f>C77*10%</f>
        <v>6.4</v>
      </c>
      <c r="E77" s="281">
        <f t="shared" si="50"/>
        <v>57.6</v>
      </c>
      <c r="F77" s="287"/>
      <c r="G77" s="287"/>
      <c r="H77" s="287"/>
      <c r="I77" s="287"/>
      <c r="J77" s="287"/>
      <c r="K77" s="287"/>
      <c r="L77" s="281">
        <v>64</v>
      </c>
      <c r="M77" s="287"/>
      <c r="N77" s="287"/>
      <c r="O77" s="281">
        <v>64</v>
      </c>
      <c r="P77" s="287">
        <f>O77*10%</f>
        <v>6.4</v>
      </c>
      <c r="Q77" s="281">
        <f t="shared" si="51"/>
        <v>57.6</v>
      </c>
      <c r="R77" s="287"/>
      <c r="S77" s="287"/>
      <c r="T77" s="287"/>
      <c r="U77" s="287"/>
      <c r="V77" s="287"/>
      <c r="W77" s="287"/>
      <c r="X77" s="277" t="s">
        <v>1329</v>
      </c>
      <c r="Y77" s="810">
        <f t="shared" si="52"/>
        <v>0</v>
      </c>
    </row>
    <row r="78" spans="1:26" ht="32.25" customHeight="1">
      <c r="A78" s="818" t="s">
        <v>23</v>
      </c>
      <c r="B78" s="820" t="s">
        <v>1330</v>
      </c>
      <c r="C78" s="281">
        <v>180</v>
      </c>
      <c r="D78" s="287">
        <f>C78*10%</f>
        <v>18</v>
      </c>
      <c r="E78" s="281">
        <f t="shared" si="50"/>
        <v>162</v>
      </c>
      <c r="F78" s="287"/>
      <c r="G78" s="287"/>
      <c r="H78" s="287"/>
      <c r="I78" s="287"/>
      <c r="J78" s="287"/>
      <c r="K78" s="287"/>
      <c r="L78" s="281">
        <v>180</v>
      </c>
      <c r="M78" s="287"/>
      <c r="N78" s="287"/>
      <c r="O78" s="281">
        <v>180</v>
      </c>
      <c r="P78" s="287">
        <f>O78*10%</f>
        <v>18</v>
      </c>
      <c r="Q78" s="281">
        <f t="shared" si="51"/>
        <v>162</v>
      </c>
      <c r="R78" s="287"/>
      <c r="S78" s="287"/>
      <c r="T78" s="287"/>
      <c r="U78" s="287"/>
      <c r="V78" s="287"/>
      <c r="W78" s="287"/>
      <c r="X78" s="1514" t="s">
        <v>1318</v>
      </c>
      <c r="Y78" s="810">
        <f t="shared" si="52"/>
        <v>0</v>
      </c>
    </row>
    <row r="79" spans="1:26" ht="32.25" customHeight="1">
      <c r="A79" s="818" t="s">
        <v>23</v>
      </c>
      <c r="B79" s="820" t="s">
        <v>1331</v>
      </c>
      <c r="C79" s="281">
        <v>80</v>
      </c>
      <c r="D79" s="287">
        <f>C79*50%</f>
        <v>40</v>
      </c>
      <c r="E79" s="281">
        <f t="shared" si="50"/>
        <v>40</v>
      </c>
      <c r="F79" s="287"/>
      <c r="G79" s="287"/>
      <c r="H79" s="287"/>
      <c r="I79" s="287"/>
      <c r="J79" s="287"/>
      <c r="K79" s="287"/>
      <c r="L79" s="281">
        <v>80</v>
      </c>
      <c r="M79" s="287"/>
      <c r="N79" s="287"/>
      <c r="O79" s="281">
        <v>80</v>
      </c>
      <c r="P79" s="287">
        <f>O79*50%</f>
        <v>40</v>
      </c>
      <c r="Q79" s="281">
        <f t="shared" si="51"/>
        <v>40</v>
      </c>
      <c r="R79" s="287"/>
      <c r="S79" s="287"/>
      <c r="T79" s="287"/>
      <c r="U79" s="287"/>
      <c r="V79" s="287"/>
      <c r="W79" s="287"/>
      <c r="X79" s="1515"/>
      <c r="Y79" s="810">
        <f t="shared" si="52"/>
        <v>0</v>
      </c>
    </row>
    <row r="80" spans="1:26" ht="27.6">
      <c r="A80" s="818" t="s">
        <v>23</v>
      </c>
      <c r="B80" s="820" t="s">
        <v>1332</v>
      </c>
      <c r="C80" s="281">
        <v>13</v>
      </c>
      <c r="D80" s="288">
        <f>C80/2</f>
        <v>6.5</v>
      </c>
      <c r="E80" s="285">
        <f t="shared" si="50"/>
        <v>6.5</v>
      </c>
      <c r="F80" s="287"/>
      <c r="G80" s="287"/>
      <c r="H80" s="287"/>
      <c r="I80" s="287"/>
      <c r="J80" s="287"/>
      <c r="K80" s="287"/>
      <c r="L80" s="281">
        <v>13</v>
      </c>
      <c r="M80" s="287"/>
      <c r="N80" s="287"/>
      <c r="O80" s="281">
        <v>13</v>
      </c>
      <c r="P80" s="287">
        <f>O80/2</f>
        <v>6.5</v>
      </c>
      <c r="Q80" s="281">
        <f t="shared" si="51"/>
        <v>6.5</v>
      </c>
      <c r="R80" s="287"/>
      <c r="S80" s="287"/>
      <c r="T80" s="287"/>
      <c r="U80" s="287"/>
      <c r="V80" s="287"/>
      <c r="W80" s="287"/>
      <c r="X80" s="277" t="s">
        <v>1333</v>
      </c>
      <c r="Y80" s="810">
        <f t="shared" si="52"/>
        <v>0</v>
      </c>
    </row>
    <row r="81" spans="1:25" s="400" customFormat="1" ht="20.25" customHeight="1">
      <c r="A81" s="397">
        <v>7</v>
      </c>
      <c r="B81" s="398" t="s">
        <v>1334</v>
      </c>
      <c r="C81" s="405">
        <f t="shared" ref="C81:W81" si="53">SUM(C82:C86)</f>
        <v>640</v>
      </c>
      <c r="D81" s="405">
        <f t="shared" si="53"/>
        <v>398</v>
      </c>
      <c r="E81" s="405">
        <f t="shared" si="53"/>
        <v>242</v>
      </c>
      <c r="F81" s="405">
        <f t="shared" si="53"/>
        <v>260</v>
      </c>
      <c r="G81" s="405">
        <f t="shared" si="53"/>
        <v>260</v>
      </c>
      <c r="H81" s="405">
        <f t="shared" si="53"/>
        <v>52</v>
      </c>
      <c r="I81" s="405">
        <f t="shared" si="53"/>
        <v>0</v>
      </c>
      <c r="J81" s="405">
        <f t="shared" si="53"/>
        <v>0</v>
      </c>
      <c r="K81" s="405">
        <f t="shared" si="53"/>
        <v>0</v>
      </c>
      <c r="L81" s="405">
        <f t="shared" si="53"/>
        <v>630</v>
      </c>
      <c r="M81" s="405">
        <f t="shared" si="53"/>
        <v>150</v>
      </c>
      <c r="N81" s="405">
        <f t="shared" si="53"/>
        <v>0</v>
      </c>
      <c r="O81" s="405">
        <f t="shared" si="53"/>
        <v>630</v>
      </c>
      <c r="P81" s="405">
        <f t="shared" si="53"/>
        <v>415</v>
      </c>
      <c r="Q81" s="405">
        <f t="shared" si="53"/>
        <v>215</v>
      </c>
      <c r="R81" s="405">
        <f t="shared" si="53"/>
        <v>260</v>
      </c>
      <c r="S81" s="405">
        <f t="shared" si="53"/>
        <v>260</v>
      </c>
      <c r="T81" s="405">
        <f t="shared" si="53"/>
        <v>52</v>
      </c>
      <c r="U81" s="405">
        <f t="shared" si="53"/>
        <v>0</v>
      </c>
      <c r="V81" s="405">
        <f t="shared" si="53"/>
        <v>0</v>
      </c>
      <c r="W81" s="405">
        <f t="shared" si="53"/>
        <v>0</v>
      </c>
      <c r="X81" s="283"/>
      <c r="Y81" s="810">
        <f t="shared" si="52"/>
        <v>0</v>
      </c>
    </row>
    <row r="82" spans="1:25" s="400" customFormat="1" ht="27.6">
      <c r="A82" s="824" t="s">
        <v>23</v>
      </c>
      <c r="B82" s="399" t="s">
        <v>1335</v>
      </c>
      <c r="C82" s="272">
        <v>100</v>
      </c>
      <c r="D82" s="272">
        <f>C82*10%</f>
        <v>10</v>
      </c>
      <c r="E82" s="272">
        <f>C82-D82</f>
        <v>90</v>
      </c>
      <c r="F82" s="272"/>
      <c r="G82" s="272"/>
      <c r="H82" s="272"/>
      <c r="I82" s="272"/>
      <c r="J82" s="272"/>
      <c r="K82" s="272"/>
      <c r="L82" s="272">
        <v>100</v>
      </c>
      <c r="M82" s="272"/>
      <c r="N82" s="272"/>
      <c r="O82" s="272">
        <v>100</v>
      </c>
      <c r="P82" s="272">
        <v>30</v>
      </c>
      <c r="Q82" s="272">
        <f>O82-P82</f>
        <v>70</v>
      </c>
      <c r="R82" s="272"/>
      <c r="S82" s="272"/>
      <c r="T82" s="272"/>
      <c r="U82" s="272"/>
      <c r="V82" s="272"/>
      <c r="W82" s="272"/>
      <c r="X82" s="272" t="s">
        <v>1336</v>
      </c>
      <c r="Y82" s="810">
        <f t="shared" si="52"/>
        <v>0</v>
      </c>
    </row>
    <row r="83" spans="1:25" ht="24.75" customHeight="1">
      <c r="A83" s="823" t="s">
        <v>23</v>
      </c>
      <c r="B83" s="820" t="s">
        <v>1337</v>
      </c>
      <c r="C83" s="272"/>
      <c r="D83" s="275"/>
      <c r="E83" s="272">
        <f t="shared" ref="E83:E86" si="54">C83-D83</f>
        <v>0</v>
      </c>
      <c r="F83" s="275">
        <v>260</v>
      </c>
      <c r="G83" s="275">
        <f>F83</f>
        <v>260</v>
      </c>
      <c r="H83" s="275">
        <v>52</v>
      </c>
      <c r="I83" s="275"/>
      <c r="J83" s="275"/>
      <c r="K83" s="275"/>
      <c r="L83" s="272"/>
      <c r="M83" s="275">
        <v>150</v>
      </c>
      <c r="N83" s="275"/>
      <c r="O83" s="272"/>
      <c r="P83" s="275"/>
      <c r="Q83" s="272">
        <f t="shared" ref="Q83:Q86" si="55">O83-P83</f>
        <v>0</v>
      </c>
      <c r="R83" s="272">
        <v>260</v>
      </c>
      <c r="S83" s="275">
        <f>R83</f>
        <v>260</v>
      </c>
      <c r="T83" s="275">
        <v>52</v>
      </c>
      <c r="U83" s="275"/>
      <c r="V83" s="275"/>
      <c r="W83" s="275"/>
      <c r="X83" s="277" t="s">
        <v>1338</v>
      </c>
      <c r="Y83" s="810">
        <f t="shared" si="52"/>
        <v>0</v>
      </c>
    </row>
    <row r="84" spans="1:25" ht="23.25" customHeight="1">
      <c r="A84" s="811" t="s">
        <v>23</v>
      </c>
      <c r="B84" s="399" t="s">
        <v>1339</v>
      </c>
      <c r="C84" s="272">
        <v>500</v>
      </c>
      <c r="D84" s="275">
        <f>C84*75%</f>
        <v>375</v>
      </c>
      <c r="E84" s="272">
        <f t="shared" si="54"/>
        <v>125</v>
      </c>
      <c r="F84" s="272"/>
      <c r="G84" s="272"/>
      <c r="H84" s="272"/>
      <c r="I84" s="272"/>
      <c r="J84" s="272"/>
      <c r="K84" s="272"/>
      <c r="L84" s="272">
        <v>500</v>
      </c>
      <c r="M84" s="272"/>
      <c r="N84" s="272"/>
      <c r="O84" s="272">
        <v>500</v>
      </c>
      <c r="P84" s="275">
        <v>375</v>
      </c>
      <c r="Q84" s="272">
        <f t="shared" si="55"/>
        <v>125</v>
      </c>
      <c r="R84" s="272"/>
      <c r="S84" s="272"/>
      <c r="T84" s="272"/>
      <c r="U84" s="272"/>
      <c r="V84" s="272"/>
      <c r="W84" s="272"/>
      <c r="X84" s="272" t="s">
        <v>1713</v>
      </c>
      <c r="Y84" s="810">
        <f t="shared" si="52"/>
        <v>0</v>
      </c>
    </row>
    <row r="85" spans="1:25" ht="27.6">
      <c r="A85" s="811" t="s">
        <v>23</v>
      </c>
      <c r="B85" s="399" t="s">
        <v>1340</v>
      </c>
      <c r="C85" s="272">
        <v>30</v>
      </c>
      <c r="D85" s="275">
        <f>C85*30%</f>
        <v>9</v>
      </c>
      <c r="E85" s="272">
        <f t="shared" si="54"/>
        <v>21</v>
      </c>
      <c r="F85" s="272"/>
      <c r="G85" s="272"/>
      <c r="H85" s="272"/>
      <c r="I85" s="272"/>
      <c r="J85" s="272"/>
      <c r="K85" s="272"/>
      <c r="L85" s="272">
        <v>10</v>
      </c>
      <c r="M85" s="272"/>
      <c r="N85" s="272"/>
      <c r="O85" s="272">
        <v>20</v>
      </c>
      <c r="P85" s="275">
        <v>6</v>
      </c>
      <c r="Q85" s="272">
        <f t="shared" si="55"/>
        <v>14</v>
      </c>
      <c r="R85" s="272"/>
      <c r="S85" s="272"/>
      <c r="T85" s="272"/>
      <c r="U85" s="272"/>
      <c r="V85" s="272"/>
      <c r="W85" s="272"/>
      <c r="X85" s="272" t="s">
        <v>1341</v>
      </c>
      <c r="Y85" s="810">
        <f t="shared" si="52"/>
        <v>0</v>
      </c>
    </row>
    <row r="86" spans="1:25" ht="33" customHeight="1">
      <c r="A86" s="811" t="s">
        <v>23</v>
      </c>
      <c r="B86" s="399" t="s">
        <v>1342</v>
      </c>
      <c r="C86" s="272">
        <v>10</v>
      </c>
      <c r="D86" s="275">
        <f>40%*C86</f>
        <v>4</v>
      </c>
      <c r="E86" s="272">
        <f t="shared" si="54"/>
        <v>6</v>
      </c>
      <c r="F86" s="272"/>
      <c r="G86" s="272"/>
      <c r="H86" s="272"/>
      <c r="I86" s="272"/>
      <c r="J86" s="272"/>
      <c r="K86" s="272"/>
      <c r="L86" s="272">
        <v>20</v>
      </c>
      <c r="M86" s="272"/>
      <c r="N86" s="272"/>
      <c r="O86" s="272">
        <v>10</v>
      </c>
      <c r="P86" s="275">
        <v>4</v>
      </c>
      <c r="Q86" s="272">
        <f t="shared" si="55"/>
        <v>6</v>
      </c>
      <c r="R86" s="272"/>
      <c r="S86" s="272"/>
      <c r="T86" s="272"/>
      <c r="U86" s="272"/>
      <c r="V86" s="272"/>
      <c r="W86" s="272"/>
      <c r="X86" s="277" t="s">
        <v>1338</v>
      </c>
      <c r="Y86" s="810">
        <f t="shared" si="52"/>
        <v>0</v>
      </c>
    </row>
    <row r="87" spans="1:25" ht="30.75" customHeight="1">
      <c r="A87" s="401">
        <v>8</v>
      </c>
      <c r="B87" s="821" t="s">
        <v>630</v>
      </c>
      <c r="C87" s="273">
        <f t="shared" ref="C87:T87" si="56">C88</f>
        <v>23</v>
      </c>
      <c r="D87" s="273">
        <f t="shared" si="56"/>
        <v>2.3000000000000003</v>
      </c>
      <c r="E87" s="273">
        <f t="shared" si="56"/>
        <v>20.7</v>
      </c>
      <c r="F87" s="273">
        <f t="shared" si="56"/>
        <v>2</v>
      </c>
      <c r="G87" s="273">
        <f t="shared" si="56"/>
        <v>2</v>
      </c>
      <c r="H87" s="273">
        <f t="shared" si="56"/>
        <v>0</v>
      </c>
      <c r="I87" s="273"/>
      <c r="J87" s="273"/>
      <c r="K87" s="273"/>
      <c r="L87" s="273">
        <f t="shared" si="56"/>
        <v>27</v>
      </c>
      <c r="M87" s="273">
        <f t="shared" si="56"/>
        <v>2</v>
      </c>
      <c r="N87" s="273"/>
      <c r="O87" s="273">
        <f t="shared" si="56"/>
        <v>25</v>
      </c>
      <c r="P87" s="273">
        <f t="shared" si="56"/>
        <v>3</v>
      </c>
      <c r="Q87" s="273">
        <f t="shared" si="56"/>
        <v>22</v>
      </c>
      <c r="R87" s="273">
        <f t="shared" si="56"/>
        <v>2</v>
      </c>
      <c r="S87" s="273">
        <f t="shared" si="56"/>
        <v>2</v>
      </c>
      <c r="T87" s="273">
        <f t="shared" si="56"/>
        <v>0</v>
      </c>
      <c r="U87" s="273"/>
      <c r="V87" s="273"/>
      <c r="W87" s="273"/>
      <c r="X87" s="274"/>
      <c r="Y87" s="810">
        <f t="shared" si="52"/>
        <v>0</v>
      </c>
    </row>
    <row r="88" spans="1:25" ht="20.25" customHeight="1">
      <c r="A88" s="814" t="s">
        <v>23</v>
      </c>
      <c r="B88" s="820" t="s">
        <v>1966</v>
      </c>
      <c r="C88" s="275">
        <v>23</v>
      </c>
      <c r="D88" s="275">
        <f>C88*10%</f>
        <v>2.3000000000000003</v>
      </c>
      <c r="E88" s="275">
        <f>C88-D88</f>
        <v>20.7</v>
      </c>
      <c r="F88" s="275">
        <v>2</v>
      </c>
      <c r="G88" s="275">
        <f>F88</f>
        <v>2</v>
      </c>
      <c r="H88" s="275"/>
      <c r="I88" s="275"/>
      <c r="J88" s="275"/>
      <c r="K88" s="275"/>
      <c r="L88" s="275">
        <v>27</v>
      </c>
      <c r="M88" s="275">
        <v>2</v>
      </c>
      <c r="N88" s="275"/>
      <c r="O88" s="275">
        <v>25</v>
      </c>
      <c r="P88" s="275">
        <f>ROUND(O88*10%,0)</f>
        <v>3</v>
      </c>
      <c r="Q88" s="275">
        <f>O88-P88</f>
        <v>22</v>
      </c>
      <c r="R88" s="275">
        <v>2</v>
      </c>
      <c r="S88" s="275">
        <f>R88</f>
        <v>2</v>
      </c>
      <c r="T88" s="275"/>
      <c r="U88" s="275"/>
      <c r="V88" s="275"/>
      <c r="W88" s="275"/>
      <c r="X88" s="277" t="s">
        <v>1343</v>
      </c>
      <c r="Y88" s="810">
        <f t="shared" si="52"/>
        <v>0</v>
      </c>
    </row>
    <row r="89" spans="1:25" ht="20.25" customHeight="1">
      <c r="A89" s="401">
        <v>9</v>
      </c>
      <c r="B89" s="816" t="s">
        <v>635</v>
      </c>
      <c r="C89" s="280">
        <f t="shared" ref="C89:T89" si="57">C90</f>
        <v>341</v>
      </c>
      <c r="D89" s="280">
        <f t="shared" si="57"/>
        <v>34</v>
      </c>
      <c r="E89" s="280">
        <f t="shared" si="57"/>
        <v>307</v>
      </c>
      <c r="F89" s="280">
        <f t="shared" si="57"/>
        <v>0</v>
      </c>
      <c r="G89" s="280">
        <f t="shared" si="57"/>
        <v>0</v>
      </c>
      <c r="H89" s="280">
        <f t="shared" si="57"/>
        <v>0</v>
      </c>
      <c r="I89" s="280"/>
      <c r="J89" s="280"/>
      <c r="K89" s="280"/>
      <c r="L89" s="280">
        <f t="shared" si="57"/>
        <v>341</v>
      </c>
      <c r="M89" s="280">
        <f t="shared" si="57"/>
        <v>0</v>
      </c>
      <c r="N89" s="280"/>
      <c r="O89" s="280">
        <f t="shared" si="57"/>
        <v>200</v>
      </c>
      <c r="P89" s="280">
        <f t="shared" si="57"/>
        <v>20</v>
      </c>
      <c r="Q89" s="280">
        <f t="shared" si="57"/>
        <v>180</v>
      </c>
      <c r="R89" s="280">
        <f t="shared" si="57"/>
        <v>0</v>
      </c>
      <c r="S89" s="280">
        <f t="shared" si="57"/>
        <v>0</v>
      </c>
      <c r="T89" s="280">
        <f t="shared" si="57"/>
        <v>0</v>
      </c>
      <c r="U89" s="280"/>
      <c r="V89" s="280"/>
      <c r="W89" s="280"/>
      <c r="X89" s="274"/>
      <c r="Y89" s="810">
        <f t="shared" si="52"/>
        <v>0</v>
      </c>
    </row>
    <row r="90" spans="1:25" ht="27.6">
      <c r="A90" s="814" t="s">
        <v>23</v>
      </c>
      <c r="B90" s="820" t="s">
        <v>1344</v>
      </c>
      <c r="C90" s="275">
        <v>341</v>
      </c>
      <c r="D90" s="275">
        <f>ROUND(C90*10%,0)</f>
        <v>34</v>
      </c>
      <c r="E90" s="275">
        <f>ROUND(C90-D90,0)</f>
        <v>307</v>
      </c>
      <c r="F90" s="275"/>
      <c r="G90" s="275"/>
      <c r="H90" s="275"/>
      <c r="I90" s="275"/>
      <c r="J90" s="275"/>
      <c r="K90" s="275"/>
      <c r="L90" s="275">
        <v>341</v>
      </c>
      <c r="M90" s="275"/>
      <c r="N90" s="275"/>
      <c r="O90" s="275">
        <v>200</v>
      </c>
      <c r="P90" s="275">
        <f>ROUND(O90*10%,0)</f>
        <v>20</v>
      </c>
      <c r="Q90" s="275">
        <f>ROUND(O90-P90,0)</f>
        <v>180</v>
      </c>
      <c r="R90" s="275"/>
      <c r="S90" s="275"/>
      <c r="T90" s="275"/>
      <c r="U90" s="275"/>
      <c r="V90" s="275"/>
      <c r="W90" s="275"/>
      <c r="X90" s="277" t="s">
        <v>1345</v>
      </c>
      <c r="Y90" s="810">
        <f t="shared" si="52"/>
        <v>0</v>
      </c>
    </row>
    <row r="91" spans="1:25" ht="24.75" customHeight="1">
      <c r="A91" s="401">
        <v>10</v>
      </c>
      <c r="B91" s="398" t="s">
        <v>1278</v>
      </c>
      <c r="C91" s="273">
        <f t="shared" ref="C91:H91" si="58">SUM(C92:C96)</f>
        <v>50</v>
      </c>
      <c r="D91" s="273">
        <f t="shared" si="58"/>
        <v>28</v>
      </c>
      <c r="E91" s="273">
        <f t="shared" si="58"/>
        <v>22</v>
      </c>
      <c r="F91" s="273">
        <f t="shared" si="58"/>
        <v>0</v>
      </c>
      <c r="G91" s="273">
        <f t="shared" si="58"/>
        <v>0</v>
      </c>
      <c r="H91" s="273">
        <f t="shared" si="58"/>
        <v>0</v>
      </c>
      <c r="I91" s="273"/>
      <c r="J91" s="273"/>
      <c r="K91" s="273"/>
      <c r="L91" s="273">
        <f t="shared" ref="L91:T91" si="59">SUM(L92:L96)</f>
        <v>50</v>
      </c>
      <c r="M91" s="273">
        <f t="shared" si="59"/>
        <v>0</v>
      </c>
      <c r="N91" s="273"/>
      <c r="O91" s="273">
        <f t="shared" si="59"/>
        <v>50</v>
      </c>
      <c r="P91" s="273">
        <f t="shared" si="59"/>
        <v>28</v>
      </c>
      <c r="Q91" s="273">
        <f t="shared" si="59"/>
        <v>22</v>
      </c>
      <c r="R91" s="273">
        <f t="shared" si="59"/>
        <v>0</v>
      </c>
      <c r="S91" s="273">
        <f t="shared" si="59"/>
        <v>0</v>
      </c>
      <c r="T91" s="273">
        <f t="shared" si="59"/>
        <v>0</v>
      </c>
      <c r="U91" s="273"/>
      <c r="V91" s="273"/>
      <c r="W91" s="273"/>
      <c r="X91" s="281"/>
      <c r="Y91" s="810">
        <f t="shared" si="52"/>
        <v>0</v>
      </c>
    </row>
    <row r="92" spans="1:25" ht="27.6">
      <c r="A92" s="811" t="s">
        <v>23</v>
      </c>
      <c r="B92" s="399" t="s">
        <v>1346</v>
      </c>
      <c r="C92" s="275">
        <v>15</v>
      </c>
      <c r="D92" s="275">
        <f>ROUND(C92*70%,0)</f>
        <v>11</v>
      </c>
      <c r="E92" s="275">
        <f>C92-D92</f>
        <v>4</v>
      </c>
      <c r="F92" s="275"/>
      <c r="G92" s="275"/>
      <c r="H92" s="275"/>
      <c r="I92" s="275"/>
      <c r="J92" s="275"/>
      <c r="K92" s="275"/>
      <c r="L92" s="275">
        <v>8</v>
      </c>
      <c r="M92" s="275"/>
      <c r="N92" s="275"/>
      <c r="O92" s="275">
        <v>15</v>
      </c>
      <c r="P92" s="275">
        <f>ROUND(O92*70%,0)</f>
        <v>11</v>
      </c>
      <c r="Q92" s="275">
        <f>O92-P92</f>
        <v>4</v>
      </c>
      <c r="R92" s="275"/>
      <c r="S92" s="275"/>
      <c r="T92" s="275"/>
      <c r="U92" s="275"/>
      <c r="V92" s="275"/>
      <c r="W92" s="275"/>
      <c r="X92" s="277" t="s">
        <v>1347</v>
      </c>
      <c r="Y92" s="810">
        <f t="shared" si="52"/>
        <v>0</v>
      </c>
    </row>
    <row r="93" spans="1:25" ht="27.6">
      <c r="A93" s="811" t="s">
        <v>23</v>
      </c>
      <c r="B93" s="399" t="s">
        <v>1348</v>
      </c>
      <c r="C93" s="275">
        <v>10</v>
      </c>
      <c r="D93" s="275">
        <f>C93</f>
        <v>10</v>
      </c>
      <c r="E93" s="275">
        <f t="shared" ref="E93:E94" si="60">C93-D93</f>
        <v>0</v>
      </c>
      <c r="F93" s="275"/>
      <c r="G93" s="275"/>
      <c r="H93" s="275"/>
      <c r="I93" s="275"/>
      <c r="J93" s="275"/>
      <c r="K93" s="275"/>
      <c r="L93" s="275">
        <v>20</v>
      </c>
      <c r="M93" s="275"/>
      <c r="N93" s="275"/>
      <c r="O93" s="275">
        <v>10</v>
      </c>
      <c r="P93" s="275">
        <f>O93</f>
        <v>10</v>
      </c>
      <c r="Q93" s="275">
        <f t="shared" ref="Q93:Q94" si="61">O93-P93</f>
        <v>0</v>
      </c>
      <c r="R93" s="275"/>
      <c r="S93" s="275"/>
      <c r="T93" s="275"/>
      <c r="U93" s="275"/>
      <c r="V93" s="275"/>
      <c r="W93" s="275"/>
      <c r="X93" s="277" t="s">
        <v>1349</v>
      </c>
      <c r="Y93" s="810">
        <f t="shared" si="52"/>
        <v>0</v>
      </c>
    </row>
    <row r="94" spans="1:25" ht="27.6">
      <c r="A94" s="811" t="s">
        <v>23</v>
      </c>
      <c r="B94" s="399" t="s">
        <v>1350</v>
      </c>
      <c r="C94" s="275">
        <v>5</v>
      </c>
      <c r="D94" s="275">
        <f>C94</f>
        <v>5</v>
      </c>
      <c r="E94" s="275">
        <f t="shared" si="60"/>
        <v>0</v>
      </c>
      <c r="F94" s="275"/>
      <c r="G94" s="275"/>
      <c r="H94" s="275"/>
      <c r="I94" s="275"/>
      <c r="J94" s="275"/>
      <c r="K94" s="275"/>
      <c r="L94" s="275">
        <v>2</v>
      </c>
      <c r="M94" s="275"/>
      <c r="N94" s="275"/>
      <c r="O94" s="275">
        <v>5</v>
      </c>
      <c r="P94" s="275">
        <f>O94</f>
        <v>5</v>
      </c>
      <c r="Q94" s="275">
        <f t="shared" si="61"/>
        <v>0</v>
      </c>
      <c r="R94" s="275"/>
      <c r="S94" s="275"/>
      <c r="T94" s="275"/>
      <c r="U94" s="275"/>
      <c r="V94" s="275"/>
      <c r="W94" s="275"/>
      <c r="X94" s="277" t="s">
        <v>1351</v>
      </c>
      <c r="Y94" s="810">
        <f t="shared" si="52"/>
        <v>0</v>
      </c>
    </row>
    <row r="95" spans="1:25" ht="24.75" customHeight="1">
      <c r="A95" s="811" t="s">
        <v>23</v>
      </c>
      <c r="B95" s="399" t="s">
        <v>1714</v>
      </c>
      <c r="C95" s="275">
        <v>10</v>
      </c>
      <c r="D95" s="275">
        <f>C95*10%</f>
        <v>1</v>
      </c>
      <c r="E95" s="275">
        <f>C95-D95</f>
        <v>9</v>
      </c>
      <c r="F95" s="275"/>
      <c r="G95" s="275"/>
      <c r="H95" s="275"/>
      <c r="I95" s="275"/>
      <c r="J95" s="275"/>
      <c r="K95" s="275"/>
      <c r="L95" s="275">
        <v>17</v>
      </c>
      <c r="M95" s="275"/>
      <c r="N95" s="275"/>
      <c r="O95" s="275">
        <v>10</v>
      </c>
      <c r="P95" s="275">
        <f>O95*10%</f>
        <v>1</v>
      </c>
      <c r="Q95" s="275">
        <f>O95-P95</f>
        <v>9</v>
      </c>
      <c r="R95" s="275"/>
      <c r="S95" s="275"/>
      <c r="T95" s="275"/>
      <c r="U95" s="275"/>
      <c r="V95" s="275"/>
      <c r="W95" s="275"/>
      <c r="X95" s="277" t="s">
        <v>1715</v>
      </c>
      <c r="Y95" s="810">
        <f t="shared" si="52"/>
        <v>0</v>
      </c>
    </row>
    <row r="96" spans="1:25" ht="40.5" customHeight="1">
      <c r="A96" s="811" t="s">
        <v>23</v>
      </c>
      <c r="B96" s="399" t="s">
        <v>1716</v>
      </c>
      <c r="C96" s="275">
        <v>10</v>
      </c>
      <c r="D96" s="275">
        <f>C96*10%</f>
        <v>1</v>
      </c>
      <c r="E96" s="275">
        <f>C96-D96</f>
        <v>9</v>
      </c>
      <c r="F96" s="275"/>
      <c r="G96" s="275"/>
      <c r="H96" s="275"/>
      <c r="I96" s="275"/>
      <c r="J96" s="275"/>
      <c r="K96" s="275"/>
      <c r="L96" s="275">
        <v>3</v>
      </c>
      <c r="M96" s="275"/>
      <c r="N96" s="275"/>
      <c r="O96" s="275">
        <v>10</v>
      </c>
      <c r="P96" s="275">
        <f>O96*10%</f>
        <v>1</v>
      </c>
      <c r="Q96" s="275">
        <f>O96-P96</f>
        <v>9</v>
      </c>
      <c r="R96" s="275"/>
      <c r="S96" s="275"/>
      <c r="T96" s="275"/>
      <c r="U96" s="275"/>
      <c r="V96" s="275"/>
      <c r="W96" s="275"/>
      <c r="X96" s="277" t="s">
        <v>1351</v>
      </c>
      <c r="Y96" s="810">
        <f t="shared" si="52"/>
        <v>0</v>
      </c>
    </row>
    <row r="97" spans="1:25" ht="24.75" customHeight="1">
      <c r="A97" s="401">
        <v>11</v>
      </c>
      <c r="B97" s="398" t="s">
        <v>1512</v>
      </c>
      <c r="C97" s="273">
        <f>SUM(C98)</f>
        <v>150</v>
      </c>
      <c r="D97" s="273">
        <f t="shared" ref="D97:W97" si="62">SUM(D98)</f>
        <v>15</v>
      </c>
      <c r="E97" s="273">
        <f t="shared" si="62"/>
        <v>135</v>
      </c>
      <c r="F97" s="273">
        <f t="shared" si="62"/>
        <v>0</v>
      </c>
      <c r="G97" s="273">
        <f t="shared" si="62"/>
        <v>0</v>
      </c>
      <c r="H97" s="273">
        <f t="shared" si="62"/>
        <v>0</v>
      </c>
      <c r="I97" s="273">
        <f t="shared" si="62"/>
        <v>0</v>
      </c>
      <c r="J97" s="273">
        <f t="shared" si="62"/>
        <v>0</v>
      </c>
      <c r="K97" s="273">
        <f t="shared" si="62"/>
        <v>0</v>
      </c>
      <c r="L97" s="273">
        <f t="shared" si="62"/>
        <v>120</v>
      </c>
      <c r="M97" s="273">
        <f t="shared" si="62"/>
        <v>0</v>
      </c>
      <c r="N97" s="273">
        <f t="shared" si="62"/>
        <v>0</v>
      </c>
      <c r="O97" s="273">
        <f t="shared" si="62"/>
        <v>120</v>
      </c>
      <c r="P97" s="273">
        <f t="shared" si="62"/>
        <v>12</v>
      </c>
      <c r="Q97" s="273">
        <f t="shared" si="62"/>
        <v>108</v>
      </c>
      <c r="R97" s="273">
        <f t="shared" si="62"/>
        <v>0</v>
      </c>
      <c r="S97" s="273">
        <f t="shared" si="62"/>
        <v>0</v>
      </c>
      <c r="T97" s="273">
        <f t="shared" si="62"/>
        <v>0</v>
      </c>
      <c r="U97" s="273">
        <f t="shared" si="62"/>
        <v>0</v>
      </c>
      <c r="V97" s="273">
        <f t="shared" si="62"/>
        <v>0</v>
      </c>
      <c r="W97" s="273">
        <f t="shared" si="62"/>
        <v>0</v>
      </c>
      <c r="X97" s="281"/>
      <c r="Y97" s="810">
        <f t="shared" si="52"/>
        <v>0</v>
      </c>
    </row>
    <row r="98" spans="1:25" ht="30.75" customHeight="1">
      <c r="A98" s="811" t="s">
        <v>23</v>
      </c>
      <c r="B98" s="399" t="s">
        <v>1717</v>
      </c>
      <c r="C98" s="275">
        <v>150</v>
      </c>
      <c r="D98" s="275">
        <f>C98*10%</f>
        <v>15</v>
      </c>
      <c r="E98" s="275">
        <f>C98-D98</f>
        <v>135</v>
      </c>
      <c r="F98" s="275"/>
      <c r="G98" s="275"/>
      <c r="H98" s="275"/>
      <c r="I98" s="275"/>
      <c r="J98" s="275"/>
      <c r="K98" s="275"/>
      <c r="L98" s="275">
        <v>120</v>
      </c>
      <c r="M98" s="275"/>
      <c r="N98" s="275"/>
      <c r="O98" s="275">
        <v>120</v>
      </c>
      <c r="P98" s="275">
        <f>O98*10%</f>
        <v>12</v>
      </c>
      <c r="Q98" s="275">
        <f>O98-P98</f>
        <v>108</v>
      </c>
      <c r="R98" s="275"/>
      <c r="S98" s="275"/>
      <c r="T98" s="275"/>
      <c r="U98" s="275"/>
      <c r="V98" s="275"/>
      <c r="W98" s="275"/>
      <c r="X98" s="277" t="s">
        <v>1718</v>
      </c>
      <c r="Y98" s="810">
        <f t="shared" si="52"/>
        <v>0</v>
      </c>
    </row>
    <row r="99" spans="1:25" s="400" customFormat="1" ht="18.75" customHeight="1">
      <c r="A99" s="825" t="s">
        <v>70</v>
      </c>
      <c r="B99" s="826" t="s">
        <v>1525</v>
      </c>
      <c r="C99" s="526">
        <v>1834</v>
      </c>
      <c r="D99" s="526">
        <f>C99</f>
        <v>1834</v>
      </c>
      <c r="E99" s="526"/>
      <c r="F99" s="526"/>
      <c r="G99" s="526"/>
      <c r="H99" s="526"/>
      <c r="I99" s="526"/>
      <c r="J99" s="526"/>
      <c r="K99" s="526"/>
      <c r="L99" s="526"/>
      <c r="M99" s="526"/>
      <c r="N99" s="526"/>
      <c r="O99" s="526">
        <f>1322+1511-500-10</f>
        <v>2323</v>
      </c>
      <c r="P99" s="526">
        <f>O99</f>
        <v>2323</v>
      </c>
      <c r="Q99" s="526"/>
      <c r="R99" s="526"/>
      <c r="S99" s="526"/>
      <c r="T99" s="526"/>
      <c r="U99" s="526"/>
      <c r="V99" s="526"/>
      <c r="W99" s="526"/>
      <c r="X99" s="527" t="s">
        <v>1967</v>
      </c>
      <c r="Y99" s="810">
        <f t="shared" si="52"/>
        <v>0</v>
      </c>
    </row>
    <row r="100" spans="1:25" s="400" customFormat="1" ht="27.6">
      <c r="A100" s="825" t="s">
        <v>71</v>
      </c>
      <c r="B100" s="826" t="s">
        <v>1734</v>
      </c>
      <c r="C100" s="526">
        <f>C101</f>
        <v>0</v>
      </c>
      <c r="D100" s="526">
        <f t="shared" ref="D100:W100" si="63">D101</f>
        <v>0</v>
      </c>
      <c r="E100" s="526">
        <f t="shared" si="63"/>
        <v>0</v>
      </c>
      <c r="F100" s="526">
        <f t="shared" si="63"/>
        <v>0</v>
      </c>
      <c r="G100" s="526">
        <f t="shared" si="63"/>
        <v>0</v>
      </c>
      <c r="H100" s="526">
        <f t="shared" si="63"/>
        <v>0</v>
      </c>
      <c r="I100" s="526">
        <f t="shared" si="63"/>
        <v>2566</v>
      </c>
      <c r="J100" s="526">
        <f t="shared" si="63"/>
        <v>1429</v>
      </c>
      <c r="K100" s="526">
        <f t="shared" si="63"/>
        <v>1137</v>
      </c>
      <c r="L100" s="526">
        <f t="shared" si="63"/>
        <v>0</v>
      </c>
      <c r="M100" s="526">
        <f t="shared" si="63"/>
        <v>0</v>
      </c>
      <c r="N100" s="526">
        <f t="shared" si="63"/>
        <v>465</v>
      </c>
      <c r="O100" s="526">
        <f t="shared" si="63"/>
        <v>0</v>
      </c>
      <c r="P100" s="526">
        <f t="shared" si="63"/>
        <v>0</v>
      </c>
      <c r="Q100" s="526">
        <f t="shared" si="63"/>
        <v>0</v>
      </c>
      <c r="R100" s="526">
        <f t="shared" si="63"/>
        <v>0</v>
      </c>
      <c r="S100" s="526">
        <f t="shared" si="63"/>
        <v>0</v>
      </c>
      <c r="T100" s="526">
        <f t="shared" si="63"/>
        <v>0</v>
      </c>
      <c r="U100" s="526">
        <f t="shared" si="63"/>
        <v>2918</v>
      </c>
      <c r="V100" s="526">
        <f t="shared" si="63"/>
        <v>1218</v>
      </c>
      <c r="W100" s="526">
        <f t="shared" si="63"/>
        <v>1700</v>
      </c>
      <c r="X100" s="527"/>
      <c r="Y100" s="810">
        <f t="shared" si="52"/>
        <v>0</v>
      </c>
    </row>
    <row r="101" spans="1:25" ht="22.5" customHeight="1">
      <c r="A101" s="831">
        <v>1</v>
      </c>
      <c r="B101" s="832" t="s">
        <v>865</v>
      </c>
      <c r="C101" s="402"/>
      <c r="D101" s="402"/>
      <c r="E101" s="402"/>
      <c r="F101" s="402"/>
      <c r="G101" s="402"/>
      <c r="H101" s="402"/>
      <c r="I101" s="402">
        <v>2566</v>
      </c>
      <c r="J101" s="402">
        <v>1429</v>
      </c>
      <c r="K101" s="402">
        <f>I101-J101</f>
        <v>1137</v>
      </c>
      <c r="L101" s="402"/>
      <c r="M101" s="402"/>
      <c r="N101" s="402">
        <v>465</v>
      </c>
      <c r="O101" s="402"/>
      <c r="P101" s="402"/>
      <c r="Q101" s="402"/>
      <c r="R101" s="402"/>
      <c r="S101" s="402"/>
      <c r="T101" s="402"/>
      <c r="U101" s="402">
        <f>2918</f>
        <v>2918</v>
      </c>
      <c r="V101" s="402">
        <f>1259-41</f>
        <v>1218</v>
      </c>
      <c r="W101" s="402">
        <f>U101-V101</f>
        <v>1700</v>
      </c>
      <c r="X101" s="1018"/>
      <c r="Y101" s="810">
        <f t="shared" si="52"/>
        <v>0</v>
      </c>
    </row>
    <row r="102" spans="1:25" s="400" customFormat="1">
      <c r="A102" s="827"/>
      <c r="B102" s="828"/>
      <c r="C102" s="406"/>
      <c r="D102" s="406"/>
      <c r="E102" s="406"/>
      <c r="F102" s="406"/>
      <c r="G102" s="406"/>
      <c r="H102" s="406"/>
      <c r="I102" s="406"/>
      <c r="J102" s="406"/>
      <c r="K102" s="406"/>
      <c r="L102" s="406"/>
      <c r="M102" s="406"/>
      <c r="N102" s="406"/>
      <c r="O102" s="406"/>
      <c r="P102" s="406"/>
      <c r="Q102" s="406"/>
      <c r="R102" s="406"/>
      <c r="S102" s="406"/>
      <c r="T102" s="406"/>
      <c r="U102" s="406"/>
      <c r="V102" s="406"/>
      <c r="W102" s="406"/>
      <c r="X102" s="406"/>
      <c r="Y102" s="810"/>
    </row>
    <row r="103" spans="1:25" ht="11.25" customHeight="1">
      <c r="A103" s="1516"/>
      <c r="B103" s="1516"/>
      <c r="C103" s="1516"/>
      <c r="D103" s="1516"/>
      <c r="E103" s="1516"/>
      <c r="F103" s="1516"/>
      <c r="G103" s="1516"/>
      <c r="H103" s="1516"/>
      <c r="I103" s="1516"/>
      <c r="J103" s="1516"/>
      <c r="K103" s="1516"/>
      <c r="L103" s="1516"/>
      <c r="M103" s="1516"/>
      <c r="N103" s="1516"/>
      <c r="O103" s="1516"/>
      <c r="P103" s="1516"/>
      <c r="Q103" s="1516"/>
      <c r="R103" s="1516"/>
      <c r="S103" s="1516"/>
      <c r="T103" s="1516"/>
      <c r="U103" s="1516"/>
      <c r="V103" s="1516"/>
      <c r="W103" s="1516"/>
      <c r="X103" s="1516"/>
    </row>
    <row r="104" spans="1:25" ht="87.75" customHeight="1">
      <c r="A104" s="1508" t="s">
        <v>1968</v>
      </c>
      <c r="B104" s="1508"/>
      <c r="C104" s="1508"/>
      <c r="D104" s="1508"/>
      <c r="E104" s="1508"/>
      <c r="F104" s="1508"/>
      <c r="G104" s="1508"/>
      <c r="H104" s="1508"/>
      <c r="I104" s="1508"/>
      <c r="J104" s="1508"/>
      <c r="K104" s="1508"/>
      <c r="L104" s="1508"/>
      <c r="M104" s="1508"/>
      <c r="N104" s="1508"/>
      <c r="O104" s="1508"/>
      <c r="P104" s="1508"/>
      <c r="Q104" s="1508"/>
      <c r="R104" s="1508"/>
      <c r="S104" s="1508"/>
      <c r="T104" s="1508"/>
      <c r="U104" s="1508"/>
      <c r="V104" s="1508"/>
      <c r="W104" s="1508"/>
      <c r="X104" s="1508"/>
    </row>
    <row r="105" spans="1:25" ht="15.75" customHeight="1">
      <c r="A105" s="394"/>
      <c r="B105" s="829"/>
    </row>
    <row r="106" spans="1:25">
      <c r="A106" s="407"/>
    </row>
  </sheetData>
  <mergeCells count="24">
    <mergeCell ref="R8:T8"/>
    <mergeCell ref="U8:W8"/>
    <mergeCell ref="A3:X3"/>
    <mergeCell ref="H5:X5"/>
    <mergeCell ref="A6:A9"/>
    <mergeCell ref="B6:B9"/>
    <mergeCell ref="C6:K7"/>
    <mergeCell ref="L6:N7"/>
    <mergeCell ref="A104:X104"/>
    <mergeCell ref="A4:W4"/>
    <mergeCell ref="X14:X22"/>
    <mergeCell ref="X25:X26"/>
    <mergeCell ref="X59:X60"/>
    <mergeCell ref="X78:X79"/>
    <mergeCell ref="A103:X103"/>
    <mergeCell ref="O6:W7"/>
    <mergeCell ref="X6:X9"/>
    <mergeCell ref="C8:E8"/>
    <mergeCell ref="F8:H8"/>
    <mergeCell ref="I8:K8"/>
    <mergeCell ref="L8:L9"/>
    <mergeCell ref="M8:M9"/>
    <mergeCell ref="N8:N9"/>
    <mergeCell ref="O8:Q8"/>
  </mergeCells>
  <dataValidations count="1">
    <dataValidation allowBlank="1" showInputMessage="1" showErrorMessage="1" prompt="Mục III TTu 258 BTC." sqref="B44:B45"/>
  </dataValidations>
  <pageMargins left="0.51181102362204722" right="0.47244094488188981" top="0.78740157480314965" bottom="0.59055118110236227" header="0.19685039370078741" footer="0.31496062992125984"/>
  <pageSetup paperSize="9" scale="67" fitToHeight="0" orientation="portrait" r:id="rId1"/>
  <headerFooter>
    <oddFooter>&amp;R&amp;11&amp;P/&amp;N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39"/>
  <sheetViews>
    <sheetView zoomScaleNormal="100" workbookViewId="0">
      <selection activeCell="A3" sqref="A3:I3"/>
    </sheetView>
  </sheetViews>
  <sheetFormatPr defaultRowHeight="13.8" outlineLevelRow="1" outlineLevelCol="1"/>
  <cols>
    <col min="1" max="1" width="6.33203125" style="394" customWidth="1"/>
    <col min="2" max="2" width="43.44140625" style="394" customWidth="1"/>
    <col min="3" max="3" width="14.33203125" style="394" hidden="1" customWidth="1" outlineLevel="1"/>
    <col min="4" max="4" width="15.88671875" style="394" hidden="1" customWidth="1" outlineLevel="1"/>
    <col min="5" max="5" width="17.5546875" style="394" hidden="1" customWidth="1" outlineLevel="1"/>
    <col min="6" max="6" width="15" style="394" hidden="1" customWidth="1" outlineLevel="1"/>
    <col min="7" max="7" width="14.44140625" style="394" customWidth="1" collapsed="1"/>
    <col min="8" max="8" width="17.5546875" style="394" hidden="1" customWidth="1" outlineLevel="1"/>
    <col min="9" max="9" width="17.5546875" style="394" customWidth="1" collapsed="1"/>
    <col min="10" max="10" width="23.44140625" style="394" hidden="1" customWidth="1" outlineLevel="1"/>
    <col min="11" max="11" width="38" style="394" customWidth="1" collapsed="1"/>
    <col min="12" max="29" width="9.109375" style="394" customWidth="1"/>
    <col min="30" max="225" width="9" style="394"/>
    <col min="226" max="226" width="4.88671875" style="394" customWidth="1"/>
    <col min="227" max="227" width="64.44140625" style="394" customWidth="1"/>
    <col min="228" max="245" width="0" style="394" hidden="1" customWidth="1"/>
    <col min="246" max="246" width="11.6640625" style="394" customWidth="1"/>
    <col min="247" max="247" width="11.33203125" style="394" customWidth="1"/>
    <col min="248" max="255" width="0" style="394" hidden="1" customWidth="1"/>
    <col min="256" max="256" width="9.33203125" style="394" bestFit="1" customWidth="1"/>
    <col min="257" max="481" width="9" style="394"/>
    <col min="482" max="482" width="4.88671875" style="394" customWidth="1"/>
    <col min="483" max="483" width="64.44140625" style="394" customWidth="1"/>
    <col min="484" max="501" width="0" style="394" hidden="1" customWidth="1"/>
    <col min="502" max="502" width="11.6640625" style="394" customWidth="1"/>
    <col min="503" max="503" width="11.33203125" style="394" customWidth="1"/>
    <col min="504" max="511" width="0" style="394" hidden="1" customWidth="1"/>
    <col min="512" max="512" width="9.33203125" style="394" bestFit="1" customWidth="1"/>
    <col min="513" max="737" width="9" style="394"/>
    <col min="738" max="738" width="4.88671875" style="394" customWidth="1"/>
    <col min="739" max="739" width="64.44140625" style="394" customWidth="1"/>
    <col min="740" max="757" width="0" style="394" hidden="1" customWidth="1"/>
    <col min="758" max="758" width="11.6640625" style="394" customWidth="1"/>
    <col min="759" max="759" width="11.33203125" style="394" customWidth="1"/>
    <col min="760" max="767" width="0" style="394" hidden="1" customWidth="1"/>
    <col min="768" max="768" width="9.33203125" style="394" bestFit="1" customWidth="1"/>
    <col min="769" max="993" width="9" style="394"/>
    <col min="994" max="994" width="4.88671875" style="394" customWidth="1"/>
    <col min="995" max="995" width="64.44140625" style="394" customWidth="1"/>
    <col min="996" max="1013" width="0" style="394" hidden="1" customWidth="1"/>
    <col min="1014" max="1014" width="11.6640625" style="394" customWidth="1"/>
    <col min="1015" max="1015" width="11.33203125" style="394" customWidth="1"/>
    <col min="1016" max="1023" width="0" style="394" hidden="1" customWidth="1"/>
    <col min="1024" max="1024" width="9.33203125" style="394" bestFit="1" customWidth="1"/>
    <col min="1025" max="1249" width="9" style="394"/>
    <col min="1250" max="1250" width="4.88671875" style="394" customWidth="1"/>
    <col min="1251" max="1251" width="64.44140625" style="394" customWidth="1"/>
    <col min="1252" max="1269" width="0" style="394" hidden="1" customWidth="1"/>
    <col min="1270" max="1270" width="11.6640625" style="394" customWidth="1"/>
    <col min="1271" max="1271" width="11.33203125" style="394" customWidth="1"/>
    <col min="1272" max="1279" width="0" style="394" hidden="1" customWidth="1"/>
    <col min="1280" max="1280" width="9.33203125" style="394" bestFit="1" customWidth="1"/>
    <col min="1281" max="1505" width="9" style="394"/>
    <col min="1506" max="1506" width="4.88671875" style="394" customWidth="1"/>
    <col min="1507" max="1507" width="64.44140625" style="394" customWidth="1"/>
    <col min="1508" max="1525" width="0" style="394" hidden="1" customWidth="1"/>
    <col min="1526" max="1526" width="11.6640625" style="394" customWidth="1"/>
    <col min="1527" max="1527" width="11.33203125" style="394" customWidth="1"/>
    <col min="1528" max="1535" width="0" style="394" hidden="1" customWidth="1"/>
    <col min="1536" max="1536" width="9.33203125" style="394" bestFit="1" customWidth="1"/>
    <col min="1537" max="1761" width="9" style="394"/>
    <col min="1762" max="1762" width="4.88671875" style="394" customWidth="1"/>
    <col min="1763" max="1763" width="64.44140625" style="394" customWidth="1"/>
    <col min="1764" max="1781" width="0" style="394" hidden="1" customWidth="1"/>
    <col min="1782" max="1782" width="11.6640625" style="394" customWidth="1"/>
    <col min="1783" max="1783" width="11.33203125" style="394" customWidth="1"/>
    <col min="1784" max="1791" width="0" style="394" hidden="1" customWidth="1"/>
    <col min="1792" max="1792" width="9.33203125" style="394" bestFit="1" customWidth="1"/>
    <col min="1793" max="2017" width="9" style="394"/>
    <col min="2018" max="2018" width="4.88671875" style="394" customWidth="1"/>
    <col min="2019" max="2019" width="64.44140625" style="394" customWidth="1"/>
    <col min="2020" max="2037" width="0" style="394" hidden="1" customWidth="1"/>
    <col min="2038" max="2038" width="11.6640625" style="394" customWidth="1"/>
    <col min="2039" max="2039" width="11.33203125" style="394" customWidth="1"/>
    <col min="2040" max="2047" width="0" style="394" hidden="1" customWidth="1"/>
    <col min="2048" max="2048" width="9.33203125" style="394" bestFit="1" customWidth="1"/>
    <col min="2049" max="2273" width="9" style="394"/>
    <col min="2274" max="2274" width="4.88671875" style="394" customWidth="1"/>
    <col min="2275" max="2275" width="64.44140625" style="394" customWidth="1"/>
    <col min="2276" max="2293" width="0" style="394" hidden="1" customWidth="1"/>
    <col min="2294" max="2294" width="11.6640625" style="394" customWidth="1"/>
    <col min="2295" max="2295" width="11.33203125" style="394" customWidth="1"/>
    <col min="2296" max="2303" width="0" style="394" hidden="1" customWidth="1"/>
    <col min="2304" max="2304" width="9.33203125" style="394" bestFit="1" customWidth="1"/>
    <col min="2305" max="2529" width="9" style="394"/>
    <col min="2530" max="2530" width="4.88671875" style="394" customWidth="1"/>
    <col min="2531" max="2531" width="64.44140625" style="394" customWidth="1"/>
    <col min="2532" max="2549" width="0" style="394" hidden="1" customWidth="1"/>
    <col min="2550" max="2550" width="11.6640625" style="394" customWidth="1"/>
    <col min="2551" max="2551" width="11.33203125" style="394" customWidth="1"/>
    <col min="2552" max="2559" width="0" style="394" hidden="1" customWidth="1"/>
    <col min="2560" max="2560" width="9.33203125" style="394" bestFit="1" customWidth="1"/>
    <col min="2561" max="2785" width="9" style="394"/>
    <col min="2786" max="2786" width="4.88671875" style="394" customWidth="1"/>
    <col min="2787" max="2787" width="64.44140625" style="394" customWidth="1"/>
    <col min="2788" max="2805" width="0" style="394" hidden="1" customWidth="1"/>
    <col min="2806" max="2806" width="11.6640625" style="394" customWidth="1"/>
    <col min="2807" max="2807" width="11.33203125" style="394" customWidth="1"/>
    <col min="2808" max="2815" width="0" style="394" hidden="1" customWidth="1"/>
    <col min="2816" max="2816" width="9.33203125" style="394" bestFit="1" customWidth="1"/>
    <col min="2817" max="3041" width="9" style="394"/>
    <col min="3042" max="3042" width="4.88671875" style="394" customWidth="1"/>
    <col min="3043" max="3043" width="64.44140625" style="394" customWidth="1"/>
    <col min="3044" max="3061" width="0" style="394" hidden="1" customWidth="1"/>
    <col min="3062" max="3062" width="11.6640625" style="394" customWidth="1"/>
    <col min="3063" max="3063" width="11.33203125" style="394" customWidth="1"/>
    <col min="3064" max="3071" width="0" style="394" hidden="1" customWidth="1"/>
    <col min="3072" max="3072" width="9.33203125" style="394" bestFit="1" customWidth="1"/>
    <col min="3073" max="3297" width="9" style="394"/>
    <col min="3298" max="3298" width="4.88671875" style="394" customWidth="1"/>
    <col min="3299" max="3299" width="64.44140625" style="394" customWidth="1"/>
    <col min="3300" max="3317" width="0" style="394" hidden="1" customWidth="1"/>
    <col min="3318" max="3318" width="11.6640625" style="394" customWidth="1"/>
    <col min="3319" max="3319" width="11.33203125" style="394" customWidth="1"/>
    <col min="3320" max="3327" width="0" style="394" hidden="1" customWidth="1"/>
    <col min="3328" max="3328" width="9.33203125" style="394" bestFit="1" customWidth="1"/>
    <col min="3329" max="3553" width="9" style="394"/>
    <col min="3554" max="3554" width="4.88671875" style="394" customWidth="1"/>
    <col min="3555" max="3555" width="64.44140625" style="394" customWidth="1"/>
    <col min="3556" max="3573" width="0" style="394" hidden="1" customWidth="1"/>
    <col min="3574" max="3574" width="11.6640625" style="394" customWidth="1"/>
    <col min="3575" max="3575" width="11.33203125" style="394" customWidth="1"/>
    <col min="3576" max="3583" width="0" style="394" hidden="1" customWidth="1"/>
    <col min="3584" max="3584" width="9.33203125" style="394" bestFit="1" customWidth="1"/>
    <col min="3585" max="3809" width="9" style="394"/>
    <col min="3810" max="3810" width="4.88671875" style="394" customWidth="1"/>
    <col min="3811" max="3811" width="64.44140625" style="394" customWidth="1"/>
    <col min="3812" max="3829" width="0" style="394" hidden="1" customWidth="1"/>
    <col min="3830" max="3830" width="11.6640625" style="394" customWidth="1"/>
    <col min="3831" max="3831" width="11.33203125" style="394" customWidth="1"/>
    <col min="3832" max="3839" width="0" style="394" hidden="1" customWidth="1"/>
    <col min="3840" max="3840" width="9.33203125" style="394" bestFit="1" customWidth="1"/>
    <col min="3841" max="4065" width="9" style="394"/>
    <col min="4066" max="4066" width="4.88671875" style="394" customWidth="1"/>
    <col min="4067" max="4067" width="64.44140625" style="394" customWidth="1"/>
    <col min="4068" max="4085" width="0" style="394" hidden="1" customWidth="1"/>
    <col min="4086" max="4086" width="11.6640625" style="394" customWidth="1"/>
    <col min="4087" max="4087" width="11.33203125" style="394" customWidth="1"/>
    <col min="4088" max="4095" width="0" style="394" hidden="1" customWidth="1"/>
    <col min="4096" max="4096" width="9.33203125" style="394" bestFit="1" customWidth="1"/>
    <col min="4097" max="4321" width="9" style="394"/>
    <col min="4322" max="4322" width="4.88671875" style="394" customWidth="1"/>
    <col min="4323" max="4323" width="64.44140625" style="394" customWidth="1"/>
    <col min="4324" max="4341" width="0" style="394" hidden="1" customWidth="1"/>
    <col min="4342" max="4342" width="11.6640625" style="394" customWidth="1"/>
    <col min="4343" max="4343" width="11.33203125" style="394" customWidth="1"/>
    <col min="4344" max="4351" width="0" style="394" hidden="1" customWidth="1"/>
    <col min="4352" max="4352" width="9.33203125" style="394" bestFit="1" customWidth="1"/>
    <col min="4353" max="4577" width="9" style="394"/>
    <col min="4578" max="4578" width="4.88671875" style="394" customWidth="1"/>
    <col min="4579" max="4579" width="64.44140625" style="394" customWidth="1"/>
    <col min="4580" max="4597" width="0" style="394" hidden="1" customWidth="1"/>
    <col min="4598" max="4598" width="11.6640625" style="394" customWidth="1"/>
    <col min="4599" max="4599" width="11.33203125" style="394" customWidth="1"/>
    <col min="4600" max="4607" width="0" style="394" hidden="1" customWidth="1"/>
    <col min="4608" max="4608" width="9.33203125" style="394" bestFit="1" customWidth="1"/>
    <col min="4609" max="4833" width="9" style="394"/>
    <col min="4834" max="4834" width="4.88671875" style="394" customWidth="1"/>
    <col min="4835" max="4835" width="64.44140625" style="394" customWidth="1"/>
    <col min="4836" max="4853" width="0" style="394" hidden="1" customWidth="1"/>
    <col min="4854" max="4854" width="11.6640625" style="394" customWidth="1"/>
    <col min="4855" max="4855" width="11.33203125" style="394" customWidth="1"/>
    <col min="4856" max="4863" width="0" style="394" hidden="1" customWidth="1"/>
    <col min="4864" max="4864" width="9.33203125" style="394" bestFit="1" customWidth="1"/>
    <col min="4865" max="5089" width="9" style="394"/>
    <col min="5090" max="5090" width="4.88671875" style="394" customWidth="1"/>
    <col min="5091" max="5091" width="64.44140625" style="394" customWidth="1"/>
    <col min="5092" max="5109" width="0" style="394" hidden="1" customWidth="1"/>
    <col min="5110" max="5110" width="11.6640625" style="394" customWidth="1"/>
    <col min="5111" max="5111" width="11.33203125" style="394" customWidth="1"/>
    <col min="5112" max="5119" width="0" style="394" hidden="1" customWidth="1"/>
    <col min="5120" max="5120" width="9.33203125" style="394" bestFit="1" customWidth="1"/>
    <col min="5121" max="5345" width="9" style="394"/>
    <col min="5346" max="5346" width="4.88671875" style="394" customWidth="1"/>
    <col min="5347" max="5347" width="64.44140625" style="394" customWidth="1"/>
    <col min="5348" max="5365" width="0" style="394" hidden="1" customWidth="1"/>
    <col min="5366" max="5366" width="11.6640625" style="394" customWidth="1"/>
    <col min="5367" max="5367" width="11.33203125" style="394" customWidth="1"/>
    <col min="5368" max="5375" width="0" style="394" hidden="1" customWidth="1"/>
    <col min="5376" max="5376" width="9.33203125" style="394" bestFit="1" customWidth="1"/>
    <col min="5377" max="5601" width="9" style="394"/>
    <col min="5602" max="5602" width="4.88671875" style="394" customWidth="1"/>
    <col min="5603" max="5603" width="64.44140625" style="394" customWidth="1"/>
    <col min="5604" max="5621" width="0" style="394" hidden="1" customWidth="1"/>
    <col min="5622" max="5622" width="11.6640625" style="394" customWidth="1"/>
    <col min="5623" max="5623" width="11.33203125" style="394" customWidth="1"/>
    <col min="5624" max="5631" width="0" style="394" hidden="1" customWidth="1"/>
    <col min="5632" max="5632" width="9.33203125" style="394" bestFit="1" customWidth="1"/>
    <col min="5633" max="5857" width="9" style="394"/>
    <col min="5858" max="5858" width="4.88671875" style="394" customWidth="1"/>
    <col min="5859" max="5859" width="64.44140625" style="394" customWidth="1"/>
    <col min="5860" max="5877" width="0" style="394" hidden="1" customWidth="1"/>
    <col min="5878" max="5878" width="11.6640625" style="394" customWidth="1"/>
    <col min="5879" max="5879" width="11.33203125" style="394" customWidth="1"/>
    <col min="5880" max="5887" width="0" style="394" hidden="1" customWidth="1"/>
    <col min="5888" max="5888" width="9.33203125" style="394" bestFit="1" customWidth="1"/>
    <col min="5889" max="6113" width="9" style="394"/>
    <col min="6114" max="6114" width="4.88671875" style="394" customWidth="1"/>
    <col min="6115" max="6115" width="64.44140625" style="394" customWidth="1"/>
    <col min="6116" max="6133" width="0" style="394" hidden="1" customWidth="1"/>
    <col min="6134" max="6134" width="11.6640625" style="394" customWidth="1"/>
    <col min="6135" max="6135" width="11.33203125" style="394" customWidth="1"/>
    <col min="6136" max="6143" width="0" style="394" hidden="1" customWidth="1"/>
    <col min="6144" max="6144" width="9.33203125" style="394" bestFit="1" customWidth="1"/>
    <col min="6145" max="6369" width="9" style="394"/>
    <col min="6370" max="6370" width="4.88671875" style="394" customWidth="1"/>
    <col min="6371" max="6371" width="64.44140625" style="394" customWidth="1"/>
    <col min="6372" max="6389" width="0" style="394" hidden="1" customWidth="1"/>
    <col min="6390" max="6390" width="11.6640625" style="394" customWidth="1"/>
    <col min="6391" max="6391" width="11.33203125" style="394" customWidth="1"/>
    <col min="6392" max="6399" width="0" style="394" hidden="1" customWidth="1"/>
    <col min="6400" max="6400" width="9.33203125" style="394" bestFit="1" customWidth="1"/>
    <col min="6401" max="6625" width="9" style="394"/>
    <col min="6626" max="6626" width="4.88671875" style="394" customWidth="1"/>
    <col min="6627" max="6627" width="64.44140625" style="394" customWidth="1"/>
    <col min="6628" max="6645" width="0" style="394" hidden="1" customWidth="1"/>
    <col min="6646" max="6646" width="11.6640625" style="394" customWidth="1"/>
    <col min="6647" max="6647" width="11.33203125" style="394" customWidth="1"/>
    <col min="6648" max="6655" width="0" style="394" hidden="1" customWidth="1"/>
    <col min="6656" max="6656" width="9.33203125" style="394" bestFit="1" customWidth="1"/>
    <col min="6657" max="6881" width="9" style="394"/>
    <col min="6882" max="6882" width="4.88671875" style="394" customWidth="1"/>
    <col min="6883" max="6883" width="64.44140625" style="394" customWidth="1"/>
    <col min="6884" max="6901" width="0" style="394" hidden="1" customWidth="1"/>
    <col min="6902" max="6902" width="11.6640625" style="394" customWidth="1"/>
    <col min="6903" max="6903" width="11.33203125" style="394" customWidth="1"/>
    <col min="6904" max="6911" width="0" style="394" hidden="1" customWidth="1"/>
    <col min="6912" max="6912" width="9.33203125" style="394" bestFit="1" customWidth="1"/>
    <col min="6913" max="7137" width="9" style="394"/>
    <col min="7138" max="7138" width="4.88671875" style="394" customWidth="1"/>
    <col min="7139" max="7139" width="64.44140625" style="394" customWidth="1"/>
    <col min="7140" max="7157" width="0" style="394" hidden="1" customWidth="1"/>
    <col min="7158" max="7158" width="11.6640625" style="394" customWidth="1"/>
    <col min="7159" max="7159" width="11.33203125" style="394" customWidth="1"/>
    <col min="7160" max="7167" width="0" style="394" hidden="1" customWidth="1"/>
    <col min="7168" max="7168" width="9.33203125" style="394" bestFit="1" customWidth="1"/>
    <col min="7169" max="7393" width="9" style="394"/>
    <col min="7394" max="7394" width="4.88671875" style="394" customWidth="1"/>
    <col min="7395" max="7395" width="64.44140625" style="394" customWidth="1"/>
    <col min="7396" max="7413" width="0" style="394" hidden="1" customWidth="1"/>
    <col min="7414" max="7414" width="11.6640625" style="394" customWidth="1"/>
    <col min="7415" max="7415" width="11.33203125" style="394" customWidth="1"/>
    <col min="7416" max="7423" width="0" style="394" hidden="1" customWidth="1"/>
    <col min="7424" max="7424" width="9.33203125" style="394" bestFit="1" customWidth="1"/>
    <col min="7425" max="7649" width="9" style="394"/>
    <col min="7650" max="7650" width="4.88671875" style="394" customWidth="1"/>
    <col min="7651" max="7651" width="64.44140625" style="394" customWidth="1"/>
    <col min="7652" max="7669" width="0" style="394" hidden="1" customWidth="1"/>
    <col min="7670" max="7670" width="11.6640625" style="394" customWidth="1"/>
    <col min="7671" max="7671" width="11.33203125" style="394" customWidth="1"/>
    <col min="7672" max="7679" width="0" style="394" hidden="1" customWidth="1"/>
    <col min="7680" max="7680" width="9.33203125" style="394" bestFit="1" customWidth="1"/>
    <col min="7681" max="7905" width="9" style="394"/>
    <col min="7906" max="7906" width="4.88671875" style="394" customWidth="1"/>
    <col min="7907" max="7907" width="64.44140625" style="394" customWidth="1"/>
    <col min="7908" max="7925" width="0" style="394" hidden="1" customWidth="1"/>
    <col min="7926" max="7926" width="11.6640625" style="394" customWidth="1"/>
    <col min="7927" max="7927" width="11.33203125" style="394" customWidth="1"/>
    <col min="7928" max="7935" width="0" style="394" hidden="1" customWidth="1"/>
    <col min="7936" max="7936" width="9.33203125" style="394" bestFit="1" customWidth="1"/>
    <col min="7937" max="8161" width="9" style="394"/>
    <col min="8162" max="8162" width="4.88671875" style="394" customWidth="1"/>
    <col min="8163" max="8163" width="64.44140625" style="394" customWidth="1"/>
    <col min="8164" max="8181" width="0" style="394" hidden="1" customWidth="1"/>
    <col min="8182" max="8182" width="11.6640625" style="394" customWidth="1"/>
    <col min="8183" max="8183" width="11.33203125" style="394" customWidth="1"/>
    <col min="8184" max="8191" width="0" style="394" hidden="1" customWidth="1"/>
    <col min="8192" max="8192" width="9.33203125" style="394" bestFit="1" customWidth="1"/>
    <col min="8193" max="8417" width="9" style="394"/>
    <col min="8418" max="8418" width="4.88671875" style="394" customWidth="1"/>
    <col min="8419" max="8419" width="64.44140625" style="394" customWidth="1"/>
    <col min="8420" max="8437" width="0" style="394" hidden="1" customWidth="1"/>
    <col min="8438" max="8438" width="11.6640625" style="394" customWidth="1"/>
    <col min="8439" max="8439" width="11.33203125" style="394" customWidth="1"/>
    <col min="8440" max="8447" width="0" style="394" hidden="1" customWidth="1"/>
    <col min="8448" max="8448" width="9.33203125" style="394" bestFit="1" customWidth="1"/>
    <col min="8449" max="8673" width="9" style="394"/>
    <col min="8674" max="8674" width="4.88671875" style="394" customWidth="1"/>
    <col min="8675" max="8675" width="64.44140625" style="394" customWidth="1"/>
    <col min="8676" max="8693" width="0" style="394" hidden="1" customWidth="1"/>
    <col min="8694" max="8694" width="11.6640625" style="394" customWidth="1"/>
    <col min="8695" max="8695" width="11.33203125" style="394" customWidth="1"/>
    <col min="8696" max="8703" width="0" style="394" hidden="1" customWidth="1"/>
    <col min="8704" max="8704" width="9.33203125" style="394" bestFit="1" customWidth="1"/>
    <col min="8705" max="8929" width="9" style="394"/>
    <col min="8930" max="8930" width="4.88671875" style="394" customWidth="1"/>
    <col min="8931" max="8931" width="64.44140625" style="394" customWidth="1"/>
    <col min="8932" max="8949" width="0" style="394" hidden="1" customWidth="1"/>
    <col min="8950" max="8950" width="11.6640625" style="394" customWidth="1"/>
    <col min="8951" max="8951" width="11.33203125" style="394" customWidth="1"/>
    <col min="8952" max="8959" width="0" style="394" hidden="1" customWidth="1"/>
    <col min="8960" max="8960" width="9.33203125" style="394" bestFit="1" customWidth="1"/>
    <col min="8961" max="9185" width="9" style="394"/>
    <col min="9186" max="9186" width="4.88671875" style="394" customWidth="1"/>
    <col min="9187" max="9187" width="64.44140625" style="394" customWidth="1"/>
    <col min="9188" max="9205" width="0" style="394" hidden="1" customWidth="1"/>
    <col min="9206" max="9206" width="11.6640625" style="394" customWidth="1"/>
    <col min="9207" max="9207" width="11.33203125" style="394" customWidth="1"/>
    <col min="9208" max="9215" width="0" style="394" hidden="1" customWidth="1"/>
    <col min="9216" max="9216" width="9.33203125" style="394" bestFit="1" customWidth="1"/>
    <col min="9217" max="9441" width="9" style="394"/>
    <col min="9442" max="9442" width="4.88671875" style="394" customWidth="1"/>
    <col min="9443" max="9443" width="64.44140625" style="394" customWidth="1"/>
    <col min="9444" max="9461" width="0" style="394" hidden="1" customWidth="1"/>
    <col min="9462" max="9462" width="11.6640625" style="394" customWidth="1"/>
    <col min="9463" max="9463" width="11.33203125" style="394" customWidth="1"/>
    <col min="9464" max="9471" width="0" style="394" hidden="1" customWidth="1"/>
    <col min="9472" max="9472" width="9.33203125" style="394" bestFit="1" customWidth="1"/>
    <col min="9473" max="9697" width="9" style="394"/>
    <col min="9698" max="9698" width="4.88671875" style="394" customWidth="1"/>
    <col min="9699" max="9699" width="64.44140625" style="394" customWidth="1"/>
    <col min="9700" max="9717" width="0" style="394" hidden="1" customWidth="1"/>
    <col min="9718" max="9718" width="11.6640625" style="394" customWidth="1"/>
    <col min="9719" max="9719" width="11.33203125" style="394" customWidth="1"/>
    <col min="9720" max="9727" width="0" style="394" hidden="1" customWidth="1"/>
    <col min="9728" max="9728" width="9.33203125" style="394" bestFit="1" customWidth="1"/>
    <col min="9729" max="9953" width="9" style="394"/>
    <col min="9954" max="9954" width="4.88671875" style="394" customWidth="1"/>
    <col min="9955" max="9955" width="64.44140625" style="394" customWidth="1"/>
    <col min="9956" max="9973" width="0" style="394" hidden="1" customWidth="1"/>
    <col min="9974" max="9974" width="11.6640625" style="394" customWidth="1"/>
    <col min="9975" max="9975" width="11.33203125" style="394" customWidth="1"/>
    <col min="9976" max="9983" width="0" style="394" hidden="1" customWidth="1"/>
    <col min="9984" max="9984" width="9.33203125" style="394" bestFit="1" customWidth="1"/>
    <col min="9985" max="10209" width="9" style="394"/>
    <col min="10210" max="10210" width="4.88671875" style="394" customWidth="1"/>
    <col min="10211" max="10211" width="64.44140625" style="394" customWidth="1"/>
    <col min="10212" max="10229" width="0" style="394" hidden="1" customWidth="1"/>
    <col min="10230" max="10230" width="11.6640625" style="394" customWidth="1"/>
    <col min="10231" max="10231" width="11.33203125" style="394" customWidth="1"/>
    <col min="10232" max="10239" width="0" style="394" hidden="1" customWidth="1"/>
    <col min="10240" max="10240" width="9.33203125" style="394" bestFit="1" customWidth="1"/>
    <col min="10241" max="10465" width="9" style="394"/>
    <col min="10466" max="10466" width="4.88671875" style="394" customWidth="1"/>
    <col min="10467" max="10467" width="64.44140625" style="394" customWidth="1"/>
    <col min="10468" max="10485" width="0" style="394" hidden="1" customWidth="1"/>
    <col min="10486" max="10486" width="11.6640625" style="394" customWidth="1"/>
    <col min="10487" max="10487" width="11.33203125" style="394" customWidth="1"/>
    <col min="10488" max="10495" width="0" style="394" hidden="1" customWidth="1"/>
    <col min="10496" max="10496" width="9.33203125" style="394" bestFit="1" customWidth="1"/>
    <col min="10497" max="10721" width="9" style="394"/>
    <col min="10722" max="10722" width="4.88671875" style="394" customWidth="1"/>
    <col min="10723" max="10723" width="64.44140625" style="394" customWidth="1"/>
    <col min="10724" max="10741" width="0" style="394" hidden="1" customWidth="1"/>
    <col min="10742" max="10742" width="11.6640625" style="394" customWidth="1"/>
    <col min="10743" max="10743" width="11.33203125" style="394" customWidth="1"/>
    <col min="10744" max="10751" width="0" style="394" hidden="1" customWidth="1"/>
    <col min="10752" max="10752" width="9.33203125" style="394" bestFit="1" customWidth="1"/>
    <col min="10753" max="10977" width="9" style="394"/>
    <col min="10978" max="10978" width="4.88671875" style="394" customWidth="1"/>
    <col min="10979" max="10979" width="64.44140625" style="394" customWidth="1"/>
    <col min="10980" max="10997" width="0" style="394" hidden="1" customWidth="1"/>
    <col min="10998" max="10998" width="11.6640625" style="394" customWidth="1"/>
    <col min="10999" max="10999" width="11.33203125" style="394" customWidth="1"/>
    <col min="11000" max="11007" width="0" style="394" hidden="1" customWidth="1"/>
    <col min="11008" max="11008" width="9.33203125" style="394" bestFit="1" customWidth="1"/>
    <col min="11009" max="11233" width="9" style="394"/>
    <col min="11234" max="11234" width="4.88671875" style="394" customWidth="1"/>
    <col min="11235" max="11235" width="64.44140625" style="394" customWidth="1"/>
    <col min="11236" max="11253" width="0" style="394" hidden="1" customWidth="1"/>
    <col min="11254" max="11254" width="11.6640625" style="394" customWidth="1"/>
    <col min="11255" max="11255" width="11.33203125" style="394" customWidth="1"/>
    <col min="11256" max="11263" width="0" style="394" hidden="1" customWidth="1"/>
    <col min="11264" max="11264" width="9.33203125" style="394" bestFit="1" customWidth="1"/>
    <col min="11265" max="11489" width="9" style="394"/>
    <col min="11490" max="11490" width="4.88671875" style="394" customWidth="1"/>
    <col min="11491" max="11491" width="64.44140625" style="394" customWidth="1"/>
    <col min="11492" max="11509" width="0" style="394" hidden="1" customWidth="1"/>
    <col min="11510" max="11510" width="11.6640625" style="394" customWidth="1"/>
    <col min="11511" max="11511" width="11.33203125" style="394" customWidth="1"/>
    <col min="11512" max="11519" width="0" style="394" hidden="1" customWidth="1"/>
    <col min="11520" max="11520" width="9.33203125" style="394" bestFit="1" customWidth="1"/>
    <col min="11521" max="11745" width="9" style="394"/>
    <col min="11746" max="11746" width="4.88671875" style="394" customWidth="1"/>
    <col min="11747" max="11747" width="64.44140625" style="394" customWidth="1"/>
    <col min="11748" max="11765" width="0" style="394" hidden="1" customWidth="1"/>
    <col min="11766" max="11766" width="11.6640625" style="394" customWidth="1"/>
    <col min="11767" max="11767" width="11.33203125" style="394" customWidth="1"/>
    <col min="11768" max="11775" width="0" style="394" hidden="1" customWidth="1"/>
    <col min="11776" max="11776" width="9.33203125" style="394" bestFit="1" customWidth="1"/>
    <col min="11777" max="12001" width="9" style="394"/>
    <col min="12002" max="12002" width="4.88671875" style="394" customWidth="1"/>
    <col min="12003" max="12003" width="64.44140625" style="394" customWidth="1"/>
    <col min="12004" max="12021" width="0" style="394" hidden="1" customWidth="1"/>
    <col min="12022" max="12022" width="11.6640625" style="394" customWidth="1"/>
    <col min="12023" max="12023" width="11.33203125" style="394" customWidth="1"/>
    <col min="12024" max="12031" width="0" style="394" hidden="1" customWidth="1"/>
    <col min="12032" max="12032" width="9.33203125" style="394" bestFit="1" customWidth="1"/>
    <col min="12033" max="12257" width="9" style="394"/>
    <col min="12258" max="12258" width="4.88671875" style="394" customWidth="1"/>
    <col min="12259" max="12259" width="64.44140625" style="394" customWidth="1"/>
    <col min="12260" max="12277" width="0" style="394" hidden="1" customWidth="1"/>
    <col min="12278" max="12278" width="11.6640625" style="394" customWidth="1"/>
    <col min="12279" max="12279" width="11.33203125" style="394" customWidth="1"/>
    <col min="12280" max="12287" width="0" style="394" hidden="1" customWidth="1"/>
    <col min="12288" max="12288" width="9.33203125" style="394" bestFit="1" customWidth="1"/>
    <col min="12289" max="12513" width="9" style="394"/>
    <col min="12514" max="12514" width="4.88671875" style="394" customWidth="1"/>
    <col min="12515" max="12515" width="64.44140625" style="394" customWidth="1"/>
    <col min="12516" max="12533" width="0" style="394" hidden="1" customWidth="1"/>
    <col min="12534" max="12534" width="11.6640625" style="394" customWidth="1"/>
    <col min="12535" max="12535" width="11.33203125" style="394" customWidth="1"/>
    <col min="12536" max="12543" width="0" style="394" hidden="1" customWidth="1"/>
    <col min="12544" max="12544" width="9.33203125" style="394" bestFit="1" customWidth="1"/>
    <col min="12545" max="12769" width="9" style="394"/>
    <col min="12770" max="12770" width="4.88671875" style="394" customWidth="1"/>
    <col min="12771" max="12771" width="64.44140625" style="394" customWidth="1"/>
    <col min="12772" max="12789" width="0" style="394" hidden="1" customWidth="1"/>
    <col min="12790" max="12790" width="11.6640625" style="394" customWidth="1"/>
    <col min="12791" max="12791" width="11.33203125" style="394" customWidth="1"/>
    <col min="12792" max="12799" width="0" style="394" hidden="1" customWidth="1"/>
    <col min="12800" max="12800" width="9.33203125" style="394" bestFit="1" customWidth="1"/>
    <col min="12801" max="13025" width="9" style="394"/>
    <col min="13026" max="13026" width="4.88671875" style="394" customWidth="1"/>
    <col min="13027" max="13027" width="64.44140625" style="394" customWidth="1"/>
    <col min="13028" max="13045" width="0" style="394" hidden="1" customWidth="1"/>
    <col min="13046" max="13046" width="11.6640625" style="394" customWidth="1"/>
    <col min="13047" max="13047" width="11.33203125" style="394" customWidth="1"/>
    <col min="13048" max="13055" width="0" style="394" hidden="1" customWidth="1"/>
    <col min="13056" max="13056" width="9.33203125" style="394" bestFit="1" customWidth="1"/>
    <col min="13057" max="13281" width="9" style="394"/>
    <col min="13282" max="13282" width="4.88671875" style="394" customWidth="1"/>
    <col min="13283" max="13283" width="64.44140625" style="394" customWidth="1"/>
    <col min="13284" max="13301" width="0" style="394" hidden="1" customWidth="1"/>
    <col min="13302" max="13302" width="11.6640625" style="394" customWidth="1"/>
    <col min="13303" max="13303" width="11.33203125" style="394" customWidth="1"/>
    <col min="13304" max="13311" width="0" style="394" hidden="1" customWidth="1"/>
    <col min="13312" max="13312" width="9.33203125" style="394" bestFit="1" customWidth="1"/>
    <col min="13313" max="13537" width="9" style="394"/>
    <col min="13538" max="13538" width="4.88671875" style="394" customWidth="1"/>
    <col min="13539" max="13539" width="64.44140625" style="394" customWidth="1"/>
    <col min="13540" max="13557" width="0" style="394" hidden="1" customWidth="1"/>
    <col min="13558" max="13558" width="11.6640625" style="394" customWidth="1"/>
    <col min="13559" max="13559" width="11.33203125" style="394" customWidth="1"/>
    <col min="13560" max="13567" width="0" style="394" hidden="1" customWidth="1"/>
    <col min="13568" max="13568" width="9.33203125" style="394" bestFit="1" customWidth="1"/>
    <col min="13569" max="13793" width="9" style="394"/>
    <col min="13794" max="13794" width="4.88671875" style="394" customWidth="1"/>
    <col min="13795" max="13795" width="64.44140625" style="394" customWidth="1"/>
    <col min="13796" max="13813" width="0" style="394" hidden="1" customWidth="1"/>
    <col min="13814" max="13814" width="11.6640625" style="394" customWidth="1"/>
    <col min="13815" max="13815" width="11.33203125" style="394" customWidth="1"/>
    <col min="13816" max="13823" width="0" style="394" hidden="1" customWidth="1"/>
    <col min="13824" max="13824" width="9.33203125" style="394" bestFit="1" customWidth="1"/>
    <col min="13825" max="14049" width="9" style="394"/>
    <col min="14050" max="14050" width="4.88671875" style="394" customWidth="1"/>
    <col min="14051" max="14051" width="64.44140625" style="394" customWidth="1"/>
    <col min="14052" max="14069" width="0" style="394" hidden="1" customWidth="1"/>
    <col min="14070" max="14070" width="11.6640625" style="394" customWidth="1"/>
    <col min="14071" max="14071" width="11.33203125" style="394" customWidth="1"/>
    <col min="14072" max="14079" width="0" style="394" hidden="1" customWidth="1"/>
    <col min="14080" max="14080" width="9.33203125" style="394" bestFit="1" customWidth="1"/>
    <col min="14081" max="14305" width="9" style="394"/>
    <col min="14306" max="14306" width="4.88671875" style="394" customWidth="1"/>
    <col min="14307" max="14307" width="64.44140625" style="394" customWidth="1"/>
    <col min="14308" max="14325" width="0" style="394" hidden="1" customWidth="1"/>
    <col min="14326" max="14326" width="11.6640625" style="394" customWidth="1"/>
    <col min="14327" max="14327" width="11.33203125" style="394" customWidth="1"/>
    <col min="14328" max="14335" width="0" style="394" hidden="1" customWidth="1"/>
    <col min="14336" max="14336" width="9.33203125" style="394" bestFit="1" customWidth="1"/>
    <col min="14337" max="14561" width="9" style="394"/>
    <col min="14562" max="14562" width="4.88671875" style="394" customWidth="1"/>
    <col min="14563" max="14563" width="64.44140625" style="394" customWidth="1"/>
    <col min="14564" max="14581" width="0" style="394" hidden="1" customWidth="1"/>
    <col min="14582" max="14582" width="11.6640625" style="394" customWidth="1"/>
    <col min="14583" max="14583" width="11.33203125" style="394" customWidth="1"/>
    <col min="14584" max="14591" width="0" style="394" hidden="1" customWidth="1"/>
    <col min="14592" max="14592" width="9.33203125" style="394" bestFit="1" customWidth="1"/>
    <col min="14593" max="14817" width="9" style="394"/>
    <col min="14818" max="14818" width="4.88671875" style="394" customWidth="1"/>
    <col min="14819" max="14819" width="64.44140625" style="394" customWidth="1"/>
    <col min="14820" max="14837" width="0" style="394" hidden="1" customWidth="1"/>
    <col min="14838" max="14838" width="11.6640625" style="394" customWidth="1"/>
    <col min="14839" max="14839" width="11.33203125" style="394" customWidth="1"/>
    <col min="14840" max="14847" width="0" style="394" hidden="1" customWidth="1"/>
    <col min="14848" max="14848" width="9.33203125" style="394" bestFit="1" customWidth="1"/>
    <col min="14849" max="15073" width="9" style="394"/>
    <col min="15074" max="15074" width="4.88671875" style="394" customWidth="1"/>
    <col min="15075" max="15075" width="64.44140625" style="394" customWidth="1"/>
    <col min="15076" max="15093" width="0" style="394" hidden="1" customWidth="1"/>
    <col min="15094" max="15094" width="11.6640625" style="394" customWidth="1"/>
    <col min="15095" max="15095" width="11.33203125" style="394" customWidth="1"/>
    <col min="15096" max="15103" width="0" style="394" hidden="1" customWidth="1"/>
    <col min="15104" max="15104" width="9.33203125" style="394" bestFit="1" customWidth="1"/>
    <col min="15105" max="15329" width="9" style="394"/>
    <col min="15330" max="15330" width="4.88671875" style="394" customWidth="1"/>
    <col min="15331" max="15331" width="64.44140625" style="394" customWidth="1"/>
    <col min="15332" max="15349" width="0" style="394" hidden="1" customWidth="1"/>
    <col min="15350" max="15350" width="11.6640625" style="394" customWidth="1"/>
    <col min="15351" max="15351" width="11.33203125" style="394" customWidth="1"/>
    <col min="15352" max="15359" width="0" style="394" hidden="1" customWidth="1"/>
    <col min="15360" max="15360" width="9.33203125" style="394" bestFit="1" customWidth="1"/>
    <col min="15361" max="15585" width="9" style="394"/>
    <col min="15586" max="15586" width="4.88671875" style="394" customWidth="1"/>
    <col min="15587" max="15587" width="64.44140625" style="394" customWidth="1"/>
    <col min="15588" max="15605" width="0" style="394" hidden="1" customWidth="1"/>
    <col min="15606" max="15606" width="11.6640625" style="394" customWidth="1"/>
    <col min="15607" max="15607" width="11.33203125" style="394" customWidth="1"/>
    <col min="15608" max="15615" width="0" style="394" hidden="1" customWidth="1"/>
    <col min="15616" max="15616" width="9.33203125" style="394" bestFit="1" customWidth="1"/>
    <col min="15617" max="15841" width="9" style="394"/>
    <col min="15842" max="15842" width="4.88671875" style="394" customWidth="1"/>
    <col min="15843" max="15843" width="64.44140625" style="394" customWidth="1"/>
    <col min="15844" max="15861" width="0" style="394" hidden="1" customWidth="1"/>
    <col min="15862" max="15862" width="11.6640625" style="394" customWidth="1"/>
    <col min="15863" max="15863" width="11.33203125" style="394" customWidth="1"/>
    <col min="15864" max="15871" width="0" style="394" hidden="1" customWidth="1"/>
    <col min="15872" max="15872" width="9.33203125" style="394" bestFit="1" customWidth="1"/>
    <col min="15873" max="16097" width="9" style="394"/>
    <col min="16098" max="16098" width="4.88671875" style="394" customWidth="1"/>
    <col min="16099" max="16099" width="64.44140625" style="394" customWidth="1"/>
    <col min="16100" max="16117" width="0" style="394" hidden="1" customWidth="1"/>
    <col min="16118" max="16118" width="11.6640625" style="394" customWidth="1"/>
    <col min="16119" max="16119" width="11.33203125" style="394" customWidth="1"/>
    <col min="16120" max="16127" width="0" style="394" hidden="1" customWidth="1"/>
    <col min="16128" max="16128" width="9.33203125" style="394" bestFit="1" customWidth="1"/>
    <col min="16129" max="16380" width="9" style="394"/>
    <col min="16381" max="16384" width="9.109375" style="394" customWidth="1"/>
  </cols>
  <sheetData>
    <row r="1" spans="1:12" ht="26.25" customHeight="1">
      <c r="A1" s="408" t="s">
        <v>1843</v>
      </c>
      <c r="B1" s="408"/>
      <c r="C1" s="393"/>
    </row>
    <row r="2" spans="1:12" ht="53.25" customHeight="1">
      <c r="A2" s="1527" t="s">
        <v>1950</v>
      </c>
      <c r="B2" s="1527"/>
      <c r="C2" s="1527"/>
      <c r="D2" s="1527"/>
      <c r="E2" s="1527"/>
      <c r="F2" s="1527"/>
      <c r="G2" s="1527"/>
      <c r="H2" s="1527"/>
      <c r="I2" s="1527"/>
      <c r="J2" s="1527"/>
    </row>
    <row r="3" spans="1:12" ht="30.75" customHeight="1">
      <c r="A3" s="1528" t="s">
        <v>1903</v>
      </c>
      <c r="B3" s="1528"/>
      <c r="C3" s="1528"/>
      <c r="D3" s="1528"/>
      <c r="E3" s="1528"/>
      <c r="F3" s="1528"/>
      <c r="G3" s="1528"/>
      <c r="H3" s="1528"/>
      <c r="I3" s="1528"/>
      <c r="J3" s="409"/>
    </row>
    <row r="4" spans="1:12">
      <c r="A4" s="408"/>
      <c r="B4" s="408"/>
      <c r="C4" s="410"/>
      <c r="D4" s="410"/>
      <c r="E4" s="1522" t="s">
        <v>0</v>
      </c>
      <c r="F4" s="1522"/>
      <c r="G4" s="1522"/>
      <c r="H4" s="1522"/>
      <c r="I4" s="1522"/>
      <c r="J4" s="1522"/>
    </row>
    <row r="5" spans="1:12" ht="23.25" customHeight="1">
      <c r="A5" s="1529" t="s">
        <v>1</v>
      </c>
      <c r="B5" s="1518" t="s">
        <v>273</v>
      </c>
      <c r="C5" s="1532" t="s">
        <v>1565</v>
      </c>
      <c r="D5" s="1533"/>
      <c r="E5" s="1534"/>
      <c r="F5" s="1529" t="s">
        <v>1946</v>
      </c>
      <c r="G5" s="1532" t="s">
        <v>1947</v>
      </c>
      <c r="H5" s="1533"/>
      <c r="I5" s="1534"/>
      <c r="J5" s="1535" t="s">
        <v>663</v>
      </c>
    </row>
    <row r="6" spans="1:12">
      <c r="A6" s="1530"/>
      <c r="B6" s="1519"/>
      <c r="C6" s="1518" t="s">
        <v>612</v>
      </c>
      <c r="D6" s="1518" t="s">
        <v>613</v>
      </c>
      <c r="E6" s="1518" t="s">
        <v>614</v>
      </c>
      <c r="F6" s="1530"/>
      <c r="G6" s="1518" t="s">
        <v>612</v>
      </c>
      <c r="H6" s="1518" t="s">
        <v>613</v>
      </c>
      <c r="I6" s="1518" t="s">
        <v>614</v>
      </c>
      <c r="J6" s="1535"/>
    </row>
    <row r="7" spans="1:12" s="412" customFormat="1" ht="54.75" customHeight="1">
      <c r="A7" s="1531"/>
      <c r="B7" s="1520"/>
      <c r="C7" s="1520"/>
      <c r="D7" s="1520"/>
      <c r="E7" s="1520"/>
      <c r="F7" s="1531"/>
      <c r="G7" s="1520"/>
      <c r="H7" s="1520"/>
      <c r="I7" s="1520"/>
      <c r="J7" s="1535"/>
    </row>
    <row r="8" spans="1:12" ht="18" hidden="1" customHeight="1" outlineLevel="1">
      <c r="A8" s="411">
        <v>1</v>
      </c>
      <c r="B8" s="411">
        <v>2</v>
      </c>
      <c r="C8" s="413" t="s">
        <v>59</v>
      </c>
      <c r="D8" s="413" t="s">
        <v>73</v>
      </c>
      <c r="E8" s="413" t="s">
        <v>74</v>
      </c>
      <c r="F8" s="413" t="s">
        <v>75</v>
      </c>
      <c r="G8" s="413">
        <v>3</v>
      </c>
      <c r="H8" s="413" t="s">
        <v>77</v>
      </c>
      <c r="I8" s="413">
        <v>4</v>
      </c>
      <c r="J8" s="413" t="s">
        <v>79</v>
      </c>
    </row>
    <row r="9" spans="1:12" s="400" customFormat="1" ht="18" customHeight="1" collapsed="1">
      <c r="A9" s="414"/>
      <c r="B9" s="414" t="s">
        <v>274</v>
      </c>
      <c r="C9" s="289">
        <f t="shared" ref="C9:I9" si="0">C10+C29</f>
        <v>7229</v>
      </c>
      <c r="D9" s="289">
        <f t="shared" si="0"/>
        <v>0</v>
      </c>
      <c r="E9" s="289">
        <f t="shared" si="0"/>
        <v>3246</v>
      </c>
      <c r="F9" s="289">
        <f t="shared" si="0"/>
        <v>9208</v>
      </c>
      <c r="G9" s="289">
        <f t="shared" si="0"/>
        <v>7952</v>
      </c>
      <c r="H9" s="289">
        <f t="shared" si="0"/>
        <v>0</v>
      </c>
      <c r="I9" s="289">
        <f t="shared" si="0"/>
        <v>3557</v>
      </c>
      <c r="J9" s="1524" t="s">
        <v>1948</v>
      </c>
    </row>
    <row r="10" spans="1:12" s="400" customFormat="1" ht="18" customHeight="1">
      <c r="A10" s="397" t="s">
        <v>14</v>
      </c>
      <c r="B10" s="398" t="s">
        <v>615</v>
      </c>
      <c r="C10" s="273">
        <f t="shared" ref="C10:I10" si="1">C11+C13</f>
        <v>4179</v>
      </c>
      <c r="D10" s="273">
        <f t="shared" si="1"/>
        <v>0</v>
      </c>
      <c r="E10" s="273">
        <f t="shared" si="1"/>
        <v>2331</v>
      </c>
      <c r="F10" s="273">
        <f t="shared" si="1"/>
        <v>5408</v>
      </c>
      <c r="G10" s="273">
        <f t="shared" si="1"/>
        <v>4602</v>
      </c>
      <c r="H10" s="273">
        <f t="shared" si="1"/>
        <v>0</v>
      </c>
      <c r="I10" s="273">
        <f t="shared" si="1"/>
        <v>2552</v>
      </c>
      <c r="J10" s="1525"/>
    </row>
    <row r="11" spans="1:12" s="400" customFormat="1" ht="18" customHeight="1">
      <c r="A11" s="401" t="s">
        <v>16</v>
      </c>
      <c r="B11" s="398" t="s">
        <v>616</v>
      </c>
      <c r="C11" s="273">
        <f>C12</f>
        <v>1166</v>
      </c>
      <c r="D11" s="273">
        <f t="shared" ref="D11:H11" si="2">D12</f>
        <v>0</v>
      </c>
      <c r="E11" s="273">
        <f>E12</f>
        <v>883</v>
      </c>
      <c r="F11" s="273">
        <f t="shared" si="2"/>
        <v>1166</v>
      </c>
      <c r="G11" s="273">
        <f>G12</f>
        <v>1166</v>
      </c>
      <c r="H11" s="273">
        <f t="shared" si="2"/>
        <v>0</v>
      </c>
      <c r="I11" s="273">
        <f>I12</f>
        <v>883</v>
      </c>
      <c r="J11" s="1525"/>
    </row>
    <row r="12" spans="1:12" s="400" customFormat="1" ht="18" customHeight="1">
      <c r="A12" s="415" t="s">
        <v>18</v>
      </c>
      <c r="B12" s="399" t="s">
        <v>617</v>
      </c>
      <c r="C12" s="275">
        <v>1166</v>
      </c>
      <c r="D12" s="275"/>
      <c r="E12" s="275">
        <v>883</v>
      </c>
      <c r="F12" s="275">
        <v>1166</v>
      </c>
      <c r="G12" s="275">
        <v>1166</v>
      </c>
      <c r="H12" s="275"/>
      <c r="I12" s="275">
        <v>883</v>
      </c>
      <c r="J12" s="1525"/>
    </row>
    <row r="13" spans="1:12" s="400" customFormat="1" ht="18" customHeight="1">
      <c r="A13" s="401" t="s">
        <v>28</v>
      </c>
      <c r="B13" s="398" t="s">
        <v>618</v>
      </c>
      <c r="C13" s="274">
        <f t="shared" ref="C13:E13" si="3">C14+SUM(C20:C28)</f>
        <v>3013</v>
      </c>
      <c r="D13" s="274">
        <f t="shared" si="3"/>
        <v>0</v>
      </c>
      <c r="E13" s="274">
        <f t="shared" si="3"/>
        <v>1448</v>
      </c>
      <c r="F13" s="274">
        <f t="shared" ref="F13:I13" si="4">F14+SUM(F20:F28)</f>
        <v>4242</v>
      </c>
      <c r="G13" s="274">
        <f t="shared" si="4"/>
        <v>3436</v>
      </c>
      <c r="H13" s="274">
        <f t="shared" si="4"/>
        <v>0</v>
      </c>
      <c r="I13" s="274">
        <f t="shared" si="4"/>
        <v>1669</v>
      </c>
      <c r="J13" s="1525"/>
      <c r="K13" s="416"/>
    </row>
    <row r="14" spans="1:12" ht="18" customHeight="1">
      <c r="A14" s="403">
        <v>1</v>
      </c>
      <c r="B14" s="399" t="s">
        <v>619</v>
      </c>
      <c r="C14" s="281">
        <f t="shared" ref="C14" si="5">SUM(C15:C19)</f>
        <v>1840</v>
      </c>
      <c r="D14" s="281">
        <f>SUM(D15:D19)</f>
        <v>0</v>
      </c>
      <c r="E14" s="281">
        <f t="shared" ref="E14:I14" si="6">SUM(E15:E19)</f>
        <v>793</v>
      </c>
      <c r="F14" s="281">
        <f t="shared" si="6"/>
        <v>1436</v>
      </c>
      <c r="G14" s="281">
        <f t="shared" si="6"/>
        <v>1430</v>
      </c>
      <c r="H14" s="281">
        <f>SUM(H15:H19)</f>
        <v>0</v>
      </c>
      <c r="I14" s="281">
        <f t="shared" si="6"/>
        <v>601</v>
      </c>
      <c r="J14" s="1525"/>
      <c r="K14" s="417"/>
      <c r="L14" s="417"/>
    </row>
    <row r="15" spans="1:12" ht="18" customHeight="1">
      <c r="A15" s="403" t="s">
        <v>23</v>
      </c>
      <c r="B15" s="399" t="s">
        <v>620</v>
      </c>
      <c r="C15" s="281">
        <v>200</v>
      </c>
      <c r="D15" s="281"/>
      <c r="E15" s="281">
        <v>105</v>
      </c>
      <c r="F15" s="514">
        <v>200</v>
      </c>
      <c r="G15" s="514">
        <v>200</v>
      </c>
      <c r="H15" s="514"/>
      <c r="I15" s="514">
        <v>100</v>
      </c>
      <c r="J15" s="1525"/>
      <c r="K15" s="417"/>
    </row>
    <row r="16" spans="1:12" ht="18" customHeight="1">
      <c r="A16" s="403" t="s">
        <v>23</v>
      </c>
      <c r="B16" s="399" t="s">
        <v>621</v>
      </c>
      <c r="C16" s="281">
        <v>1500</v>
      </c>
      <c r="D16" s="281"/>
      <c r="E16" s="281">
        <v>600</v>
      </c>
      <c r="F16" s="514">
        <v>1200</v>
      </c>
      <c r="G16" s="514">
        <v>1200</v>
      </c>
      <c r="H16" s="514"/>
      <c r="I16" s="514">
        <v>480</v>
      </c>
      <c r="J16" s="1525"/>
      <c r="K16" s="417"/>
    </row>
    <row r="17" spans="1:11" ht="18" customHeight="1">
      <c r="A17" s="403" t="s">
        <v>23</v>
      </c>
      <c r="B17" s="399" t="s">
        <v>622</v>
      </c>
      <c r="C17" s="281">
        <v>100</v>
      </c>
      <c r="D17" s="281"/>
      <c r="E17" s="281">
        <v>60</v>
      </c>
      <c r="F17" s="514">
        <v>7</v>
      </c>
      <c r="G17" s="514">
        <v>0</v>
      </c>
      <c r="H17" s="514"/>
      <c r="I17" s="514">
        <v>0</v>
      </c>
      <c r="J17" s="1525"/>
      <c r="K17" s="417"/>
    </row>
    <row r="18" spans="1:11" ht="18" customHeight="1">
      <c r="A18" s="403" t="s">
        <v>23</v>
      </c>
      <c r="B18" s="399" t="s">
        <v>623</v>
      </c>
      <c r="C18" s="281">
        <v>30</v>
      </c>
      <c r="D18" s="281"/>
      <c r="E18" s="281">
        <v>21</v>
      </c>
      <c r="F18" s="514">
        <v>19</v>
      </c>
      <c r="G18" s="514">
        <v>20</v>
      </c>
      <c r="H18" s="514"/>
      <c r="I18" s="514">
        <v>14</v>
      </c>
      <c r="J18" s="1525"/>
      <c r="K18" s="417"/>
    </row>
    <row r="19" spans="1:11" ht="18" customHeight="1">
      <c r="A19" s="403" t="s">
        <v>23</v>
      </c>
      <c r="B19" s="399" t="s">
        <v>624</v>
      </c>
      <c r="C19" s="281">
        <v>10</v>
      </c>
      <c r="D19" s="281"/>
      <c r="E19" s="281">
        <v>7</v>
      </c>
      <c r="F19" s="514">
        <v>10</v>
      </c>
      <c r="G19" s="514">
        <v>10</v>
      </c>
      <c r="H19" s="514"/>
      <c r="I19" s="514">
        <v>7</v>
      </c>
      <c r="J19" s="1525"/>
      <c r="K19" s="417"/>
    </row>
    <row r="20" spans="1:11" ht="18" customHeight="1">
      <c r="A20" s="403">
        <v>2</v>
      </c>
      <c r="B20" s="399" t="s">
        <v>625</v>
      </c>
      <c r="C20" s="281">
        <v>200</v>
      </c>
      <c r="D20" s="281"/>
      <c r="E20" s="281">
        <f t="shared" ref="E20:E23" si="7">ROUND(IF(C20&lt;100,C20*0.7,IF(C20&lt;=200,C20*0.6,IF(C20&lt;=500,C20*0.5,C20*0.4))),0)</f>
        <v>120</v>
      </c>
      <c r="F20" s="515">
        <v>200</v>
      </c>
      <c r="G20" s="515">
        <v>200</v>
      </c>
      <c r="H20" s="515"/>
      <c r="I20" s="515">
        <f>E20</f>
        <v>120</v>
      </c>
      <c r="J20" s="1525"/>
      <c r="K20" s="417"/>
    </row>
    <row r="21" spans="1:11" ht="18" customHeight="1">
      <c r="A21" s="403">
        <v>3</v>
      </c>
      <c r="B21" s="399" t="s">
        <v>626</v>
      </c>
      <c r="C21" s="281">
        <v>250</v>
      </c>
      <c r="D21" s="281"/>
      <c r="E21" s="281">
        <f t="shared" si="7"/>
        <v>125</v>
      </c>
      <c r="F21" s="515">
        <v>1000</v>
      </c>
      <c r="G21" s="515">
        <v>500</v>
      </c>
      <c r="H21" s="515"/>
      <c r="I21" s="515">
        <v>250</v>
      </c>
      <c r="J21" s="1525"/>
      <c r="K21" s="417"/>
    </row>
    <row r="22" spans="1:11" ht="18" customHeight="1">
      <c r="A22" s="403">
        <v>4</v>
      </c>
      <c r="B22" s="399" t="s">
        <v>627</v>
      </c>
      <c r="C22" s="281">
        <v>165</v>
      </c>
      <c r="D22" s="281"/>
      <c r="E22" s="281">
        <f t="shared" si="7"/>
        <v>99</v>
      </c>
      <c r="F22" s="515">
        <v>150</v>
      </c>
      <c r="G22" s="515">
        <v>165</v>
      </c>
      <c r="H22" s="515"/>
      <c r="I22" s="515">
        <v>99</v>
      </c>
      <c r="J22" s="1525"/>
      <c r="K22" s="417"/>
    </row>
    <row r="23" spans="1:11" ht="18" customHeight="1">
      <c r="A23" s="403">
        <v>5</v>
      </c>
      <c r="B23" s="399" t="s">
        <v>628</v>
      </c>
      <c r="C23" s="281">
        <v>50</v>
      </c>
      <c r="D23" s="281"/>
      <c r="E23" s="281">
        <f t="shared" si="7"/>
        <v>35</v>
      </c>
      <c r="F23" s="515">
        <v>18</v>
      </c>
      <c r="G23" s="515">
        <v>20</v>
      </c>
      <c r="H23" s="515"/>
      <c r="I23" s="515">
        <f>G23*70%</f>
        <v>14</v>
      </c>
      <c r="J23" s="1525"/>
      <c r="K23" s="417"/>
    </row>
    <row r="24" spans="1:11" ht="18" customHeight="1">
      <c r="A24" s="403">
        <v>6</v>
      </c>
      <c r="B24" s="399" t="s">
        <v>629</v>
      </c>
      <c r="C24" s="281">
        <v>8</v>
      </c>
      <c r="D24" s="281"/>
      <c r="E24" s="281">
        <f>ROUND(IF(C24&lt;100,C24*0.7,IF(C24&lt;=200,C24*0.6,IF(C24&lt;=500,C24*0.5,C24*0.4))),0)</f>
        <v>6</v>
      </c>
      <c r="F24" s="515">
        <v>8</v>
      </c>
      <c r="G24" s="515">
        <v>8</v>
      </c>
      <c r="H24" s="515"/>
      <c r="I24" s="515">
        <v>6</v>
      </c>
      <c r="J24" s="1525"/>
      <c r="K24" s="417"/>
    </row>
    <row r="25" spans="1:11" ht="18" customHeight="1">
      <c r="A25" s="403">
        <v>7</v>
      </c>
      <c r="B25" s="399" t="s">
        <v>630</v>
      </c>
      <c r="C25" s="281">
        <v>10</v>
      </c>
      <c r="D25" s="281"/>
      <c r="E25" s="281">
        <f t="shared" ref="E25:E28" si="8">ROUND(IF(C25&lt;100,C25*0.7,IF(C25&lt;=200,C25*0.6,IF(C25&lt;=500,C25*0.5,C25*0.4))),0)</f>
        <v>7</v>
      </c>
      <c r="F25" s="515">
        <v>15</v>
      </c>
      <c r="G25" s="515">
        <v>23</v>
      </c>
      <c r="H25" s="515"/>
      <c r="I25" s="515">
        <v>16</v>
      </c>
      <c r="J25" s="1525"/>
      <c r="K25" s="417"/>
    </row>
    <row r="26" spans="1:11" ht="18" customHeight="1">
      <c r="A26" s="403">
        <v>8</v>
      </c>
      <c r="B26" s="399" t="s">
        <v>631</v>
      </c>
      <c r="C26" s="281">
        <v>60</v>
      </c>
      <c r="D26" s="281"/>
      <c r="E26" s="281">
        <f t="shared" si="8"/>
        <v>42</v>
      </c>
      <c r="F26" s="515">
        <v>60</v>
      </c>
      <c r="G26" s="515">
        <v>60</v>
      </c>
      <c r="H26" s="515"/>
      <c r="I26" s="515">
        <v>42</v>
      </c>
      <c r="J26" s="1525"/>
      <c r="K26" s="417"/>
    </row>
    <row r="27" spans="1:11" ht="18" customHeight="1">
      <c r="A27" s="403">
        <v>9</v>
      </c>
      <c r="B27" s="399" t="s">
        <v>632</v>
      </c>
      <c r="C27" s="281">
        <v>30</v>
      </c>
      <c r="D27" s="281"/>
      <c r="E27" s="281">
        <f t="shared" si="8"/>
        <v>21</v>
      </c>
      <c r="F27" s="515">
        <v>30</v>
      </c>
      <c r="G27" s="515">
        <v>30</v>
      </c>
      <c r="H27" s="515"/>
      <c r="I27" s="515">
        <f>G27*0.7</f>
        <v>21</v>
      </c>
      <c r="J27" s="1525"/>
      <c r="K27" s="417"/>
    </row>
    <row r="28" spans="1:11" ht="18" customHeight="1">
      <c r="A28" s="403">
        <v>10</v>
      </c>
      <c r="B28" s="399" t="s">
        <v>635</v>
      </c>
      <c r="C28" s="281">
        <v>400</v>
      </c>
      <c r="D28" s="281"/>
      <c r="E28" s="281">
        <f t="shared" si="8"/>
        <v>200</v>
      </c>
      <c r="F28" s="515">
        <v>1325</v>
      </c>
      <c r="G28" s="515">
        <v>1000</v>
      </c>
      <c r="H28" s="515"/>
      <c r="I28" s="515">
        <f>G28*50%</f>
        <v>500</v>
      </c>
      <c r="J28" s="1526"/>
      <c r="K28" s="417"/>
    </row>
    <row r="29" spans="1:11" s="400" customFormat="1" ht="18" customHeight="1">
      <c r="A29" s="401" t="s">
        <v>69</v>
      </c>
      <c r="B29" s="398" t="s">
        <v>633</v>
      </c>
      <c r="C29" s="273">
        <f t="shared" ref="C29:I29" si="9">SUM(C30:C36)</f>
        <v>3050</v>
      </c>
      <c r="D29" s="273">
        <f t="shared" si="9"/>
        <v>0</v>
      </c>
      <c r="E29" s="273">
        <f t="shared" si="9"/>
        <v>915</v>
      </c>
      <c r="F29" s="273">
        <f t="shared" si="9"/>
        <v>3800</v>
      </c>
      <c r="G29" s="273">
        <f t="shared" si="9"/>
        <v>3350</v>
      </c>
      <c r="H29" s="273">
        <f t="shared" si="9"/>
        <v>0</v>
      </c>
      <c r="I29" s="273">
        <f t="shared" si="9"/>
        <v>1005</v>
      </c>
      <c r="J29" s="290"/>
    </row>
    <row r="30" spans="1:11" ht="18" customHeight="1">
      <c r="A30" s="415" t="s">
        <v>18</v>
      </c>
      <c r="B30" s="399" t="s">
        <v>619</v>
      </c>
      <c r="C30" s="275">
        <v>300</v>
      </c>
      <c r="D30" s="290" t="s">
        <v>634</v>
      </c>
      <c r="E30" s="275">
        <f>ROUND(C30*30%,0)</f>
        <v>90</v>
      </c>
      <c r="F30" s="275">
        <v>300</v>
      </c>
      <c r="G30" s="275">
        <v>300</v>
      </c>
      <c r="H30" s="290" t="s">
        <v>634</v>
      </c>
      <c r="I30" s="275">
        <f>ROUND(G30*30%,0)</f>
        <v>90</v>
      </c>
      <c r="J30" s="290" t="s">
        <v>634</v>
      </c>
    </row>
    <row r="31" spans="1:11" ht="18" customHeight="1">
      <c r="A31" s="415">
        <v>2</v>
      </c>
      <c r="B31" s="399" t="s">
        <v>635</v>
      </c>
      <c r="C31" s="275">
        <v>200</v>
      </c>
      <c r="D31" s="290" t="s">
        <v>634</v>
      </c>
      <c r="E31" s="275">
        <f t="shared" ref="E31:E36" si="10">ROUND(C31*30%,0)</f>
        <v>60</v>
      </c>
      <c r="F31" s="275">
        <v>200</v>
      </c>
      <c r="G31" s="275">
        <v>200</v>
      </c>
      <c r="H31" s="290" t="s">
        <v>634</v>
      </c>
      <c r="I31" s="275">
        <f t="shared" ref="I31:I36" si="11">ROUND(G31*30%,0)</f>
        <v>60</v>
      </c>
      <c r="J31" s="290" t="s">
        <v>634</v>
      </c>
    </row>
    <row r="32" spans="1:11" ht="18" customHeight="1">
      <c r="A32" s="415">
        <v>3</v>
      </c>
      <c r="B32" s="399" t="s">
        <v>636</v>
      </c>
      <c r="C32" s="275">
        <v>1500</v>
      </c>
      <c r="D32" s="290" t="s">
        <v>634</v>
      </c>
      <c r="E32" s="275">
        <f t="shared" si="10"/>
        <v>450</v>
      </c>
      <c r="F32" s="275">
        <v>2500</v>
      </c>
      <c r="G32" s="275">
        <v>2000</v>
      </c>
      <c r="H32" s="290" t="s">
        <v>634</v>
      </c>
      <c r="I32" s="275">
        <f t="shared" si="11"/>
        <v>600</v>
      </c>
      <c r="J32" s="290" t="s">
        <v>634</v>
      </c>
    </row>
    <row r="33" spans="1:10" ht="18" customHeight="1">
      <c r="A33" s="415">
        <v>4</v>
      </c>
      <c r="B33" s="399" t="s">
        <v>637</v>
      </c>
      <c r="C33" s="275">
        <v>200</v>
      </c>
      <c r="D33" s="290" t="s">
        <v>634</v>
      </c>
      <c r="E33" s="275">
        <f t="shared" si="10"/>
        <v>60</v>
      </c>
      <c r="F33" s="275">
        <v>200</v>
      </c>
      <c r="G33" s="275">
        <v>200</v>
      </c>
      <c r="H33" s="290" t="s">
        <v>634</v>
      </c>
      <c r="I33" s="275">
        <f t="shared" si="11"/>
        <v>60</v>
      </c>
      <c r="J33" s="290" t="s">
        <v>634</v>
      </c>
    </row>
    <row r="34" spans="1:10" ht="18" customHeight="1">
      <c r="A34" s="415">
        <v>5</v>
      </c>
      <c r="B34" s="399" t="s">
        <v>638</v>
      </c>
      <c r="C34" s="275">
        <v>200</v>
      </c>
      <c r="D34" s="290" t="s">
        <v>634</v>
      </c>
      <c r="E34" s="275">
        <f t="shared" si="10"/>
        <v>60</v>
      </c>
      <c r="F34" s="275">
        <v>100</v>
      </c>
      <c r="G34" s="275">
        <v>100</v>
      </c>
      <c r="H34" s="290" t="s">
        <v>634</v>
      </c>
      <c r="I34" s="275">
        <f t="shared" si="11"/>
        <v>30</v>
      </c>
      <c r="J34" s="290" t="s">
        <v>634</v>
      </c>
    </row>
    <row r="35" spans="1:10" ht="18" customHeight="1">
      <c r="A35" s="415">
        <v>6</v>
      </c>
      <c r="B35" s="399" t="s">
        <v>632</v>
      </c>
      <c r="C35" s="275">
        <v>350</v>
      </c>
      <c r="D35" s="290" t="s">
        <v>634</v>
      </c>
      <c r="E35" s="275">
        <f t="shared" si="10"/>
        <v>105</v>
      </c>
      <c r="F35" s="275">
        <v>350</v>
      </c>
      <c r="G35" s="275">
        <v>350</v>
      </c>
      <c r="H35" s="290" t="s">
        <v>634</v>
      </c>
      <c r="I35" s="275">
        <f t="shared" si="11"/>
        <v>105</v>
      </c>
      <c r="J35" s="290" t="s">
        <v>634</v>
      </c>
    </row>
    <row r="36" spans="1:10" ht="18" customHeight="1">
      <c r="A36" s="516">
        <v>7</v>
      </c>
      <c r="B36" s="517" t="s">
        <v>627</v>
      </c>
      <c r="C36" s="518">
        <v>300</v>
      </c>
      <c r="D36" s="291" t="s">
        <v>634</v>
      </c>
      <c r="E36" s="518">
        <f t="shared" si="10"/>
        <v>90</v>
      </c>
      <c r="F36" s="518">
        <v>150</v>
      </c>
      <c r="G36" s="518">
        <v>200</v>
      </c>
      <c r="H36" s="291" t="s">
        <v>634</v>
      </c>
      <c r="I36" s="518">
        <f t="shared" si="11"/>
        <v>60</v>
      </c>
      <c r="J36" s="291" t="s">
        <v>634</v>
      </c>
    </row>
    <row r="37" spans="1:10" ht="16.5" customHeight="1">
      <c r="A37" s="394" t="s">
        <v>346</v>
      </c>
      <c r="B37" s="1536" t="s">
        <v>640</v>
      </c>
      <c r="C37" s="1536"/>
      <c r="D37" s="1536"/>
      <c r="E37" s="1536"/>
      <c r="F37" s="1536"/>
      <c r="G37" s="1536"/>
      <c r="H37" s="1536"/>
      <c r="I37" s="1536"/>
    </row>
    <row r="38" spans="1:10" ht="20.25" customHeight="1">
      <c r="A38" s="407"/>
      <c r="B38" s="1523" t="s">
        <v>1949</v>
      </c>
      <c r="C38" s="1523"/>
      <c r="D38" s="1523"/>
      <c r="E38" s="1523"/>
      <c r="F38" s="1523"/>
      <c r="G38" s="1523"/>
      <c r="H38" s="1523"/>
      <c r="I38" s="1523"/>
    </row>
    <row r="39" spans="1:10" ht="27.75" customHeight="1">
      <c r="B39" s="1523" t="s">
        <v>641</v>
      </c>
      <c r="C39" s="1523"/>
      <c r="D39" s="1523"/>
      <c r="E39" s="1523"/>
      <c r="F39" s="1523"/>
      <c r="G39" s="1523"/>
      <c r="H39" s="1523"/>
      <c r="I39" s="1523"/>
    </row>
  </sheetData>
  <mergeCells count="19">
    <mergeCell ref="I6:I7"/>
    <mergeCell ref="B37:I37"/>
    <mergeCell ref="B38:I38"/>
    <mergeCell ref="B39:I39"/>
    <mergeCell ref="J9:J28"/>
    <mergeCell ref="A2:J2"/>
    <mergeCell ref="A3:I3"/>
    <mergeCell ref="E4:J4"/>
    <mergeCell ref="A5:A7"/>
    <mergeCell ref="B5:B7"/>
    <mergeCell ref="C5:E5"/>
    <mergeCell ref="F5:F7"/>
    <mergeCell ref="G5:I5"/>
    <mergeCell ref="J5:J7"/>
    <mergeCell ref="C6:C7"/>
    <mergeCell ref="D6:D7"/>
    <mergeCell ref="E6:E7"/>
    <mergeCell ref="G6:G7"/>
    <mergeCell ref="H6:H7"/>
  </mergeCells>
  <pageMargins left="0.78740157480314965" right="0.39370078740157483" top="0.63" bottom="0.51181102362204722" header="0.61" footer="0.27559055118110237"/>
  <pageSetup paperSize="9" fitToHeight="0" orientation="portrait"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BH82"/>
  <sheetViews>
    <sheetView showZeros="0" zoomScale="85" zoomScaleNormal="85" workbookViewId="0">
      <pane xSplit="8" ySplit="12" topLeftCell="S13" activePane="bottomRight" state="frozen"/>
      <selection pane="topRight" activeCell="I1" sqref="I1"/>
      <selection pane="bottomLeft" activeCell="A13" sqref="A13"/>
      <selection pane="bottomRight" activeCell="Y1" sqref="Y1:AA1048576"/>
    </sheetView>
  </sheetViews>
  <sheetFormatPr defaultColWidth="9.109375" defaultRowHeight="18" customHeight="1" outlineLevelRow="2" outlineLevelCol="1"/>
  <cols>
    <col min="1" max="1" width="4.33203125" style="555" customWidth="1"/>
    <col min="2" max="2" width="41.6640625" style="239" customWidth="1"/>
    <col min="3" max="8" width="10" style="239" hidden="1" customWidth="1" outlineLevel="1"/>
    <col min="9" max="9" width="10.33203125" style="239" customWidth="1" collapsed="1"/>
    <col min="10" max="11" width="10.33203125" style="239" customWidth="1"/>
    <col min="12" max="12" width="8" style="239" hidden="1" customWidth="1" outlineLevel="1"/>
    <col min="13" max="13" width="10.88671875" style="240" customWidth="1" collapsed="1"/>
    <col min="14" max="15" width="10.88671875" style="240" customWidth="1"/>
    <col min="16" max="16" width="7.88671875" style="239" hidden="1" customWidth="1" outlineLevel="1"/>
    <col min="17" max="17" width="10.33203125" style="239" customWidth="1" collapsed="1"/>
    <col min="18" max="18" width="9.109375" style="239" hidden="1" customWidth="1" outlineLevel="1"/>
    <col min="19" max="19" width="10" style="240" customWidth="1" collapsed="1"/>
    <col min="20" max="21" width="10" style="240" customWidth="1"/>
    <col min="22" max="22" width="9.33203125" style="239" customWidth="1"/>
    <col min="23" max="25" width="9.44140625" style="239" customWidth="1"/>
    <col min="26" max="26" width="7.109375" style="239" customWidth="1" outlineLevel="1"/>
    <col min="27" max="27" width="11.6640625" style="239" customWidth="1"/>
    <col min="28" max="28" width="11.109375" style="239" customWidth="1"/>
    <col min="29" max="29" width="11.44140625" style="239" customWidth="1"/>
    <col min="30" max="30" width="11.33203125" style="239" bestFit="1" customWidth="1"/>
    <col min="31" max="32" width="9.109375" style="239" customWidth="1"/>
    <col min="33" max="16384" width="9.109375" style="239"/>
  </cols>
  <sheetData>
    <row r="1" spans="1:31" s="240" customFormat="1" ht="15.9" hidden="1" customHeight="1" outlineLevel="2">
      <c r="A1" s="562"/>
      <c r="B1" s="656" t="s">
        <v>312</v>
      </c>
      <c r="C1" s="656"/>
      <c r="D1" s="656"/>
      <c r="E1" s="656"/>
      <c r="F1" s="656"/>
      <c r="G1" s="656"/>
      <c r="H1" s="656"/>
      <c r="I1" s="240">
        <v>5280534</v>
      </c>
      <c r="M1" s="240">
        <v>8359905.0039799996</v>
      </c>
    </row>
    <row r="2" spans="1:31" s="240" customFormat="1" ht="15.9" hidden="1" customHeight="1" outlineLevel="2">
      <c r="A2" s="562"/>
      <c r="I2" s="240">
        <f>I1-I12</f>
        <v>-4075090</v>
      </c>
      <c r="M2" s="240">
        <f>M1-M13</f>
        <v>-1385.996020000428</v>
      </c>
    </row>
    <row r="3" spans="1:31" s="263" customFormat="1" ht="15.9" customHeight="1" collapsed="1">
      <c r="A3" s="564"/>
      <c r="B3" s="263" t="s">
        <v>1834</v>
      </c>
    </row>
    <row r="4" spans="1:31" s="244" customFormat="1" ht="18.75" customHeight="1">
      <c r="A4" s="1538" t="s">
        <v>1972</v>
      </c>
      <c r="B4" s="1538"/>
      <c r="C4" s="1538"/>
      <c r="D4" s="1538"/>
      <c r="E4" s="1538"/>
      <c r="F4" s="1538"/>
      <c r="G4" s="1538"/>
      <c r="H4" s="1538"/>
      <c r="I4" s="1538"/>
      <c r="J4" s="1538"/>
      <c r="K4" s="1538"/>
      <c r="L4" s="1538"/>
      <c r="M4" s="1538"/>
      <c r="N4" s="1538"/>
      <c r="O4" s="1538"/>
      <c r="P4" s="1538"/>
      <c r="Q4" s="1538"/>
      <c r="R4" s="1538"/>
      <c r="S4" s="1538"/>
      <c r="T4" s="1538"/>
      <c r="U4" s="1538"/>
      <c r="V4" s="1538"/>
      <c r="W4" s="1538"/>
      <c r="X4" s="1538"/>
      <c r="Y4" s="1538"/>
    </row>
    <row r="5" spans="1:31" s="244" customFormat="1" ht="18.75" customHeight="1">
      <c r="A5" s="1537" t="s">
        <v>1903</v>
      </c>
      <c r="B5" s="1537"/>
      <c r="C5" s="1537"/>
      <c r="D5" s="1537"/>
      <c r="E5" s="1537"/>
      <c r="F5" s="1537"/>
      <c r="G5" s="1537"/>
      <c r="H5" s="1537"/>
      <c r="I5" s="1537"/>
      <c r="J5" s="1537"/>
      <c r="K5" s="1537"/>
      <c r="L5" s="1537"/>
      <c r="M5" s="1537"/>
      <c r="N5" s="1537"/>
      <c r="O5" s="1537"/>
      <c r="P5" s="1537"/>
      <c r="Q5" s="1537"/>
      <c r="R5" s="1537"/>
      <c r="S5" s="1537"/>
      <c r="T5" s="1537"/>
      <c r="U5" s="1537"/>
      <c r="V5" s="1537"/>
      <c r="W5" s="1537"/>
      <c r="X5" s="1537"/>
      <c r="Y5" s="1537"/>
    </row>
    <row r="6" spans="1:31" s="244" customFormat="1" ht="18.75" customHeight="1">
      <c r="A6" s="565"/>
      <c r="B6" s="1307"/>
      <c r="C6" s="1307"/>
      <c r="D6" s="1307"/>
      <c r="E6" s="1307"/>
      <c r="F6" s="1307"/>
      <c r="G6" s="1307"/>
      <c r="H6" s="1307"/>
      <c r="I6" s="1307"/>
      <c r="J6" s="1307"/>
      <c r="K6" s="1307"/>
      <c r="L6" s="1307"/>
      <c r="M6" s="528"/>
      <c r="N6" s="528"/>
      <c r="O6" s="528"/>
      <c r="P6" s="1307"/>
      <c r="Q6" s="528"/>
      <c r="R6" s="1307"/>
      <c r="S6" s="528"/>
      <c r="T6" s="528"/>
      <c r="U6" s="528"/>
      <c r="V6" s="1307"/>
      <c r="W6" s="1307"/>
      <c r="X6" s="1307"/>
      <c r="Y6" s="1307"/>
    </row>
    <row r="7" spans="1:31" ht="24" customHeight="1">
      <c r="B7" s="241"/>
      <c r="C7" s="241"/>
      <c r="D7" s="241"/>
      <c r="E7" s="241"/>
      <c r="F7" s="241"/>
      <c r="G7" s="241"/>
      <c r="H7" s="241"/>
      <c r="M7" s="650"/>
      <c r="N7" s="650"/>
      <c r="O7" s="725"/>
      <c r="S7" s="725"/>
      <c r="T7" s="725"/>
      <c r="V7" s="1540" t="s">
        <v>0</v>
      </c>
      <c r="W7" s="1540"/>
      <c r="X7" s="1330"/>
      <c r="Y7" s="1309"/>
    </row>
    <row r="8" spans="1:31" ht="15.9" customHeight="1">
      <c r="A8" s="1553" t="s">
        <v>1</v>
      </c>
      <c r="B8" s="1541" t="s">
        <v>2</v>
      </c>
      <c r="C8" s="1541" t="s">
        <v>1538</v>
      </c>
      <c r="D8" s="1541" t="s">
        <v>1539</v>
      </c>
      <c r="E8" s="1541" t="s">
        <v>277</v>
      </c>
      <c r="F8" s="1541"/>
      <c r="G8" s="1541"/>
      <c r="H8" s="1541"/>
      <c r="I8" s="1541" t="s">
        <v>1973</v>
      </c>
      <c r="J8" s="1541" t="s">
        <v>65</v>
      </c>
      <c r="K8" s="1541"/>
      <c r="L8" s="1543" t="s">
        <v>1974</v>
      </c>
      <c r="M8" s="1550" t="s">
        <v>2368</v>
      </c>
      <c r="N8" s="1541" t="s">
        <v>65</v>
      </c>
      <c r="O8" s="1541"/>
      <c r="P8" s="1543" t="s">
        <v>1974</v>
      </c>
      <c r="Q8" s="1541" t="s">
        <v>277</v>
      </c>
      <c r="R8" s="1541"/>
      <c r="S8" s="1541"/>
      <c r="T8" s="1541"/>
      <c r="U8" s="1541"/>
      <c r="V8" s="1541"/>
      <c r="W8" s="1541"/>
      <c r="X8" s="1541"/>
      <c r="Y8" s="1541"/>
      <c r="Z8" s="1543" t="s">
        <v>1975</v>
      </c>
      <c r="AA8" s="529"/>
      <c r="AB8" s="529"/>
    </row>
    <row r="9" spans="1:31" ht="15.9" customHeight="1">
      <c r="A9" s="1554"/>
      <c r="B9" s="1541"/>
      <c r="C9" s="1541"/>
      <c r="D9" s="1541"/>
      <c r="E9" s="1543" t="s">
        <v>313</v>
      </c>
      <c r="F9" s="1546" t="s">
        <v>65</v>
      </c>
      <c r="G9" s="1547"/>
      <c r="H9" s="1543" t="s">
        <v>276</v>
      </c>
      <c r="I9" s="1541"/>
      <c r="J9" s="1541" t="s">
        <v>2273</v>
      </c>
      <c r="K9" s="1541" t="s">
        <v>1906</v>
      </c>
      <c r="L9" s="1544"/>
      <c r="M9" s="1550"/>
      <c r="N9" s="1541" t="s">
        <v>2273</v>
      </c>
      <c r="O9" s="1541" t="s">
        <v>1906</v>
      </c>
      <c r="P9" s="1544"/>
      <c r="Q9" s="1541" t="s">
        <v>313</v>
      </c>
      <c r="R9" s="1541" t="s">
        <v>1975</v>
      </c>
      <c r="S9" s="1541" t="s">
        <v>65</v>
      </c>
      <c r="T9" s="1541"/>
      <c r="U9" s="1541"/>
      <c r="V9" s="1541"/>
      <c r="W9" s="1541" t="s">
        <v>276</v>
      </c>
      <c r="X9" s="1541"/>
      <c r="Y9" s="1541"/>
      <c r="Z9" s="1544"/>
      <c r="AA9" s="529"/>
      <c r="AB9" s="529"/>
    </row>
    <row r="10" spans="1:31" ht="12" customHeight="1">
      <c r="A10" s="1554"/>
      <c r="B10" s="1541"/>
      <c r="C10" s="1541"/>
      <c r="D10" s="1541"/>
      <c r="E10" s="1544"/>
      <c r="F10" s="1548"/>
      <c r="G10" s="1549"/>
      <c r="H10" s="1544"/>
      <c r="I10" s="1541"/>
      <c r="J10" s="1541"/>
      <c r="K10" s="1541"/>
      <c r="L10" s="1544"/>
      <c r="M10" s="1550"/>
      <c r="N10" s="1541"/>
      <c r="O10" s="1541"/>
      <c r="P10" s="1544"/>
      <c r="Q10" s="1541"/>
      <c r="R10" s="1541"/>
      <c r="S10" s="1550" t="s">
        <v>275</v>
      </c>
      <c r="T10" s="1541" t="s">
        <v>65</v>
      </c>
      <c r="U10" s="1541"/>
      <c r="V10" s="1541" t="s">
        <v>314</v>
      </c>
      <c r="W10" s="1541"/>
      <c r="X10" s="1541" t="s">
        <v>2273</v>
      </c>
      <c r="Y10" s="1541" t="s">
        <v>1906</v>
      </c>
      <c r="Z10" s="1544"/>
    </row>
    <row r="11" spans="1:31" ht="52.5" customHeight="1">
      <c r="A11" s="1555"/>
      <c r="B11" s="1541"/>
      <c r="C11" s="1541"/>
      <c r="D11" s="1541"/>
      <c r="E11" s="1545"/>
      <c r="F11" s="1310" t="s">
        <v>275</v>
      </c>
      <c r="G11" s="1310" t="s">
        <v>314</v>
      </c>
      <c r="H11" s="1545"/>
      <c r="I11" s="1541"/>
      <c r="J11" s="1541"/>
      <c r="K11" s="1541"/>
      <c r="L11" s="1552"/>
      <c r="M11" s="1550"/>
      <c r="N11" s="1541"/>
      <c r="O11" s="1541"/>
      <c r="P11" s="1552"/>
      <c r="Q11" s="1541"/>
      <c r="R11" s="1541"/>
      <c r="S11" s="1550"/>
      <c r="T11" s="1311" t="s">
        <v>2273</v>
      </c>
      <c r="U11" s="1311" t="s">
        <v>1906</v>
      </c>
      <c r="V11" s="1541"/>
      <c r="W11" s="1541"/>
      <c r="X11" s="1541"/>
      <c r="Y11" s="1541"/>
      <c r="Z11" s="1551"/>
    </row>
    <row r="12" spans="1:31" s="244" customFormat="1" ht="33" customHeight="1">
      <c r="A12" s="358" t="s">
        <v>14</v>
      </c>
      <c r="B12" s="9" t="s">
        <v>347</v>
      </c>
      <c r="C12" s="242">
        <v>9632897</v>
      </c>
      <c r="D12" s="242">
        <v>10886897.002868228</v>
      </c>
      <c r="E12" s="242">
        <v>6928268.0028682286</v>
      </c>
      <c r="F12" s="242">
        <v>6680414.0028682286</v>
      </c>
      <c r="G12" s="242">
        <v>247854</v>
      </c>
      <c r="H12" s="242">
        <v>3958628.6</v>
      </c>
      <c r="I12" s="242">
        <f>I13+I48</f>
        <v>9355624</v>
      </c>
      <c r="J12" s="242">
        <f>J13+J48</f>
        <v>6503173</v>
      </c>
      <c r="K12" s="242">
        <f>K13+K48</f>
        <v>442618</v>
      </c>
      <c r="L12" s="657">
        <f>I12/C12*100</f>
        <v>97.121603189570067</v>
      </c>
      <c r="M12" s="242">
        <f>M13+M48</f>
        <v>10702624</v>
      </c>
      <c r="N12" s="242">
        <f>N13+N48</f>
        <v>7918673</v>
      </c>
      <c r="O12" s="242">
        <f>O13+O48</f>
        <v>442618</v>
      </c>
      <c r="P12" s="657">
        <f>M12/D12*100</f>
        <v>98.307387285654684</v>
      </c>
      <c r="Q12" s="242">
        <f>Q13+Q48</f>
        <v>6306476.7045600004</v>
      </c>
      <c r="R12" s="657">
        <f>Q12/E12*100</f>
        <v>91.025299569086911</v>
      </c>
      <c r="S12" s="242">
        <f t="shared" ref="S12:Y12" si="0">S13+S48</f>
        <v>5965394.7045600004</v>
      </c>
      <c r="T12" s="242">
        <f t="shared" si="0"/>
        <v>5891252.7045600004</v>
      </c>
      <c r="U12" s="242">
        <f t="shared" si="0"/>
        <v>74142</v>
      </c>
      <c r="V12" s="242">
        <f t="shared" si="0"/>
        <v>341082</v>
      </c>
      <c r="W12" s="242">
        <f t="shared" si="0"/>
        <v>4396147.2954399996</v>
      </c>
      <c r="X12" s="242">
        <f t="shared" si="0"/>
        <v>4027671.29544</v>
      </c>
      <c r="Y12" s="242">
        <f t="shared" si="0"/>
        <v>368476</v>
      </c>
      <c r="Z12" s="657">
        <f t="shared" ref="Z12:Z17" si="1">W12/H12*100</f>
        <v>111.05227945455655</v>
      </c>
      <c r="AA12" s="263"/>
    </row>
    <row r="13" spans="1:31" s="244" customFormat="1" ht="33" customHeight="1">
      <c r="A13" s="658" t="s">
        <v>16</v>
      </c>
      <c r="B13" s="252" t="s">
        <v>315</v>
      </c>
      <c r="C13" s="659">
        <v>6484173</v>
      </c>
      <c r="D13" s="659">
        <v>7738173.0028682286</v>
      </c>
      <c r="E13" s="659">
        <v>3779544.0028682286</v>
      </c>
      <c r="F13" s="659">
        <v>3532642.0028682286</v>
      </c>
      <c r="G13" s="659">
        <v>246902</v>
      </c>
      <c r="H13" s="659">
        <v>3958628.6</v>
      </c>
      <c r="I13" s="659">
        <f>I14+I47</f>
        <v>7014291</v>
      </c>
      <c r="J13" s="659">
        <f>J14+J47</f>
        <v>6503173</v>
      </c>
      <c r="K13" s="659">
        <f>K14+K47</f>
        <v>442618</v>
      </c>
      <c r="L13" s="660">
        <f t="shared" ref="L13:L65" si="2">I13/C13*100</f>
        <v>108.17556841867113</v>
      </c>
      <c r="M13" s="659">
        <f>M14+M47</f>
        <v>8361291</v>
      </c>
      <c r="N13" s="659">
        <f>N14+N47</f>
        <v>7918673</v>
      </c>
      <c r="O13" s="659">
        <f>O14+O47</f>
        <v>442618</v>
      </c>
      <c r="P13" s="660">
        <f t="shared" ref="P13:P65" si="3">M13/D13*100</f>
        <v>108.05252088446208</v>
      </c>
      <c r="Q13" s="659">
        <f>Q14+Q47</f>
        <v>3965143.70456</v>
      </c>
      <c r="R13" s="660">
        <f t="shared" ref="R13:R65" si="4">Q13/E13*100</f>
        <v>104.91063740892879</v>
      </c>
      <c r="S13" s="659">
        <f t="shared" ref="S13:Y13" si="5">S14+S47</f>
        <v>3683272.70456</v>
      </c>
      <c r="T13" s="659">
        <f t="shared" si="5"/>
        <v>3609130.70456</v>
      </c>
      <c r="U13" s="659">
        <f t="shared" si="5"/>
        <v>74142</v>
      </c>
      <c r="V13" s="659">
        <f t="shared" si="5"/>
        <v>281871</v>
      </c>
      <c r="W13" s="659">
        <f t="shared" si="5"/>
        <v>4396147.2954399996</v>
      </c>
      <c r="X13" s="659">
        <f t="shared" si="5"/>
        <v>4027671.29544</v>
      </c>
      <c r="Y13" s="659">
        <f t="shared" si="5"/>
        <v>368476</v>
      </c>
      <c r="Z13" s="660">
        <f t="shared" si="1"/>
        <v>111.05227945455655</v>
      </c>
      <c r="AA13" s="263"/>
    </row>
    <row r="14" spans="1:31" s="244" customFormat="1" ht="29.25" customHeight="1">
      <c r="A14" s="359" t="s">
        <v>316</v>
      </c>
      <c r="B14" s="252" t="s">
        <v>317</v>
      </c>
      <c r="C14" s="10">
        <v>6406973</v>
      </c>
      <c r="D14" s="10">
        <v>7660973.0028682286</v>
      </c>
      <c r="E14" s="10">
        <v>3702344.0028682286</v>
      </c>
      <c r="F14" s="10">
        <v>3455442.0028682286</v>
      </c>
      <c r="G14" s="10">
        <v>246902</v>
      </c>
      <c r="H14" s="10">
        <v>3958628.6</v>
      </c>
      <c r="I14" s="10">
        <f t="shared" ref="I14:Y14" si="6">I15+I23+I36+I37+I41+I35+I34</f>
        <v>6945791</v>
      </c>
      <c r="J14" s="10">
        <f t="shared" si="6"/>
        <v>6503173</v>
      </c>
      <c r="K14" s="10">
        <f t="shared" si="6"/>
        <v>442618</v>
      </c>
      <c r="L14" s="10">
        <f t="shared" si="6"/>
        <v>419.8494898191459</v>
      </c>
      <c r="M14" s="10">
        <f>M15+M23+M36+M37+M41+M35+M34</f>
        <v>8292791</v>
      </c>
      <c r="N14" s="10">
        <f t="shared" si="6"/>
        <v>7850173</v>
      </c>
      <c r="O14" s="10">
        <f t="shared" si="6"/>
        <v>442618</v>
      </c>
      <c r="P14" s="10" t="e">
        <f t="shared" si="6"/>
        <v>#DIV/0!</v>
      </c>
      <c r="Q14" s="10">
        <f t="shared" si="6"/>
        <v>3896643.70456</v>
      </c>
      <c r="R14" s="10">
        <f t="shared" si="6"/>
        <v>609.85114225683765</v>
      </c>
      <c r="S14" s="10">
        <f t="shared" si="6"/>
        <v>3614772.70456</v>
      </c>
      <c r="T14" s="10">
        <f t="shared" si="6"/>
        <v>3540630.70456</v>
      </c>
      <c r="U14" s="10">
        <f t="shared" si="6"/>
        <v>74142</v>
      </c>
      <c r="V14" s="10">
        <f t="shared" si="6"/>
        <v>281871</v>
      </c>
      <c r="W14" s="10">
        <f t="shared" si="6"/>
        <v>4396147.2954399996</v>
      </c>
      <c r="X14" s="10">
        <f t="shared" si="6"/>
        <v>4027671.29544</v>
      </c>
      <c r="Y14" s="10">
        <f t="shared" si="6"/>
        <v>368476</v>
      </c>
      <c r="Z14" s="530">
        <f t="shared" si="1"/>
        <v>111.05227945455655</v>
      </c>
      <c r="AA14" s="263"/>
    </row>
    <row r="15" spans="1:31" s="244" customFormat="1" ht="22.5" customHeight="1">
      <c r="A15" s="361" t="s">
        <v>18</v>
      </c>
      <c r="B15" s="252" t="s">
        <v>318</v>
      </c>
      <c r="C15" s="10">
        <v>1009037</v>
      </c>
      <c r="D15" s="10">
        <v>1009037</v>
      </c>
      <c r="E15" s="10">
        <v>575246</v>
      </c>
      <c r="F15" s="10">
        <v>369061</v>
      </c>
      <c r="G15" s="10">
        <v>206185</v>
      </c>
      <c r="H15" s="10">
        <v>433790.6</v>
      </c>
      <c r="I15" s="10">
        <f t="shared" ref="I15:Y15" si="7">I16+I17+I21+I22</f>
        <v>1027220</v>
      </c>
      <c r="J15" s="10">
        <f t="shared" si="7"/>
        <v>1027220</v>
      </c>
      <c r="K15" s="10">
        <f t="shared" si="7"/>
        <v>0</v>
      </c>
      <c r="L15" s="530">
        <f t="shared" si="2"/>
        <v>101.80201518873938</v>
      </c>
      <c r="M15" s="10">
        <f t="shared" si="7"/>
        <v>1027220</v>
      </c>
      <c r="N15" s="10">
        <f t="shared" si="7"/>
        <v>1027220</v>
      </c>
      <c r="O15" s="10">
        <f t="shared" si="7"/>
        <v>0</v>
      </c>
      <c r="P15" s="530">
        <f t="shared" si="3"/>
        <v>101.80201518873938</v>
      </c>
      <c r="Q15" s="10">
        <f t="shared" si="7"/>
        <v>593429</v>
      </c>
      <c r="R15" s="530">
        <f t="shared" si="4"/>
        <v>103.16090855042886</v>
      </c>
      <c r="S15" s="10">
        <f t="shared" si="7"/>
        <v>415220</v>
      </c>
      <c r="T15" s="10">
        <f t="shared" si="7"/>
        <v>415220</v>
      </c>
      <c r="U15" s="10">
        <f t="shared" si="7"/>
        <v>0</v>
      </c>
      <c r="V15" s="10">
        <f t="shared" si="7"/>
        <v>178209</v>
      </c>
      <c r="W15" s="10">
        <f t="shared" si="7"/>
        <v>433791</v>
      </c>
      <c r="X15" s="10">
        <f t="shared" si="7"/>
        <v>433791</v>
      </c>
      <c r="Y15" s="10">
        <f t="shared" si="7"/>
        <v>0</v>
      </c>
      <c r="Z15" s="530">
        <f t="shared" si="1"/>
        <v>100.00009221038908</v>
      </c>
      <c r="AA15" s="263"/>
    </row>
    <row r="16" spans="1:31" ht="22.5" customHeight="1">
      <c r="A16" s="362" t="s">
        <v>34</v>
      </c>
      <c r="B16" s="266" t="s">
        <v>319</v>
      </c>
      <c r="C16" s="1">
        <v>532037</v>
      </c>
      <c r="D16" s="1">
        <v>532037</v>
      </c>
      <c r="E16" s="1">
        <v>450246</v>
      </c>
      <c r="F16" s="1">
        <v>272356</v>
      </c>
      <c r="G16" s="1">
        <v>177890</v>
      </c>
      <c r="H16" s="1">
        <v>81791</v>
      </c>
      <c r="I16" s="1">
        <v>547220</v>
      </c>
      <c r="J16" s="1">
        <v>547220</v>
      </c>
      <c r="K16" s="1"/>
      <c r="L16" s="531">
        <f t="shared" si="2"/>
        <v>102.85374889340405</v>
      </c>
      <c r="M16" s="1">
        <f>I16</f>
        <v>547220</v>
      </c>
      <c r="N16" s="1">
        <f>J16</f>
        <v>547220</v>
      </c>
      <c r="O16" s="1"/>
      <c r="P16" s="531">
        <f t="shared" si="3"/>
        <v>102.85374889340405</v>
      </c>
      <c r="Q16" s="1">
        <f>S16+V16</f>
        <v>465429</v>
      </c>
      <c r="R16" s="531">
        <f t="shared" si="4"/>
        <v>103.37215655441692</v>
      </c>
      <c r="S16" s="1">
        <f>T16+U16</f>
        <v>307220</v>
      </c>
      <c r="T16" s="1">
        <f>N16-X16-V16</f>
        <v>307220</v>
      </c>
      <c r="U16" s="1">
        <f>O16-Y16</f>
        <v>0</v>
      </c>
      <c r="V16" s="1">
        <f>'Bieu 5 TT'!C11</f>
        <v>158209</v>
      </c>
      <c r="W16" s="1">
        <f>X16+Y16</f>
        <v>81791</v>
      </c>
      <c r="X16" s="1">
        <f>'Bieu 04_TT'!O31</f>
        <v>81791</v>
      </c>
      <c r="Y16" s="1"/>
      <c r="Z16" s="531">
        <f t="shared" si="1"/>
        <v>100</v>
      </c>
      <c r="AA16" s="263"/>
      <c r="AB16" s="244"/>
      <c r="AC16" s="244"/>
      <c r="AD16" s="244"/>
      <c r="AE16" s="244"/>
    </row>
    <row r="17" spans="1:31" ht="22.5" customHeight="1">
      <c r="A17" s="362" t="s">
        <v>36</v>
      </c>
      <c r="B17" s="266" t="s">
        <v>37</v>
      </c>
      <c r="C17" s="1">
        <v>400000</v>
      </c>
      <c r="D17" s="1">
        <v>400000</v>
      </c>
      <c r="E17" s="1">
        <v>48000</v>
      </c>
      <c r="F17" s="1">
        <v>28000</v>
      </c>
      <c r="G17" s="1">
        <v>20000</v>
      </c>
      <c r="H17" s="1">
        <v>351999.6</v>
      </c>
      <c r="I17" s="1">
        <v>400000</v>
      </c>
      <c r="J17" s="1">
        <v>400000</v>
      </c>
      <c r="K17" s="1"/>
      <c r="L17" s="531">
        <f t="shared" si="2"/>
        <v>100</v>
      </c>
      <c r="M17" s="1">
        <f>I17</f>
        <v>400000</v>
      </c>
      <c r="N17" s="1">
        <f>J17</f>
        <v>400000</v>
      </c>
      <c r="O17" s="1"/>
      <c r="P17" s="531">
        <f t="shared" si="3"/>
        <v>100</v>
      </c>
      <c r="Q17" s="1">
        <f>S17+V17</f>
        <v>48000</v>
      </c>
      <c r="R17" s="531">
        <f t="shared" ref="R17" si="8">Q17/E17*100</f>
        <v>100</v>
      </c>
      <c r="S17" s="1">
        <f>T17+U17</f>
        <v>28000</v>
      </c>
      <c r="T17" s="1">
        <f>N17-X17-V17</f>
        <v>28000</v>
      </c>
      <c r="U17" s="1"/>
      <c r="V17" s="1">
        <f>V20</f>
        <v>20000</v>
      </c>
      <c r="W17" s="1">
        <f t="shared" ref="W17:W21" si="9">X17+Y17</f>
        <v>352000</v>
      </c>
      <c r="X17" s="1">
        <f>'Bieu 04_TT'!O32</f>
        <v>352000</v>
      </c>
      <c r="Y17" s="1"/>
      <c r="Z17" s="531">
        <f t="shared" si="1"/>
        <v>100.00011363649277</v>
      </c>
      <c r="AA17" s="263"/>
      <c r="AB17" s="244"/>
      <c r="AC17" s="244"/>
      <c r="AD17" s="244"/>
      <c r="AE17" s="244"/>
    </row>
    <row r="18" spans="1:31" s="265" customFormat="1" ht="27.75" customHeight="1">
      <c r="A18" s="363"/>
      <c r="B18" s="532" t="s">
        <v>320</v>
      </c>
      <c r="C18" s="248"/>
      <c r="D18" s="248"/>
      <c r="E18" s="248"/>
      <c r="F18" s="248">
        <v>0</v>
      </c>
      <c r="G18" s="248"/>
      <c r="H18" s="248"/>
      <c r="I18" s="248"/>
      <c r="J18" s="248"/>
      <c r="K18" s="248"/>
      <c r="L18" s="533"/>
      <c r="M18" s="248"/>
      <c r="N18" s="248"/>
      <c r="O18" s="248"/>
      <c r="P18" s="533"/>
      <c r="Q18" s="248"/>
      <c r="R18" s="533"/>
      <c r="S18" s="248">
        <f>Q18-V18</f>
        <v>0</v>
      </c>
      <c r="T18" s="248"/>
      <c r="U18" s="248"/>
      <c r="V18" s="248"/>
      <c r="W18" s="1">
        <f t="shared" si="9"/>
        <v>0</v>
      </c>
      <c r="X18" s="248"/>
      <c r="Y18" s="248"/>
      <c r="Z18" s="533"/>
      <c r="AA18" s="263"/>
      <c r="AB18" s="244"/>
      <c r="AC18" s="244"/>
      <c r="AD18" s="244"/>
      <c r="AE18" s="244"/>
    </row>
    <row r="19" spans="1:31" ht="22.5" customHeight="1">
      <c r="A19" s="362" t="s">
        <v>23</v>
      </c>
      <c r="B19" s="266" t="s">
        <v>1391</v>
      </c>
      <c r="C19" s="1"/>
      <c r="D19" s="1">
        <v>8000</v>
      </c>
      <c r="E19" s="1">
        <v>8000</v>
      </c>
      <c r="F19" s="1">
        <v>8000</v>
      </c>
      <c r="G19" s="1"/>
      <c r="H19" s="1">
        <v>0</v>
      </c>
      <c r="I19" s="1"/>
      <c r="J19" s="1"/>
      <c r="K19" s="1"/>
      <c r="L19" s="531"/>
      <c r="M19" s="1">
        <f>M17*2%</f>
        <v>8000</v>
      </c>
      <c r="N19" s="1">
        <f>M19</f>
        <v>8000</v>
      </c>
      <c r="O19" s="1"/>
      <c r="P19" s="531">
        <f t="shared" si="3"/>
        <v>100</v>
      </c>
      <c r="Q19" s="1">
        <f>S19+V19</f>
        <v>8000</v>
      </c>
      <c r="R19" s="531">
        <f t="shared" ref="R19:R21" si="10">Q19/E19*100</f>
        <v>100</v>
      </c>
      <c r="S19" s="1">
        <f>T19+U19</f>
        <v>8000</v>
      </c>
      <c r="T19" s="1">
        <f>N19-X19-V19</f>
        <v>8000</v>
      </c>
      <c r="U19" s="1"/>
      <c r="V19" s="1"/>
      <c r="W19" s="1">
        <f t="shared" si="9"/>
        <v>0</v>
      </c>
      <c r="X19" s="1"/>
      <c r="Y19" s="1"/>
      <c r="Z19" s="531"/>
      <c r="AA19" s="263"/>
      <c r="AB19" s="244"/>
      <c r="AC19" s="244"/>
      <c r="AD19" s="244"/>
      <c r="AE19" s="244"/>
    </row>
    <row r="20" spans="1:31" ht="24.75" customHeight="1">
      <c r="A20" s="362" t="s">
        <v>23</v>
      </c>
      <c r="B20" s="266" t="s">
        <v>321</v>
      </c>
      <c r="C20" s="1"/>
      <c r="D20" s="1">
        <v>40000</v>
      </c>
      <c r="E20" s="1">
        <v>40000</v>
      </c>
      <c r="F20" s="1">
        <v>20000</v>
      </c>
      <c r="G20" s="1">
        <v>20000</v>
      </c>
      <c r="H20" s="1">
        <v>0</v>
      </c>
      <c r="I20" s="1"/>
      <c r="J20" s="1"/>
      <c r="K20" s="1"/>
      <c r="L20" s="531"/>
      <c r="M20" s="1">
        <f>M17*10%</f>
        <v>40000</v>
      </c>
      <c r="N20" s="1">
        <f>M20</f>
        <v>40000</v>
      </c>
      <c r="O20" s="1"/>
      <c r="P20" s="531">
        <f t="shared" si="3"/>
        <v>100</v>
      </c>
      <c r="Q20" s="1">
        <f>S20+V20</f>
        <v>40000</v>
      </c>
      <c r="R20" s="531">
        <f t="shared" si="10"/>
        <v>100</v>
      </c>
      <c r="S20" s="1">
        <f>T20+U20</f>
        <v>20000</v>
      </c>
      <c r="T20" s="1">
        <f>N20-X20-V20</f>
        <v>20000</v>
      </c>
      <c r="U20" s="1"/>
      <c r="V20" s="1">
        <f>'Bieu 3a_10% tien dat '!E10</f>
        <v>20000</v>
      </c>
      <c r="W20" s="1">
        <f t="shared" si="9"/>
        <v>0</v>
      </c>
      <c r="X20" s="1"/>
      <c r="Y20" s="1"/>
      <c r="Z20" s="531"/>
      <c r="AA20" s="263"/>
      <c r="AB20" s="244"/>
      <c r="AC20" s="244"/>
      <c r="AD20" s="244"/>
      <c r="AE20" s="244"/>
    </row>
    <row r="21" spans="1:31" ht="22.5" customHeight="1">
      <c r="A21" s="362" t="s">
        <v>38</v>
      </c>
      <c r="B21" s="266" t="s">
        <v>39</v>
      </c>
      <c r="C21" s="1">
        <v>77000</v>
      </c>
      <c r="D21" s="1">
        <v>77000</v>
      </c>
      <c r="E21" s="1">
        <v>77000</v>
      </c>
      <c r="F21" s="1">
        <v>68705</v>
      </c>
      <c r="G21" s="1">
        <v>8295</v>
      </c>
      <c r="H21" s="1">
        <v>0</v>
      </c>
      <c r="I21" s="1">
        <v>80000</v>
      </c>
      <c r="J21" s="1">
        <v>80000</v>
      </c>
      <c r="K21" s="1"/>
      <c r="L21" s="531">
        <f t="shared" si="2"/>
        <v>103.89610389610388</v>
      </c>
      <c r="M21" s="1">
        <f>I21</f>
        <v>80000</v>
      </c>
      <c r="N21" s="1">
        <f>M21</f>
        <v>80000</v>
      </c>
      <c r="O21" s="1"/>
      <c r="P21" s="531">
        <f t="shared" si="3"/>
        <v>103.89610389610388</v>
      </c>
      <c r="Q21" s="1">
        <f>S21+V21</f>
        <v>80000</v>
      </c>
      <c r="R21" s="531">
        <f t="shared" si="10"/>
        <v>103.89610389610388</v>
      </c>
      <c r="S21" s="1">
        <f>T21+U21</f>
        <v>80000</v>
      </c>
      <c r="T21" s="1">
        <f>N21-X21-V21</f>
        <v>80000</v>
      </c>
      <c r="U21" s="1"/>
      <c r="V21" s="1">
        <f>'Bieu 5 TT'!C18</f>
        <v>0</v>
      </c>
      <c r="W21" s="1">
        <f t="shared" si="9"/>
        <v>0</v>
      </c>
      <c r="X21" s="1"/>
      <c r="Y21" s="1"/>
      <c r="Z21" s="531"/>
      <c r="AA21" s="263"/>
      <c r="AB21" s="244"/>
      <c r="AC21" s="244"/>
      <c r="AD21" s="244"/>
      <c r="AE21" s="244"/>
    </row>
    <row r="22" spans="1:31" ht="34.5" hidden="1" customHeight="1" outlineLevel="1">
      <c r="A22" s="362" t="s">
        <v>322</v>
      </c>
      <c r="B22" s="266" t="s">
        <v>1522</v>
      </c>
      <c r="C22" s="1"/>
      <c r="D22" s="1"/>
      <c r="E22" s="1"/>
      <c r="F22" s="1"/>
      <c r="G22" s="1"/>
      <c r="H22" s="1"/>
      <c r="I22" s="1"/>
      <c r="J22" s="1"/>
      <c r="K22" s="1"/>
      <c r="L22" s="531"/>
      <c r="M22" s="1"/>
      <c r="N22" s="1"/>
      <c r="O22" s="1"/>
      <c r="P22" s="531" t="e">
        <f t="shared" si="3"/>
        <v>#DIV/0!</v>
      </c>
      <c r="Q22" s="1"/>
      <c r="R22" s="531" t="e">
        <f t="shared" si="4"/>
        <v>#DIV/0!</v>
      </c>
      <c r="S22" s="1"/>
      <c r="T22" s="1"/>
      <c r="U22" s="1"/>
      <c r="V22" s="1"/>
      <c r="W22" s="1"/>
      <c r="X22" s="1"/>
      <c r="Y22" s="1"/>
      <c r="Z22" s="531"/>
      <c r="AA22" s="263"/>
      <c r="AB22" s="244"/>
      <c r="AC22" s="244"/>
      <c r="AD22" s="244"/>
      <c r="AE22" s="244"/>
    </row>
    <row r="23" spans="1:31" s="244" customFormat="1" ht="24.75" customHeight="1" collapsed="1">
      <c r="A23" s="361" t="s">
        <v>26</v>
      </c>
      <c r="B23" s="252" t="s">
        <v>324</v>
      </c>
      <c r="C23" s="10">
        <v>5268797</v>
      </c>
      <c r="D23" s="10">
        <v>5267711</v>
      </c>
      <c r="E23" s="10">
        <v>1870992</v>
      </c>
      <c r="F23" s="10">
        <v>1830275</v>
      </c>
      <c r="G23" s="10">
        <v>40717</v>
      </c>
      <c r="H23" s="10">
        <v>3396719</v>
      </c>
      <c r="I23" s="10">
        <f>I25+I29+I30</f>
        <v>5776555</v>
      </c>
      <c r="J23" s="10">
        <f t="shared" ref="J23:K23" si="11">J25+J29+J30</f>
        <v>5323537</v>
      </c>
      <c r="K23" s="10">
        <f t="shared" si="11"/>
        <v>453018</v>
      </c>
      <c r="L23" s="10">
        <f t="shared" si="2"/>
        <v>109.63707654707517</v>
      </c>
      <c r="M23" s="10">
        <f t="shared" ref="M23:V23" si="12">M25+M29+M30</f>
        <v>5777927</v>
      </c>
      <c r="N23" s="10">
        <f t="shared" ref="N23:O23" si="13">N25+N29+N30</f>
        <v>5324909</v>
      </c>
      <c r="O23" s="10">
        <f t="shared" si="13"/>
        <v>453018</v>
      </c>
      <c r="P23" s="10">
        <f t="shared" si="3"/>
        <v>109.68572497618037</v>
      </c>
      <c r="Q23" s="10">
        <f t="shared" si="12"/>
        <v>1991493.70456</v>
      </c>
      <c r="R23" s="10">
        <f t="shared" si="4"/>
        <v>106.44052484243653</v>
      </c>
      <c r="S23" s="10">
        <f t="shared" si="12"/>
        <v>1926831.70456</v>
      </c>
      <c r="T23" s="10">
        <f t="shared" si="12"/>
        <v>1845159.70456</v>
      </c>
      <c r="U23" s="10">
        <f>K23-Y23</f>
        <v>81672</v>
      </c>
      <c r="V23" s="10">
        <f t="shared" si="12"/>
        <v>64662</v>
      </c>
      <c r="W23" s="10">
        <f>X23+Y23</f>
        <v>3786433.29544</v>
      </c>
      <c r="X23" s="10">
        <f>'Bieu 04_TT'!O35</f>
        <v>3415087.29544</v>
      </c>
      <c r="Y23" s="10">
        <f>'Bieu 04_TT'!P35</f>
        <v>371346</v>
      </c>
      <c r="Z23" s="530">
        <f>W23/H23*100</f>
        <v>111.47325685286302</v>
      </c>
      <c r="AA23" s="263"/>
    </row>
    <row r="24" spans="1:31" s="265" customFormat="1" ht="28.5" hidden="1" customHeight="1" outlineLevel="1">
      <c r="A24" s="363"/>
      <c r="B24" s="661" t="s">
        <v>325</v>
      </c>
      <c r="C24" s="248"/>
      <c r="D24" s="248"/>
      <c r="E24" s="248"/>
      <c r="F24" s="248">
        <v>0</v>
      </c>
      <c r="G24" s="248"/>
      <c r="H24" s="248"/>
      <c r="I24" s="248"/>
      <c r="J24" s="248"/>
      <c r="K24" s="248"/>
      <c r="L24" s="248" t="e">
        <f t="shared" si="2"/>
        <v>#DIV/0!</v>
      </c>
      <c r="M24" s="248"/>
      <c r="N24" s="248"/>
      <c r="O24" s="248"/>
      <c r="P24" s="248" t="e">
        <f t="shared" si="3"/>
        <v>#DIV/0!</v>
      </c>
      <c r="Q24" s="248"/>
      <c r="R24" s="248" t="e">
        <f t="shared" si="4"/>
        <v>#DIV/0!</v>
      </c>
      <c r="S24" s="248">
        <f>Q24-V24</f>
        <v>0</v>
      </c>
      <c r="T24" s="248"/>
      <c r="U24" s="248"/>
      <c r="V24" s="248"/>
      <c r="W24" s="248"/>
      <c r="X24" s="248"/>
      <c r="Y24" s="248"/>
      <c r="Z24" s="533" t="e">
        <f>W24/H24*100</f>
        <v>#DIV/0!</v>
      </c>
      <c r="AA24" s="263"/>
      <c r="AB24" s="244"/>
      <c r="AC24" s="244"/>
      <c r="AD24" s="244"/>
      <c r="AE24" s="244"/>
    </row>
    <row r="25" spans="1:31" ht="24.75" customHeight="1" collapsed="1">
      <c r="A25" s="362" t="s">
        <v>42</v>
      </c>
      <c r="B25" s="268" t="s">
        <v>326</v>
      </c>
      <c r="C25" s="1">
        <v>2409053</v>
      </c>
      <c r="D25" s="1">
        <v>2409053</v>
      </c>
      <c r="E25" s="1">
        <v>425424</v>
      </c>
      <c r="F25" s="1">
        <v>425424</v>
      </c>
      <c r="G25" s="1"/>
      <c r="H25" s="1">
        <v>1983629</v>
      </c>
      <c r="I25" s="1">
        <v>2653298</v>
      </c>
      <c r="J25" s="1">
        <f>2419424-735</f>
        <v>2418689</v>
      </c>
      <c r="K25" s="1">
        <v>234609</v>
      </c>
      <c r="L25" s="1">
        <f t="shared" si="2"/>
        <v>110.138631238084</v>
      </c>
      <c r="M25" s="1">
        <f>I25</f>
        <v>2653298</v>
      </c>
      <c r="N25" s="1">
        <f t="shared" ref="N25:O25" si="14">J25</f>
        <v>2418689</v>
      </c>
      <c r="O25" s="1">
        <f t="shared" si="14"/>
        <v>234609</v>
      </c>
      <c r="P25" s="1">
        <f t="shared" si="3"/>
        <v>110.138631238084</v>
      </c>
      <c r="Q25" s="1">
        <f>S25+V25</f>
        <v>467575.70455999998</v>
      </c>
      <c r="R25" s="1">
        <f t="shared" ref="R25" si="15">Q25/E25*100</f>
        <v>109.90816328180826</v>
      </c>
      <c r="S25" s="1">
        <f>T25+U25</f>
        <v>457575.70455999998</v>
      </c>
      <c r="T25" s="1">
        <f>N25-X25-V25</f>
        <v>429162.70455999998</v>
      </c>
      <c r="U25" s="1">
        <f>K25-Y25</f>
        <v>28413</v>
      </c>
      <c r="V25" s="1">
        <f>'Bieu 5 TT'!C23</f>
        <v>10000</v>
      </c>
      <c r="W25" s="10">
        <f t="shared" ref="W25:W30" si="16">X25+Y25</f>
        <v>2185722.29544</v>
      </c>
      <c r="X25" s="1">
        <f>'Bieu 04_TT'!O37</f>
        <v>1979526.29544</v>
      </c>
      <c r="Y25" s="1">
        <f>'Bieu 04_TT'!P37</f>
        <v>206196</v>
      </c>
      <c r="Z25" s="531">
        <f>W25/H25*100</f>
        <v>110.18805913000868</v>
      </c>
      <c r="AA25" s="263"/>
      <c r="AB25" s="244"/>
      <c r="AC25" s="244"/>
      <c r="AD25" s="244"/>
      <c r="AE25" s="244"/>
    </row>
    <row r="26" spans="1:31" s="265" customFormat="1" ht="24.75" hidden="1" customHeight="1" outlineLevel="1">
      <c r="A26" s="363"/>
      <c r="B26" s="264" t="s">
        <v>320</v>
      </c>
      <c r="C26" s="248"/>
      <c r="D26" s="248"/>
      <c r="E26" s="248"/>
      <c r="F26" s="248"/>
      <c r="G26" s="248"/>
      <c r="H26" s="248"/>
      <c r="I26" s="248"/>
      <c r="J26" s="248"/>
      <c r="K26" s="248"/>
      <c r="L26" s="248"/>
      <c r="M26" s="248"/>
      <c r="N26" s="248"/>
      <c r="O26" s="248"/>
      <c r="P26" s="248"/>
      <c r="Q26" s="248"/>
      <c r="R26" s="248"/>
      <c r="S26" s="248"/>
      <c r="T26" s="248"/>
      <c r="U26" s="248"/>
      <c r="V26" s="248"/>
      <c r="W26" s="10">
        <f t="shared" si="16"/>
        <v>0</v>
      </c>
      <c r="X26" s="248"/>
      <c r="Y26" s="248"/>
      <c r="Z26" s="533"/>
      <c r="AA26" s="263"/>
      <c r="AB26" s="244"/>
      <c r="AC26" s="244"/>
      <c r="AD26" s="244"/>
      <c r="AE26" s="244"/>
    </row>
    <row r="27" spans="1:31" s="265" customFormat="1" ht="24.75" hidden="1" customHeight="1" outlineLevel="1">
      <c r="A27" s="363"/>
      <c r="B27" s="264" t="s">
        <v>1546</v>
      </c>
      <c r="C27" s="248">
        <v>2312564</v>
      </c>
      <c r="D27" s="248">
        <v>2312564</v>
      </c>
      <c r="E27" s="248">
        <v>413780</v>
      </c>
      <c r="F27" s="248">
        <v>413780</v>
      </c>
      <c r="G27" s="248"/>
      <c r="H27" s="248">
        <v>1898784</v>
      </c>
      <c r="I27" s="248"/>
      <c r="J27" s="248"/>
      <c r="K27" s="248"/>
      <c r="L27" s="1"/>
      <c r="M27" s="248"/>
      <c r="N27" s="248"/>
      <c r="O27" s="248"/>
      <c r="P27" s="1"/>
      <c r="Q27" s="248"/>
      <c r="R27" s="1"/>
      <c r="S27" s="248"/>
      <c r="T27" s="248"/>
      <c r="U27" s="248"/>
      <c r="V27" s="248"/>
      <c r="W27" s="10">
        <f t="shared" si="16"/>
        <v>0</v>
      </c>
      <c r="X27" s="248"/>
      <c r="Y27" s="248"/>
      <c r="Z27" s="531"/>
      <c r="AA27" s="263"/>
      <c r="AB27" s="244"/>
      <c r="AC27" s="244"/>
      <c r="AD27" s="244"/>
      <c r="AE27" s="244"/>
    </row>
    <row r="28" spans="1:31" s="265" customFormat="1" ht="24.75" hidden="1" customHeight="1" outlineLevel="1">
      <c r="A28" s="363"/>
      <c r="B28" s="264" t="s">
        <v>1547</v>
      </c>
      <c r="C28" s="248">
        <v>96489</v>
      </c>
      <c r="D28" s="248">
        <v>96489</v>
      </c>
      <c r="E28" s="248">
        <v>11644</v>
      </c>
      <c r="F28" s="248">
        <v>11644</v>
      </c>
      <c r="G28" s="248"/>
      <c r="H28" s="248">
        <v>84845</v>
      </c>
      <c r="I28" s="248"/>
      <c r="J28" s="248"/>
      <c r="K28" s="248"/>
      <c r="L28" s="248"/>
      <c r="M28" s="248"/>
      <c r="N28" s="248"/>
      <c r="O28" s="248"/>
      <c r="P28" s="248"/>
      <c r="Q28" s="248"/>
      <c r="R28" s="248"/>
      <c r="S28" s="248"/>
      <c r="T28" s="248"/>
      <c r="U28" s="248"/>
      <c r="V28" s="248"/>
      <c r="W28" s="10">
        <f t="shared" si="16"/>
        <v>0</v>
      </c>
      <c r="X28" s="248"/>
      <c r="Y28" s="248"/>
      <c r="Z28" s="533"/>
      <c r="AA28" s="263"/>
      <c r="AB28" s="244"/>
      <c r="AC28" s="244"/>
      <c r="AD28" s="244"/>
      <c r="AE28" s="244"/>
    </row>
    <row r="29" spans="1:31" ht="24.75" customHeight="1" collapsed="1">
      <c r="A29" s="362" t="s">
        <v>52</v>
      </c>
      <c r="B29" s="268" t="s">
        <v>54</v>
      </c>
      <c r="C29" s="1">
        <v>16929</v>
      </c>
      <c r="D29" s="1">
        <v>16929</v>
      </c>
      <c r="E29" s="1">
        <v>14929</v>
      </c>
      <c r="F29" s="1">
        <v>14929</v>
      </c>
      <c r="G29" s="1">
        <v>0</v>
      </c>
      <c r="H29" s="1">
        <v>2000</v>
      </c>
      <c r="I29" s="1">
        <v>17641</v>
      </c>
      <c r="J29" s="1">
        <v>17437</v>
      </c>
      <c r="K29" s="1">
        <v>204</v>
      </c>
      <c r="L29" s="1">
        <f t="shared" si="2"/>
        <v>104.20580069702876</v>
      </c>
      <c r="M29" s="1">
        <f>I29</f>
        <v>17641</v>
      </c>
      <c r="N29" s="1">
        <f>J29</f>
        <v>17437</v>
      </c>
      <c r="O29" s="1">
        <f t="shared" ref="O29:O30" si="17">K29</f>
        <v>204</v>
      </c>
      <c r="P29" s="1">
        <f t="shared" si="3"/>
        <v>104.20580069702876</v>
      </c>
      <c r="Q29" s="1">
        <f>S29+V29</f>
        <v>15641</v>
      </c>
      <c r="R29" s="1">
        <f t="shared" ref="R29:R30" si="18">Q29/E29*100</f>
        <v>104.76924107441891</v>
      </c>
      <c r="S29" s="1">
        <f>T29+U29</f>
        <v>14041</v>
      </c>
      <c r="T29" s="1">
        <f>N29-X29-V29</f>
        <v>13837</v>
      </c>
      <c r="U29" s="1">
        <f>K29-Y29</f>
        <v>204</v>
      </c>
      <c r="V29" s="1">
        <f>'Bieu 5 TT'!C24</f>
        <v>1600</v>
      </c>
      <c r="W29" s="10">
        <f t="shared" si="16"/>
        <v>2000</v>
      </c>
      <c r="X29" s="1">
        <f>'Bieu 04_TT'!O53</f>
        <v>2000</v>
      </c>
      <c r="Y29" s="1"/>
      <c r="Z29" s="531">
        <f>W29/H29*100</f>
        <v>100</v>
      </c>
      <c r="AA29" s="263"/>
      <c r="AB29" s="244"/>
      <c r="AC29" s="244"/>
      <c r="AD29" s="244"/>
      <c r="AE29" s="244"/>
    </row>
    <row r="30" spans="1:31" ht="24.75" customHeight="1">
      <c r="A30" s="362" t="s">
        <v>53</v>
      </c>
      <c r="B30" s="268" t="s">
        <v>327</v>
      </c>
      <c r="C30" s="1">
        <v>2842815</v>
      </c>
      <c r="D30" s="1">
        <v>2841729</v>
      </c>
      <c r="E30" s="1">
        <v>1430639</v>
      </c>
      <c r="F30" s="1">
        <v>1389922</v>
      </c>
      <c r="G30" s="1">
        <v>40717</v>
      </c>
      <c r="H30" s="1">
        <v>1411090</v>
      </c>
      <c r="I30" s="1">
        <f>5776555-I25-I29</f>
        <v>3105616</v>
      </c>
      <c r="J30" s="1">
        <f>I30-K30</f>
        <v>2887411</v>
      </c>
      <c r="K30" s="1">
        <v>218205</v>
      </c>
      <c r="L30" s="1">
        <f t="shared" si="2"/>
        <v>109.24439332140854</v>
      </c>
      <c r="M30" s="1">
        <f>I30+ROUND(('Bieu 01 TT'!F71-'Bieu 01 TT'!E71)*98%,0)</f>
        <v>3106988</v>
      </c>
      <c r="N30" s="1">
        <f>M30-O30</f>
        <v>2888783</v>
      </c>
      <c r="O30" s="1">
        <f t="shared" si="17"/>
        <v>218205</v>
      </c>
      <c r="P30" s="1">
        <f t="shared" si="3"/>
        <v>109.3344228109014</v>
      </c>
      <c r="Q30" s="1">
        <f>S30+V30</f>
        <v>1508277</v>
      </c>
      <c r="R30" s="1">
        <f t="shared" si="18"/>
        <v>105.42680578398884</v>
      </c>
      <c r="S30" s="1">
        <f>T30+U30</f>
        <v>1455215</v>
      </c>
      <c r="T30" s="1">
        <f>N30-X30-V30</f>
        <v>1402160</v>
      </c>
      <c r="U30" s="1">
        <f>K30-Y30</f>
        <v>53055</v>
      </c>
      <c r="V30" s="1">
        <f>'Bieu 5 TT'!C25</f>
        <v>53062</v>
      </c>
      <c r="W30" s="10">
        <f t="shared" si="16"/>
        <v>1598711</v>
      </c>
      <c r="X30" s="1">
        <f>'Bieu 04_TT'!O55</f>
        <v>1433561</v>
      </c>
      <c r="Y30" s="1">
        <f>'Bieu 04_TT'!P55</f>
        <v>165150</v>
      </c>
      <c r="Z30" s="531">
        <f>W30/H30*100</f>
        <v>113.29617529711074</v>
      </c>
      <c r="AA30" s="263"/>
      <c r="AB30" s="244"/>
      <c r="AC30" s="244"/>
      <c r="AD30" s="244"/>
      <c r="AE30" s="244"/>
    </row>
    <row r="31" spans="1:31" ht="24.75" hidden="1" customHeight="1" outlineLevel="1">
      <c r="A31" s="362"/>
      <c r="B31" s="264" t="s">
        <v>320</v>
      </c>
      <c r="C31" s="1"/>
      <c r="D31" s="1"/>
      <c r="E31" s="1"/>
      <c r="F31" s="1"/>
      <c r="G31" s="1"/>
      <c r="H31" s="1"/>
      <c r="I31" s="1"/>
      <c r="J31" s="1"/>
      <c r="K31" s="1"/>
      <c r="L31" s="531"/>
      <c r="M31" s="1">
        <f t="shared" ref="M31:M36" si="19">I31</f>
        <v>0</v>
      </c>
      <c r="N31" s="1">
        <f t="shared" ref="N31:N36" si="20">J31</f>
        <v>0</v>
      </c>
      <c r="O31" s="1">
        <f t="shared" ref="O31:O36" si="21">K31</f>
        <v>0</v>
      </c>
      <c r="P31" s="531"/>
      <c r="Q31" s="1"/>
      <c r="R31" s="531"/>
      <c r="S31" s="1"/>
      <c r="T31" s="1"/>
      <c r="U31" s="1"/>
      <c r="V31" s="1"/>
      <c r="W31" s="1"/>
      <c r="X31" s="1"/>
      <c r="Y31" s="1"/>
      <c r="Z31" s="531"/>
      <c r="AA31" s="263"/>
      <c r="AB31" s="244"/>
      <c r="AC31" s="244"/>
      <c r="AD31" s="244"/>
      <c r="AE31" s="244"/>
    </row>
    <row r="32" spans="1:31" s="265" customFormat="1" ht="24.75" hidden="1" customHeight="1" outlineLevel="1">
      <c r="A32" s="363"/>
      <c r="B32" s="264" t="s">
        <v>1548</v>
      </c>
      <c r="C32" s="248">
        <v>2784587</v>
      </c>
      <c r="D32" s="248">
        <v>2783501</v>
      </c>
      <c r="E32" s="248">
        <v>1407727</v>
      </c>
      <c r="F32" s="248">
        <v>1367010</v>
      </c>
      <c r="G32" s="248">
        <v>40717</v>
      </c>
      <c r="H32" s="248">
        <v>1375774</v>
      </c>
      <c r="I32" s="248"/>
      <c r="J32" s="248"/>
      <c r="K32" s="248"/>
      <c r="L32" s="533"/>
      <c r="M32" s="1">
        <f t="shared" si="19"/>
        <v>0</v>
      </c>
      <c r="N32" s="1">
        <f t="shared" si="20"/>
        <v>0</v>
      </c>
      <c r="O32" s="1">
        <f t="shared" si="21"/>
        <v>0</v>
      </c>
      <c r="P32" s="533"/>
      <c r="Q32" s="248"/>
      <c r="R32" s="533"/>
      <c r="S32" s="248"/>
      <c r="T32" s="248"/>
      <c r="U32" s="248"/>
      <c r="V32" s="248"/>
      <c r="W32" s="248"/>
      <c r="X32" s="248"/>
      <c r="Y32" s="248"/>
      <c r="Z32" s="533"/>
      <c r="AA32" s="263"/>
      <c r="AB32" s="244"/>
      <c r="AC32" s="244"/>
      <c r="AD32" s="244"/>
      <c r="AE32" s="244"/>
    </row>
    <row r="33" spans="1:31" s="265" customFormat="1" ht="24.75" hidden="1" customHeight="1" outlineLevel="1">
      <c r="A33" s="363"/>
      <c r="B33" s="264" t="s">
        <v>1547</v>
      </c>
      <c r="C33" s="248">
        <v>58228</v>
      </c>
      <c r="D33" s="248">
        <v>58228</v>
      </c>
      <c r="E33" s="248">
        <v>22912</v>
      </c>
      <c r="F33" s="248">
        <v>22912</v>
      </c>
      <c r="G33" s="248"/>
      <c r="H33" s="248">
        <v>35316</v>
      </c>
      <c r="I33" s="248"/>
      <c r="J33" s="248"/>
      <c r="K33" s="248"/>
      <c r="L33" s="533"/>
      <c r="M33" s="1">
        <f t="shared" si="19"/>
        <v>0</v>
      </c>
      <c r="N33" s="1">
        <f t="shared" si="20"/>
        <v>0</v>
      </c>
      <c r="O33" s="1">
        <f t="shared" si="21"/>
        <v>0</v>
      </c>
      <c r="P33" s="533"/>
      <c r="Q33" s="248"/>
      <c r="R33" s="533"/>
      <c r="S33" s="248"/>
      <c r="T33" s="248"/>
      <c r="U33" s="248"/>
      <c r="V33" s="248"/>
      <c r="W33" s="248"/>
      <c r="X33" s="248"/>
      <c r="Y33" s="248"/>
      <c r="Z33" s="533"/>
      <c r="AA33" s="263"/>
      <c r="AB33" s="244"/>
      <c r="AC33" s="244"/>
      <c r="AD33" s="244"/>
      <c r="AE33" s="244"/>
    </row>
    <row r="34" spans="1:31" s="244" customFormat="1" ht="18" customHeight="1" collapsed="1">
      <c r="A34" s="558" t="s">
        <v>59</v>
      </c>
      <c r="B34" s="535" t="s">
        <v>1559</v>
      </c>
      <c r="C34" s="536"/>
      <c r="D34" s="536"/>
      <c r="E34" s="536"/>
      <c r="F34" s="536"/>
      <c r="G34" s="536"/>
      <c r="H34" s="536"/>
      <c r="I34" s="536">
        <f>J34+K34</f>
        <v>0</v>
      </c>
      <c r="J34" s="536">
        <v>10400</v>
      </c>
      <c r="K34" s="536">
        <f>-J34</f>
        <v>-10400</v>
      </c>
      <c r="L34" s="537"/>
      <c r="M34" s="536">
        <f>Q34+W34</f>
        <v>0</v>
      </c>
      <c r="N34" s="536">
        <f>J34</f>
        <v>10400</v>
      </c>
      <c r="O34" s="536">
        <f>K34</f>
        <v>-10400</v>
      </c>
      <c r="P34" s="537" t="e">
        <f t="shared" ref="P34" si="22">M34/D34*100</f>
        <v>#DIV/0!</v>
      </c>
      <c r="Q34" s="536">
        <f>S34+V34</f>
        <v>0</v>
      </c>
      <c r="R34" s="537"/>
      <c r="S34" s="536">
        <f>T34+U34</f>
        <v>0</v>
      </c>
      <c r="T34" s="536">
        <f>J34-X34</f>
        <v>7530</v>
      </c>
      <c r="U34" s="536">
        <f>K34-Y34</f>
        <v>-7530</v>
      </c>
      <c r="V34" s="536"/>
      <c r="W34" s="536">
        <f>'Bieu 04_TT'!N68</f>
        <v>0</v>
      </c>
      <c r="X34" s="536">
        <f>'Bieu 04_TT'!O68</f>
        <v>2870</v>
      </c>
      <c r="Y34" s="536">
        <f>'Bieu 04_TT'!P68</f>
        <v>-2870</v>
      </c>
      <c r="Z34" s="537"/>
      <c r="AA34" s="263"/>
    </row>
    <row r="35" spans="1:31" s="244" customFormat="1" ht="22.5" customHeight="1">
      <c r="A35" s="361" t="s">
        <v>73</v>
      </c>
      <c r="B35" s="252" t="s">
        <v>328</v>
      </c>
      <c r="C35" s="10"/>
      <c r="D35" s="10">
        <v>2200</v>
      </c>
      <c r="E35" s="10">
        <v>2200</v>
      </c>
      <c r="F35" s="10">
        <v>2200</v>
      </c>
      <c r="G35" s="10"/>
      <c r="H35" s="10"/>
      <c r="I35" s="10">
        <v>2100</v>
      </c>
      <c r="J35" s="10">
        <v>2100</v>
      </c>
      <c r="K35" s="10"/>
      <c r="L35" s="530"/>
      <c r="M35" s="10">
        <f t="shared" si="19"/>
        <v>2100</v>
      </c>
      <c r="N35" s="10">
        <f t="shared" si="20"/>
        <v>2100</v>
      </c>
      <c r="O35" s="10">
        <f t="shared" si="21"/>
        <v>0</v>
      </c>
      <c r="P35" s="530">
        <f t="shared" si="3"/>
        <v>95.454545454545453</v>
      </c>
      <c r="Q35" s="10">
        <f>M35</f>
        <v>2100</v>
      </c>
      <c r="R35" s="530">
        <f t="shared" si="4"/>
        <v>95.454545454545453</v>
      </c>
      <c r="S35" s="10">
        <f>Q35-V35</f>
        <v>2100</v>
      </c>
      <c r="T35" s="10">
        <f>S35</f>
        <v>2100</v>
      </c>
      <c r="U35" s="10"/>
      <c r="V35" s="10"/>
      <c r="W35" s="10">
        <f>X35+Y35</f>
        <v>0</v>
      </c>
      <c r="X35" s="10"/>
      <c r="Y35" s="10"/>
      <c r="Z35" s="530"/>
      <c r="AA35" s="263"/>
    </row>
    <row r="36" spans="1:31" s="244" customFormat="1" ht="27" customHeight="1">
      <c r="A36" s="361" t="s">
        <v>74</v>
      </c>
      <c r="B36" s="252" t="s">
        <v>329</v>
      </c>
      <c r="C36" s="10">
        <v>1000</v>
      </c>
      <c r="D36" s="10">
        <v>1000</v>
      </c>
      <c r="E36" s="10">
        <v>1000</v>
      </c>
      <c r="F36" s="10">
        <v>1000</v>
      </c>
      <c r="G36" s="10"/>
      <c r="H36" s="10">
        <v>0</v>
      </c>
      <c r="I36" s="10">
        <v>1000</v>
      </c>
      <c r="J36" s="10">
        <v>1000</v>
      </c>
      <c r="K36" s="10"/>
      <c r="L36" s="530">
        <f t="shared" si="2"/>
        <v>100</v>
      </c>
      <c r="M36" s="10">
        <f t="shared" si="19"/>
        <v>1000</v>
      </c>
      <c r="N36" s="10">
        <f t="shared" si="20"/>
        <v>1000</v>
      </c>
      <c r="O36" s="10">
        <f t="shared" si="21"/>
        <v>0</v>
      </c>
      <c r="P36" s="530">
        <f t="shared" si="3"/>
        <v>100</v>
      </c>
      <c r="Q36" s="10">
        <v>1000</v>
      </c>
      <c r="R36" s="530">
        <f t="shared" si="4"/>
        <v>100</v>
      </c>
      <c r="S36" s="10">
        <f>Q36-V36</f>
        <v>1000</v>
      </c>
      <c r="T36" s="10">
        <f>S36</f>
        <v>1000</v>
      </c>
      <c r="U36" s="10"/>
      <c r="V36" s="10"/>
      <c r="W36" s="10">
        <f>X36+Y36</f>
        <v>0</v>
      </c>
      <c r="X36" s="10"/>
      <c r="Y36" s="10"/>
      <c r="Z36" s="530"/>
      <c r="AA36" s="263"/>
    </row>
    <row r="37" spans="1:31" s="244" customFormat="1" ht="27.75" customHeight="1" collapsed="1">
      <c r="A37" s="361" t="s">
        <v>75</v>
      </c>
      <c r="B37" s="252" t="s">
        <v>60</v>
      </c>
      <c r="C37" s="10">
        <v>128139</v>
      </c>
      <c r="D37" s="10">
        <v>153219.00286822853</v>
      </c>
      <c r="E37" s="10">
        <v>74046.002868228534</v>
      </c>
      <c r="F37" s="10">
        <v>74046.002868228534</v>
      </c>
      <c r="G37" s="10"/>
      <c r="H37" s="10">
        <v>79173</v>
      </c>
      <c r="I37" s="10">
        <v>138916</v>
      </c>
      <c r="J37" s="10">
        <v>138916</v>
      </c>
      <c r="K37" s="10"/>
      <c r="L37" s="530">
        <f t="shared" si="2"/>
        <v>108.41039808333137</v>
      </c>
      <c r="M37" s="10">
        <f>M39+M40</f>
        <v>165856</v>
      </c>
      <c r="N37" s="10">
        <f>N39+N40</f>
        <v>165856</v>
      </c>
      <c r="O37" s="10">
        <f t="shared" ref="O37" si="23">O39+O40</f>
        <v>0</v>
      </c>
      <c r="P37" s="10">
        <f t="shared" ref="P37:V37" si="24">P39+P40</f>
        <v>107.4162556581193</v>
      </c>
      <c r="Q37" s="10">
        <f>Q39+Q40</f>
        <v>77933</v>
      </c>
      <c r="R37" s="10">
        <f t="shared" si="24"/>
        <v>100.39871260101872</v>
      </c>
      <c r="S37" s="10">
        <f>S39+S40</f>
        <v>77933</v>
      </c>
      <c r="T37" s="10">
        <f>S37</f>
        <v>77933</v>
      </c>
      <c r="U37" s="10"/>
      <c r="V37" s="10">
        <f t="shared" si="24"/>
        <v>0</v>
      </c>
      <c r="W37" s="10">
        <f>X37+Y37</f>
        <v>87923</v>
      </c>
      <c r="X37" s="10">
        <f>'Bieu 04_TT'!O64</f>
        <v>87923</v>
      </c>
      <c r="Y37" s="10"/>
      <c r="Z37" s="530">
        <f>W37/H37*100</f>
        <v>111.05174743915222</v>
      </c>
      <c r="AA37" s="1111"/>
      <c r="AB37" s="1110"/>
    </row>
    <row r="38" spans="1:31" s="247" customFormat="1" ht="22.5" customHeight="1">
      <c r="A38" s="556"/>
      <c r="B38" s="270" t="s">
        <v>330</v>
      </c>
      <c r="C38" s="269">
        <v>1.999992820322483</v>
      </c>
      <c r="D38" s="269">
        <v>1.9999940322314689</v>
      </c>
      <c r="E38" s="269">
        <v>1.9999763071952428</v>
      </c>
      <c r="F38" s="534"/>
      <c r="G38" s="269"/>
      <c r="H38" s="269">
        <v>2.000010811825085</v>
      </c>
      <c r="I38" s="269">
        <f>I37/(I14)*100</f>
        <v>2.0000025914974984</v>
      </c>
      <c r="J38" s="269"/>
      <c r="K38" s="269"/>
      <c r="L38" s="533">
        <f>I38/C38*100</f>
        <v>100.00048856050464</v>
      </c>
      <c r="M38" s="269">
        <f>M37/(M14)*100</f>
        <v>2.0000021705599478</v>
      </c>
      <c r="N38" s="248"/>
      <c r="O38" s="248"/>
      <c r="P38" s="533">
        <f>M38/D38*100</f>
        <v>100.00040691763814</v>
      </c>
      <c r="Q38" s="269">
        <f>Q37/(Q14)*100</f>
        <v>2.000003231211513</v>
      </c>
      <c r="R38" s="533">
        <f>Q38/E38*100</f>
        <v>100.00134621676133</v>
      </c>
      <c r="S38" s="248"/>
      <c r="T38" s="248"/>
      <c r="U38" s="248"/>
      <c r="V38" s="269"/>
      <c r="W38" s="269">
        <f>W37/(W14)*100</f>
        <v>2.0000012304228312</v>
      </c>
      <c r="X38" s="269"/>
      <c r="Y38" s="269"/>
      <c r="Z38" s="533">
        <f>W38/H38*100</f>
        <v>99.999520932477111</v>
      </c>
      <c r="AA38" s="263"/>
      <c r="AB38" s="244"/>
      <c r="AC38" s="244"/>
      <c r="AD38" s="244"/>
      <c r="AE38" s="244"/>
    </row>
    <row r="39" spans="1:31" ht="21" customHeight="1">
      <c r="A39" s="362" t="s">
        <v>888</v>
      </c>
      <c r="B39" s="266" t="s">
        <v>1987</v>
      </c>
      <c r="C39" s="1"/>
      <c r="D39" s="1"/>
      <c r="E39" s="1"/>
      <c r="F39" s="1"/>
      <c r="G39" s="1"/>
      <c r="H39" s="1"/>
      <c r="I39" s="1">
        <f>I37</f>
        <v>138916</v>
      </c>
      <c r="J39" s="1">
        <f>J37</f>
        <v>138916</v>
      </c>
      <c r="K39" s="1"/>
      <c r="L39" s="531"/>
      <c r="M39" s="1">
        <f>I37</f>
        <v>138916</v>
      </c>
      <c r="N39" s="1">
        <f t="shared" ref="N39:N47" si="25">M39</f>
        <v>138916</v>
      </c>
      <c r="O39" s="1"/>
      <c r="P39" s="531"/>
      <c r="Q39" s="1">
        <f>S39+V39</f>
        <v>52753</v>
      </c>
      <c r="R39" s="531"/>
      <c r="S39" s="1">
        <f>M39-W39</f>
        <v>52753</v>
      </c>
      <c r="T39" s="1">
        <f t="shared" ref="T39:T47" si="26">S39</f>
        <v>52753</v>
      </c>
      <c r="U39" s="1"/>
      <c r="V39" s="1"/>
      <c r="W39" s="1">
        <f>X39+Y39</f>
        <v>86163</v>
      </c>
      <c r="X39" s="1">
        <f>'Bieu 04_TT'!N64-'Bieu 04_TT'!O65</f>
        <v>86163</v>
      </c>
      <c r="Y39" s="1"/>
      <c r="Z39" s="531"/>
      <c r="AA39" s="263"/>
      <c r="AB39" s="244"/>
      <c r="AC39" s="244"/>
      <c r="AD39" s="244"/>
      <c r="AE39" s="244"/>
    </row>
    <row r="40" spans="1:31" ht="31.5" customHeight="1">
      <c r="A40" s="362" t="s">
        <v>903</v>
      </c>
      <c r="B40" s="246" t="s">
        <v>1986</v>
      </c>
      <c r="C40" s="389"/>
      <c r="D40" s="360">
        <v>25080.002868228519</v>
      </c>
      <c r="E40" s="360">
        <v>25080.002868228519</v>
      </c>
      <c r="F40" s="360">
        <v>25080.002868228519</v>
      </c>
      <c r="G40" s="360"/>
      <c r="H40" s="360"/>
      <c r="I40" s="389"/>
      <c r="J40" s="389"/>
      <c r="K40" s="389"/>
      <c r="L40" s="531"/>
      <c r="M40" s="360">
        <f>ROUND(('Bieu 01 TT'!F89+('Bieu 01 TT'!F71-'Bieu 01 TT'!E71))*2%,0)</f>
        <v>26940</v>
      </c>
      <c r="N40" s="360">
        <f>M40</f>
        <v>26940</v>
      </c>
      <c r="O40" s="360"/>
      <c r="P40" s="531">
        <f>M40/D40*100</f>
        <v>107.4162556581193</v>
      </c>
      <c r="Q40" s="360">
        <f>M40-W40</f>
        <v>25180</v>
      </c>
      <c r="R40" s="531">
        <f>Q40/E40*100</f>
        <v>100.39871260101872</v>
      </c>
      <c r="S40" s="360">
        <f>Q40</f>
        <v>25180</v>
      </c>
      <c r="T40" s="360">
        <f t="shared" si="26"/>
        <v>25180</v>
      </c>
      <c r="U40" s="360"/>
      <c r="V40" s="360"/>
      <c r="W40" s="360">
        <f>X40+Y40</f>
        <v>1760</v>
      </c>
      <c r="X40" s="360">
        <f>'Bieu 04_TT'!O65</f>
        <v>1760</v>
      </c>
      <c r="Y40" s="360"/>
      <c r="Z40" s="531"/>
      <c r="AA40" s="263"/>
      <c r="AB40" s="244"/>
      <c r="AC40" s="244"/>
      <c r="AD40" s="244"/>
      <c r="AE40" s="244"/>
    </row>
    <row r="41" spans="1:31" s="244" customFormat="1" ht="95.25" customHeight="1">
      <c r="A41" s="361" t="s">
        <v>76</v>
      </c>
      <c r="B41" s="833" t="s">
        <v>2471</v>
      </c>
      <c r="C41" s="10"/>
      <c r="D41" s="10">
        <v>1227806</v>
      </c>
      <c r="E41" s="10">
        <v>1178860</v>
      </c>
      <c r="F41" s="10">
        <v>1178860</v>
      </c>
      <c r="G41" s="10">
        <v>0</v>
      </c>
      <c r="H41" s="10">
        <v>48946</v>
      </c>
      <c r="I41" s="10"/>
      <c r="J41" s="10"/>
      <c r="K41" s="10"/>
      <c r="L41" s="530"/>
      <c r="M41" s="10">
        <f>M42</f>
        <v>1318688</v>
      </c>
      <c r="N41" s="10">
        <f t="shared" si="25"/>
        <v>1318688</v>
      </c>
      <c r="O41" s="10"/>
      <c r="P41" s="530">
        <f t="shared" si="3"/>
        <v>107.40198370100813</v>
      </c>
      <c r="Q41" s="10">
        <f t="shared" ref="Q41:Y41" si="27">Q42</f>
        <v>1230688</v>
      </c>
      <c r="R41" s="530">
        <f t="shared" si="4"/>
        <v>104.39645080840812</v>
      </c>
      <c r="S41" s="10">
        <f>S42-V41</f>
        <v>1191688</v>
      </c>
      <c r="T41" s="10">
        <f t="shared" si="26"/>
        <v>1191688</v>
      </c>
      <c r="U41" s="10"/>
      <c r="V41" s="10">
        <f>V44</f>
        <v>39000</v>
      </c>
      <c r="W41" s="10">
        <f t="shared" si="27"/>
        <v>88000</v>
      </c>
      <c r="X41" s="10">
        <f t="shared" si="27"/>
        <v>88000</v>
      </c>
      <c r="Y41" s="10">
        <f t="shared" si="27"/>
        <v>0</v>
      </c>
      <c r="Z41" s="530">
        <f>W41/H41*100</f>
        <v>179.78997262289053</v>
      </c>
      <c r="AA41" s="263"/>
    </row>
    <row r="42" spans="1:31" ht="69" hidden="1" outlineLevel="1">
      <c r="A42" s="362" t="s">
        <v>23</v>
      </c>
      <c r="B42" s="834" t="s">
        <v>331</v>
      </c>
      <c r="C42" s="1"/>
      <c r="D42" s="1">
        <v>1227806</v>
      </c>
      <c r="E42" s="1">
        <v>1178860</v>
      </c>
      <c r="F42" s="1">
        <v>1178860</v>
      </c>
      <c r="G42" s="1"/>
      <c r="H42" s="1">
        <v>48946</v>
      </c>
      <c r="I42" s="1"/>
      <c r="J42" s="1"/>
      <c r="K42" s="1"/>
      <c r="L42" s="531"/>
      <c r="M42" s="1">
        <f>ROUND('Bieu 01 TT'!F89-'Bieu 10_TT '!N11,0)</f>
        <v>1318688</v>
      </c>
      <c r="N42" s="1">
        <f t="shared" si="25"/>
        <v>1318688</v>
      </c>
      <c r="O42" s="1"/>
      <c r="P42" s="1">
        <f t="shared" si="3"/>
        <v>107.40198370100813</v>
      </c>
      <c r="Q42" s="1">
        <f>S42+V42</f>
        <v>1230688</v>
      </c>
      <c r="R42" s="1">
        <f t="shared" si="4"/>
        <v>104.39645080840812</v>
      </c>
      <c r="S42" s="1">
        <f>M42-W42-V42</f>
        <v>1230688</v>
      </c>
      <c r="T42" s="1">
        <f t="shared" si="26"/>
        <v>1230688</v>
      </c>
      <c r="U42" s="1"/>
      <c r="V42" s="1"/>
      <c r="W42" s="1">
        <f>X42+Y42</f>
        <v>88000</v>
      </c>
      <c r="X42" s="1">
        <f>'Bieu 04_TT'!S67</f>
        <v>88000</v>
      </c>
      <c r="Y42" s="1"/>
      <c r="Z42" s="531"/>
      <c r="AA42" s="263"/>
      <c r="AB42" s="244"/>
      <c r="AC42" s="244"/>
      <c r="AD42" s="244"/>
      <c r="AE42" s="244"/>
    </row>
    <row r="43" spans="1:31" s="265" customFormat="1" ht="38.25" customHeight="1" collapsed="1">
      <c r="A43" s="835"/>
      <c r="B43" s="836" t="s">
        <v>2405</v>
      </c>
      <c r="C43" s="837"/>
      <c r="D43" s="837">
        <v>102365</v>
      </c>
      <c r="E43" s="837">
        <v>102365</v>
      </c>
      <c r="F43" s="837">
        <v>102365</v>
      </c>
      <c r="G43" s="837"/>
      <c r="H43" s="837"/>
      <c r="I43" s="837"/>
      <c r="J43" s="837"/>
      <c r="K43" s="837"/>
      <c r="L43" s="838"/>
      <c r="M43" s="837">
        <f>Q43+W43</f>
        <v>131571</v>
      </c>
      <c r="N43" s="837">
        <f t="shared" si="25"/>
        <v>131571</v>
      </c>
      <c r="O43" s="837"/>
      <c r="P43" s="837">
        <f t="shared" si="3"/>
        <v>128.53123626239437</v>
      </c>
      <c r="Q43" s="837">
        <f>S43+V43</f>
        <v>131571</v>
      </c>
      <c r="R43" s="837">
        <f t="shared" si="4"/>
        <v>128.53123626239437</v>
      </c>
      <c r="S43" s="837">
        <f>ROUND('Bieu 10_TT '!O11,0)</f>
        <v>131571</v>
      </c>
      <c r="T43" s="837">
        <f t="shared" si="26"/>
        <v>131571</v>
      </c>
      <c r="U43" s="837"/>
      <c r="V43" s="837"/>
      <c r="W43" s="837"/>
      <c r="X43" s="837"/>
      <c r="Y43" s="837"/>
      <c r="Z43" s="838"/>
      <c r="AA43" s="263"/>
      <c r="AB43" s="244"/>
      <c r="AC43" s="244"/>
      <c r="AD43" s="244"/>
      <c r="AE43" s="244"/>
    </row>
    <row r="44" spans="1:31" s="265" customFormat="1" ht="69.75" customHeight="1">
      <c r="A44" s="835"/>
      <c r="B44" s="836" t="s">
        <v>369</v>
      </c>
      <c r="C44" s="837"/>
      <c r="D44" s="837">
        <v>120681</v>
      </c>
      <c r="E44" s="837">
        <v>120681</v>
      </c>
      <c r="F44" s="837">
        <v>120681</v>
      </c>
      <c r="G44" s="837">
        <v>0</v>
      </c>
      <c r="H44" s="837"/>
      <c r="I44" s="837"/>
      <c r="J44" s="837"/>
      <c r="K44" s="837"/>
      <c r="L44" s="838"/>
      <c r="M44" s="837">
        <f>Q44+W44</f>
        <v>130593</v>
      </c>
      <c r="N44" s="837">
        <f t="shared" si="25"/>
        <v>130593</v>
      </c>
      <c r="O44" s="837"/>
      <c r="P44" s="837">
        <f t="shared" si="3"/>
        <v>108.21338901732666</v>
      </c>
      <c r="Q44" s="837">
        <f>S44+V44</f>
        <v>130593</v>
      </c>
      <c r="R44" s="837">
        <f t="shared" si="4"/>
        <v>108.21338901732666</v>
      </c>
      <c r="S44" s="837">
        <f>ROUND('Bieu 10_TT '!P9,0)-V44</f>
        <v>91593</v>
      </c>
      <c r="T44" s="837">
        <f>S44</f>
        <v>91593</v>
      </c>
      <c r="U44" s="837"/>
      <c r="V44" s="837">
        <f>'Bieu 3a_10% tien dat '!E28</f>
        <v>39000</v>
      </c>
      <c r="W44" s="837"/>
      <c r="X44" s="837"/>
      <c r="Y44" s="837"/>
      <c r="Z44" s="838"/>
      <c r="AA44" s="263"/>
      <c r="AB44" s="244"/>
      <c r="AC44" s="244"/>
      <c r="AD44" s="244"/>
      <c r="AE44" s="244"/>
    </row>
    <row r="45" spans="1:31" s="265" customFormat="1" ht="39" customHeight="1">
      <c r="A45" s="835"/>
      <c r="B45" s="839" t="s">
        <v>1392</v>
      </c>
      <c r="C45" s="837"/>
      <c r="D45" s="837">
        <v>21533</v>
      </c>
      <c r="E45" s="837">
        <v>21533</v>
      </c>
      <c r="F45" s="837">
        <v>21533</v>
      </c>
      <c r="G45" s="837"/>
      <c r="H45" s="837"/>
      <c r="I45" s="837"/>
      <c r="J45" s="837"/>
      <c r="K45" s="837"/>
      <c r="L45" s="838"/>
      <c r="M45" s="837">
        <f>Q45+W45</f>
        <v>22553</v>
      </c>
      <c r="N45" s="837">
        <f t="shared" si="25"/>
        <v>22553</v>
      </c>
      <c r="O45" s="837"/>
      <c r="P45" s="837">
        <f t="shared" si="3"/>
        <v>104.73691543212745</v>
      </c>
      <c r="Q45" s="837">
        <f>S45+V45</f>
        <v>22553</v>
      </c>
      <c r="R45" s="837">
        <f t="shared" si="4"/>
        <v>104.73691543212745</v>
      </c>
      <c r="S45" s="837">
        <f>ROUND('Bieu 10_TT '!Q9,0)</f>
        <v>22553</v>
      </c>
      <c r="T45" s="837">
        <f t="shared" si="26"/>
        <v>22553</v>
      </c>
      <c r="U45" s="837"/>
      <c r="V45" s="837"/>
      <c r="W45" s="837"/>
      <c r="X45" s="837"/>
      <c r="Y45" s="837"/>
      <c r="Z45" s="838"/>
      <c r="AA45" s="263"/>
      <c r="AB45" s="244"/>
      <c r="AC45" s="244"/>
      <c r="AD45" s="244"/>
      <c r="AE45" s="244"/>
    </row>
    <row r="46" spans="1:31" s="265" customFormat="1" ht="39" customHeight="1">
      <c r="A46" s="835"/>
      <c r="B46" s="839" t="s">
        <v>2406</v>
      </c>
      <c r="C46" s="837"/>
      <c r="D46" s="837">
        <v>21533</v>
      </c>
      <c r="E46" s="837">
        <v>21533</v>
      </c>
      <c r="F46" s="837">
        <v>21533</v>
      </c>
      <c r="G46" s="837"/>
      <c r="H46" s="837"/>
      <c r="I46" s="837"/>
      <c r="J46" s="837"/>
      <c r="K46" s="837"/>
      <c r="L46" s="838"/>
      <c r="M46" s="837">
        <f>Q46+W46</f>
        <v>1033971</v>
      </c>
      <c r="N46" s="837">
        <f t="shared" ref="N46" si="28">M46</f>
        <v>1033971</v>
      </c>
      <c r="O46" s="837"/>
      <c r="P46" s="837">
        <f t="shared" ref="P46" si="29">M46/D46*100</f>
        <v>4801.7972414433661</v>
      </c>
      <c r="Q46" s="837">
        <f>S46+V46</f>
        <v>945971</v>
      </c>
      <c r="R46" s="837">
        <f t="shared" ref="R46" si="30">Q46/E46*100</f>
        <v>4393.1221845539403</v>
      </c>
      <c r="S46" s="837">
        <f>ROUND('Bieu 10_TT '!S9,0)</f>
        <v>945971</v>
      </c>
      <c r="T46" s="837">
        <f t="shared" ref="T46" si="31">S46</f>
        <v>945971</v>
      </c>
      <c r="U46" s="837"/>
      <c r="V46" s="837"/>
      <c r="W46" s="248">
        <f>X46+Y46</f>
        <v>88000</v>
      </c>
      <c r="X46" s="837">
        <f>'Bieu 10_TT '!V9</f>
        <v>88000</v>
      </c>
      <c r="Y46" s="837"/>
      <c r="Z46" s="838"/>
      <c r="AA46" s="263"/>
      <c r="AB46" s="244"/>
      <c r="AC46" s="244"/>
      <c r="AD46" s="244"/>
      <c r="AE46" s="244"/>
    </row>
    <row r="47" spans="1:31" s="244" customFormat="1" ht="22.5" customHeight="1">
      <c r="A47" s="558" t="s">
        <v>332</v>
      </c>
      <c r="B47" s="535" t="s">
        <v>333</v>
      </c>
      <c r="C47" s="536">
        <v>77200</v>
      </c>
      <c r="D47" s="536">
        <v>77200</v>
      </c>
      <c r="E47" s="536">
        <v>77200</v>
      </c>
      <c r="F47" s="536">
        <v>77200</v>
      </c>
      <c r="G47" s="536"/>
      <c r="H47" s="536"/>
      <c r="I47" s="536">
        <v>68500</v>
      </c>
      <c r="J47" s="536"/>
      <c r="K47" s="536"/>
      <c r="L47" s="537">
        <f t="shared" si="2"/>
        <v>88.730569948186528</v>
      </c>
      <c r="M47" s="536">
        <f>I47</f>
        <v>68500</v>
      </c>
      <c r="N47" s="536">
        <f t="shared" si="25"/>
        <v>68500</v>
      </c>
      <c r="O47" s="536"/>
      <c r="P47" s="537">
        <f t="shared" si="3"/>
        <v>88.730569948186528</v>
      </c>
      <c r="Q47" s="536">
        <f>M47</f>
        <v>68500</v>
      </c>
      <c r="R47" s="537">
        <f t="shared" si="4"/>
        <v>88.730569948186528</v>
      </c>
      <c r="S47" s="536">
        <f>Q47</f>
        <v>68500</v>
      </c>
      <c r="T47" s="536">
        <f t="shared" si="26"/>
        <v>68500</v>
      </c>
      <c r="U47" s="536"/>
      <c r="V47" s="536"/>
      <c r="W47" s="536"/>
      <c r="X47" s="536"/>
      <c r="Y47" s="536"/>
      <c r="Z47" s="537"/>
      <c r="AA47" s="263"/>
    </row>
    <row r="48" spans="1:31" s="244" customFormat="1" ht="28.2" customHeight="1">
      <c r="A48" s="359" t="s">
        <v>28</v>
      </c>
      <c r="B48" s="250" t="s">
        <v>334</v>
      </c>
      <c r="C48" s="10">
        <v>3148724</v>
      </c>
      <c r="D48" s="10">
        <v>3148724</v>
      </c>
      <c r="E48" s="10">
        <v>3148724</v>
      </c>
      <c r="F48" s="10">
        <v>3147772</v>
      </c>
      <c r="G48" s="10">
        <v>952</v>
      </c>
      <c r="H48" s="10">
        <v>0</v>
      </c>
      <c r="I48" s="10">
        <f>I49+I55+I58</f>
        <v>2341333</v>
      </c>
      <c r="J48" s="10">
        <f t="shared" ref="J48:K48" si="32">J49+J55+J58</f>
        <v>0</v>
      </c>
      <c r="K48" s="10">
        <f t="shared" si="32"/>
        <v>0</v>
      </c>
      <c r="L48" s="530">
        <f t="shared" si="2"/>
        <v>74.358152699315667</v>
      </c>
      <c r="M48" s="10">
        <f t="shared" ref="M48:Y48" si="33">M49+M55+M58</f>
        <v>2341333</v>
      </c>
      <c r="N48" s="10">
        <f t="shared" si="33"/>
        <v>0</v>
      </c>
      <c r="O48" s="10">
        <f t="shared" si="33"/>
        <v>0</v>
      </c>
      <c r="P48" s="530">
        <f t="shared" si="3"/>
        <v>74.358152699315667</v>
      </c>
      <c r="Q48" s="10">
        <f t="shared" si="33"/>
        <v>2341333</v>
      </c>
      <c r="R48" s="10">
        <f t="shared" si="33"/>
        <v>359.57302585180554</v>
      </c>
      <c r="S48" s="10">
        <f t="shared" si="33"/>
        <v>2282122</v>
      </c>
      <c r="T48" s="10">
        <f t="shared" si="33"/>
        <v>2282122</v>
      </c>
      <c r="U48" s="10">
        <f t="shared" si="33"/>
        <v>0</v>
      </c>
      <c r="V48" s="10">
        <f t="shared" si="33"/>
        <v>59211</v>
      </c>
      <c r="W48" s="10">
        <f t="shared" si="33"/>
        <v>0</v>
      </c>
      <c r="X48" s="10">
        <f t="shared" si="33"/>
        <v>0</v>
      </c>
      <c r="Y48" s="10">
        <f t="shared" si="33"/>
        <v>0</v>
      </c>
      <c r="Z48" s="530"/>
      <c r="AA48" s="263"/>
    </row>
    <row r="49" spans="1:31" ht="31.5" customHeight="1">
      <c r="A49" s="362" t="s">
        <v>18</v>
      </c>
      <c r="B49" s="251" t="s">
        <v>335</v>
      </c>
      <c r="C49" s="1">
        <v>1825767</v>
      </c>
      <c r="D49" s="1">
        <v>1825767</v>
      </c>
      <c r="E49" s="1">
        <v>1825767</v>
      </c>
      <c r="F49" s="1">
        <v>1825767</v>
      </c>
      <c r="G49" s="1">
        <v>0</v>
      </c>
      <c r="H49" s="1">
        <v>0</v>
      </c>
      <c r="I49" s="1">
        <f>I50+I54</f>
        <v>823220</v>
      </c>
      <c r="J49" s="1">
        <f t="shared" ref="J49:K49" si="34">J50+J54</f>
        <v>0</v>
      </c>
      <c r="K49" s="1">
        <f t="shared" si="34"/>
        <v>0</v>
      </c>
      <c r="L49" s="531">
        <f t="shared" si="2"/>
        <v>45.088995474230828</v>
      </c>
      <c r="M49" s="1">
        <f t="shared" ref="M49:Y49" si="35">M50+M54</f>
        <v>823220</v>
      </c>
      <c r="N49" s="1"/>
      <c r="O49" s="1"/>
      <c r="P49" s="531">
        <f t="shared" si="3"/>
        <v>45.088995474230828</v>
      </c>
      <c r="Q49" s="1">
        <f t="shared" si="35"/>
        <v>823220</v>
      </c>
      <c r="R49" s="531">
        <f t="shared" si="4"/>
        <v>45.088995474230828</v>
      </c>
      <c r="S49" s="1">
        <f t="shared" si="35"/>
        <v>823220</v>
      </c>
      <c r="T49" s="1">
        <f t="shared" si="35"/>
        <v>823220</v>
      </c>
      <c r="U49" s="1">
        <f t="shared" si="35"/>
        <v>0</v>
      </c>
      <c r="V49" s="1">
        <f t="shared" si="35"/>
        <v>0</v>
      </c>
      <c r="W49" s="1">
        <f t="shared" si="35"/>
        <v>0</v>
      </c>
      <c r="X49" s="1">
        <f t="shared" si="35"/>
        <v>0</v>
      </c>
      <c r="Y49" s="1">
        <f t="shared" si="35"/>
        <v>0</v>
      </c>
      <c r="Z49" s="531"/>
      <c r="AA49" s="263"/>
      <c r="AB49" s="244"/>
      <c r="AC49" s="244"/>
      <c r="AD49" s="244"/>
      <c r="AE49" s="244"/>
    </row>
    <row r="50" spans="1:31" ht="24" customHeight="1">
      <c r="A50" s="662" t="s">
        <v>23</v>
      </c>
      <c r="B50" s="251" t="s">
        <v>336</v>
      </c>
      <c r="C50" s="1">
        <v>1753400</v>
      </c>
      <c r="D50" s="1">
        <v>1753400</v>
      </c>
      <c r="E50" s="1">
        <v>1753400</v>
      </c>
      <c r="F50" s="1">
        <v>1753400</v>
      </c>
      <c r="G50" s="1"/>
      <c r="H50" s="1"/>
      <c r="I50" s="1">
        <f>'Bieu 01 TT'!E111</f>
        <v>823220</v>
      </c>
      <c r="J50" s="1"/>
      <c r="K50" s="1"/>
      <c r="L50" s="531">
        <f t="shared" si="2"/>
        <v>46.949925858332378</v>
      </c>
      <c r="M50" s="1">
        <f>I50</f>
        <v>823220</v>
      </c>
      <c r="N50" s="1"/>
      <c r="O50" s="1"/>
      <c r="P50" s="531">
        <f t="shared" si="3"/>
        <v>46.949925858332378</v>
      </c>
      <c r="Q50" s="1">
        <f>M50-W50</f>
        <v>823220</v>
      </c>
      <c r="R50" s="531">
        <f t="shared" si="4"/>
        <v>46.949925858332378</v>
      </c>
      <c r="S50" s="1">
        <f>Q50-V50</f>
        <v>823220</v>
      </c>
      <c r="T50" s="1">
        <f>S50</f>
        <v>823220</v>
      </c>
      <c r="U50" s="1"/>
      <c r="V50" s="1"/>
      <c r="W50" s="1"/>
      <c r="X50" s="1"/>
      <c r="Y50" s="1"/>
      <c r="Z50" s="531"/>
      <c r="AA50" s="263"/>
      <c r="AB50" s="244"/>
      <c r="AC50" s="244"/>
      <c r="AD50" s="244"/>
      <c r="AE50" s="244"/>
    </row>
    <row r="51" spans="1:31" ht="21.75" hidden="1" customHeight="1" outlineLevel="1">
      <c r="A51" s="663"/>
      <c r="B51" s="251" t="s">
        <v>337</v>
      </c>
      <c r="C51" s="1"/>
      <c r="D51" s="1">
        <v>0</v>
      </c>
      <c r="E51" s="1"/>
      <c r="F51" s="1">
        <v>0</v>
      </c>
      <c r="G51" s="1"/>
      <c r="H51" s="1"/>
      <c r="I51" s="1"/>
      <c r="J51" s="1"/>
      <c r="K51" s="1"/>
      <c r="L51" s="531" t="e">
        <f t="shared" si="2"/>
        <v>#DIV/0!</v>
      </c>
      <c r="M51" s="1">
        <f>Q51+W51</f>
        <v>0</v>
      </c>
      <c r="N51" s="1"/>
      <c r="O51" s="1"/>
      <c r="P51" s="531" t="e">
        <f t="shared" si="3"/>
        <v>#DIV/0!</v>
      </c>
      <c r="Q51" s="1"/>
      <c r="R51" s="531" t="e">
        <f t="shared" si="4"/>
        <v>#DIV/0!</v>
      </c>
      <c r="S51" s="1">
        <f>Q51-V51</f>
        <v>0</v>
      </c>
      <c r="T51" s="1"/>
      <c r="U51" s="1"/>
      <c r="V51" s="1"/>
      <c r="W51" s="1"/>
      <c r="X51" s="1"/>
      <c r="Y51" s="1"/>
      <c r="Z51" s="531"/>
      <c r="AA51" s="263"/>
      <c r="AB51" s="244"/>
      <c r="AC51" s="244"/>
      <c r="AD51" s="244"/>
      <c r="AE51" s="244"/>
    </row>
    <row r="52" spans="1:31" ht="21.75" hidden="1" customHeight="1" outlineLevel="1">
      <c r="A52" s="664"/>
      <c r="B52" s="665" t="s">
        <v>338</v>
      </c>
      <c r="C52" s="1"/>
      <c r="D52" s="1">
        <v>0</v>
      </c>
      <c r="E52" s="1"/>
      <c r="F52" s="1">
        <v>0</v>
      </c>
      <c r="G52" s="1"/>
      <c r="H52" s="1"/>
      <c r="I52" s="1"/>
      <c r="J52" s="1"/>
      <c r="K52" s="1"/>
      <c r="L52" s="531" t="e">
        <f t="shared" si="2"/>
        <v>#DIV/0!</v>
      </c>
      <c r="M52" s="1">
        <f>Q52+W52</f>
        <v>0</v>
      </c>
      <c r="N52" s="1"/>
      <c r="O52" s="1"/>
      <c r="P52" s="531" t="e">
        <f t="shared" si="3"/>
        <v>#DIV/0!</v>
      </c>
      <c r="Q52" s="1"/>
      <c r="R52" s="531" t="e">
        <f t="shared" si="4"/>
        <v>#DIV/0!</v>
      </c>
      <c r="S52" s="1">
        <f>Q52-V52</f>
        <v>0</v>
      </c>
      <c r="T52" s="1"/>
      <c r="U52" s="1"/>
      <c r="V52" s="1"/>
      <c r="W52" s="1"/>
      <c r="X52" s="1"/>
      <c r="Y52" s="1"/>
      <c r="Z52" s="531"/>
      <c r="AA52" s="263"/>
      <c r="AB52" s="244"/>
      <c r="AC52" s="244"/>
      <c r="AD52" s="244"/>
      <c r="AE52" s="244"/>
    </row>
    <row r="53" spans="1:31" s="265" customFormat="1" ht="22.5" hidden="1" customHeight="1" outlineLevel="1">
      <c r="A53" s="664"/>
      <c r="B53" s="665" t="s">
        <v>339</v>
      </c>
      <c r="C53" s="248"/>
      <c r="D53" s="1">
        <v>0</v>
      </c>
      <c r="E53" s="248"/>
      <c r="F53" s="1">
        <v>0</v>
      </c>
      <c r="G53" s="248"/>
      <c r="H53" s="248"/>
      <c r="I53" s="248"/>
      <c r="J53" s="248"/>
      <c r="K53" s="248"/>
      <c r="L53" s="533" t="e">
        <f t="shared" si="2"/>
        <v>#DIV/0!</v>
      </c>
      <c r="M53" s="1">
        <f>Q53+W53</f>
        <v>0</v>
      </c>
      <c r="N53" s="1"/>
      <c r="O53" s="1"/>
      <c r="P53" s="533" t="e">
        <f t="shared" si="3"/>
        <v>#DIV/0!</v>
      </c>
      <c r="Q53" s="248"/>
      <c r="R53" s="533" t="e">
        <f t="shared" si="4"/>
        <v>#DIV/0!</v>
      </c>
      <c r="S53" s="1">
        <f>Q53-V53</f>
        <v>0</v>
      </c>
      <c r="T53" s="1"/>
      <c r="U53" s="1"/>
      <c r="V53" s="248"/>
      <c r="W53" s="248"/>
      <c r="X53" s="248"/>
      <c r="Y53" s="248"/>
      <c r="Z53" s="533"/>
      <c r="AA53" s="263"/>
      <c r="AB53" s="244"/>
      <c r="AC53" s="244"/>
      <c r="AD53" s="244"/>
      <c r="AE53" s="244"/>
    </row>
    <row r="54" spans="1:31" ht="23.25" customHeight="1" collapsed="1">
      <c r="A54" s="662" t="s">
        <v>23</v>
      </c>
      <c r="B54" s="251" t="s">
        <v>701</v>
      </c>
      <c r="C54" s="1">
        <v>72367</v>
      </c>
      <c r="D54" s="1">
        <v>72367</v>
      </c>
      <c r="E54" s="1">
        <v>72367</v>
      </c>
      <c r="F54" s="1">
        <v>72367</v>
      </c>
      <c r="G54" s="1"/>
      <c r="H54" s="1"/>
      <c r="I54" s="1">
        <f>'Bieu 01 TT'!E115</f>
        <v>0</v>
      </c>
      <c r="J54" s="1"/>
      <c r="K54" s="1"/>
      <c r="L54" s="531">
        <f t="shared" si="2"/>
        <v>0</v>
      </c>
      <c r="M54" s="1">
        <f>I54</f>
        <v>0</v>
      </c>
      <c r="N54" s="1"/>
      <c r="O54" s="1"/>
      <c r="P54" s="531">
        <f t="shared" si="3"/>
        <v>0</v>
      </c>
      <c r="Q54" s="1">
        <f>M54-W54</f>
        <v>0</v>
      </c>
      <c r="R54" s="531">
        <f t="shared" si="4"/>
        <v>0</v>
      </c>
      <c r="S54" s="1">
        <f>Q54-V54</f>
        <v>0</v>
      </c>
      <c r="T54" s="1"/>
      <c r="U54" s="1"/>
      <c r="V54" s="1"/>
      <c r="W54" s="1"/>
      <c r="X54" s="1"/>
      <c r="Y54" s="1"/>
      <c r="Z54" s="531"/>
      <c r="AA54" s="263"/>
      <c r="AB54" s="244"/>
      <c r="AC54" s="244"/>
      <c r="AD54" s="244"/>
      <c r="AE54" s="244"/>
    </row>
    <row r="55" spans="1:31" ht="40.950000000000003" customHeight="1">
      <c r="A55" s="362" t="s">
        <v>26</v>
      </c>
      <c r="B55" s="251" t="s">
        <v>340</v>
      </c>
      <c r="C55" s="1">
        <v>79855</v>
      </c>
      <c r="D55" s="1">
        <v>79855</v>
      </c>
      <c r="E55" s="1">
        <v>79855</v>
      </c>
      <c r="F55" s="1">
        <v>78903</v>
      </c>
      <c r="G55" s="1">
        <v>952</v>
      </c>
      <c r="H55" s="1">
        <v>0</v>
      </c>
      <c r="I55" s="1">
        <f>I56+I57</f>
        <v>164155</v>
      </c>
      <c r="J55" s="1"/>
      <c r="K55" s="1"/>
      <c r="L55" s="531">
        <f t="shared" si="2"/>
        <v>205.56633898941831</v>
      </c>
      <c r="M55" s="1">
        <f t="shared" ref="M55:Q55" si="36">M56+M57</f>
        <v>164155</v>
      </c>
      <c r="N55" s="1"/>
      <c r="O55" s="1"/>
      <c r="P55" s="531">
        <f t="shared" si="3"/>
        <v>205.56633898941831</v>
      </c>
      <c r="Q55" s="1">
        <f t="shared" si="36"/>
        <v>164155</v>
      </c>
      <c r="R55" s="531">
        <f t="shared" si="4"/>
        <v>205.56633898941831</v>
      </c>
      <c r="S55" s="1">
        <f>S56+S57</f>
        <v>104944</v>
      </c>
      <c r="T55" s="1">
        <f t="shared" ref="T55:Z55" si="37">T56+T57</f>
        <v>104944</v>
      </c>
      <c r="U55" s="1">
        <f t="shared" si="37"/>
        <v>0</v>
      </c>
      <c r="V55" s="1">
        <f t="shared" si="37"/>
        <v>59211</v>
      </c>
      <c r="W55" s="1">
        <f t="shared" si="37"/>
        <v>0</v>
      </c>
      <c r="X55" s="1">
        <f t="shared" si="37"/>
        <v>0</v>
      </c>
      <c r="Y55" s="1">
        <f t="shared" si="37"/>
        <v>0</v>
      </c>
      <c r="Z55" s="1">
        <f t="shared" si="37"/>
        <v>0</v>
      </c>
      <c r="AA55" s="263"/>
      <c r="AB55" s="244"/>
      <c r="AC55" s="244"/>
      <c r="AD55" s="244"/>
      <c r="AE55" s="244"/>
    </row>
    <row r="56" spans="1:31" ht="21" customHeight="1">
      <c r="A56" s="362" t="s">
        <v>23</v>
      </c>
      <c r="B56" s="251" t="s">
        <v>341</v>
      </c>
      <c r="C56" s="1">
        <v>0</v>
      </c>
      <c r="D56" s="1">
        <v>0</v>
      </c>
      <c r="E56" s="1">
        <v>0</v>
      </c>
      <c r="F56" s="1">
        <v>0</v>
      </c>
      <c r="G56" s="1"/>
      <c r="H56" s="1">
        <v>0</v>
      </c>
      <c r="I56" s="1"/>
      <c r="J56" s="1"/>
      <c r="K56" s="1"/>
      <c r="L56" s="531" t="e">
        <f t="shared" si="2"/>
        <v>#DIV/0!</v>
      </c>
      <c r="M56" s="1">
        <f>I56</f>
        <v>0</v>
      </c>
      <c r="N56" s="1"/>
      <c r="O56" s="1"/>
      <c r="P56" s="531" t="e">
        <f t="shared" si="3"/>
        <v>#DIV/0!</v>
      </c>
      <c r="Q56" s="1">
        <f>M56-W56</f>
        <v>0</v>
      </c>
      <c r="R56" s="531" t="e">
        <f t="shared" si="4"/>
        <v>#DIV/0!</v>
      </c>
      <c r="S56" s="1">
        <f>Q56-V56</f>
        <v>0</v>
      </c>
      <c r="T56" s="1"/>
      <c r="U56" s="1"/>
      <c r="V56" s="1"/>
      <c r="W56" s="1">
        <v>0</v>
      </c>
      <c r="X56" s="1"/>
      <c r="Y56" s="1"/>
      <c r="Z56" s="531"/>
      <c r="AA56" s="263"/>
      <c r="AB56" s="244"/>
      <c r="AC56" s="244"/>
      <c r="AD56" s="244"/>
      <c r="AE56" s="244"/>
    </row>
    <row r="57" spans="1:31" ht="20.25" customHeight="1">
      <c r="A57" s="362" t="s">
        <v>23</v>
      </c>
      <c r="B57" s="251" t="s">
        <v>336</v>
      </c>
      <c r="C57" s="1">
        <v>79855</v>
      </c>
      <c r="D57" s="1">
        <v>79855</v>
      </c>
      <c r="E57" s="1">
        <v>79855</v>
      </c>
      <c r="F57" s="1">
        <v>78903</v>
      </c>
      <c r="G57" s="1">
        <v>952</v>
      </c>
      <c r="H57" s="1">
        <v>0</v>
      </c>
      <c r="I57" s="1">
        <f>'Bieu 01 TT'!E119</f>
        <v>164155</v>
      </c>
      <c r="J57" s="1"/>
      <c r="K57" s="1"/>
      <c r="L57" s="531">
        <f t="shared" si="2"/>
        <v>205.56633898941831</v>
      </c>
      <c r="M57" s="1">
        <f>I57</f>
        <v>164155</v>
      </c>
      <c r="N57" s="1"/>
      <c r="O57" s="1"/>
      <c r="P57" s="531">
        <f t="shared" si="3"/>
        <v>205.56633898941831</v>
      </c>
      <c r="Q57" s="1">
        <f>M57-W57</f>
        <v>164155</v>
      </c>
      <c r="R57" s="531">
        <f t="shared" si="4"/>
        <v>205.56633898941831</v>
      </c>
      <c r="S57" s="1">
        <f>Q57-V57</f>
        <v>104944</v>
      </c>
      <c r="T57" s="1">
        <f>S57</f>
        <v>104944</v>
      </c>
      <c r="U57" s="1"/>
      <c r="V57" s="1">
        <f>'Bieu 09a_TT_TUBSMT huyen'!C8</f>
        <v>59211</v>
      </c>
      <c r="W57" s="1">
        <v>0</v>
      </c>
      <c r="X57" s="1"/>
      <c r="Y57" s="1"/>
      <c r="Z57" s="531"/>
      <c r="AA57" s="263"/>
      <c r="AB57" s="244"/>
      <c r="AC57" s="244"/>
      <c r="AD57" s="244"/>
      <c r="AE57" s="244"/>
    </row>
    <row r="58" spans="1:31" ht="27.75" customHeight="1">
      <c r="A58" s="362">
        <v>3</v>
      </c>
      <c r="B58" s="251" t="s">
        <v>1540</v>
      </c>
      <c r="C58" s="1">
        <v>1243102</v>
      </c>
      <c r="D58" s="1">
        <v>1243102</v>
      </c>
      <c r="E58" s="1">
        <v>1243102</v>
      </c>
      <c r="F58" s="1">
        <v>1243102</v>
      </c>
      <c r="G58" s="1">
        <v>0</v>
      </c>
      <c r="H58" s="1">
        <v>0</v>
      </c>
      <c r="I58" s="1">
        <f>I59+I60+I61</f>
        <v>1353958</v>
      </c>
      <c r="J58" s="1"/>
      <c r="K58" s="1"/>
      <c r="L58" s="531">
        <f t="shared" si="2"/>
        <v>108.91769138815641</v>
      </c>
      <c r="M58" s="1">
        <f t="shared" ref="M58:W58" si="38">M59+M60+M61</f>
        <v>1353958</v>
      </c>
      <c r="N58" s="1"/>
      <c r="O58" s="1"/>
      <c r="P58" s="531">
        <f t="shared" si="3"/>
        <v>108.91769138815641</v>
      </c>
      <c r="Q58" s="1">
        <f t="shared" si="38"/>
        <v>1353958</v>
      </c>
      <c r="R58" s="531">
        <f t="shared" si="4"/>
        <v>108.91769138815641</v>
      </c>
      <c r="S58" s="1">
        <f t="shared" si="38"/>
        <v>1353958</v>
      </c>
      <c r="T58" s="1">
        <f t="shared" si="38"/>
        <v>1353958</v>
      </c>
      <c r="U58" s="1"/>
      <c r="V58" s="1">
        <f t="shared" si="38"/>
        <v>0</v>
      </c>
      <c r="W58" s="1">
        <f t="shared" si="38"/>
        <v>0</v>
      </c>
      <c r="X58" s="1"/>
      <c r="Y58" s="1"/>
      <c r="Z58" s="531"/>
      <c r="AA58" s="263"/>
      <c r="AB58" s="244"/>
      <c r="AC58" s="244"/>
      <c r="AD58" s="244"/>
      <c r="AE58" s="244"/>
    </row>
    <row r="59" spans="1:31" ht="27.75" customHeight="1">
      <c r="A59" s="362" t="s">
        <v>23</v>
      </c>
      <c r="B59" s="251" t="s">
        <v>342</v>
      </c>
      <c r="C59" s="1">
        <v>138330</v>
      </c>
      <c r="D59" s="1">
        <v>138330</v>
      </c>
      <c r="E59" s="1">
        <v>138330</v>
      </c>
      <c r="F59" s="1">
        <v>138330</v>
      </c>
      <c r="G59" s="1"/>
      <c r="H59" s="1"/>
      <c r="I59" s="1">
        <f>'Bieu 01 TT'!E121</f>
        <v>160530</v>
      </c>
      <c r="J59" s="1"/>
      <c r="K59" s="1"/>
      <c r="L59" s="531">
        <f t="shared" si="2"/>
        <v>116.048579483843</v>
      </c>
      <c r="M59" s="1">
        <f>I59</f>
        <v>160530</v>
      </c>
      <c r="N59" s="1"/>
      <c r="O59" s="1"/>
      <c r="P59" s="531">
        <f t="shared" si="3"/>
        <v>116.048579483843</v>
      </c>
      <c r="Q59" s="1">
        <f>S59+V59</f>
        <v>160530</v>
      </c>
      <c r="R59" s="531">
        <f t="shared" si="4"/>
        <v>116.048579483843</v>
      </c>
      <c r="S59" s="1">
        <f>M59-W59</f>
        <v>160530</v>
      </c>
      <c r="T59" s="1">
        <f>S59</f>
        <v>160530</v>
      </c>
      <c r="U59" s="1"/>
      <c r="V59" s="1"/>
      <c r="W59" s="1"/>
      <c r="X59" s="1"/>
      <c r="Y59" s="1"/>
      <c r="Z59" s="531"/>
      <c r="AA59" s="263"/>
      <c r="AB59" s="244"/>
      <c r="AC59" s="244"/>
      <c r="AD59" s="244"/>
      <c r="AE59" s="244"/>
    </row>
    <row r="60" spans="1:31" ht="27.75" customHeight="1">
      <c r="A60" s="362" t="s">
        <v>23</v>
      </c>
      <c r="B60" s="251" t="s">
        <v>343</v>
      </c>
      <c r="C60" s="1">
        <v>283570</v>
      </c>
      <c r="D60" s="1">
        <v>283570</v>
      </c>
      <c r="E60" s="1">
        <v>283570</v>
      </c>
      <c r="F60" s="1">
        <v>283570</v>
      </c>
      <c r="G60" s="1"/>
      <c r="H60" s="1"/>
      <c r="I60" s="1">
        <f>'Bieu 01 TT'!E124</f>
        <v>325739</v>
      </c>
      <c r="J60" s="1"/>
      <c r="K60" s="1"/>
      <c r="L60" s="531">
        <f t="shared" si="2"/>
        <v>114.87075501639808</v>
      </c>
      <c r="M60" s="1">
        <f>I60</f>
        <v>325739</v>
      </c>
      <c r="N60" s="1"/>
      <c r="O60" s="1"/>
      <c r="P60" s="531">
        <f t="shared" si="3"/>
        <v>114.87075501639808</v>
      </c>
      <c r="Q60" s="1">
        <f>S60+V60</f>
        <v>325739</v>
      </c>
      <c r="R60" s="531">
        <f t="shared" si="4"/>
        <v>114.87075501639808</v>
      </c>
      <c r="S60" s="1">
        <f>M60-W60</f>
        <v>325739</v>
      </c>
      <c r="T60" s="1">
        <f>S60</f>
        <v>325739</v>
      </c>
      <c r="U60" s="1"/>
      <c r="V60" s="1"/>
      <c r="W60" s="1"/>
      <c r="X60" s="1"/>
      <c r="Y60" s="1"/>
      <c r="Z60" s="531"/>
      <c r="AA60" s="263"/>
      <c r="AB60" s="244"/>
      <c r="AC60" s="244"/>
      <c r="AD60" s="244"/>
      <c r="AE60" s="244"/>
    </row>
    <row r="61" spans="1:31" ht="30" customHeight="1">
      <c r="A61" s="362" t="s">
        <v>23</v>
      </c>
      <c r="B61" s="251" t="s">
        <v>1543</v>
      </c>
      <c r="C61" s="1">
        <v>821202</v>
      </c>
      <c r="D61" s="1">
        <v>821202</v>
      </c>
      <c r="E61" s="1">
        <v>821202</v>
      </c>
      <c r="F61" s="1">
        <v>821202</v>
      </c>
      <c r="G61" s="1"/>
      <c r="H61" s="1">
        <v>0</v>
      </c>
      <c r="I61" s="1">
        <f>'Bieu 01 TT'!E127</f>
        <v>867689</v>
      </c>
      <c r="J61" s="1"/>
      <c r="K61" s="1"/>
      <c r="L61" s="531">
        <f t="shared" si="2"/>
        <v>105.66084836617544</v>
      </c>
      <c r="M61" s="1">
        <f>I61</f>
        <v>867689</v>
      </c>
      <c r="N61" s="1"/>
      <c r="O61" s="1"/>
      <c r="P61" s="531">
        <f t="shared" si="3"/>
        <v>105.66084836617544</v>
      </c>
      <c r="Q61" s="1">
        <f>S61+V61</f>
        <v>867689</v>
      </c>
      <c r="R61" s="531">
        <f t="shared" si="4"/>
        <v>105.66084836617544</v>
      </c>
      <c r="S61" s="1">
        <f>M61-W61</f>
        <v>867689</v>
      </c>
      <c r="T61" s="1">
        <f>S61</f>
        <v>867689</v>
      </c>
      <c r="U61" s="1"/>
      <c r="V61" s="1"/>
      <c r="W61" s="1">
        <v>0</v>
      </c>
      <c r="X61" s="1"/>
      <c r="Y61" s="1"/>
      <c r="Z61" s="531"/>
      <c r="AA61" s="263"/>
      <c r="AB61" s="244"/>
      <c r="AC61" s="244"/>
      <c r="AD61" s="244"/>
      <c r="AE61" s="244"/>
    </row>
    <row r="62" spans="1:31" s="244" customFormat="1" ht="30" customHeight="1">
      <c r="A62" s="359" t="s">
        <v>69</v>
      </c>
      <c r="B62" s="252" t="s">
        <v>470</v>
      </c>
      <c r="C62" s="10">
        <v>77200</v>
      </c>
      <c r="D62" s="10">
        <v>77200</v>
      </c>
      <c r="E62" s="10">
        <v>77200</v>
      </c>
      <c r="F62" s="10">
        <v>77200</v>
      </c>
      <c r="G62" s="10"/>
      <c r="H62" s="10">
        <v>0</v>
      </c>
      <c r="I62" s="10">
        <v>68500</v>
      </c>
      <c r="J62" s="10"/>
      <c r="K62" s="10"/>
      <c r="L62" s="530">
        <f t="shared" si="2"/>
        <v>88.730569948186528</v>
      </c>
      <c r="M62" s="10">
        <f>I62</f>
        <v>68500</v>
      </c>
      <c r="N62" s="10"/>
      <c r="O62" s="10"/>
      <c r="P62" s="530">
        <f t="shared" si="3"/>
        <v>88.730569948186528</v>
      </c>
      <c r="Q62" s="10">
        <f>M62</f>
        <v>68500</v>
      </c>
      <c r="R62" s="530">
        <f t="shared" si="4"/>
        <v>88.730569948186528</v>
      </c>
      <c r="S62" s="10">
        <f>Q62</f>
        <v>68500</v>
      </c>
      <c r="T62" s="10">
        <f>S62</f>
        <v>68500</v>
      </c>
      <c r="U62" s="10"/>
      <c r="V62" s="10"/>
      <c r="W62" s="10">
        <v>0</v>
      </c>
      <c r="X62" s="10"/>
      <c r="Y62" s="10"/>
      <c r="Z62" s="530"/>
      <c r="AA62" s="263"/>
    </row>
    <row r="63" spans="1:31" s="244" customFormat="1" ht="24.75" customHeight="1">
      <c r="A63" s="359" t="s">
        <v>70</v>
      </c>
      <c r="B63" s="252" t="s">
        <v>471</v>
      </c>
      <c r="C63" s="10">
        <v>77200</v>
      </c>
      <c r="D63" s="10">
        <v>77200</v>
      </c>
      <c r="E63" s="10">
        <v>77200</v>
      </c>
      <c r="F63" s="10">
        <v>77200</v>
      </c>
      <c r="G63" s="10">
        <v>0</v>
      </c>
      <c r="H63" s="10">
        <v>0</v>
      </c>
      <c r="I63" s="10">
        <f>I64+I65</f>
        <v>77100</v>
      </c>
      <c r="J63" s="10"/>
      <c r="K63" s="10"/>
      <c r="L63" s="530">
        <f t="shared" si="2"/>
        <v>99.870466321243526</v>
      </c>
      <c r="M63" s="10">
        <f t="shared" ref="M63:W63" si="39">M64+M65</f>
        <v>77100</v>
      </c>
      <c r="N63" s="10"/>
      <c r="O63" s="10"/>
      <c r="P63" s="530">
        <f t="shared" si="3"/>
        <v>99.870466321243526</v>
      </c>
      <c r="Q63" s="10">
        <f t="shared" si="39"/>
        <v>77100</v>
      </c>
      <c r="R63" s="530">
        <f t="shared" si="4"/>
        <v>99.870466321243526</v>
      </c>
      <c r="S63" s="10">
        <f t="shared" si="39"/>
        <v>77100</v>
      </c>
      <c r="T63" s="10">
        <f t="shared" si="39"/>
        <v>77100</v>
      </c>
      <c r="U63" s="10">
        <f t="shared" si="39"/>
        <v>0</v>
      </c>
      <c r="V63" s="10">
        <f t="shared" si="39"/>
        <v>0</v>
      </c>
      <c r="W63" s="10">
        <f t="shared" si="39"/>
        <v>0</v>
      </c>
      <c r="X63" s="10"/>
      <c r="Y63" s="10"/>
      <c r="Z63" s="530"/>
      <c r="AA63" s="263"/>
    </row>
    <row r="64" spans="1:31" ht="24.75" customHeight="1">
      <c r="A64" s="362" t="s">
        <v>18</v>
      </c>
      <c r="B64" s="266" t="s">
        <v>1259</v>
      </c>
      <c r="C64" s="1">
        <v>77200</v>
      </c>
      <c r="D64" s="1">
        <v>77200</v>
      </c>
      <c r="E64" s="1">
        <v>77200</v>
      </c>
      <c r="F64" s="1">
        <v>77200</v>
      </c>
      <c r="G64" s="1"/>
      <c r="H64" s="1"/>
      <c r="I64" s="1">
        <v>68500</v>
      </c>
      <c r="J64" s="1"/>
      <c r="K64" s="1"/>
      <c r="L64" s="531">
        <f t="shared" si="2"/>
        <v>88.730569948186528</v>
      </c>
      <c r="M64" s="1">
        <f>I64</f>
        <v>68500</v>
      </c>
      <c r="N64" s="1"/>
      <c r="O64" s="1"/>
      <c r="P64" s="531">
        <f t="shared" si="3"/>
        <v>88.730569948186528</v>
      </c>
      <c r="Q64" s="1">
        <f>M64</f>
        <v>68500</v>
      </c>
      <c r="R64" s="531">
        <f t="shared" si="4"/>
        <v>88.730569948186528</v>
      </c>
      <c r="S64" s="1">
        <f>Q64</f>
        <v>68500</v>
      </c>
      <c r="T64" s="1">
        <f>S64</f>
        <v>68500</v>
      </c>
      <c r="U64" s="1"/>
      <c r="V64" s="1"/>
      <c r="W64" s="1"/>
      <c r="X64" s="1"/>
      <c r="Y64" s="1"/>
      <c r="Z64" s="531"/>
      <c r="AA64" s="263"/>
      <c r="AB64" s="244"/>
      <c r="AC64" s="244"/>
      <c r="AD64" s="244"/>
      <c r="AE64" s="244"/>
    </row>
    <row r="65" spans="1:60" ht="24.75" customHeight="1">
      <c r="A65" s="362" t="s">
        <v>26</v>
      </c>
      <c r="B65" s="267" t="s">
        <v>345</v>
      </c>
      <c r="C65" s="1"/>
      <c r="D65" s="1"/>
      <c r="E65" s="1">
        <v>0</v>
      </c>
      <c r="F65" s="1">
        <v>0</v>
      </c>
      <c r="G65" s="1"/>
      <c r="H65" s="1"/>
      <c r="I65" s="1">
        <v>8600</v>
      </c>
      <c r="J65" s="1"/>
      <c r="K65" s="1"/>
      <c r="L65" s="531" t="e">
        <f t="shared" si="2"/>
        <v>#DIV/0!</v>
      </c>
      <c r="M65" s="1">
        <f>I65</f>
        <v>8600</v>
      </c>
      <c r="N65" s="1"/>
      <c r="O65" s="1"/>
      <c r="P65" s="531" t="e">
        <f t="shared" si="3"/>
        <v>#DIV/0!</v>
      </c>
      <c r="Q65" s="1">
        <f>M65</f>
        <v>8600</v>
      </c>
      <c r="R65" s="531" t="e">
        <f t="shared" si="4"/>
        <v>#DIV/0!</v>
      </c>
      <c r="S65" s="1">
        <f>Q65</f>
        <v>8600</v>
      </c>
      <c r="T65" s="1">
        <f>S65</f>
        <v>8600</v>
      </c>
      <c r="U65" s="1"/>
      <c r="V65" s="1"/>
      <c r="W65" s="1"/>
      <c r="X65" s="1"/>
      <c r="Y65" s="1"/>
      <c r="Z65" s="531"/>
      <c r="AA65" s="263"/>
      <c r="AB65" s="244"/>
      <c r="AC65" s="244"/>
      <c r="AD65" s="244"/>
      <c r="AE65" s="244"/>
    </row>
    <row r="66" spans="1:60" ht="12.75" customHeight="1">
      <c r="A66" s="566"/>
      <c r="B66" s="364"/>
      <c r="C66" s="539"/>
      <c r="D66" s="539"/>
      <c r="E66" s="539"/>
      <c r="F66" s="539"/>
      <c r="G66" s="539"/>
      <c r="H66" s="539"/>
      <c r="I66" s="539"/>
      <c r="J66" s="539"/>
      <c r="K66" s="539"/>
      <c r="L66" s="539"/>
      <c r="M66" s="539"/>
      <c r="N66" s="539"/>
      <c r="O66" s="539"/>
      <c r="P66" s="539"/>
      <c r="Q66" s="539"/>
      <c r="R66" s="539"/>
      <c r="S66" s="539"/>
      <c r="T66" s="539"/>
      <c r="U66" s="539"/>
      <c r="V66" s="539"/>
      <c r="W66" s="539"/>
      <c r="X66" s="573"/>
      <c r="Y66" s="573"/>
      <c r="Z66" s="1311"/>
    </row>
    <row r="67" spans="1:60" ht="9" customHeight="1">
      <c r="A67" s="561"/>
      <c r="B67" s="260"/>
      <c r="C67" s="260"/>
      <c r="D67" s="260"/>
      <c r="E67" s="260"/>
      <c r="F67" s="260"/>
      <c r="G67" s="260"/>
      <c r="H67" s="260"/>
      <c r="I67" s="259"/>
      <c r="J67" s="259"/>
      <c r="K67" s="259"/>
      <c r="L67" s="259"/>
      <c r="M67" s="259"/>
      <c r="N67" s="259"/>
      <c r="O67" s="259"/>
      <c r="P67" s="259"/>
      <c r="Q67" s="259"/>
      <c r="R67" s="259"/>
      <c r="S67" s="259"/>
      <c r="T67" s="259"/>
      <c r="U67" s="259"/>
      <c r="V67" s="259"/>
      <c r="W67" s="259"/>
      <c r="X67" s="259"/>
      <c r="Y67" s="259"/>
      <c r="Z67" s="538"/>
    </row>
    <row r="68" spans="1:60" ht="17.25" customHeight="1">
      <c r="A68" s="1542" t="s">
        <v>346</v>
      </c>
      <c r="B68" s="1542"/>
      <c r="C68" s="260"/>
      <c r="D68" s="260"/>
      <c r="E68" s="260"/>
      <c r="F68" s="260"/>
      <c r="G68" s="260"/>
      <c r="H68" s="260"/>
      <c r="I68" s="259"/>
      <c r="J68" s="259"/>
      <c r="K68" s="259"/>
      <c r="L68" s="259"/>
      <c r="M68" s="259"/>
      <c r="N68" s="259"/>
      <c r="O68" s="259"/>
      <c r="P68" s="259"/>
      <c r="Q68" s="259"/>
      <c r="R68" s="259"/>
      <c r="S68" s="259"/>
      <c r="T68" s="259"/>
      <c r="U68" s="259"/>
      <c r="V68" s="259"/>
      <c r="W68" s="259"/>
      <c r="X68" s="259"/>
      <c r="Y68" s="259"/>
    </row>
    <row r="69" spans="1:60" s="542" customFormat="1" ht="21.75" customHeight="1">
      <c r="A69" s="1539" t="s">
        <v>1535</v>
      </c>
      <c r="B69" s="1539"/>
      <c r="C69" s="1539"/>
      <c r="D69" s="1539"/>
      <c r="E69" s="1539"/>
      <c r="F69" s="1539"/>
      <c r="G69" s="1539"/>
      <c r="H69" s="1539"/>
      <c r="I69" s="1539"/>
      <c r="J69" s="1539"/>
      <c r="K69" s="1539"/>
      <c r="L69" s="1539"/>
      <c r="M69" s="1539"/>
      <c r="N69" s="1539"/>
      <c r="O69" s="1539"/>
      <c r="P69" s="1539"/>
      <c r="Q69" s="1539"/>
      <c r="R69" s="1539"/>
      <c r="S69" s="1539"/>
      <c r="T69" s="1539"/>
      <c r="U69" s="1539"/>
      <c r="V69" s="1539"/>
      <c r="W69" s="1539"/>
      <c r="X69" s="1308"/>
      <c r="Y69" s="1308"/>
      <c r="Z69" s="540"/>
      <c r="AA69" s="540"/>
      <c r="AB69" s="541"/>
      <c r="AC69" s="540"/>
      <c r="AD69" s="540"/>
      <c r="AE69" s="540"/>
      <c r="AF69" s="541"/>
      <c r="AG69" s="540"/>
      <c r="AH69" s="540"/>
      <c r="AI69" s="540"/>
      <c r="AJ69" s="541"/>
      <c r="AK69" s="540"/>
      <c r="AL69" s="540"/>
      <c r="AM69" s="540"/>
      <c r="AN69" s="541"/>
      <c r="AO69" s="540"/>
      <c r="AP69" s="540"/>
      <c r="AQ69" s="540"/>
      <c r="AR69" s="541"/>
      <c r="AS69" s="540"/>
      <c r="AT69" s="540"/>
      <c r="AU69" s="540"/>
      <c r="AV69" s="541"/>
      <c r="AW69" s="540"/>
      <c r="AX69" s="540"/>
      <c r="AY69" s="540"/>
      <c r="AZ69" s="541"/>
      <c r="BA69" s="540"/>
      <c r="BB69" s="540"/>
      <c r="BC69" s="540"/>
      <c r="BD69" s="541"/>
      <c r="BE69" s="540"/>
      <c r="BF69" s="540"/>
      <c r="BG69" s="540"/>
      <c r="BH69" s="541"/>
    </row>
    <row r="70" spans="1:60" s="542" customFormat="1" ht="28.5" hidden="1" customHeight="1">
      <c r="A70" s="1539" t="s">
        <v>1528</v>
      </c>
      <c r="B70" s="1539"/>
      <c r="C70" s="1539"/>
      <c r="D70" s="1539"/>
      <c r="E70" s="1539"/>
      <c r="F70" s="1539"/>
      <c r="G70" s="1539"/>
      <c r="H70" s="1539"/>
      <c r="I70" s="1539"/>
      <c r="J70" s="1539"/>
      <c r="K70" s="1539"/>
      <c r="L70" s="1539"/>
      <c r="M70" s="1539"/>
      <c r="N70" s="1539"/>
      <c r="O70" s="1539"/>
      <c r="P70" s="1539"/>
      <c r="Q70" s="1539"/>
      <c r="R70" s="1539"/>
      <c r="S70" s="1539"/>
      <c r="T70" s="1539"/>
      <c r="U70" s="1539"/>
      <c r="V70" s="1539"/>
      <c r="W70" s="1539"/>
      <c r="X70" s="1308"/>
      <c r="Y70" s="1308"/>
      <c r="Z70" s="540"/>
      <c r="AA70" s="540"/>
      <c r="AB70" s="541"/>
      <c r="AC70" s="540"/>
      <c r="AD70" s="540"/>
      <c r="AE70" s="540"/>
      <c r="AF70" s="541"/>
      <c r="AG70" s="540"/>
      <c r="AH70" s="540"/>
      <c r="AI70" s="540"/>
      <c r="AJ70" s="541"/>
      <c r="AK70" s="540"/>
      <c r="AL70" s="540"/>
      <c r="AM70" s="540"/>
      <c r="AN70" s="541"/>
      <c r="AO70" s="540"/>
      <c r="AP70" s="540"/>
      <c r="AQ70" s="540"/>
      <c r="AR70" s="541"/>
      <c r="AS70" s="540"/>
      <c r="AT70" s="540"/>
      <c r="AU70" s="540"/>
      <c r="AV70" s="541"/>
      <c r="AW70" s="540"/>
      <c r="AX70" s="540"/>
      <c r="AY70" s="540"/>
      <c r="AZ70" s="541"/>
      <c r="BA70" s="540"/>
      <c r="BB70" s="540"/>
      <c r="BC70" s="540"/>
      <c r="BD70" s="541"/>
      <c r="BE70" s="540"/>
      <c r="BF70" s="540"/>
      <c r="BG70" s="540"/>
      <c r="BH70" s="541"/>
    </row>
    <row r="71" spans="1:60" ht="18" customHeight="1">
      <c r="A71" s="1539" t="s">
        <v>473</v>
      </c>
      <c r="B71" s="1539"/>
      <c r="C71" s="1539"/>
      <c r="D71" s="1539"/>
      <c r="E71" s="1539"/>
      <c r="F71" s="1539"/>
      <c r="G71" s="1539"/>
      <c r="H71" s="1539"/>
      <c r="I71" s="1539"/>
      <c r="J71" s="1539"/>
      <c r="K71" s="1539"/>
      <c r="L71" s="1539"/>
      <c r="M71" s="1539"/>
      <c r="N71" s="1539"/>
      <c r="O71" s="1539"/>
      <c r="P71" s="1539"/>
      <c r="Q71" s="1539"/>
      <c r="R71" s="1539"/>
      <c r="S71" s="1539"/>
      <c r="T71" s="1539"/>
      <c r="U71" s="1539"/>
      <c r="V71" s="1539"/>
      <c r="W71" s="1539"/>
      <c r="X71" s="1308"/>
      <c r="Y71" s="1308"/>
    </row>
    <row r="72" spans="1:60" ht="18" customHeight="1">
      <c r="A72" s="1539" t="s">
        <v>472</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308"/>
      <c r="Y72" s="1308"/>
    </row>
    <row r="73" spans="1:60" ht="18" customHeight="1">
      <c r="I73" s="261"/>
      <c r="J73" s="261"/>
      <c r="K73" s="261"/>
      <c r="L73" s="261"/>
      <c r="M73" s="259"/>
      <c r="N73" s="259"/>
      <c r="O73" s="259"/>
      <c r="P73" s="261"/>
      <c r="Q73" s="261"/>
      <c r="R73" s="261"/>
      <c r="S73" s="259"/>
      <c r="T73" s="259"/>
      <c r="U73" s="259"/>
      <c r="V73" s="261"/>
      <c r="W73" s="261"/>
      <c r="X73" s="261"/>
      <c r="Y73" s="261"/>
    </row>
    <row r="74" spans="1:60" ht="18" customHeight="1">
      <c r="I74" s="261"/>
      <c r="J74" s="261"/>
      <c r="K74" s="261"/>
      <c r="L74" s="261"/>
      <c r="M74" s="259"/>
      <c r="N74" s="259"/>
      <c r="O74" s="259"/>
      <c r="P74" s="261"/>
      <c r="Q74" s="261"/>
      <c r="R74" s="261"/>
      <c r="S74" s="259"/>
      <c r="T74" s="259"/>
      <c r="U74" s="259"/>
      <c r="V74" s="261"/>
      <c r="W74" s="261"/>
      <c r="X74" s="261"/>
      <c r="Y74" s="261"/>
    </row>
    <row r="75" spans="1:60" ht="18" customHeight="1">
      <c r="I75" s="261"/>
      <c r="J75" s="261"/>
      <c r="K75" s="261"/>
      <c r="L75" s="261"/>
      <c r="M75" s="259"/>
      <c r="N75" s="259"/>
      <c r="O75" s="259"/>
      <c r="P75" s="261"/>
      <c r="Q75" s="261"/>
      <c r="R75" s="261"/>
      <c r="S75" s="259"/>
      <c r="T75" s="259"/>
      <c r="U75" s="259"/>
      <c r="V75" s="261"/>
      <c r="W75" s="261"/>
      <c r="X75" s="261"/>
      <c r="Y75" s="261"/>
    </row>
    <row r="76" spans="1:60" ht="18" customHeight="1">
      <c r="I76" s="261"/>
      <c r="J76" s="261"/>
      <c r="K76" s="261"/>
      <c r="L76" s="261"/>
      <c r="M76" s="259"/>
      <c r="N76" s="259"/>
      <c r="O76" s="259"/>
      <c r="P76" s="261"/>
      <c r="Q76" s="261"/>
      <c r="R76" s="261"/>
      <c r="S76" s="259"/>
      <c r="T76" s="259"/>
      <c r="U76" s="259"/>
      <c r="V76" s="261"/>
      <c r="W76" s="261"/>
      <c r="X76" s="261"/>
      <c r="Y76" s="261"/>
    </row>
    <row r="77" spans="1:60" ht="18" customHeight="1">
      <c r="I77" s="261"/>
      <c r="J77" s="261"/>
      <c r="K77" s="261"/>
      <c r="L77" s="261"/>
      <c r="M77" s="259"/>
      <c r="N77" s="259"/>
      <c r="O77" s="259"/>
      <c r="P77" s="261"/>
      <c r="Q77" s="261"/>
      <c r="R77" s="261"/>
      <c r="S77" s="259"/>
      <c r="T77" s="259"/>
      <c r="U77" s="259"/>
      <c r="V77" s="261"/>
      <c r="W77" s="261"/>
      <c r="X77" s="261"/>
      <c r="Y77" s="261"/>
    </row>
    <row r="78" spans="1:60" ht="18" customHeight="1">
      <c r="A78" s="563"/>
      <c r="I78" s="261"/>
      <c r="J78" s="261"/>
      <c r="K78" s="261"/>
      <c r="L78" s="261"/>
      <c r="M78" s="259"/>
      <c r="N78" s="259"/>
      <c r="O78" s="259"/>
      <c r="P78" s="261"/>
      <c r="Q78" s="261"/>
      <c r="R78" s="261"/>
      <c r="S78" s="259"/>
      <c r="T78" s="259"/>
      <c r="U78" s="259"/>
      <c r="V78" s="261"/>
      <c r="W78" s="261"/>
      <c r="X78" s="261"/>
      <c r="Y78" s="261"/>
    </row>
    <row r="79" spans="1:60" ht="18" customHeight="1">
      <c r="A79" s="563"/>
      <c r="I79" s="261"/>
      <c r="J79" s="261"/>
      <c r="K79" s="261"/>
      <c r="L79" s="261"/>
      <c r="M79" s="259"/>
      <c r="N79" s="259"/>
      <c r="O79" s="259"/>
      <c r="P79" s="261"/>
      <c r="Q79" s="261"/>
      <c r="R79" s="261"/>
      <c r="S79" s="259"/>
      <c r="T79" s="259"/>
      <c r="U79" s="259"/>
      <c r="V79" s="261"/>
      <c r="W79" s="261"/>
      <c r="X79" s="261"/>
      <c r="Y79" s="261"/>
    </row>
    <row r="80" spans="1:60" ht="18" customHeight="1">
      <c r="A80" s="563"/>
      <c r="I80" s="261"/>
      <c r="J80" s="261"/>
      <c r="K80" s="261"/>
      <c r="L80" s="261"/>
      <c r="M80" s="259"/>
      <c r="N80" s="259"/>
      <c r="O80" s="259"/>
      <c r="P80" s="261"/>
      <c r="Q80" s="261"/>
      <c r="R80" s="261"/>
      <c r="S80" s="259"/>
      <c r="T80" s="259"/>
      <c r="U80" s="259"/>
      <c r="V80" s="261"/>
      <c r="W80" s="261"/>
      <c r="X80" s="261"/>
      <c r="Y80" s="261"/>
    </row>
    <row r="81" spans="1:25" ht="18" customHeight="1">
      <c r="A81" s="563"/>
      <c r="I81" s="261"/>
      <c r="J81" s="261"/>
      <c r="K81" s="261"/>
      <c r="L81" s="261"/>
      <c r="M81" s="259"/>
      <c r="N81" s="259"/>
      <c r="O81" s="259"/>
      <c r="P81" s="261"/>
      <c r="Q81" s="261"/>
      <c r="R81" s="261"/>
      <c r="S81" s="259"/>
      <c r="T81" s="259"/>
      <c r="U81" s="259"/>
      <c r="V81" s="261"/>
      <c r="W81" s="261"/>
      <c r="X81" s="261"/>
      <c r="Y81" s="261"/>
    </row>
    <row r="82" spans="1:25" ht="18" customHeight="1">
      <c r="A82" s="563"/>
      <c r="I82" s="261"/>
      <c r="J82" s="261"/>
      <c r="K82" s="261"/>
      <c r="L82" s="261"/>
      <c r="M82" s="259"/>
      <c r="N82" s="259"/>
      <c r="O82" s="259"/>
      <c r="P82" s="261"/>
      <c r="Q82" s="261"/>
      <c r="R82" s="261"/>
      <c r="S82" s="259"/>
      <c r="T82" s="259"/>
      <c r="U82" s="259"/>
      <c r="V82" s="261"/>
      <c r="W82" s="261"/>
      <c r="X82" s="261"/>
      <c r="Y82" s="261"/>
    </row>
  </sheetData>
  <sheetProtection selectLockedCells="1" selectUnlockedCells="1"/>
  <mergeCells count="38">
    <mergeCell ref="A8:A11"/>
    <mergeCell ref="B8:B11"/>
    <mergeCell ref="I8:I11"/>
    <mergeCell ref="M8:M11"/>
    <mergeCell ref="P8:P11"/>
    <mergeCell ref="J8:K8"/>
    <mergeCell ref="J9:J11"/>
    <mergeCell ref="K9:K11"/>
    <mergeCell ref="N8:O8"/>
    <mergeCell ref="O9:O11"/>
    <mergeCell ref="V10:V11"/>
    <mergeCell ref="N9:N11"/>
    <mergeCell ref="Z8:Z11"/>
    <mergeCell ref="H9:H11"/>
    <mergeCell ref="L8:L11"/>
    <mergeCell ref="R9:R11"/>
    <mergeCell ref="S9:V9"/>
    <mergeCell ref="T10:U10"/>
    <mergeCell ref="Q8:Y8"/>
    <mergeCell ref="X9:Y9"/>
    <mergeCell ref="X10:X11"/>
    <mergeCell ref="Y10:Y11"/>
    <mergeCell ref="A5:Y5"/>
    <mergeCell ref="A4:Y4"/>
    <mergeCell ref="A72:W72"/>
    <mergeCell ref="V7:W7"/>
    <mergeCell ref="Q9:Q11"/>
    <mergeCell ref="W9:W11"/>
    <mergeCell ref="A68:B68"/>
    <mergeCell ref="A69:W69"/>
    <mergeCell ref="A71:W71"/>
    <mergeCell ref="A70:W70"/>
    <mergeCell ref="C8:C11"/>
    <mergeCell ref="D8:D11"/>
    <mergeCell ref="E8:H8"/>
    <mergeCell ref="E9:E11"/>
    <mergeCell ref="F9:G10"/>
    <mergeCell ref="S10:S11"/>
  </mergeCells>
  <printOptions horizontalCentered="1"/>
  <pageMargins left="0.57999999999999996" right="0.196850393700787" top="0.23622047244094499" bottom="0.39" header="0.196850393700787" footer="0.196850393700787"/>
  <pageSetup paperSize="9" scale="68" firstPageNumber="0" fitToHeight="0" orientation="landscape" blackAndWhite="1" verticalDpi="300" r:id="rId1"/>
  <headerFooter alignWithMargins="0">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37"/>
  <sheetViews>
    <sheetView workbookViewId="0">
      <pane xSplit="2" ySplit="9" topLeftCell="C10" activePane="bottomRight" state="frozen"/>
      <selection pane="topRight" activeCell="C1" sqref="C1"/>
      <selection pane="bottomLeft" activeCell="A10" sqref="A10"/>
      <selection pane="bottomRight" activeCell="A2" sqref="A2:B2"/>
    </sheetView>
  </sheetViews>
  <sheetFormatPr defaultRowHeight="19.2" outlineLevelRow="1"/>
  <cols>
    <col min="1" max="1" width="5" style="419" customWidth="1"/>
    <col min="2" max="2" width="48.88671875" style="419" customWidth="1"/>
    <col min="3" max="3" width="8.33203125" style="419" customWidth="1"/>
    <col min="4" max="4" width="8.5546875" style="419" customWidth="1"/>
    <col min="5" max="5" width="8.88671875" style="419" customWidth="1"/>
    <col min="6" max="15" width="6.6640625" style="419" customWidth="1"/>
    <col min="16" max="16" width="9.109375" style="420"/>
    <col min="17" max="256" width="9.109375" style="419"/>
    <col min="257" max="257" width="5" style="419" customWidth="1"/>
    <col min="258" max="258" width="46.33203125" style="419" customWidth="1"/>
    <col min="259" max="259" width="8.33203125" style="419" customWidth="1"/>
    <col min="260" max="260" width="8.5546875" style="419" customWidth="1"/>
    <col min="261" max="261" width="8.88671875" style="419" customWidth="1"/>
    <col min="262" max="262" width="8.5546875" style="419" customWidth="1"/>
    <col min="263" max="263" width="8.33203125" style="419" customWidth="1"/>
    <col min="264" max="264" width="8.5546875" style="419" customWidth="1"/>
    <col min="265" max="265" width="8.88671875" style="419" customWidth="1"/>
    <col min="266" max="266" width="9.33203125" style="419" customWidth="1"/>
    <col min="267" max="267" width="9.44140625" style="419" customWidth="1"/>
    <col min="268" max="268" width="8.6640625" style="419" customWidth="1"/>
    <col min="269" max="270" width="8.109375" style="419" customWidth="1"/>
    <col min="271" max="512" width="9.109375" style="419"/>
    <col min="513" max="513" width="5" style="419" customWidth="1"/>
    <col min="514" max="514" width="46.33203125" style="419" customWidth="1"/>
    <col min="515" max="515" width="8.33203125" style="419" customWidth="1"/>
    <col min="516" max="516" width="8.5546875" style="419" customWidth="1"/>
    <col min="517" max="517" width="8.88671875" style="419" customWidth="1"/>
    <col min="518" max="518" width="8.5546875" style="419" customWidth="1"/>
    <col min="519" max="519" width="8.33203125" style="419" customWidth="1"/>
    <col min="520" max="520" width="8.5546875" style="419" customWidth="1"/>
    <col min="521" max="521" width="8.88671875" style="419" customWidth="1"/>
    <col min="522" max="522" width="9.33203125" style="419" customWidth="1"/>
    <col min="523" max="523" width="9.44140625" style="419" customWidth="1"/>
    <col min="524" max="524" width="8.6640625" style="419" customWidth="1"/>
    <col min="525" max="526" width="8.109375" style="419" customWidth="1"/>
    <col min="527" max="768" width="9.109375" style="419"/>
    <col min="769" max="769" width="5" style="419" customWidth="1"/>
    <col min="770" max="770" width="46.33203125" style="419" customWidth="1"/>
    <col min="771" max="771" width="8.33203125" style="419" customWidth="1"/>
    <col min="772" max="772" width="8.5546875" style="419" customWidth="1"/>
    <col min="773" max="773" width="8.88671875" style="419" customWidth="1"/>
    <col min="774" max="774" width="8.5546875" style="419" customWidth="1"/>
    <col min="775" max="775" width="8.33203125" style="419" customWidth="1"/>
    <col min="776" max="776" width="8.5546875" style="419" customWidth="1"/>
    <col min="777" max="777" width="8.88671875" style="419" customWidth="1"/>
    <col min="778" max="778" width="9.33203125" style="419" customWidth="1"/>
    <col min="779" max="779" width="9.44140625" style="419" customWidth="1"/>
    <col min="780" max="780" width="8.6640625" style="419" customWidth="1"/>
    <col min="781" max="782" width="8.109375" style="419" customWidth="1"/>
    <col min="783" max="1024" width="9.109375" style="419"/>
    <col min="1025" max="1025" width="5" style="419" customWidth="1"/>
    <col min="1026" max="1026" width="46.33203125" style="419" customWidth="1"/>
    <col min="1027" max="1027" width="8.33203125" style="419" customWidth="1"/>
    <col min="1028" max="1028" width="8.5546875" style="419" customWidth="1"/>
    <col min="1029" max="1029" width="8.88671875" style="419" customWidth="1"/>
    <col min="1030" max="1030" width="8.5546875" style="419" customWidth="1"/>
    <col min="1031" max="1031" width="8.33203125" style="419" customWidth="1"/>
    <col min="1032" max="1032" width="8.5546875" style="419" customWidth="1"/>
    <col min="1033" max="1033" width="8.88671875" style="419" customWidth="1"/>
    <col min="1034" max="1034" width="9.33203125" style="419" customWidth="1"/>
    <col min="1035" max="1035" width="9.44140625" style="419" customWidth="1"/>
    <col min="1036" max="1036" width="8.6640625" style="419" customWidth="1"/>
    <col min="1037" max="1038" width="8.109375" style="419" customWidth="1"/>
    <col min="1039" max="1280" width="9.109375" style="419"/>
    <col min="1281" max="1281" width="5" style="419" customWidth="1"/>
    <col min="1282" max="1282" width="46.33203125" style="419" customWidth="1"/>
    <col min="1283" max="1283" width="8.33203125" style="419" customWidth="1"/>
    <col min="1284" max="1284" width="8.5546875" style="419" customWidth="1"/>
    <col min="1285" max="1285" width="8.88671875" style="419" customWidth="1"/>
    <col min="1286" max="1286" width="8.5546875" style="419" customWidth="1"/>
    <col min="1287" max="1287" width="8.33203125" style="419" customWidth="1"/>
    <col min="1288" max="1288" width="8.5546875" style="419" customWidth="1"/>
    <col min="1289" max="1289" width="8.88671875" style="419" customWidth="1"/>
    <col min="1290" max="1290" width="9.33203125" style="419" customWidth="1"/>
    <col min="1291" max="1291" width="9.44140625" style="419" customWidth="1"/>
    <col min="1292" max="1292" width="8.6640625" style="419" customWidth="1"/>
    <col min="1293" max="1294" width="8.109375" style="419" customWidth="1"/>
    <col min="1295" max="1536" width="9.109375" style="419"/>
    <col min="1537" max="1537" width="5" style="419" customWidth="1"/>
    <col min="1538" max="1538" width="46.33203125" style="419" customWidth="1"/>
    <col min="1539" max="1539" width="8.33203125" style="419" customWidth="1"/>
    <col min="1540" max="1540" width="8.5546875" style="419" customWidth="1"/>
    <col min="1541" max="1541" width="8.88671875" style="419" customWidth="1"/>
    <col min="1542" max="1542" width="8.5546875" style="419" customWidth="1"/>
    <col min="1543" max="1543" width="8.33203125" style="419" customWidth="1"/>
    <col min="1544" max="1544" width="8.5546875" style="419" customWidth="1"/>
    <col min="1545" max="1545" width="8.88671875" style="419" customWidth="1"/>
    <col min="1546" max="1546" width="9.33203125" style="419" customWidth="1"/>
    <col min="1547" max="1547" width="9.44140625" style="419" customWidth="1"/>
    <col min="1548" max="1548" width="8.6640625" style="419" customWidth="1"/>
    <col min="1549" max="1550" width="8.109375" style="419" customWidth="1"/>
    <col min="1551" max="1792" width="9.109375" style="419"/>
    <col min="1793" max="1793" width="5" style="419" customWidth="1"/>
    <col min="1794" max="1794" width="46.33203125" style="419" customWidth="1"/>
    <col min="1795" max="1795" width="8.33203125" style="419" customWidth="1"/>
    <col min="1796" max="1796" width="8.5546875" style="419" customWidth="1"/>
    <col min="1797" max="1797" width="8.88671875" style="419" customWidth="1"/>
    <col min="1798" max="1798" width="8.5546875" style="419" customWidth="1"/>
    <col min="1799" max="1799" width="8.33203125" style="419" customWidth="1"/>
    <col min="1800" max="1800" width="8.5546875" style="419" customWidth="1"/>
    <col min="1801" max="1801" width="8.88671875" style="419" customWidth="1"/>
    <col min="1802" max="1802" width="9.33203125" style="419" customWidth="1"/>
    <col min="1803" max="1803" width="9.44140625" style="419" customWidth="1"/>
    <col min="1804" max="1804" width="8.6640625" style="419" customWidth="1"/>
    <col min="1805" max="1806" width="8.109375" style="419" customWidth="1"/>
    <col min="1807" max="2048" width="9.109375" style="419"/>
    <col min="2049" max="2049" width="5" style="419" customWidth="1"/>
    <col min="2050" max="2050" width="46.33203125" style="419" customWidth="1"/>
    <col min="2051" max="2051" width="8.33203125" style="419" customWidth="1"/>
    <col min="2052" max="2052" width="8.5546875" style="419" customWidth="1"/>
    <col min="2053" max="2053" width="8.88671875" style="419" customWidth="1"/>
    <col min="2054" max="2054" width="8.5546875" style="419" customWidth="1"/>
    <col min="2055" max="2055" width="8.33203125" style="419" customWidth="1"/>
    <col min="2056" max="2056" width="8.5546875" style="419" customWidth="1"/>
    <col min="2057" max="2057" width="8.88671875" style="419" customWidth="1"/>
    <col min="2058" max="2058" width="9.33203125" style="419" customWidth="1"/>
    <col min="2059" max="2059" width="9.44140625" style="419" customWidth="1"/>
    <col min="2060" max="2060" width="8.6640625" style="419" customWidth="1"/>
    <col min="2061" max="2062" width="8.109375" style="419" customWidth="1"/>
    <col min="2063" max="2304" width="9.109375" style="419"/>
    <col min="2305" max="2305" width="5" style="419" customWidth="1"/>
    <col min="2306" max="2306" width="46.33203125" style="419" customWidth="1"/>
    <col min="2307" max="2307" width="8.33203125" style="419" customWidth="1"/>
    <col min="2308" max="2308" width="8.5546875" style="419" customWidth="1"/>
    <col min="2309" max="2309" width="8.88671875" style="419" customWidth="1"/>
    <col min="2310" max="2310" width="8.5546875" style="419" customWidth="1"/>
    <col min="2311" max="2311" width="8.33203125" style="419" customWidth="1"/>
    <col min="2312" max="2312" width="8.5546875" style="419" customWidth="1"/>
    <col min="2313" max="2313" width="8.88671875" style="419" customWidth="1"/>
    <col min="2314" max="2314" width="9.33203125" style="419" customWidth="1"/>
    <col min="2315" max="2315" width="9.44140625" style="419" customWidth="1"/>
    <col min="2316" max="2316" width="8.6640625" style="419" customWidth="1"/>
    <col min="2317" max="2318" width="8.109375" style="419" customWidth="1"/>
    <col min="2319" max="2560" width="9.109375" style="419"/>
    <col min="2561" max="2561" width="5" style="419" customWidth="1"/>
    <col min="2562" max="2562" width="46.33203125" style="419" customWidth="1"/>
    <col min="2563" max="2563" width="8.33203125" style="419" customWidth="1"/>
    <col min="2564" max="2564" width="8.5546875" style="419" customWidth="1"/>
    <col min="2565" max="2565" width="8.88671875" style="419" customWidth="1"/>
    <col min="2566" max="2566" width="8.5546875" style="419" customWidth="1"/>
    <col min="2567" max="2567" width="8.33203125" style="419" customWidth="1"/>
    <col min="2568" max="2568" width="8.5546875" style="419" customWidth="1"/>
    <col min="2569" max="2569" width="8.88671875" style="419" customWidth="1"/>
    <col min="2570" max="2570" width="9.33203125" style="419" customWidth="1"/>
    <col min="2571" max="2571" width="9.44140625" style="419" customWidth="1"/>
    <col min="2572" max="2572" width="8.6640625" style="419" customWidth="1"/>
    <col min="2573" max="2574" width="8.109375" style="419" customWidth="1"/>
    <col min="2575" max="2816" width="9.109375" style="419"/>
    <col min="2817" max="2817" width="5" style="419" customWidth="1"/>
    <col min="2818" max="2818" width="46.33203125" style="419" customWidth="1"/>
    <col min="2819" max="2819" width="8.33203125" style="419" customWidth="1"/>
    <col min="2820" max="2820" width="8.5546875" style="419" customWidth="1"/>
    <col min="2821" max="2821" width="8.88671875" style="419" customWidth="1"/>
    <col min="2822" max="2822" width="8.5546875" style="419" customWidth="1"/>
    <col min="2823" max="2823" width="8.33203125" style="419" customWidth="1"/>
    <col min="2824" max="2824" width="8.5546875" style="419" customWidth="1"/>
    <col min="2825" max="2825" width="8.88671875" style="419" customWidth="1"/>
    <col min="2826" max="2826" width="9.33203125" style="419" customWidth="1"/>
    <col min="2827" max="2827" width="9.44140625" style="419" customWidth="1"/>
    <col min="2828" max="2828" width="8.6640625" style="419" customWidth="1"/>
    <col min="2829" max="2830" width="8.109375" style="419" customWidth="1"/>
    <col min="2831" max="3072" width="9.109375" style="419"/>
    <col min="3073" max="3073" width="5" style="419" customWidth="1"/>
    <col min="3074" max="3074" width="46.33203125" style="419" customWidth="1"/>
    <col min="3075" max="3075" width="8.33203125" style="419" customWidth="1"/>
    <col min="3076" max="3076" width="8.5546875" style="419" customWidth="1"/>
    <col min="3077" max="3077" width="8.88671875" style="419" customWidth="1"/>
    <col min="3078" max="3078" width="8.5546875" style="419" customWidth="1"/>
    <col min="3079" max="3079" width="8.33203125" style="419" customWidth="1"/>
    <col min="3080" max="3080" width="8.5546875" style="419" customWidth="1"/>
    <col min="3081" max="3081" width="8.88671875" style="419" customWidth="1"/>
    <col min="3082" max="3082" width="9.33203125" style="419" customWidth="1"/>
    <col min="3083" max="3083" width="9.44140625" style="419" customWidth="1"/>
    <col min="3084" max="3084" width="8.6640625" style="419" customWidth="1"/>
    <col min="3085" max="3086" width="8.109375" style="419" customWidth="1"/>
    <col min="3087" max="3328" width="9.109375" style="419"/>
    <col min="3329" max="3329" width="5" style="419" customWidth="1"/>
    <col min="3330" max="3330" width="46.33203125" style="419" customWidth="1"/>
    <col min="3331" max="3331" width="8.33203125" style="419" customWidth="1"/>
    <col min="3332" max="3332" width="8.5546875" style="419" customWidth="1"/>
    <col min="3333" max="3333" width="8.88671875" style="419" customWidth="1"/>
    <col min="3334" max="3334" width="8.5546875" style="419" customWidth="1"/>
    <col min="3335" max="3335" width="8.33203125" style="419" customWidth="1"/>
    <col min="3336" max="3336" width="8.5546875" style="419" customWidth="1"/>
    <col min="3337" max="3337" width="8.88671875" style="419" customWidth="1"/>
    <col min="3338" max="3338" width="9.33203125" style="419" customWidth="1"/>
    <col min="3339" max="3339" width="9.44140625" style="419" customWidth="1"/>
    <col min="3340" max="3340" width="8.6640625" style="419" customWidth="1"/>
    <col min="3341" max="3342" width="8.109375" style="419" customWidth="1"/>
    <col min="3343" max="3584" width="9.109375" style="419"/>
    <col min="3585" max="3585" width="5" style="419" customWidth="1"/>
    <col min="3586" max="3586" width="46.33203125" style="419" customWidth="1"/>
    <col min="3587" max="3587" width="8.33203125" style="419" customWidth="1"/>
    <col min="3588" max="3588" width="8.5546875" style="419" customWidth="1"/>
    <col min="3589" max="3589" width="8.88671875" style="419" customWidth="1"/>
    <col min="3590" max="3590" width="8.5546875" style="419" customWidth="1"/>
    <col min="3591" max="3591" width="8.33203125" style="419" customWidth="1"/>
    <col min="3592" max="3592" width="8.5546875" style="419" customWidth="1"/>
    <col min="3593" max="3593" width="8.88671875" style="419" customWidth="1"/>
    <col min="3594" max="3594" width="9.33203125" style="419" customWidth="1"/>
    <col min="3595" max="3595" width="9.44140625" style="419" customWidth="1"/>
    <col min="3596" max="3596" width="8.6640625" style="419" customWidth="1"/>
    <col min="3597" max="3598" width="8.109375" style="419" customWidth="1"/>
    <col min="3599" max="3840" width="9.109375" style="419"/>
    <col min="3841" max="3841" width="5" style="419" customWidth="1"/>
    <col min="3842" max="3842" width="46.33203125" style="419" customWidth="1"/>
    <col min="3843" max="3843" width="8.33203125" style="419" customWidth="1"/>
    <col min="3844" max="3844" width="8.5546875" style="419" customWidth="1"/>
    <col min="3845" max="3845" width="8.88671875" style="419" customWidth="1"/>
    <col min="3846" max="3846" width="8.5546875" style="419" customWidth="1"/>
    <col min="3847" max="3847" width="8.33203125" style="419" customWidth="1"/>
    <col min="3848" max="3848" width="8.5546875" style="419" customWidth="1"/>
    <col min="3849" max="3849" width="8.88671875" style="419" customWidth="1"/>
    <col min="3850" max="3850" width="9.33203125" style="419" customWidth="1"/>
    <col min="3851" max="3851" width="9.44140625" style="419" customWidth="1"/>
    <col min="3852" max="3852" width="8.6640625" style="419" customWidth="1"/>
    <col min="3853" max="3854" width="8.109375" style="419" customWidth="1"/>
    <col min="3855" max="4096" width="9.109375" style="419"/>
    <col min="4097" max="4097" width="5" style="419" customWidth="1"/>
    <col min="4098" max="4098" width="46.33203125" style="419" customWidth="1"/>
    <col min="4099" max="4099" width="8.33203125" style="419" customWidth="1"/>
    <col min="4100" max="4100" width="8.5546875" style="419" customWidth="1"/>
    <col min="4101" max="4101" width="8.88671875" style="419" customWidth="1"/>
    <col min="4102" max="4102" width="8.5546875" style="419" customWidth="1"/>
    <col min="4103" max="4103" width="8.33203125" style="419" customWidth="1"/>
    <col min="4104" max="4104" width="8.5546875" style="419" customWidth="1"/>
    <col min="4105" max="4105" width="8.88671875" style="419" customWidth="1"/>
    <col min="4106" max="4106" width="9.33203125" style="419" customWidth="1"/>
    <col min="4107" max="4107" width="9.44140625" style="419" customWidth="1"/>
    <col min="4108" max="4108" width="8.6640625" style="419" customWidth="1"/>
    <col min="4109" max="4110" width="8.109375" style="419" customWidth="1"/>
    <col min="4111" max="4352" width="9.109375" style="419"/>
    <col min="4353" max="4353" width="5" style="419" customWidth="1"/>
    <col min="4354" max="4354" width="46.33203125" style="419" customWidth="1"/>
    <col min="4355" max="4355" width="8.33203125" style="419" customWidth="1"/>
    <col min="4356" max="4356" width="8.5546875" style="419" customWidth="1"/>
    <col min="4357" max="4357" width="8.88671875" style="419" customWidth="1"/>
    <col min="4358" max="4358" width="8.5546875" style="419" customWidth="1"/>
    <col min="4359" max="4359" width="8.33203125" style="419" customWidth="1"/>
    <col min="4360" max="4360" width="8.5546875" style="419" customWidth="1"/>
    <col min="4361" max="4361" width="8.88671875" style="419" customWidth="1"/>
    <col min="4362" max="4362" width="9.33203125" style="419" customWidth="1"/>
    <col min="4363" max="4363" width="9.44140625" style="419" customWidth="1"/>
    <col min="4364" max="4364" width="8.6640625" style="419" customWidth="1"/>
    <col min="4365" max="4366" width="8.109375" style="419" customWidth="1"/>
    <col min="4367" max="4608" width="9.109375" style="419"/>
    <col min="4609" max="4609" width="5" style="419" customWidth="1"/>
    <col min="4610" max="4610" width="46.33203125" style="419" customWidth="1"/>
    <col min="4611" max="4611" width="8.33203125" style="419" customWidth="1"/>
    <col min="4612" max="4612" width="8.5546875" style="419" customWidth="1"/>
    <col min="4613" max="4613" width="8.88671875" style="419" customWidth="1"/>
    <col min="4614" max="4614" width="8.5546875" style="419" customWidth="1"/>
    <col min="4615" max="4615" width="8.33203125" style="419" customWidth="1"/>
    <col min="4616" max="4616" width="8.5546875" style="419" customWidth="1"/>
    <col min="4617" max="4617" width="8.88671875" style="419" customWidth="1"/>
    <col min="4618" max="4618" width="9.33203125" style="419" customWidth="1"/>
    <col min="4619" max="4619" width="9.44140625" style="419" customWidth="1"/>
    <col min="4620" max="4620" width="8.6640625" style="419" customWidth="1"/>
    <col min="4621" max="4622" width="8.109375" style="419" customWidth="1"/>
    <col min="4623" max="4864" width="9.109375" style="419"/>
    <col min="4865" max="4865" width="5" style="419" customWidth="1"/>
    <col min="4866" max="4866" width="46.33203125" style="419" customWidth="1"/>
    <col min="4867" max="4867" width="8.33203125" style="419" customWidth="1"/>
    <col min="4868" max="4868" width="8.5546875" style="419" customWidth="1"/>
    <col min="4869" max="4869" width="8.88671875" style="419" customWidth="1"/>
    <col min="4870" max="4870" width="8.5546875" style="419" customWidth="1"/>
    <col min="4871" max="4871" width="8.33203125" style="419" customWidth="1"/>
    <col min="4872" max="4872" width="8.5546875" style="419" customWidth="1"/>
    <col min="4873" max="4873" width="8.88671875" style="419" customWidth="1"/>
    <col min="4874" max="4874" width="9.33203125" style="419" customWidth="1"/>
    <col min="4875" max="4875" width="9.44140625" style="419" customWidth="1"/>
    <col min="4876" max="4876" width="8.6640625" style="419" customWidth="1"/>
    <col min="4877" max="4878" width="8.109375" style="419" customWidth="1"/>
    <col min="4879" max="5120" width="9.109375" style="419"/>
    <col min="5121" max="5121" width="5" style="419" customWidth="1"/>
    <col min="5122" max="5122" width="46.33203125" style="419" customWidth="1"/>
    <col min="5123" max="5123" width="8.33203125" style="419" customWidth="1"/>
    <col min="5124" max="5124" width="8.5546875" style="419" customWidth="1"/>
    <col min="5125" max="5125" width="8.88671875" style="419" customWidth="1"/>
    <col min="5126" max="5126" width="8.5546875" style="419" customWidth="1"/>
    <col min="5127" max="5127" width="8.33203125" style="419" customWidth="1"/>
    <col min="5128" max="5128" width="8.5546875" style="419" customWidth="1"/>
    <col min="5129" max="5129" width="8.88671875" style="419" customWidth="1"/>
    <col min="5130" max="5130" width="9.33203125" style="419" customWidth="1"/>
    <col min="5131" max="5131" width="9.44140625" style="419" customWidth="1"/>
    <col min="5132" max="5132" width="8.6640625" style="419" customWidth="1"/>
    <col min="5133" max="5134" width="8.109375" style="419" customWidth="1"/>
    <col min="5135" max="5376" width="9.109375" style="419"/>
    <col min="5377" max="5377" width="5" style="419" customWidth="1"/>
    <col min="5378" max="5378" width="46.33203125" style="419" customWidth="1"/>
    <col min="5379" max="5379" width="8.33203125" style="419" customWidth="1"/>
    <col min="5380" max="5380" width="8.5546875" style="419" customWidth="1"/>
    <col min="5381" max="5381" width="8.88671875" style="419" customWidth="1"/>
    <col min="5382" max="5382" width="8.5546875" style="419" customWidth="1"/>
    <col min="5383" max="5383" width="8.33203125" style="419" customWidth="1"/>
    <col min="5384" max="5384" width="8.5546875" style="419" customWidth="1"/>
    <col min="5385" max="5385" width="8.88671875" style="419" customWidth="1"/>
    <col min="5386" max="5386" width="9.33203125" style="419" customWidth="1"/>
    <col min="5387" max="5387" width="9.44140625" style="419" customWidth="1"/>
    <col min="5388" max="5388" width="8.6640625" style="419" customWidth="1"/>
    <col min="5389" max="5390" width="8.109375" style="419" customWidth="1"/>
    <col min="5391" max="5632" width="9.109375" style="419"/>
    <col min="5633" max="5633" width="5" style="419" customWidth="1"/>
    <col min="5634" max="5634" width="46.33203125" style="419" customWidth="1"/>
    <col min="5635" max="5635" width="8.33203125" style="419" customWidth="1"/>
    <col min="5636" max="5636" width="8.5546875" style="419" customWidth="1"/>
    <col min="5637" max="5637" width="8.88671875" style="419" customWidth="1"/>
    <col min="5638" max="5638" width="8.5546875" style="419" customWidth="1"/>
    <col min="5639" max="5639" width="8.33203125" style="419" customWidth="1"/>
    <col min="5640" max="5640" width="8.5546875" style="419" customWidth="1"/>
    <col min="5641" max="5641" width="8.88671875" style="419" customWidth="1"/>
    <col min="5642" max="5642" width="9.33203125" style="419" customWidth="1"/>
    <col min="5643" max="5643" width="9.44140625" style="419" customWidth="1"/>
    <col min="5644" max="5644" width="8.6640625" style="419" customWidth="1"/>
    <col min="5645" max="5646" width="8.109375" style="419" customWidth="1"/>
    <col min="5647" max="5888" width="9.109375" style="419"/>
    <col min="5889" max="5889" width="5" style="419" customWidth="1"/>
    <col min="5890" max="5890" width="46.33203125" style="419" customWidth="1"/>
    <col min="5891" max="5891" width="8.33203125" style="419" customWidth="1"/>
    <col min="5892" max="5892" width="8.5546875" style="419" customWidth="1"/>
    <col min="5893" max="5893" width="8.88671875" style="419" customWidth="1"/>
    <col min="5894" max="5894" width="8.5546875" style="419" customWidth="1"/>
    <col min="5895" max="5895" width="8.33203125" style="419" customWidth="1"/>
    <col min="5896" max="5896" width="8.5546875" style="419" customWidth="1"/>
    <col min="5897" max="5897" width="8.88671875" style="419" customWidth="1"/>
    <col min="5898" max="5898" width="9.33203125" style="419" customWidth="1"/>
    <col min="5899" max="5899" width="9.44140625" style="419" customWidth="1"/>
    <col min="5900" max="5900" width="8.6640625" style="419" customWidth="1"/>
    <col min="5901" max="5902" width="8.109375" style="419" customWidth="1"/>
    <col min="5903" max="6144" width="9.109375" style="419"/>
    <col min="6145" max="6145" width="5" style="419" customWidth="1"/>
    <col min="6146" max="6146" width="46.33203125" style="419" customWidth="1"/>
    <col min="6147" max="6147" width="8.33203125" style="419" customWidth="1"/>
    <col min="6148" max="6148" width="8.5546875" style="419" customWidth="1"/>
    <col min="6149" max="6149" width="8.88671875" style="419" customWidth="1"/>
    <col min="6150" max="6150" width="8.5546875" style="419" customWidth="1"/>
    <col min="6151" max="6151" width="8.33203125" style="419" customWidth="1"/>
    <col min="6152" max="6152" width="8.5546875" style="419" customWidth="1"/>
    <col min="6153" max="6153" width="8.88671875" style="419" customWidth="1"/>
    <col min="6154" max="6154" width="9.33203125" style="419" customWidth="1"/>
    <col min="6155" max="6155" width="9.44140625" style="419" customWidth="1"/>
    <col min="6156" max="6156" width="8.6640625" style="419" customWidth="1"/>
    <col min="6157" max="6158" width="8.109375" style="419" customWidth="1"/>
    <col min="6159" max="6400" width="9.109375" style="419"/>
    <col min="6401" max="6401" width="5" style="419" customWidth="1"/>
    <col min="6402" max="6402" width="46.33203125" style="419" customWidth="1"/>
    <col min="6403" max="6403" width="8.33203125" style="419" customWidth="1"/>
    <col min="6404" max="6404" width="8.5546875" style="419" customWidth="1"/>
    <col min="6405" max="6405" width="8.88671875" style="419" customWidth="1"/>
    <col min="6406" max="6406" width="8.5546875" style="419" customWidth="1"/>
    <col min="6407" max="6407" width="8.33203125" style="419" customWidth="1"/>
    <col min="6408" max="6408" width="8.5546875" style="419" customWidth="1"/>
    <col min="6409" max="6409" width="8.88671875" style="419" customWidth="1"/>
    <col min="6410" max="6410" width="9.33203125" style="419" customWidth="1"/>
    <col min="6411" max="6411" width="9.44140625" style="419" customWidth="1"/>
    <col min="6412" max="6412" width="8.6640625" style="419" customWidth="1"/>
    <col min="6413" max="6414" width="8.109375" style="419" customWidth="1"/>
    <col min="6415" max="6656" width="9.109375" style="419"/>
    <col min="6657" max="6657" width="5" style="419" customWidth="1"/>
    <col min="6658" max="6658" width="46.33203125" style="419" customWidth="1"/>
    <col min="6659" max="6659" width="8.33203125" style="419" customWidth="1"/>
    <col min="6660" max="6660" width="8.5546875" style="419" customWidth="1"/>
    <col min="6661" max="6661" width="8.88671875" style="419" customWidth="1"/>
    <col min="6662" max="6662" width="8.5546875" style="419" customWidth="1"/>
    <col min="6663" max="6663" width="8.33203125" style="419" customWidth="1"/>
    <col min="6664" max="6664" width="8.5546875" style="419" customWidth="1"/>
    <col min="6665" max="6665" width="8.88671875" style="419" customWidth="1"/>
    <col min="6666" max="6666" width="9.33203125" style="419" customWidth="1"/>
    <col min="6667" max="6667" width="9.44140625" style="419" customWidth="1"/>
    <col min="6668" max="6668" width="8.6640625" style="419" customWidth="1"/>
    <col min="6669" max="6670" width="8.109375" style="419" customWidth="1"/>
    <col min="6671" max="6912" width="9.109375" style="419"/>
    <col min="6913" max="6913" width="5" style="419" customWidth="1"/>
    <col min="6914" max="6914" width="46.33203125" style="419" customWidth="1"/>
    <col min="6915" max="6915" width="8.33203125" style="419" customWidth="1"/>
    <col min="6916" max="6916" width="8.5546875" style="419" customWidth="1"/>
    <col min="6917" max="6917" width="8.88671875" style="419" customWidth="1"/>
    <col min="6918" max="6918" width="8.5546875" style="419" customWidth="1"/>
    <col min="6919" max="6919" width="8.33203125" style="419" customWidth="1"/>
    <col min="6920" max="6920" width="8.5546875" style="419" customWidth="1"/>
    <col min="6921" max="6921" width="8.88671875" style="419" customWidth="1"/>
    <col min="6922" max="6922" width="9.33203125" style="419" customWidth="1"/>
    <col min="6923" max="6923" width="9.44140625" style="419" customWidth="1"/>
    <col min="6924" max="6924" width="8.6640625" style="419" customWidth="1"/>
    <col min="6925" max="6926" width="8.109375" style="419" customWidth="1"/>
    <col min="6927" max="7168" width="9.109375" style="419"/>
    <col min="7169" max="7169" width="5" style="419" customWidth="1"/>
    <col min="7170" max="7170" width="46.33203125" style="419" customWidth="1"/>
    <col min="7171" max="7171" width="8.33203125" style="419" customWidth="1"/>
    <col min="7172" max="7172" width="8.5546875" style="419" customWidth="1"/>
    <col min="7173" max="7173" width="8.88671875" style="419" customWidth="1"/>
    <col min="7174" max="7174" width="8.5546875" style="419" customWidth="1"/>
    <col min="7175" max="7175" width="8.33203125" style="419" customWidth="1"/>
    <col min="7176" max="7176" width="8.5546875" style="419" customWidth="1"/>
    <col min="7177" max="7177" width="8.88671875" style="419" customWidth="1"/>
    <col min="7178" max="7178" width="9.33203125" style="419" customWidth="1"/>
    <col min="7179" max="7179" width="9.44140625" style="419" customWidth="1"/>
    <col min="7180" max="7180" width="8.6640625" style="419" customWidth="1"/>
    <col min="7181" max="7182" width="8.109375" style="419" customWidth="1"/>
    <col min="7183" max="7424" width="9.109375" style="419"/>
    <col min="7425" max="7425" width="5" style="419" customWidth="1"/>
    <col min="7426" max="7426" width="46.33203125" style="419" customWidth="1"/>
    <col min="7427" max="7427" width="8.33203125" style="419" customWidth="1"/>
    <col min="7428" max="7428" width="8.5546875" style="419" customWidth="1"/>
    <col min="7429" max="7429" width="8.88671875" style="419" customWidth="1"/>
    <col min="7430" max="7430" width="8.5546875" style="419" customWidth="1"/>
    <col min="7431" max="7431" width="8.33203125" style="419" customWidth="1"/>
    <col min="7432" max="7432" width="8.5546875" style="419" customWidth="1"/>
    <col min="7433" max="7433" width="8.88671875" style="419" customWidth="1"/>
    <col min="7434" max="7434" width="9.33203125" style="419" customWidth="1"/>
    <col min="7435" max="7435" width="9.44140625" style="419" customWidth="1"/>
    <col min="7436" max="7436" width="8.6640625" style="419" customWidth="1"/>
    <col min="7437" max="7438" width="8.109375" style="419" customWidth="1"/>
    <col min="7439" max="7680" width="9.109375" style="419"/>
    <col min="7681" max="7681" width="5" style="419" customWidth="1"/>
    <col min="7682" max="7682" width="46.33203125" style="419" customWidth="1"/>
    <col min="7683" max="7683" width="8.33203125" style="419" customWidth="1"/>
    <col min="7684" max="7684" width="8.5546875" style="419" customWidth="1"/>
    <col min="7685" max="7685" width="8.88671875" style="419" customWidth="1"/>
    <col min="7686" max="7686" width="8.5546875" style="419" customWidth="1"/>
    <col min="7687" max="7687" width="8.33203125" style="419" customWidth="1"/>
    <col min="7688" max="7688" width="8.5546875" style="419" customWidth="1"/>
    <col min="7689" max="7689" width="8.88671875" style="419" customWidth="1"/>
    <col min="7690" max="7690" width="9.33203125" style="419" customWidth="1"/>
    <col min="7691" max="7691" width="9.44140625" style="419" customWidth="1"/>
    <col min="7692" max="7692" width="8.6640625" style="419" customWidth="1"/>
    <col min="7693" max="7694" width="8.109375" style="419" customWidth="1"/>
    <col min="7695" max="7936" width="9.109375" style="419"/>
    <col min="7937" max="7937" width="5" style="419" customWidth="1"/>
    <col min="7938" max="7938" width="46.33203125" style="419" customWidth="1"/>
    <col min="7939" max="7939" width="8.33203125" style="419" customWidth="1"/>
    <col min="7940" max="7940" width="8.5546875" style="419" customWidth="1"/>
    <col min="7941" max="7941" width="8.88671875" style="419" customWidth="1"/>
    <col min="7942" max="7942" width="8.5546875" style="419" customWidth="1"/>
    <col min="7943" max="7943" width="8.33203125" style="419" customWidth="1"/>
    <col min="7944" max="7944" width="8.5546875" style="419" customWidth="1"/>
    <col min="7945" max="7945" width="8.88671875" style="419" customWidth="1"/>
    <col min="7946" max="7946" width="9.33203125" style="419" customWidth="1"/>
    <col min="7947" max="7947" width="9.44140625" style="419" customWidth="1"/>
    <col min="7948" max="7948" width="8.6640625" style="419" customWidth="1"/>
    <col min="7949" max="7950" width="8.109375" style="419" customWidth="1"/>
    <col min="7951" max="8192" width="9.109375" style="419"/>
    <col min="8193" max="8193" width="5" style="419" customWidth="1"/>
    <col min="8194" max="8194" width="46.33203125" style="419" customWidth="1"/>
    <col min="8195" max="8195" width="8.33203125" style="419" customWidth="1"/>
    <col min="8196" max="8196" width="8.5546875" style="419" customWidth="1"/>
    <col min="8197" max="8197" width="8.88671875" style="419" customWidth="1"/>
    <col min="8198" max="8198" width="8.5546875" style="419" customWidth="1"/>
    <col min="8199" max="8199" width="8.33203125" style="419" customWidth="1"/>
    <col min="8200" max="8200" width="8.5546875" style="419" customWidth="1"/>
    <col min="8201" max="8201" width="8.88671875" style="419" customWidth="1"/>
    <col min="8202" max="8202" width="9.33203125" style="419" customWidth="1"/>
    <col min="8203" max="8203" width="9.44140625" style="419" customWidth="1"/>
    <col min="8204" max="8204" width="8.6640625" style="419" customWidth="1"/>
    <col min="8205" max="8206" width="8.109375" style="419" customWidth="1"/>
    <col min="8207" max="8448" width="9.109375" style="419"/>
    <col min="8449" max="8449" width="5" style="419" customWidth="1"/>
    <col min="8450" max="8450" width="46.33203125" style="419" customWidth="1"/>
    <col min="8451" max="8451" width="8.33203125" style="419" customWidth="1"/>
    <col min="8452" max="8452" width="8.5546875" style="419" customWidth="1"/>
    <col min="8453" max="8453" width="8.88671875" style="419" customWidth="1"/>
    <col min="8454" max="8454" width="8.5546875" style="419" customWidth="1"/>
    <col min="8455" max="8455" width="8.33203125" style="419" customWidth="1"/>
    <col min="8456" max="8456" width="8.5546875" style="419" customWidth="1"/>
    <col min="8457" max="8457" width="8.88671875" style="419" customWidth="1"/>
    <col min="8458" max="8458" width="9.33203125" style="419" customWidth="1"/>
    <col min="8459" max="8459" width="9.44140625" style="419" customWidth="1"/>
    <col min="8460" max="8460" width="8.6640625" style="419" customWidth="1"/>
    <col min="8461" max="8462" width="8.109375" style="419" customWidth="1"/>
    <col min="8463" max="8704" width="9.109375" style="419"/>
    <col min="8705" max="8705" width="5" style="419" customWidth="1"/>
    <col min="8706" max="8706" width="46.33203125" style="419" customWidth="1"/>
    <col min="8707" max="8707" width="8.33203125" style="419" customWidth="1"/>
    <col min="8708" max="8708" width="8.5546875" style="419" customWidth="1"/>
    <col min="8709" max="8709" width="8.88671875" style="419" customWidth="1"/>
    <col min="8710" max="8710" width="8.5546875" style="419" customWidth="1"/>
    <col min="8711" max="8711" width="8.33203125" style="419" customWidth="1"/>
    <col min="8712" max="8712" width="8.5546875" style="419" customWidth="1"/>
    <col min="8713" max="8713" width="8.88671875" style="419" customWidth="1"/>
    <col min="8714" max="8714" width="9.33203125" style="419" customWidth="1"/>
    <col min="8715" max="8715" width="9.44140625" style="419" customWidth="1"/>
    <col min="8716" max="8716" width="8.6640625" style="419" customWidth="1"/>
    <col min="8717" max="8718" width="8.109375" style="419" customWidth="1"/>
    <col min="8719" max="8960" width="9.109375" style="419"/>
    <col min="8961" max="8961" width="5" style="419" customWidth="1"/>
    <col min="8962" max="8962" width="46.33203125" style="419" customWidth="1"/>
    <col min="8963" max="8963" width="8.33203125" style="419" customWidth="1"/>
    <col min="8964" max="8964" width="8.5546875" style="419" customWidth="1"/>
    <col min="8965" max="8965" width="8.88671875" style="419" customWidth="1"/>
    <col min="8966" max="8966" width="8.5546875" style="419" customWidth="1"/>
    <col min="8967" max="8967" width="8.33203125" style="419" customWidth="1"/>
    <col min="8968" max="8968" width="8.5546875" style="419" customWidth="1"/>
    <col min="8969" max="8969" width="8.88671875" style="419" customWidth="1"/>
    <col min="8970" max="8970" width="9.33203125" style="419" customWidth="1"/>
    <col min="8971" max="8971" width="9.44140625" style="419" customWidth="1"/>
    <col min="8972" max="8972" width="8.6640625" style="419" customWidth="1"/>
    <col min="8973" max="8974" width="8.109375" style="419" customWidth="1"/>
    <col min="8975" max="9216" width="9.109375" style="419"/>
    <col min="9217" max="9217" width="5" style="419" customWidth="1"/>
    <col min="9218" max="9218" width="46.33203125" style="419" customWidth="1"/>
    <col min="9219" max="9219" width="8.33203125" style="419" customWidth="1"/>
    <col min="9220" max="9220" width="8.5546875" style="419" customWidth="1"/>
    <col min="9221" max="9221" width="8.88671875" style="419" customWidth="1"/>
    <col min="9222" max="9222" width="8.5546875" style="419" customWidth="1"/>
    <col min="9223" max="9223" width="8.33203125" style="419" customWidth="1"/>
    <col min="9224" max="9224" width="8.5546875" style="419" customWidth="1"/>
    <col min="9225" max="9225" width="8.88671875" style="419" customWidth="1"/>
    <col min="9226" max="9226" width="9.33203125" style="419" customWidth="1"/>
    <col min="9227" max="9227" width="9.44140625" style="419" customWidth="1"/>
    <col min="9228" max="9228" width="8.6640625" style="419" customWidth="1"/>
    <col min="9229" max="9230" width="8.109375" style="419" customWidth="1"/>
    <col min="9231" max="9472" width="9.109375" style="419"/>
    <col min="9473" max="9473" width="5" style="419" customWidth="1"/>
    <col min="9474" max="9474" width="46.33203125" style="419" customWidth="1"/>
    <col min="9475" max="9475" width="8.33203125" style="419" customWidth="1"/>
    <col min="9476" max="9476" width="8.5546875" style="419" customWidth="1"/>
    <col min="9477" max="9477" width="8.88671875" style="419" customWidth="1"/>
    <col min="9478" max="9478" width="8.5546875" style="419" customWidth="1"/>
    <col min="9479" max="9479" width="8.33203125" style="419" customWidth="1"/>
    <col min="9480" max="9480" width="8.5546875" style="419" customWidth="1"/>
    <col min="9481" max="9481" width="8.88671875" style="419" customWidth="1"/>
    <col min="9482" max="9482" width="9.33203125" style="419" customWidth="1"/>
    <col min="9483" max="9483" width="9.44140625" style="419" customWidth="1"/>
    <col min="9484" max="9484" width="8.6640625" style="419" customWidth="1"/>
    <col min="9485" max="9486" width="8.109375" style="419" customWidth="1"/>
    <col min="9487" max="9728" width="9.109375" style="419"/>
    <col min="9729" max="9729" width="5" style="419" customWidth="1"/>
    <col min="9730" max="9730" width="46.33203125" style="419" customWidth="1"/>
    <col min="9731" max="9731" width="8.33203125" style="419" customWidth="1"/>
    <col min="9732" max="9732" width="8.5546875" style="419" customWidth="1"/>
    <col min="9733" max="9733" width="8.88671875" style="419" customWidth="1"/>
    <col min="9734" max="9734" width="8.5546875" style="419" customWidth="1"/>
    <col min="9735" max="9735" width="8.33203125" style="419" customWidth="1"/>
    <col min="9736" max="9736" width="8.5546875" style="419" customWidth="1"/>
    <col min="9737" max="9737" width="8.88671875" style="419" customWidth="1"/>
    <col min="9738" max="9738" width="9.33203125" style="419" customWidth="1"/>
    <col min="9739" max="9739" width="9.44140625" style="419" customWidth="1"/>
    <col min="9740" max="9740" width="8.6640625" style="419" customWidth="1"/>
    <col min="9741" max="9742" width="8.109375" style="419" customWidth="1"/>
    <col min="9743" max="9984" width="9.109375" style="419"/>
    <col min="9985" max="9985" width="5" style="419" customWidth="1"/>
    <col min="9986" max="9986" width="46.33203125" style="419" customWidth="1"/>
    <col min="9987" max="9987" width="8.33203125" style="419" customWidth="1"/>
    <col min="9988" max="9988" width="8.5546875" style="419" customWidth="1"/>
    <col min="9989" max="9989" width="8.88671875" style="419" customWidth="1"/>
    <col min="9990" max="9990" width="8.5546875" style="419" customWidth="1"/>
    <col min="9991" max="9991" width="8.33203125" style="419" customWidth="1"/>
    <col min="9992" max="9992" width="8.5546875" style="419" customWidth="1"/>
    <col min="9993" max="9993" width="8.88671875" style="419" customWidth="1"/>
    <col min="9994" max="9994" width="9.33203125" style="419" customWidth="1"/>
    <col min="9995" max="9995" width="9.44140625" style="419" customWidth="1"/>
    <col min="9996" max="9996" width="8.6640625" style="419" customWidth="1"/>
    <col min="9997" max="9998" width="8.109375" style="419" customWidth="1"/>
    <col min="9999" max="10240" width="9.109375" style="419"/>
    <col min="10241" max="10241" width="5" style="419" customWidth="1"/>
    <col min="10242" max="10242" width="46.33203125" style="419" customWidth="1"/>
    <col min="10243" max="10243" width="8.33203125" style="419" customWidth="1"/>
    <col min="10244" max="10244" width="8.5546875" style="419" customWidth="1"/>
    <col min="10245" max="10245" width="8.88671875" style="419" customWidth="1"/>
    <col min="10246" max="10246" width="8.5546875" style="419" customWidth="1"/>
    <col min="10247" max="10247" width="8.33203125" style="419" customWidth="1"/>
    <col min="10248" max="10248" width="8.5546875" style="419" customWidth="1"/>
    <col min="10249" max="10249" width="8.88671875" style="419" customWidth="1"/>
    <col min="10250" max="10250" width="9.33203125" style="419" customWidth="1"/>
    <col min="10251" max="10251" width="9.44140625" style="419" customWidth="1"/>
    <col min="10252" max="10252" width="8.6640625" style="419" customWidth="1"/>
    <col min="10253" max="10254" width="8.109375" style="419" customWidth="1"/>
    <col min="10255" max="10496" width="9.109375" style="419"/>
    <col min="10497" max="10497" width="5" style="419" customWidth="1"/>
    <col min="10498" max="10498" width="46.33203125" style="419" customWidth="1"/>
    <col min="10499" max="10499" width="8.33203125" style="419" customWidth="1"/>
    <col min="10500" max="10500" width="8.5546875" style="419" customWidth="1"/>
    <col min="10501" max="10501" width="8.88671875" style="419" customWidth="1"/>
    <col min="10502" max="10502" width="8.5546875" style="419" customWidth="1"/>
    <col min="10503" max="10503" width="8.33203125" style="419" customWidth="1"/>
    <col min="10504" max="10504" width="8.5546875" style="419" customWidth="1"/>
    <col min="10505" max="10505" width="8.88671875" style="419" customWidth="1"/>
    <col min="10506" max="10506" width="9.33203125" style="419" customWidth="1"/>
    <col min="10507" max="10507" width="9.44140625" style="419" customWidth="1"/>
    <col min="10508" max="10508" width="8.6640625" style="419" customWidth="1"/>
    <col min="10509" max="10510" width="8.109375" style="419" customWidth="1"/>
    <col min="10511" max="10752" width="9.109375" style="419"/>
    <col min="10753" max="10753" width="5" style="419" customWidth="1"/>
    <col min="10754" max="10754" width="46.33203125" style="419" customWidth="1"/>
    <col min="10755" max="10755" width="8.33203125" style="419" customWidth="1"/>
    <col min="10756" max="10756" width="8.5546875" style="419" customWidth="1"/>
    <col min="10757" max="10757" width="8.88671875" style="419" customWidth="1"/>
    <col min="10758" max="10758" width="8.5546875" style="419" customWidth="1"/>
    <col min="10759" max="10759" width="8.33203125" style="419" customWidth="1"/>
    <col min="10760" max="10760" width="8.5546875" style="419" customWidth="1"/>
    <col min="10761" max="10761" width="8.88671875" style="419" customWidth="1"/>
    <col min="10762" max="10762" width="9.33203125" style="419" customWidth="1"/>
    <col min="10763" max="10763" width="9.44140625" style="419" customWidth="1"/>
    <col min="10764" max="10764" width="8.6640625" style="419" customWidth="1"/>
    <col min="10765" max="10766" width="8.109375" style="419" customWidth="1"/>
    <col min="10767" max="11008" width="9.109375" style="419"/>
    <col min="11009" max="11009" width="5" style="419" customWidth="1"/>
    <col min="11010" max="11010" width="46.33203125" style="419" customWidth="1"/>
    <col min="11011" max="11011" width="8.33203125" style="419" customWidth="1"/>
    <col min="11012" max="11012" width="8.5546875" style="419" customWidth="1"/>
    <col min="11013" max="11013" width="8.88671875" style="419" customWidth="1"/>
    <col min="11014" max="11014" width="8.5546875" style="419" customWidth="1"/>
    <col min="11015" max="11015" width="8.33203125" style="419" customWidth="1"/>
    <col min="11016" max="11016" width="8.5546875" style="419" customWidth="1"/>
    <col min="11017" max="11017" width="8.88671875" style="419" customWidth="1"/>
    <col min="11018" max="11018" width="9.33203125" style="419" customWidth="1"/>
    <col min="11019" max="11019" width="9.44140625" style="419" customWidth="1"/>
    <col min="11020" max="11020" width="8.6640625" style="419" customWidth="1"/>
    <col min="11021" max="11022" width="8.109375" style="419" customWidth="1"/>
    <col min="11023" max="11264" width="9.109375" style="419"/>
    <col min="11265" max="11265" width="5" style="419" customWidth="1"/>
    <col min="11266" max="11266" width="46.33203125" style="419" customWidth="1"/>
    <col min="11267" max="11267" width="8.33203125" style="419" customWidth="1"/>
    <col min="11268" max="11268" width="8.5546875" style="419" customWidth="1"/>
    <col min="11269" max="11269" width="8.88671875" style="419" customWidth="1"/>
    <col min="11270" max="11270" width="8.5546875" style="419" customWidth="1"/>
    <col min="11271" max="11271" width="8.33203125" style="419" customWidth="1"/>
    <col min="11272" max="11272" width="8.5546875" style="419" customWidth="1"/>
    <col min="11273" max="11273" width="8.88671875" style="419" customWidth="1"/>
    <col min="11274" max="11274" width="9.33203125" style="419" customWidth="1"/>
    <col min="11275" max="11275" width="9.44140625" style="419" customWidth="1"/>
    <col min="11276" max="11276" width="8.6640625" style="419" customWidth="1"/>
    <col min="11277" max="11278" width="8.109375" style="419" customWidth="1"/>
    <col min="11279" max="11520" width="9.109375" style="419"/>
    <col min="11521" max="11521" width="5" style="419" customWidth="1"/>
    <col min="11522" max="11522" width="46.33203125" style="419" customWidth="1"/>
    <col min="11523" max="11523" width="8.33203125" style="419" customWidth="1"/>
    <col min="11524" max="11524" width="8.5546875" style="419" customWidth="1"/>
    <col min="11525" max="11525" width="8.88671875" style="419" customWidth="1"/>
    <col min="11526" max="11526" width="8.5546875" style="419" customWidth="1"/>
    <col min="11527" max="11527" width="8.33203125" style="419" customWidth="1"/>
    <col min="11528" max="11528" width="8.5546875" style="419" customWidth="1"/>
    <col min="11529" max="11529" width="8.88671875" style="419" customWidth="1"/>
    <col min="11530" max="11530" width="9.33203125" style="419" customWidth="1"/>
    <col min="11531" max="11531" width="9.44140625" style="419" customWidth="1"/>
    <col min="11532" max="11532" width="8.6640625" style="419" customWidth="1"/>
    <col min="11533" max="11534" width="8.109375" style="419" customWidth="1"/>
    <col min="11535" max="11776" width="9.109375" style="419"/>
    <col min="11777" max="11777" width="5" style="419" customWidth="1"/>
    <col min="11778" max="11778" width="46.33203125" style="419" customWidth="1"/>
    <col min="11779" max="11779" width="8.33203125" style="419" customWidth="1"/>
    <col min="11780" max="11780" width="8.5546875" style="419" customWidth="1"/>
    <col min="11781" max="11781" width="8.88671875" style="419" customWidth="1"/>
    <col min="11782" max="11782" width="8.5546875" style="419" customWidth="1"/>
    <col min="11783" max="11783" width="8.33203125" style="419" customWidth="1"/>
    <col min="11784" max="11784" width="8.5546875" style="419" customWidth="1"/>
    <col min="11785" max="11785" width="8.88671875" style="419" customWidth="1"/>
    <col min="11786" max="11786" width="9.33203125" style="419" customWidth="1"/>
    <col min="11787" max="11787" width="9.44140625" style="419" customWidth="1"/>
    <col min="11788" max="11788" width="8.6640625" style="419" customWidth="1"/>
    <col min="11789" max="11790" width="8.109375" style="419" customWidth="1"/>
    <col min="11791" max="12032" width="9.109375" style="419"/>
    <col min="12033" max="12033" width="5" style="419" customWidth="1"/>
    <col min="12034" max="12034" width="46.33203125" style="419" customWidth="1"/>
    <col min="12035" max="12035" width="8.33203125" style="419" customWidth="1"/>
    <col min="12036" max="12036" width="8.5546875" style="419" customWidth="1"/>
    <col min="12037" max="12037" width="8.88671875" style="419" customWidth="1"/>
    <col min="12038" max="12038" width="8.5546875" style="419" customWidth="1"/>
    <col min="12039" max="12039" width="8.33203125" style="419" customWidth="1"/>
    <col min="12040" max="12040" width="8.5546875" style="419" customWidth="1"/>
    <col min="12041" max="12041" width="8.88671875" style="419" customWidth="1"/>
    <col min="12042" max="12042" width="9.33203125" style="419" customWidth="1"/>
    <col min="12043" max="12043" width="9.44140625" style="419" customWidth="1"/>
    <col min="12044" max="12044" width="8.6640625" style="419" customWidth="1"/>
    <col min="12045" max="12046" width="8.109375" style="419" customWidth="1"/>
    <col min="12047" max="12288" width="9.109375" style="419"/>
    <col min="12289" max="12289" width="5" style="419" customWidth="1"/>
    <col min="12290" max="12290" width="46.33203125" style="419" customWidth="1"/>
    <col min="12291" max="12291" width="8.33203125" style="419" customWidth="1"/>
    <col min="12292" max="12292" width="8.5546875" style="419" customWidth="1"/>
    <col min="12293" max="12293" width="8.88671875" style="419" customWidth="1"/>
    <col min="12294" max="12294" width="8.5546875" style="419" customWidth="1"/>
    <col min="12295" max="12295" width="8.33203125" style="419" customWidth="1"/>
    <col min="12296" max="12296" width="8.5546875" style="419" customWidth="1"/>
    <col min="12297" max="12297" width="8.88671875" style="419" customWidth="1"/>
    <col min="12298" max="12298" width="9.33203125" style="419" customWidth="1"/>
    <col min="12299" max="12299" width="9.44140625" style="419" customWidth="1"/>
    <col min="12300" max="12300" width="8.6640625" style="419" customWidth="1"/>
    <col min="12301" max="12302" width="8.109375" style="419" customWidth="1"/>
    <col min="12303" max="12544" width="9.109375" style="419"/>
    <col min="12545" max="12545" width="5" style="419" customWidth="1"/>
    <col min="12546" max="12546" width="46.33203125" style="419" customWidth="1"/>
    <col min="12547" max="12547" width="8.33203125" style="419" customWidth="1"/>
    <col min="12548" max="12548" width="8.5546875" style="419" customWidth="1"/>
    <col min="12549" max="12549" width="8.88671875" style="419" customWidth="1"/>
    <col min="12550" max="12550" width="8.5546875" style="419" customWidth="1"/>
    <col min="12551" max="12551" width="8.33203125" style="419" customWidth="1"/>
    <col min="12552" max="12552" width="8.5546875" style="419" customWidth="1"/>
    <col min="12553" max="12553" width="8.88671875" style="419" customWidth="1"/>
    <col min="12554" max="12554" width="9.33203125" style="419" customWidth="1"/>
    <col min="12555" max="12555" width="9.44140625" style="419" customWidth="1"/>
    <col min="12556" max="12556" width="8.6640625" style="419" customWidth="1"/>
    <col min="12557" max="12558" width="8.109375" style="419" customWidth="1"/>
    <col min="12559" max="12800" width="9.109375" style="419"/>
    <col min="12801" max="12801" width="5" style="419" customWidth="1"/>
    <col min="12802" max="12802" width="46.33203125" style="419" customWidth="1"/>
    <col min="12803" max="12803" width="8.33203125" style="419" customWidth="1"/>
    <col min="12804" max="12804" width="8.5546875" style="419" customWidth="1"/>
    <col min="12805" max="12805" width="8.88671875" style="419" customWidth="1"/>
    <col min="12806" max="12806" width="8.5546875" style="419" customWidth="1"/>
    <col min="12807" max="12807" width="8.33203125" style="419" customWidth="1"/>
    <col min="12808" max="12808" width="8.5546875" style="419" customWidth="1"/>
    <col min="12809" max="12809" width="8.88671875" style="419" customWidth="1"/>
    <col min="12810" max="12810" width="9.33203125" style="419" customWidth="1"/>
    <col min="12811" max="12811" width="9.44140625" style="419" customWidth="1"/>
    <col min="12812" max="12812" width="8.6640625" style="419" customWidth="1"/>
    <col min="12813" max="12814" width="8.109375" style="419" customWidth="1"/>
    <col min="12815" max="13056" width="9.109375" style="419"/>
    <col min="13057" max="13057" width="5" style="419" customWidth="1"/>
    <col min="13058" max="13058" width="46.33203125" style="419" customWidth="1"/>
    <col min="13059" max="13059" width="8.33203125" style="419" customWidth="1"/>
    <col min="13060" max="13060" width="8.5546875" style="419" customWidth="1"/>
    <col min="13061" max="13061" width="8.88671875" style="419" customWidth="1"/>
    <col min="13062" max="13062" width="8.5546875" style="419" customWidth="1"/>
    <col min="13063" max="13063" width="8.33203125" style="419" customWidth="1"/>
    <col min="13064" max="13064" width="8.5546875" style="419" customWidth="1"/>
    <col min="13065" max="13065" width="8.88671875" style="419" customWidth="1"/>
    <col min="13066" max="13066" width="9.33203125" style="419" customWidth="1"/>
    <col min="13067" max="13067" width="9.44140625" style="419" customWidth="1"/>
    <col min="13068" max="13068" width="8.6640625" style="419" customWidth="1"/>
    <col min="13069" max="13070" width="8.109375" style="419" customWidth="1"/>
    <col min="13071" max="13312" width="9.109375" style="419"/>
    <col min="13313" max="13313" width="5" style="419" customWidth="1"/>
    <col min="13314" max="13314" width="46.33203125" style="419" customWidth="1"/>
    <col min="13315" max="13315" width="8.33203125" style="419" customWidth="1"/>
    <col min="13316" max="13316" width="8.5546875" style="419" customWidth="1"/>
    <col min="13317" max="13317" width="8.88671875" style="419" customWidth="1"/>
    <col min="13318" max="13318" width="8.5546875" style="419" customWidth="1"/>
    <col min="13319" max="13319" width="8.33203125" style="419" customWidth="1"/>
    <col min="13320" max="13320" width="8.5546875" style="419" customWidth="1"/>
    <col min="13321" max="13321" width="8.88671875" style="419" customWidth="1"/>
    <col min="13322" max="13322" width="9.33203125" style="419" customWidth="1"/>
    <col min="13323" max="13323" width="9.44140625" style="419" customWidth="1"/>
    <col min="13324" max="13324" width="8.6640625" style="419" customWidth="1"/>
    <col min="13325" max="13326" width="8.109375" style="419" customWidth="1"/>
    <col min="13327" max="13568" width="9.109375" style="419"/>
    <col min="13569" max="13569" width="5" style="419" customWidth="1"/>
    <col min="13570" max="13570" width="46.33203125" style="419" customWidth="1"/>
    <col min="13571" max="13571" width="8.33203125" style="419" customWidth="1"/>
    <col min="13572" max="13572" width="8.5546875" style="419" customWidth="1"/>
    <col min="13573" max="13573" width="8.88671875" style="419" customWidth="1"/>
    <col min="13574" max="13574" width="8.5546875" style="419" customWidth="1"/>
    <col min="13575" max="13575" width="8.33203125" style="419" customWidth="1"/>
    <col min="13576" max="13576" width="8.5546875" style="419" customWidth="1"/>
    <col min="13577" max="13577" width="8.88671875" style="419" customWidth="1"/>
    <col min="13578" max="13578" width="9.33203125" style="419" customWidth="1"/>
    <col min="13579" max="13579" width="9.44140625" style="419" customWidth="1"/>
    <col min="13580" max="13580" width="8.6640625" style="419" customWidth="1"/>
    <col min="13581" max="13582" width="8.109375" style="419" customWidth="1"/>
    <col min="13583" max="13824" width="9.109375" style="419"/>
    <col min="13825" max="13825" width="5" style="419" customWidth="1"/>
    <col min="13826" max="13826" width="46.33203125" style="419" customWidth="1"/>
    <col min="13827" max="13827" width="8.33203125" style="419" customWidth="1"/>
    <col min="13828" max="13828" width="8.5546875" style="419" customWidth="1"/>
    <col min="13829" max="13829" width="8.88671875" style="419" customWidth="1"/>
    <col min="13830" max="13830" width="8.5546875" style="419" customWidth="1"/>
    <col min="13831" max="13831" width="8.33203125" style="419" customWidth="1"/>
    <col min="13832" max="13832" width="8.5546875" style="419" customWidth="1"/>
    <col min="13833" max="13833" width="8.88671875" style="419" customWidth="1"/>
    <col min="13834" max="13834" width="9.33203125" style="419" customWidth="1"/>
    <col min="13835" max="13835" width="9.44140625" style="419" customWidth="1"/>
    <col min="13836" max="13836" width="8.6640625" style="419" customWidth="1"/>
    <col min="13837" max="13838" width="8.109375" style="419" customWidth="1"/>
    <col min="13839" max="14080" width="9.109375" style="419"/>
    <col min="14081" max="14081" width="5" style="419" customWidth="1"/>
    <col min="14082" max="14082" width="46.33203125" style="419" customWidth="1"/>
    <col min="14083" max="14083" width="8.33203125" style="419" customWidth="1"/>
    <col min="14084" max="14084" width="8.5546875" style="419" customWidth="1"/>
    <col min="14085" max="14085" width="8.88671875" style="419" customWidth="1"/>
    <col min="14086" max="14086" width="8.5546875" style="419" customWidth="1"/>
    <col min="14087" max="14087" width="8.33203125" style="419" customWidth="1"/>
    <col min="14088" max="14088" width="8.5546875" style="419" customWidth="1"/>
    <col min="14089" max="14089" width="8.88671875" style="419" customWidth="1"/>
    <col min="14090" max="14090" width="9.33203125" style="419" customWidth="1"/>
    <col min="14091" max="14091" width="9.44140625" style="419" customWidth="1"/>
    <col min="14092" max="14092" width="8.6640625" style="419" customWidth="1"/>
    <col min="14093" max="14094" width="8.109375" style="419" customWidth="1"/>
    <col min="14095" max="14336" width="9.109375" style="419"/>
    <col min="14337" max="14337" width="5" style="419" customWidth="1"/>
    <col min="14338" max="14338" width="46.33203125" style="419" customWidth="1"/>
    <col min="14339" max="14339" width="8.33203125" style="419" customWidth="1"/>
    <col min="14340" max="14340" width="8.5546875" style="419" customWidth="1"/>
    <col min="14341" max="14341" width="8.88671875" style="419" customWidth="1"/>
    <col min="14342" max="14342" width="8.5546875" style="419" customWidth="1"/>
    <col min="14343" max="14343" width="8.33203125" style="419" customWidth="1"/>
    <col min="14344" max="14344" width="8.5546875" style="419" customWidth="1"/>
    <col min="14345" max="14345" width="8.88671875" style="419" customWidth="1"/>
    <col min="14346" max="14346" width="9.33203125" style="419" customWidth="1"/>
    <col min="14347" max="14347" width="9.44140625" style="419" customWidth="1"/>
    <col min="14348" max="14348" width="8.6640625" style="419" customWidth="1"/>
    <col min="14349" max="14350" width="8.109375" style="419" customWidth="1"/>
    <col min="14351" max="14592" width="9.109375" style="419"/>
    <col min="14593" max="14593" width="5" style="419" customWidth="1"/>
    <col min="14594" max="14594" width="46.33203125" style="419" customWidth="1"/>
    <col min="14595" max="14595" width="8.33203125" style="419" customWidth="1"/>
    <col min="14596" max="14596" width="8.5546875" style="419" customWidth="1"/>
    <col min="14597" max="14597" width="8.88671875" style="419" customWidth="1"/>
    <col min="14598" max="14598" width="8.5546875" style="419" customWidth="1"/>
    <col min="14599" max="14599" width="8.33203125" style="419" customWidth="1"/>
    <col min="14600" max="14600" width="8.5546875" style="419" customWidth="1"/>
    <col min="14601" max="14601" width="8.88671875" style="419" customWidth="1"/>
    <col min="14602" max="14602" width="9.33203125" style="419" customWidth="1"/>
    <col min="14603" max="14603" width="9.44140625" style="419" customWidth="1"/>
    <col min="14604" max="14604" width="8.6640625" style="419" customWidth="1"/>
    <col min="14605" max="14606" width="8.109375" style="419" customWidth="1"/>
    <col min="14607" max="14848" width="9.109375" style="419"/>
    <col min="14849" max="14849" width="5" style="419" customWidth="1"/>
    <col min="14850" max="14850" width="46.33203125" style="419" customWidth="1"/>
    <col min="14851" max="14851" width="8.33203125" style="419" customWidth="1"/>
    <col min="14852" max="14852" width="8.5546875" style="419" customWidth="1"/>
    <col min="14853" max="14853" width="8.88671875" style="419" customWidth="1"/>
    <col min="14854" max="14854" width="8.5546875" style="419" customWidth="1"/>
    <col min="14855" max="14855" width="8.33203125" style="419" customWidth="1"/>
    <col min="14856" max="14856" width="8.5546875" style="419" customWidth="1"/>
    <col min="14857" max="14857" width="8.88671875" style="419" customWidth="1"/>
    <col min="14858" max="14858" width="9.33203125" style="419" customWidth="1"/>
    <col min="14859" max="14859" width="9.44140625" style="419" customWidth="1"/>
    <col min="14860" max="14860" width="8.6640625" style="419" customWidth="1"/>
    <col min="14861" max="14862" width="8.109375" style="419" customWidth="1"/>
    <col min="14863" max="15104" width="9.109375" style="419"/>
    <col min="15105" max="15105" width="5" style="419" customWidth="1"/>
    <col min="15106" max="15106" width="46.33203125" style="419" customWidth="1"/>
    <col min="15107" max="15107" width="8.33203125" style="419" customWidth="1"/>
    <col min="15108" max="15108" width="8.5546875" style="419" customWidth="1"/>
    <col min="15109" max="15109" width="8.88671875" style="419" customWidth="1"/>
    <col min="15110" max="15110" width="8.5546875" style="419" customWidth="1"/>
    <col min="15111" max="15111" width="8.33203125" style="419" customWidth="1"/>
    <col min="15112" max="15112" width="8.5546875" style="419" customWidth="1"/>
    <col min="15113" max="15113" width="8.88671875" style="419" customWidth="1"/>
    <col min="15114" max="15114" width="9.33203125" style="419" customWidth="1"/>
    <col min="15115" max="15115" width="9.44140625" style="419" customWidth="1"/>
    <col min="15116" max="15116" width="8.6640625" style="419" customWidth="1"/>
    <col min="15117" max="15118" width="8.109375" style="419" customWidth="1"/>
    <col min="15119" max="15360" width="9.109375" style="419"/>
    <col min="15361" max="15361" width="5" style="419" customWidth="1"/>
    <col min="15362" max="15362" width="46.33203125" style="419" customWidth="1"/>
    <col min="15363" max="15363" width="8.33203125" style="419" customWidth="1"/>
    <col min="15364" max="15364" width="8.5546875" style="419" customWidth="1"/>
    <col min="15365" max="15365" width="8.88671875" style="419" customWidth="1"/>
    <col min="15366" max="15366" width="8.5546875" style="419" customWidth="1"/>
    <col min="15367" max="15367" width="8.33203125" style="419" customWidth="1"/>
    <col min="15368" max="15368" width="8.5546875" style="419" customWidth="1"/>
    <col min="15369" max="15369" width="8.88671875" style="419" customWidth="1"/>
    <col min="15370" max="15370" width="9.33203125" style="419" customWidth="1"/>
    <col min="15371" max="15371" width="9.44140625" style="419" customWidth="1"/>
    <col min="15372" max="15372" width="8.6640625" style="419" customWidth="1"/>
    <col min="15373" max="15374" width="8.109375" style="419" customWidth="1"/>
    <col min="15375" max="15616" width="9.109375" style="419"/>
    <col min="15617" max="15617" width="5" style="419" customWidth="1"/>
    <col min="15618" max="15618" width="46.33203125" style="419" customWidth="1"/>
    <col min="15619" max="15619" width="8.33203125" style="419" customWidth="1"/>
    <col min="15620" max="15620" width="8.5546875" style="419" customWidth="1"/>
    <col min="15621" max="15621" width="8.88671875" style="419" customWidth="1"/>
    <col min="15622" max="15622" width="8.5546875" style="419" customWidth="1"/>
    <col min="15623" max="15623" width="8.33203125" style="419" customWidth="1"/>
    <col min="15624" max="15624" width="8.5546875" style="419" customWidth="1"/>
    <col min="15625" max="15625" width="8.88671875" style="419" customWidth="1"/>
    <col min="15626" max="15626" width="9.33203125" style="419" customWidth="1"/>
    <col min="15627" max="15627" width="9.44140625" style="419" customWidth="1"/>
    <col min="15628" max="15628" width="8.6640625" style="419" customWidth="1"/>
    <col min="15629" max="15630" width="8.109375" style="419" customWidth="1"/>
    <col min="15631" max="15872" width="9.109375" style="419"/>
    <col min="15873" max="15873" width="5" style="419" customWidth="1"/>
    <col min="15874" max="15874" width="46.33203125" style="419" customWidth="1"/>
    <col min="15875" max="15875" width="8.33203125" style="419" customWidth="1"/>
    <col min="15876" max="15876" width="8.5546875" style="419" customWidth="1"/>
    <col min="15877" max="15877" width="8.88671875" style="419" customWidth="1"/>
    <col min="15878" max="15878" width="8.5546875" style="419" customWidth="1"/>
    <col min="15879" max="15879" width="8.33203125" style="419" customWidth="1"/>
    <col min="15880" max="15880" width="8.5546875" style="419" customWidth="1"/>
    <col min="15881" max="15881" width="8.88671875" style="419" customWidth="1"/>
    <col min="15882" max="15882" width="9.33203125" style="419" customWidth="1"/>
    <col min="15883" max="15883" width="9.44140625" style="419" customWidth="1"/>
    <col min="15884" max="15884" width="8.6640625" style="419" customWidth="1"/>
    <col min="15885" max="15886" width="8.109375" style="419" customWidth="1"/>
    <col min="15887" max="16128" width="9.109375" style="419"/>
    <col min="16129" max="16129" width="5" style="419" customWidth="1"/>
    <col min="16130" max="16130" width="46.33203125" style="419" customWidth="1"/>
    <col min="16131" max="16131" width="8.33203125" style="419" customWidth="1"/>
    <col min="16132" max="16132" width="8.5546875" style="419" customWidth="1"/>
    <col min="16133" max="16133" width="8.88671875" style="419" customWidth="1"/>
    <col min="16134" max="16134" width="8.5546875" style="419" customWidth="1"/>
    <col min="16135" max="16135" width="8.33203125" style="419" customWidth="1"/>
    <col min="16136" max="16136" width="8.5546875" style="419" customWidth="1"/>
    <col min="16137" max="16137" width="8.88671875" style="419" customWidth="1"/>
    <col min="16138" max="16138" width="9.33203125" style="419" customWidth="1"/>
    <col min="16139" max="16139" width="9.44140625" style="419" customWidth="1"/>
    <col min="16140" max="16140" width="8.6640625" style="419" customWidth="1"/>
    <col min="16141" max="16142" width="8.109375" style="419" customWidth="1"/>
    <col min="16143" max="16384" width="9.109375" style="419"/>
  </cols>
  <sheetData>
    <row r="1" spans="1:24">
      <c r="A1" s="418" t="s">
        <v>2511</v>
      </c>
    </row>
    <row r="2" spans="1:24">
      <c r="A2" s="1558"/>
      <c r="B2" s="1558"/>
      <c r="C2" s="421"/>
      <c r="D2" s="421"/>
      <c r="E2" s="421"/>
      <c r="F2" s="421"/>
      <c r="G2" s="421"/>
      <c r="H2" s="421"/>
      <c r="I2" s="421"/>
      <c r="J2" s="421"/>
      <c r="K2" s="421"/>
      <c r="L2" s="421"/>
      <c r="M2" s="421"/>
      <c r="N2" s="421"/>
      <c r="O2" s="421"/>
    </row>
    <row r="3" spans="1:24">
      <c r="A3" s="1559" t="s">
        <v>2378</v>
      </c>
      <c r="B3" s="1559"/>
      <c r="C3" s="1559"/>
      <c r="D3" s="1559"/>
      <c r="E3" s="1559"/>
      <c r="F3" s="1559"/>
      <c r="G3" s="1559"/>
      <c r="H3" s="1559"/>
      <c r="I3" s="1559"/>
      <c r="J3" s="1559"/>
      <c r="K3" s="1559"/>
      <c r="L3" s="1559"/>
      <c r="M3" s="1559"/>
      <c r="N3" s="1559"/>
      <c r="O3" s="1559"/>
    </row>
    <row r="4" spans="1:24" ht="16.5" customHeight="1">
      <c r="A4" s="1557" t="s">
        <v>1903</v>
      </c>
      <c r="B4" s="1557"/>
      <c r="C4" s="1557"/>
      <c r="D4" s="1557"/>
      <c r="E4" s="1557"/>
      <c r="F4" s="1557"/>
      <c r="G4" s="1557"/>
      <c r="H4" s="1557"/>
      <c r="I4" s="1557"/>
      <c r="J4" s="1557"/>
      <c r="K4" s="1557"/>
      <c r="L4" s="1557"/>
      <c r="M4" s="1557"/>
      <c r="N4" s="1557"/>
      <c r="O4" s="1557"/>
    </row>
    <row r="5" spans="1:24" ht="16.5" customHeight="1">
      <c r="A5" s="422"/>
      <c r="B5" s="422"/>
      <c r="C5" s="422"/>
      <c r="D5" s="422"/>
      <c r="E5" s="422"/>
      <c r="F5" s="422"/>
      <c r="G5" s="422"/>
      <c r="H5" s="422"/>
      <c r="I5" s="422"/>
      <c r="J5" s="422"/>
      <c r="K5" s="422"/>
      <c r="L5" s="422"/>
      <c r="M5" s="422"/>
      <c r="N5" s="422"/>
      <c r="O5" s="422"/>
    </row>
    <row r="6" spans="1:24">
      <c r="A6" s="421"/>
      <c r="B6" s="421"/>
      <c r="C6" s="423"/>
      <c r="D6" s="423"/>
      <c r="E6" s="421"/>
      <c r="F6" s="421"/>
      <c r="G6" s="421"/>
      <c r="H6" s="421"/>
      <c r="I6" s="421"/>
      <c r="J6" s="421"/>
      <c r="K6" s="421"/>
      <c r="L6" s="421"/>
      <c r="M6" s="1560" t="s">
        <v>0</v>
      </c>
      <c r="N6" s="1560"/>
      <c r="O6" s="1560"/>
    </row>
    <row r="7" spans="1:24" s="424" customFormat="1" ht="19.5" customHeight="1">
      <c r="A7" s="1561" t="s">
        <v>1</v>
      </c>
      <c r="B7" s="1563" t="s">
        <v>1260</v>
      </c>
      <c r="C7" s="1563" t="s">
        <v>1905</v>
      </c>
      <c r="D7" s="1565" t="s">
        <v>1448</v>
      </c>
      <c r="E7" s="1565" t="s">
        <v>1449</v>
      </c>
      <c r="F7" s="1556" t="s">
        <v>4</v>
      </c>
      <c r="G7" s="1556" t="s">
        <v>5</v>
      </c>
      <c r="H7" s="1556" t="s">
        <v>664</v>
      </c>
      <c r="I7" s="1556" t="s">
        <v>7</v>
      </c>
      <c r="J7" s="1556" t="s">
        <v>8</v>
      </c>
      <c r="K7" s="1556" t="s">
        <v>9</v>
      </c>
      <c r="L7" s="1556" t="s">
        <v>1450</v>
      </c>
      <c r="M7" s="1556" t="s">
        <v>11</v>
      </c>
      <c r="N7" s="1556" t="s">
        <v>12</v>
      </c>
      <c r="O7" s="1556" t="s">
        <v>13</v>
      </c>
      <c r="P7" s="802"/>
      <c r="Q7" s="803"/>
      <c r="R7" s="803"/>
      <c r="S7" s="803"/>
      <c r="T7" s="803"/>
      <c r="U7" s="803"/>
      <c r="V7" s="803"/>
      <c r="W7" s="803"/>
      <c r="X7" s="803"/>
    </row>
    <row r="8" spans="1:24" s="424" customFormat="1" ht="25.5" customHeight="1">
      <c r="A8" s="1562"/>
      <c r="B8" s="1564"/>
      <c r="C8" s="1564"/>
      <c r="D8" s="1565"/>
      <c r="E8" s="1565"/>
      <c r="F8" s="1556"/>
      <c r="G8" s="1556"/>
      <c r="H8" s="1556"/>
      <c r="I8" s="1556"/>
      <c r="J8" s="1556"/>
      <c r="K8" s="1556"/>
      <c r="L8" s="1556"/>
      <c r="M8" s="1556"/>
      <c r="N8" s="1556"/>
      <c r="O8" s="1556"/>
      <c r="P8" s="802"/>
      <c r="Q8" s="803"/>
      <c r="R8" s="803"/>
      <c r="S8" s="803"/>
      <c r="T8" s="803"/>
      <c r="U8" s="803"/>
      <c r="V8" s="803"/>
      <c r="W8" s="803"/>
      <c r="X8" s="803"/>
    </row>
    <row r="9" spans="1:24" s="429" customFormat="1">
      <c r="A9" s="425"/>
      <c r="B9" s="426" t="s">
        <v>1451</v>
      </c>
      <c r="C9" s="427">
        <f t="shared" ref="C9:O9" si="0">C10+C22</f>
        <v>170593</v>
      </c>
      <c r="D9" s="427">
        <f t="shared" si="0"/>
        <v>111593</v>
      </c>
      <c r="E9" s="427">
        <f t="shared" si="0"/>
        <v>59000</v>
      </c>
      <c r="F9" s="427">
        <f t="shared" si="0"/>
        <v>7100</v>
      </c>
      <c r="G9" s="427">
        <f t="shared" si="0"/>
        <v>6100</v>
      </c>
      <c r="H9" s="427">
        <f t="shared" si="0"/>
        <v>6100</v>
      </c>
      <c r="I9" s="427">
        <f t="shared" si="0"/>
        <v>6100</v>
      </c>
      <c r="J9" s="427">
        <f t="shared" si="0"/>
        <v>5600</v>
      </c>
      <c r="K9" s="427">
        <f t="shared" si="0"/>
        <v>5600</v>
      </c>
      <c r="L9" s="427">
        <f t="shared" si="0"/>
        <v>5800</v>
      </c>
      <c r="M9" s="427">
        <f t="shared" si="0"/>
        <v>5200</v>
      </c>
      <c r="N9" s="427">
        <f t="shared" si="0"/>
        <v>5800</v>
      </c>
      <c r="O9" s="427">
        <f t="shared" si="0"/>
        <v>5600</v>
      </c>
      <c r="P9" s="652"/>
      <c r="Q9" s="428"/>
      <c r="R9" s="428"/>
    </row>
    <row r="10" spans="1:24" s="429" customFormat="1" ht="27.6">
      <c r="A10" s="430" t="s">
        <v>16</v>
      </c>
      <c r="B10" s="431" t="s">
        <v>1452</v>
      </c>
      <c r="C10" s="388">
        <f t="shared" ref="C10:O10" si="1">C11+C20</f>
        <v>40000</v>
      </c>
      <c r="D10" s="388">
        <f t="shared" si="1"/>
        <v>20000</v>
      </c>
      <c r="E10" s="388">
        <f t="shared" si="1"/>
        <v>20000</v>
      </c>
      <c r="F10" s="388">
        <f t="shared" si="1"/>
        <v>3800</v>
      </c>
      <c r="G10" s="388">
        <f t="shared" si="1"/>
        <v>1800</v>
      </c>
      <c r="H10" s="388">
        <f t="shared" si="1"/>
        <v>1800</v>
      </c>
      <c r="I10" s="388">
        <f t="shared" si="1"/>
        <v>1800</v>
      </c>
      <c r="J10" s="388">
        <f t="shared" si="1"/>
        <v>1800</v>
      </c>
      <c r="K10" s="388">
        <f t="shared" si="1"/>
        <v>1800</v>
      </c>
      <c r="L10" s="388">
        <f t="shared" si="1"/>
        <v>1800</v>
      </c>
      <c r="M10" s="388">
        <f t="shared" si="1"/>
        <v>1800</v>
      </c>
      <c r="N10" s="388">
        <f t="shared" si="1"/>
        <v>1800</v>
      </c>
      <c r="O10" s="388">
        <f t="shared" si="1"/>
        <v>1800</v>
      </c>
      <c r="P10" s="653"/>
    </row>
    <row r="11" spans="1:24" s="429" customFormat="1">
      <c r="A11" s="430" t="s">
        <v>316</v>
      </c>
      <c r="B11" s="431" t="s">
        <v>67</v>
      </c>
      <c r="C11" s="388">
        <f t="shared" ref="C11:O11" si="2">C12+C18</f>
        <v>20000</v>
      </c>
      <c r="D11" s="388">
        <f t="shared" si="2"/>
        <v>20000</v>
      </c>
      <c r="E11" s="388">
        <f t="shared" si="2"/>
        <v>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432"/>
    </row>
    <row r="12" spans="1:24" s="429" customFormat="1">
      <c r="A12" s="430" t="s">
        <v>18</v>
      </c>
      <c r="B12" s="433" t="s">
        <v>626</v>
      </c>
      <c r="C12" s="388">
        <f>SUM(C13:C17)</f>
        <v>18500</v>
      </c>
      <c r="D12" s="388">
        <f>SUM(D13:D17)</f>
        <v>18500</v>
      </c>
      <c r="E12" s="388">
        <f t="shared" ref="E12:O12" si="3">SUM(E13:E17)</f>
        <v>0</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432"/>
    </row>
    <row r="13" spans="1:24" s="429" customFormat="1" ht="96.6">
      <c r="A13" s="434" t="s">
        <v>200</v>
      </c>
      <c r="B13" s="435" t="s">
        <v>2379</v>
      </c>
      <c r="C13" s="436">
        <f t="shared" ref="C13:C21" si="4">D13+E13</f>
        <v>12000</v>
      </c>
      <c r="D13" s="436">
        <v>12000</v>
      </c>
      <c r="E13" s="388">
        <f t="shared" ref="E13:E21" si="5">SUM(F13:O13)</f>
        <v>0</v>
      </c>
      <c r="F13" s="436"/>
      <c r="G13" s="436"/>
      <c r="H13" s="436"/>
      <c r="I13" s="436"/>
      <c r="J13" s="436"/>
      <c r="K13" s="436"/>
      <c r="L13" s="436"/>
      <c r="M13" s="436"/>
      <c r="N13" s="436"/>
      <c r="O13" s="436"/>
      <c r="P13" s="437"/>
      <c r="Q13" s="438"/>
    </row>
    <row r="14" spans="1:24" s="429" customFormat="1" ht="82.8">
      <c r="A14" s="434" t="s">
        <v>200</v>
      </c>
      <c r="B14" s="435" t="s">
        <v>2380</v>
      </c>
      <c r="C14" s="436">
        <f t="shared" si="4"/>
        <v>1000</v>
      </c>
      <c r="D14" s="436">
        <v>1000</v>
      </c>
      <c r="E14" s="388">
        <f t="shared" si="5"/>
        <v>0</v>
      </c>
      <c r="F14" s="436"/>
      <c r="G14" s="436"/>
      <c r="H14" s="436"/>
      <c r="I14" s="436"/>
      <c r="J14" s="436"/>
      <c r="K14" s="436"/>
      <c r="L14" s="436"/>
      <c r="M14" s="436"/>
      <c r="N14" s="436"/>
      <c r="O14" s="436"/>
      <c r="P14" s="432"/>
    </row>
    <row r="15" spans="1:24" s="429" customFormat="1" ht="41.4">
      <c r="A15" s="434" t="s">
        <v>200</v>
      </c>
      <c r="B15" s="435" t="s">
        <v>2381</v>
      </c>
      <c r="C15" s="436">
        <f>D15+E15</f>
        <v>4500</v>
      </c>
      <c r="D15" s="436">
        <v>4500</v>
      </c>
      <c r="E15" s="388">
        <f t="shared" ref="E15:E16" si="6">SUM(F15:O15)</f>
        <v>0</v>
      </c>
      <c r="F15" s="436"/>
      <c r="G15" s="436"/>
      <c r="H15" s="436"/>
      <c r="I15" s="436"/>
      <c r="J15" s="436"/>
      <c r="K15" s="436"/>
      <c r="L15" s="436"/>
      <c r="M15" s="436"/>
      <c r="N15" s="436"/>
      <c r="O15" s="436"/>
      <c r="P15" s="432"/>
    </row>
    <row r="16" spans="1:24" s="429" customFormat="1" ht="110.4">
      <c r="A16" s="434" t="s">
        <v>200</v>
      </c>
      <c r="B16" s="435" t="s">
        <v>2382</v>
      </c>
      <c r="C16" s="436">
        <f t="shared" si="4"/>
        <v>500</v>
      </c>
      <c r="D16" s="436">
        <v>500</v>
      </c>
      <c r="E16" s="388">
        <f t="shared" si="6"/>
        <v>0</v>
      </c>
      <c r="F16" s="436"/>
      <c r="G16" s="436"/>
      <c r="H16" s="436"/>
      <c r="I16" s="436"/>
      <c r="J16" s="436"/>
      <c r="K16" s="436"/>
      <c r="L16" s="436"/>
      <c r="M16" s="436"/>
      <c r="N16" s="436"/>
      <c r="O16" s="436"/>
      <c r="P16" s="432"/>
    </row>
    <row r="17" spans="1:16" s="429" customFormat="1" ht="41.4">
      <c r="A17" s="434" t="s">
        <v>200</v>
      </c>
      <c r="B17" s="435" t="s">
        <v>2383</v>
      </c>
      <c r="C17" s="436">
        <f t="shared" si="4"/>
        <v>500</v>
      </c>
      <c r="D17" s="436">
        <v>500</v>
      </c>
      <c r="E17" s="388"/>
      <c r="F17" s="436"/>
      <c r="G17" s="436"/>
      <c r="H17" s="436"/>
      <c r="I17" s="436"/>
      <c r="J17" s="436"/>
      <c r="K17" s="436"/>
      <c r="L17" s="436"/>
      <c r="M17" s="436"/>
      <c r="N17" s="436"/>
      <c r="O17" s="436"/>
      <c r="P17" s="432"/>
    </row>
    <row r="18" spans="1:16" s="429" customFormat="1">
      <c r="A18" s="430" t="s">
        <v>26</v>
      </c>
      <c r="B18" s="431" t="s">
        <v>632</v>
      </c>
      <c r="C18" s="388">
        <f>C19</f>
        <v>1500</v>
      </c>
      <c r="D18" s="388">
        <f>D19</f>
        <v>1500</v>
      </c>
      <c r="E18" s="388">
        <f t="shared" si="5"/>
        <v>0</v>
      </c>
      <c r="F18" s="388"/>
      <c r="G18" s="388"/>
      <c r="H18" s="388"/>
      <c r="I18" s="388"/>
      <c r="J18" s="388"/>
      <c r="K18" s="388"/>
      <c r="L18" s="388"/>
      <c r="M18" s="388"/>
      <c r="N18" s="388"/>
      <c r="O18" s="388"/>
      <c r="P18" s="432"/>
    </row>
    <row r="19" spans="1:16" s="429" customFormat="1" ht="27.6">
      <c r="A19" s="434" t="s">
        <v>200</v>
      </c>
      <c r="B19" s="435" t="s">
        <v>2384</v>
      </c>
      <c r="C19" s="436">
        <f t="shared" si="4"/>
        <v>1500</v>
      </c>
      <c r="D19" s="436">
        <v>1500</v>
      </c>
      <c r="E19" s="388">
        <f t="shared" si="5"/>
        <v>0</v>
      </c>
      <c r="F19" s="436"/>
      <c r="G19" s="436"/>
      <c r="H19" s="436"/>
      <c r="I19" s="436"/>
      <c r="J19" s="436"/>
      <c r="K19" s="436"/>
      <c r="L19" s="436"/>
      <c r="M19" s="436"/>
      <c r="N19" s="436"/>
      <c r="O19" s="436"/>
      <c r="P19" s="432"/>
    </row>
    <row r="20" spans="1:16" s="442" customFormat="1">
      <c r="A20" s="439" t="s">
        <v>332</v>
      </c>
      <c r="B20" s="440" t="s">
        <v>1519</v>
      </c>
      <c r="C20" s="388">
        <f t="shared" ref="C20:E20" si="7">C21</f>
        <v>20000</v>
      </c>
      <c r="D20" s="388">
        <f t="shared" si="7"/>
        <v>0</v>
      </c>
      <c r="E20" s="388">
        <f t="shared" si="7"/>
        <v>20000</v>
      </c>
      <c r="F20" s="388">
        <f>F21</f>
        <v>3800</v>
      </c>
      <c r="G20" s="388">
        <f t="shared" ref="G20:O20" si="8">G21</f>
        <v>1800</v>
      </c>
      <c r="H20" s="388">
        <f t="shared" si="8"/>
        <v>1800</v>
      </c>
      <c r="I20" s="388">
        <f t="shared" si="8"/>
        <v>1800</v>
      </c>
      <c r="J20" s="388">
        <f t="shared" si="8"/>
        <v>1800</v>
      </c>
      <c r="K20" s="388">
        <f t="shared" si="8"/>
        <v>1800</v>
      </c>
      <c r="L20" s="388">
        <f t="shared" si="8"/>
        <v>1800</v>
      </c>
      <c r="M20" s="388">
        <f t="shared" si="8"/>
        <v>1800</v>
      </c>
      <c r="N20" s="388">
        <f t="shared" si="8"/>
        <v>1800</v>
      </c>
      <c r="O20" s="388">
        <f t="shared" si="8"/>
        <v>1800</v>
      </c>
      <c r="P20" s="441"/>
    </row>
    <row r="21" spans="1:16" s="429" customFormat="1" ht="69">
      <c r="A21" s="434" t="s">
        <v>200</v>
      </c>
      <c r="B21" s="651" t="s">
        <v>2385</v>
      </c>
      <c r="C21" s="436">
        <f t="shared" si="4"/>
        <v>20000</v>
      </c>
      <c r="D21" s="436"/>
      <c r="E21" s="436">
        <f t="shared" si="5"/>
        <v>20000</v>
      </c>
      <c r="F21" s="436">
        <v>3800</v>
      </c>
      <c r="G21" s="436">
        <v>1800</v>
      </c>
      <c r="H21" s="436">
        <v>1800</v>
      </c>
      <c r="I21" s="436">
        <v>1800</v>
      </c>
      <c r="J21" s="436">
        <v>1800</v>
      </c>
      <c r="K21" s="436">
        <v>1800</v>
      </c>
      <c r="L21" s="436">
        <v>1800</v>
      </c>
      <c r="M21" s="436">
        <v>1800</v>
      </c>
      <c r="N21" s="436">
        <v>1800</v>
      </c>
      <c r="O21" s="436">
        <v>1800</v>
      </c>
      <c r="P21" s="432"/>
    </row>
    <row r="22" spans="1:16" s="429" customFormat="1" ht="40.5" customHeight="1">
      <c r="A22" s="439" t="s">
        <v>28</v>
      </c>
      <c r="B22" s="431" t="s">
        <v>2386</v>
      </c>
      <c r="C22" s="443">
        <f>C23+C28</f>
        <v>130593</v>
      </c>
      <c r="D22" s="443">
        <f t="shared" ref="D22:O22" si="9">D23+D28</f>
        <v>91593</v>
      </c>
      <c r="E22" s="443">
        <f t="shared" si="9"/>
        <v>39000</v>
      </c>
      <c r="F22" s="443">
        <f t="shared" si="9"/>
        <v>3300</v>
      </c>
      <c r="G22" s="443">
        <f t="shared" si="9"/>
        <v>4300</v>
      </c>
      <c r="H22" s="443">
        <f t="shared" si="9"/>
        <v>4300</v>
      </c>
      <c r="I22" s="443">
        <f t="shared" si="9"/>
        <v>4300</v>
      </c>
      <c r="J22" s="443">
        <f t="shared" si="9"/>
        <v>3800</v>
      </c>
      <c r="K22" s="443">
        <f t="shared" si="9"/>
        <v>3800</v>
      </c>
      <c r="L22" s="443">
        <f t="shared" si="9"/>
        <v>4000</v>
      </c>
      <c r="M22" s="443">
        <f t="shared" si="9"/>
        <v>3400</v>
      </c>
      <c r="N22" s="443">
        <f t="shared" si="9"/>
        <v>4000</v>
      </c>
      <c r="O22" s="443">
        <f t="shared" si="9"/>
        <v>3800</v>
      </c>
      <c r="P22" s="432"/>
    </row>
    <row r="23" spans="1:16" s="429" customFormat="1">
      <c r="A23" s="430" t="s">
        <v>18</v>
      </c>
      <c r="B23" s="433" t="s">
        <v>626</v>
      </c>
      <c r="C23" s="388">
        <f>SUM(C24:C27)</f>
        <v>91593</v>
      </c>
      <c r="D23" s="388">
        <f>SUM(D24:D27)</f>
        <v>91593</v>
      </c>
      <c r="E23" s="388">
        <f t="shared" ref="E23:O23" si="10">SUM(E24:E27)</f>
        <v>0</v>
      </c>
      <c r="F23" s="388">
        <f t="shared" si="10"/>
        <v>0</v>
      </c>
      <c r="G23" s="388">
        <f t="shared" si="10"/>
        <v>0</v>
      </c>
      <c r="H23" s="388">
        <f t="shared" si="10"/>
        <v>0</v>
      </c>
      <c r="I23" s="388">
        <f t="shared" si="10"/>
        <v>0</v>
      </c>
      <c r="J23" s="388">
        <f t="shared" si="10"/>
        <v>0</v>
      </c>
      <c r="K23" s="388">
        <f t="shared" si="10"/>
        <v>0</v>
      </c>
      <c r="L23" s="388">
        <f t="shared" si="10"/>
        <v>0</v>
      </c>
      <c r="M23" s="388">
        <f t="shared" si="10"/>
        <v>0</v>
      </c>
      <c r="N23" s="388">
        <f t="shared" si="10"/>
        <v>0</v>
      </c>
      <c r="O23" s="388">
        <f t="shared" si="10"/>
        <v>0</v>
      </c>
      <c r="P23" s="432"/>
    </row>
    <row r="24" spans="1:16" s="429" customFormat="1" ht="110.4">
      <c r="A24" s="434" t="s">
        <v>200</v>
      </c>
      <c r="B24" s="435" t="s">
        <v>2387</v>
      </c>
      <c r="C24" s="436">
        <f>D24+E24</f>
        <v>76593</v>
      </c>
      <c r="D24" s="436">
        <v>76593</v>
      </c>
      <c r="E24" s="443"/>
      <c r="F24" s="443"/>
      <c r="G24" s="443"/>
      <c r="H24" s="443"/>
      <c r="I24" s="443"/>
      <c r="J24" s="443"/>
      <c r="K24" s="443"/>
      <c r="L24" s="443"/>
      <c r="M24" s="443"/>
      <c r="N24" s="443"/>
      <c r="O24" s="443"/>
      <c r="P24" s="432"/>
    </row>
    <row r="25" spans="1:16" s="429" customFormat="1" ht="82.8">
      <c r="A25" s="434" t="s">
        <v>200</v>
      </c>
      <c r="B25" s="435" t="s">
        <v>2388</v>
      </c>
      <c r="C25" s="436">
        <f t="shared" ref="C25:C27" si="11">D25+E25</f>
        <v>2000</v>
      </c>
      <c r="D25" s="436">
        <v>2000</v>
      </c>
      <c r="E25" s="443"/>
      <c r="F25" s="443"/>
      <c r="G25" s="443"/>
      <c r="H25" s="443"/>
      <c r="I25" s="443"/>
      <c r="J25" s="443"/>
      <c r="K25" s="443"/>
      <c r="L25" s="443"/>
      <c r="M25" s="443"/>
      <c r="N25" s="443"/>
      <c r="O25" s="443"/>
      <c r="P25" s="432"/>
    </row>
    <row r="26" spans="1:16" s="429" customFormat="1" ht="41.4">
      <c r="A26" s="434" t="s">
        <v>200</v>
      </c>
      <c r="B26" s="435" t="s">
        <v>2389</v>
      </c>
      <c r="C26" s="436">
        <f t="shared" si="11"/>
        <v>11500</v>
      </c>
      <c r="D26" s="436">
        <f>13000-D27</f>
        <v>11500</v>
      </c>
      <c r="E26" s="443"/>
      <c r="F26" s="443"/>
      <c r="G26" s="443"/>
      <c r="H26" s="443"/>
      <c r="I26" s="443"/>
      <c r="J26" s="443"/>
      <c r="K26" s="443"/>
      <c r="L26" s="443"/>
      <c r="M26" s="443"/>
      <c r="N26" s="443"/>
      <c r="O26" s="443"/>
      <c r="P26" s="432"/>
    </row>
    <row r="27" spans="1:16" s="429" customFormat="1">
      <c r="A27" s="434" t="s">
        <v>200</v>
      </c>
      <c r="B27" s="435" t="s">
        <v>2394</v>
      </c>
      <c r="C27" s="436">
        <f t="shared" si="11"/>
        <v>1500</v>
      </c>
      <c r="D27" s="436">
        <v>1500</v>
      </c>
      <c r="E27" s="443"/>
      <c r="F27" s="443"/>
      <c r="G27" s="443"/>
      <c r="H27" s="443"/>
      <c r="I27" s="443"/>
      <c r="J27" s="443"/>
      <c r="K27" s="443"/>
      <c r="L27" s="443"/>
      <c r="M27" s="443"/>
      <c r="N27" s="443"/>
      <c r="O27" s="443"/>
      <c r="P27" s="432"/>
    </row>
    <row r="28" spans="1:16" s="429" customFormat="1">
      <c r="A28" s="439" t="s">
        <v>26</v>
      </c>
      <c r="B28" s="440" t="s">
        <v>1519</v>
      </c>
      <c r="C28" s="388">
        <f>C29</f>
        <v>39000</v>
      </c>
      <c r="D28" s="388">
        <f t="shared" ref="D28:O28" si="12">D29</f>
        <v>0</v>
      </c>
      <c r="E28" s="388">
        <f t="shared" si="12"/>
        <v>39000</v>
      </c>
      <c r="F28" s="388">
        <f t="shared" si="12"/>
        <v>3300</v>
      </c>
      <c r="G28" s="388">
        <f t="shared" si="12"/>
        <v>4300</v>
      </c>
      <c r="H28" s="388">
        <f t="shared" si="12"/>
        <v>4300</v>
      </c>
      <c r="I28" s="388">
        <f t="shared" si="12"/>
        <v>4300</v>
      </c>
      <c r="J28" s="388">
        <f t="shared" si="12"/>
        <v>3800</v>
      </c>
      <c r="K28" s="388">
        <f t="shared" si="12"/>
        <v>3800</v>
      </c>
      <c r="L28" s="388">
        <f t="shared" si="12"/>
        <v>4000</v>
      </c>
      <c r="M28" s="388">
        <f t="shared" si="12"/>
        <v>3400</v>
      </c>
      <c r="N28" s="388">
        <f t="shared" si="12"/>
        <v>4000</v>
      </c>
      <c r="O28" s="388">
        <f t="shared" si="12"/>
        <v>3800</v>
      </c>
      <c r="P28" s="654"/>
    </row>
    <row r="29" spans="1:16" s="429" customFormat="1" ht="41.4">
      <c r="A29" s="434" t="s">
        <v>200</v>
      </c>
      <c r="B29" s="651" t="s">
        <v>2390</v>
      </c>
      <c r="C29" s="436">
        <f>D29+E29</f>
        <v>39000</v>
      </c>
      <c r="D29" s="444"/>
      <c r="E29" s="444">
        <f>SUM(F29:O29)</f>
        <v>39000</v>
      </c>
      <c r="F29" s="444">
        <v>3300</v>
      </c>
      <c r="G29" s="444">
        <v>4300</v>
      </c>
      <c r="H29" s="444">
        <v>4300</v>
      </c>
      <c r="I29" s="444">
        <v>4300</v>
      </c>
      <c r="J29" s="444">
        <v>3800</v>
      </c>
      <c r="K29" s="444">
        <v>3800</v>
      </c>
      <c r="L29" s="444">
        <v>4000</v>
      </c>
      <c r="M29" s="444">
        <v>3400</v>
      </c>
      <c r="N29" s="444">
        <v>4000</v>
      </c>
      <c r="O29" s="444">
        <v>3800</v>
      </c>
      <c r="P29" s="655"/>
    </row>
    <row r="30" spans="1:16" s="442" customFormat="1" ht="27.6" outlineLevel="1">
      <c r="A30" s="439" t="s">
        <v>91</v>
      </c>
      <c r="B30" s="1228" t="s">
        <v>2478</v>
      </c>
      <c r="C30" s="1229">
        <f>D30+E30</f>
        <v>59000</v>
      </c>
      <c r="D30" s="1230"/>
      <c r="E30" s="1230">
        <f>SUM(F30:O30)</f>
        <v>59000</v>
      </c>
      <c r="F30" s="1230">
        <v>7022</v>
      </c>
      <c r="G30" s="1230">
        <v>6090</v>
      </c>
      <c r="H30" s="1230">
        <v>6182</v>
      </c>
      <c r="I30" s="1230">
        <v>6053</v>
      </c>
      <c r="J30" s="1230">
        <v>5650</v>
      </c>
      <c r="K30" s="1230">
        <v>5630</v>
      </c>
      <c r="L30" s="1230">
        <v>5850</v>
      </c>
      <c r="M30" s="1230">
        <v>5123</v>
      </c>
      <c r="N30" s="1230">
        <v>5800</v>
      </c>
      <c r="O30" s="1230">
        <v>5600</v>
      </c>
      <c r="P30" s="1231"/>
    </row>
    <row r="31" spans="1:16" s="448" customFormat="1" ht="10.5" customHeight="1">
      <c r="A31" s="445"/>
      <c r="B31" s="446"/>
      <c r="C31" s="447"/>
      <c r="D31" s="447"/>
      <c r="E31" s="447"/>
      <c r="F31" s="447"/>
      <c r="G31" s="447"/>
      <c r="H31" s="447"/>
      <c r="I31" s="447"/>
      <c r="J31" s="447"/>
      <c r="K31" s="447"/>
      <c r="L31" s="447"/>
      <c r="M31" s="447"/>
      <c r="N31" s="447"/>
      <c r="O31" s="447"/>
      <c r="P31" s="432"/>
    </row>
    <row r="32" spans="1:16" s="448" customFormat="1">
      <c r="P32" s="432"/>
    </row>
    <row r="33" spans="2:16" s="448" customFormat="1">
      <c r="B33" s="449" t="s">
        <v>1520</v>
      </c>
      <c r="P33" s="432"/>
    </row>
    <row r="34" spans="2:16" ht="19.5" hidden="1" customHeight="1"/>
    <row r="35" spans="2:16" ht="9.75" customHeight="1"/>
    <row r="36" spans="2:16" ht="18.75" customHeight="1"/>
    <row r="37" spans="2:16" ht="19.5" hidden="1" customHeight="1"/>
  </sheetData>
  <mergeCells count="19">
    <mergeCell ref="J7:J8"/>
    <mergeCell ref="K7:K8"/>
    <mergeCell ref="L7:L8"/>
    <mergeCell ref="M7:M8"/>
    <mergeCell ref="N7:N8"/>
    <mergeCell ref="O7:O8"/>
    <mergeCell ref="A4:O4"/>
    <mergeCell ref="A2:B2"/>
    <mergeCell ref="A3:O3"/>
    <mergeCell ref="M6:O6"/>
    <mergeCell ref="A7:A8"/>
    <mergeCell ref="B7:B8"/>
    <mergeCell ref="C7:C8"/>
    <mergeCell ref="D7:D8"/>
    <mergeCell ref="E7:E8"/>
    <mergeCell ref="F7:F8"/>
    <mergeCell ref="G7:G8"/>
    <mergeCell ref="H7:H8"/>
    <mergeCell ref="I7:I8"/>
  </mergeCells>
  <dataValidations count="6">
    <dataValidation allowBlank="1" showInputMessage="1" showErrorMessage="1" prompt="Theo chủ trương tại Văn bản số 3460/UBND-NNTN ngày 14/9/2021 của UBND tỉnh" sqref="B21"/>
    <dataValidation allowBlank="1" showInputMessage="1" showErrorMessage="1" prompt=" Theo chủ trương tại Quyết định số 548/QĐ-UBND, ngày 24/5/2016 của UBND tỉnh" sqref="B15 B26:B27"/>
    <dataValidation allowBlank="1" showInputMessage="1" showErrorMessage="1" prompt="chủ trương theo  QĐ số: 315; 316; 318; 319; 320/QĐ-UBND, ngày 19/4/2017; và QĐ số 350; 351; 352/QĐ-UBND ngày 12/4/2019; QĐ số 836 ngày 28/8/2020 của UBND tỉnh_x000a_" sqref="B13 B24"/>
    <dataValidation allowBlank="1" showInputMessage="1" showErrorMessage="1" prompt="Số liệu theo VB của Sở TNMT số 3297/STNMT-KHTC ngày 13/11/2021" sqref="C23:O23"/>
    <dataValidation allowBlank="1" showInputMessage="1" showErrorMessage="1" prompt="Số liệu theo VB của Sở TNMT số 3013/STNMT-KHTC ngày 25/10/2021_x000a_" sqref="D13"/>
    <dataValidation allowBlank="1" showInputMessage="1" showErrorMessage="1" prompt="Số liệu theo VB của Sở TNMT số 3013/STNMT-KHTC ngày 25/10/2021" sqref="D14:D17 D19 D21"/>
  </dataValidations>
  <printOptions horizontalCentered="1"/>
  <pageMargins left="0.59055118110236227" right="0.19685039370078741" top="0.59055118110236227" bottom="0.39370078740157483" header="0.19685039370078741" footer="0.19685039370078741"/>
  <pageSetup paperSize="9" scale="87" fitToHeight="0" orientation="landscape" r:id="rId1"/>
  <headerFooter>
    <oddFooter>&amp;R&amp;P/&amp;N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BF101"/>
  <sheetViews>
    <sheetView zoomScale="90" zoomScaleNormal="90" zoomScaleSheetLayoutView="85" workbookViewId="0">
      <pane xSplit="14" ySplit="8" topLeftCell="O9" activePane="bottomRight" state="frozen"/>
      <selection pane="topRight" activeCell="O1" sqref="O1"/>
      <selection pane="bottomLeft" activeCell="A9" sqref="A9"/>
      <selection pane="bottomRight" activeCell="AD16" sqref="AD16"/>
    </sheetView>
  </sheetViews>
  <sheetFormatPr defaultColWidth="9.109375" defaultRowHeight="13.8" outlineLevelRow="1" outlineLevelCol="1"/>
  <cols>
    <col min="1" max="1" width="4.5546875" style="927" customWidth="1"/>
    <col min="2" max="2" width="40.6640625" style="920" customWidth="1"/>
    <col min="3" max="13" width="9.88671875" style="920" hidden="1" customWidth="1" outlineLevel="1"/>
    <col min="14" max="14" width="9.6640625" style="920" customWidth="1" collapsed="1"/>
    <col min="15" max="16" width="9.6640625" style="920" customWidth="1"/>
    <col min="17" max="17" width="6.33203125" style="920" hidden="1" customWidth="1" outlineLevel="1"/>
    <col min="18" max="18" width="9.109375" style="920" customWidth="1" collapsed="1"/>
    <col min="19" max="19" width="9.109375" style="922" customWidth="1"/>
    <col min="20" max="20" width="9.109375" style="920" customWidth="1"/>
    <col min="21" max="21" width="6.33203125" style="923" hidden="1" customWidth="1" outlineLevel="1"/>
    <col min="22" max="22" width="9.109375" style="920" customWidth="1" collapsed="1"/>
    <col min="23" max="23" width="9.109375" style="920" customWidth="1"/>
    <col min="24" max="24" width="7.33203125" style="920" customWidth="1"/>
    <col min="25" max="25" width="6.33203125" style="920" hidden="1" customWidth="1" outlineLevel="1"/>
    <col min="26" max="26" width="9.109375" style="1408" customWidth="1" collapsed="1"/>
    <col min="27" max="27" width="9.109375" style="1408" customWidth="1"/>
    <col min="28" max="28" width="7.33203125" style="1408" customWidth="1"/>
    <col min="29" max="29" width="6.33203125" style="920" hidden="1" customWidth="1" outlineLevel="1"/>
    <col min="30" max="30" width="9.109375" style="920" customWidth="1" collapsed="1"/>
    <col min="31" max="31" width="9.109375" style="920" customWidth="1"/>
    <col min="32" max="32" width="7.33203125" style="920" customWidth="1"/>
    <col min="33" max="33" width="6.33203125" style="920" hidden="1" customWidth="1" outlineLevel="1"/>
    <col min="34" max="34" width="9.109375" style="920" customWidth="1" collapsed="1"/>
    <col min="35" max="35" width="9.109375" style="920" customWidth="1"/>
    <col min="36" max="36" width="7.33203125" style="920" customWidth="1"/>
    <col min="37" max="37" width="6.33203125" style="920" hidden="1" customWidth="1" outlineLevel="1"/>
    <col min="38" max="38" width="9.109375" style="920" customWidth="1" collapsed="1"/>
    <col min="39" max="39" width="9.109375" style="920" customWidth="1"/>
    <col min="40" max="40" width="7.33203125" style="920" customWidth="1"/>
    <col min="41" max="41" width="6.33203125" style="920" hidden="1" customWidth="1" outlineLevel="1"/>
    <col min="42" max="42" width="9.109375" style="920" customWidth="1" collapsed="1"/>
    <col min="43" max="43" width="9.109375" style="920" customWidth="1"/>
    <col min="44" max="44" width="7.33203125" style="920" customWidth="1"/>
    <col min="45" max="45" width="6.33203125" style="920" hidden="1" customWidth="1" outlineLevel="1"/>
    <col min="46" max="46" width="9.109375" style="920" customWidth="1" collapsed="1"/>
    <col min="47" max="47" width="9.109375" style="920" customWidth="1"/>
    <col min="48" max="48" width="7.33203125" style="920" customWidth="1"/>
    <col min="49" max="49" width="6.33203125" style="920" hidden="1" customWidth="1" outlineLevel="1"/>
    <col min="50" max="50" width="9.109375" style="920" customWidth="1" collapsed="1"/>
    <col min="51" max="51" width="9.109375" style="920" customWidth="1"/>
    <col min="52" max="52" width="7.33203125" style="920" customWidth="1"/>
    <col min="53" max="53" width="6.33203125" style="920" hidden="1" customWidth="1" outlineLevel="1"/>
    <col min="54" max="54" width="9.109375" style="920" customWidth="1" collapsed="1"/>
    <col min="55" max="55" width="9.109375" style="920" customWidth="1"/>
    <col min="56" max="56" width="7.33203125" style="920" customWidth="1"/>
    <col min="57" max="57" width="6.33203125" style="920" hidden="1" customWidth="1" outlineLevel="1"/>
    <col min="58" max="58" width="13.6640625" style="920" customWidth="1" collapsed="1"/>
    <col min="59" max="16384" width="9.109375" style="920"/>
  </cols>
  <sheetData>
    <row r="1" spans="1:57" ht="20.25" customHeight="1">
      <c r="A1" s="919" t="s">
        <v>1549</v>
      </c>
      <c r="N1" s="921"/>
    </row>
    <row r="2" spans="1:57" s="925" customFormat="1" ht="18" customHeight="1">
      <c r="A2" s="1566" t="s">
        <v>1904</v>
      </c>
      <c r="B2" s="1566"/>
      <c r="C2" s="1566"/>
      <c r="D2" s="1566"/>
      <c r="E2" s="1566"/>
      <c r="F2" s="1566"/>
      <c r="G2" s="1566"/>
      <c r="H2" s="1566"/>
      <c r="I2" s="1566"/>
      <c r="J2" s="1566"/>
      <c r="K2" s="1566"/>
      <c r="L2" s="1566"/>
      <c r="M2" s="1566"/>
      <c r="N2" s="1566"/>
      <c r="O2" s="1566"/>
      <c r="P2" s="1566"/>
      <c r="Q2" s="1566"/>
      <c r="R2" s="1566"/>
      <c r="S2" s="1566"/>
      <c r="T2" s="1566"/>
      <c r="U2" s="1566"/>
      <c r="V2" s="1566"/>
      <c r="W2" s="1566"/>
      <c r="X2" s="1566"/>
      <c r="Z2" s="1409"/>
      <c r="AA2" s="1409"/>
      <c r="AB2" s="1409"/>
      <c r="BD2" s="924"/>
    </row>
    <row r="3" spans="1:57" s="925" customFormat="1" ht="18" customHeight="1">
      <c r="A3" s="1567" t="s">
        <v>1903</v>
      </c>
      <c r="B3" s="1567"/>
      <c r="C3" s="1567"/>
      <c r="D3" s="1567"/>
      <c r="E3" s="1567"/>
      <c r="F3" s="1567"/>
      <c r="G3" s="1567"/>
      <c r="H3" s="1567"/>
      <c r="I3" s="1567"/>
      <c r="J3" s="1567"/>
      <c r="K3" s="1567"/>
      <c r="L3" s="1567"/>
      <c r="M3" s="1567"/>
      <c r="N3" s="1567"/>
      <c r="O3" s="1567"/>
      <c r="P3" s="1567"/>
      <c r="Q3" s="1567"/>
      <c r="R3" s="1567"/>
      <c r="S3" s="1567"/>
      <c r="T3" s="1567"/>
      <c r="U3" s="1567"/>
      <c r="V3" s="1567"/>
      <c r="W3" s="1567"/>
      <c r="X3" s="1567"/>
      <c r="Y3" s="1013"/>
      <c r="Z3" s="1410"/>
      <c r="AA3" s="1410"/>
      <c r="AB3" s="1410"/>
      <c r="AC3" s="1013"/>
      <c r="AD3" s="1013"/>
      <c r="AE3" s="1013"/>
      <c r="AF3" s="1013"/>
      <c r="AG3" s="1013"/>
      <c r="AH3" s="1013"/>
      <c r="AI3" s="1013"/>
      <c r="AJ3" s="1013"/>
      <c r="AK3" s="1013"/>
      <c r="AL3" s="1013"/>
      <c r="AM3" s="1013"/>
      <c r="AN3" s="1013"/>
      <c r="AO3" s="1013"/>
      <c r="AP3" s="1013"/>
      <c r="AQ3" s="1013"/>
      <c r="AR3" s="1013"/>
      <c r="AS3" s="1013"/>
      <c r="AT3" s="1013"/>
      <c r="AU3" s="1013"/>
      <c r="AV3" s="1013"/>
      <c r="AW3" s="1013"/>
      <c r="AX3" s="1013"/>
      <c r="AY3" s="1013"/>
      <c r="AZ3" s="1013"/>
      <c r="BA3" s="1013"/>
      <c r="BB3" s="1013"/>
      <c r="BC3" s="1013"/>
      <c r="BD3" s="926"/>
    </row>
    <row r="4" spans="1:57" ht="16.5" customHeight="1">
      <c r="B4" s="928"/>
      <c r="C4" s="928"/>
      <c r="D4" s="928"/>
      <c r="E4" s="928"/>
      <c r="F4" s="928"/>
      <c r="G4" s="928"/>
      <c r="H4" s="928"/>
      <c r="I4" s="928"/>
      <c r="J4" s="928"/>
      <c r="K4" s="928"/>
      <c r="L4" s="928"/>
      <c r="M4" s="928"/>
      <c r="N4" s="928"/>
      <c r="O4" s="928"/>
      <c r="P4" s="928"/>
      <c r="Q4" s="928"/>
      <c r="R4" s="928"/>
      <c r="S4" s="882" t="s">
        <v>0</v>
      </c>
      <c r="T4" s="928"/>
      <c r="U4" s="928"/>
      <c r="V4" s="928"/>
      <c r="W4" s="928"/>
      <c r="X4" s="928"/>
      <c r="Y4" s="928"/>
      <c r="Z4" s="1411"/>
      <c r="AA4" s="1411"/>
      <c r="AB4" s="1411"/>
      <c r="AC4" s="928"/>
      <c r="AD4" s="928"/>
      <c r="AE4" s="928"/>
      <c r="AF4" s="928"/>
      <c r="AG4" s="928"/>
      <c r="AH4" s="928"/>
      <c r="AI4" s="928"/>
      <c r="AJ4" s="928"/>
      <c r="AK4" s="928"/>
      <c r="AL4" s="928"/>
      <c r="AM4" s="928"/>
      <c r="AN4" s="928"/>
      <c r="AO4" s="928"/>
      <c r="AP4" s="928"/>
      <c r="AQ4" s="928"/>
      <c r="AR4" s="928"/>
      <c r="AS4" s="928">
        <f t="shared" ref="AS4" si="0">AS1-AS19</f>
        <v>0</v>
      </c>
      <c r="AT4" s="928"/>
      <c r="AU4" s="928" t="s">
        <v>0</v>
      </c>
      <c r="AV4" s="928"/>
      <c r="AW4" s="928"/>
      <c r="AX4" s="928"/>
      <c r="AY4" s="928"/>
      <c r="AZ4" s="928"/>
      <c r="BA4" s="928"/>
      <c r="BB4" s="928"/>
      <c r="BC4" s="928"/>
      <c r="BD4" s="928"/>
    </row>
    <row r="5" spans="1:57" ht="23.25" customHeight="1">
      <c r="A5" s="1581" t="s">
        <v>1</v>
      </c>
      <c r="B5" s="1570" t="s">
        <v>2</v>
      </c>
      <c r="C5" s="1570" t="s">
        <v>1945</v>
      </c>
      <c r="D5" s="1573" t="s">
        <v>65</v>
      </c>
      <c r="E5" s="1573"/>
      <c r="F5" s="1573"/>
      <c r="G5" s="1573"/>
      <c r="H5" s="1573"/>
      <c r="I5" s="1573"/>
      <c r="J5" s="1573"/>
      <c r="K5" s="1573"/>
      <c r="L5" s="1573"/>
      <c r="M5" s="1573"/>
      <c r="N5" s="1570" t="s">
        <v>1905</v>
      </c>
      <c r="O5" s="1586" t="s">
        <v>65</v>
      </c>
      <c r="P5" s="1587"/>
      <c r="Q5" s="929"/>
      <c r="R5" s="1588" t="s">
        <v>3</v>
      </c>
      <c r="S5" s="1588"/>
      <c r="T5" s="1588"/>
      <c r="U5" s="1588"/>
      <c r="V5" s="1588"/>
      <c r="W5" s="1588"/>
      <c r="X5" s="1588"/>
      <c r="Y5" s="1588"/>
      <c r="Z5" s="1588"/>
      <c r="AA5" s="1588"/>
      <c r="AB5" s="1588"/>
      <c r="AC5" s="1588"/>
      <c r="AD5" s="1588"/>
      <c r="AE5" s="1588"/>
      <c r="AF5" s="1588"/>
      <c r="AG5" s="1588"/>
      <c r="AH5" s="1588"/>
      <c r="AI5" s="1588"/>
      <c r="AJ5" s="1588"/>
      <c r="AK5" s="1588"/>
      <c r="AL5" s="1588"/>
      <c r="AM5" s="1588"/>
      <c r="AN5" s="1588"/>
      <c r="AO5" s="1588"/>
      <c r="AP5" s="1588"/>
      <c r="AQ5" s="1588"/>
      <c r="AR5" s="1588"/>
      <c r="AS5" s="1588"/>
      <c r="AT5" s="1588"/>
      <c r="AU5" s="1588"/>
      <c r="AV5" s="1588"/>
      <c r="AW5" s="1588"/>
      <c r="AX5" s="1588"/>
      <c r="AY5" s="1588"/>
      <c r="AZ5" s="1588"/>
      <c r="BA5" s="1588"/>
      <c r="BB5" s="1588"/>
      <c r="BC5" s="1588"/>
      <c r="BD5" s="1588"/>
    </row>
    <row r="6" spans="1:57" ht="18" customHeight="1">
      <c r="A6" s="1582"/>
      <c r="B6" s="1571"/>
      <c r="C6" s="1571"/>
      <c r="D6" s="1573" t="s">
        <v>4</v>
      </c>
      <c r="E6" s="1573" t="s">
        <v>5</v>
      </c>
      <c r="F6" s="1573" t="s">
        <v>6</v>
      </c>
      <c r="G6" s="1573" t="s">
        <v>7</v>
      </c>
      <c r="H6" s="1573" t="s">
        <v>8</v>
      </c>
      <c r="I6" s="1573" t="s">
        <v>9</v>
      </c>
      <c r="J6" s="1573" t="s">
        <v>10</v>
      </c>
      <c r="K6" s="1573" t="s">
        <v>11</v>
      </c>
      <c r="L6" s="1573" t="s">
        <v>12</v>
      </c>
      <c r="M6" s="1573" t="s">
        <v>13</v>
      </c>
      <c r="N6" s="1571"/>
      <c r="O6" s="1570" t="s">
        <v>2273</v>
      </c>
      <c r="P6" s="1570" t="s">
        <v>1906</v>
      </c>
      <c r="Q6" s="1568" t="s">
        <v>1944</v>
      </c>
      <c r="R6" s="1575" t="s">
        <v>4</v>
      </c>
      <c r="S6" s="1574" t="s">
        <v>65</v>
      </c>
      <c r="T6" s="1574"/>
      <c r="U6" s="1568" t="s">
        <v>1944</v>
      </c>
      <c r="V6" s="1575" t="s">
        <v>5</v>
      </c>
      <c r="W6" s="1574" t="s">
        <v>65</v>
      </c>
      <c r="X6" s="1574"/>
      <c r="Y6" s="1568" t="s">
        <v>1944</v>
      </c>
      <c r="Z6" s="1579" t="s">
        <v>6</v>
      </c>
      <c r="AA6" s="1578" t="s">
        <v>65</v>
      </c>
      <c r="AB6" s="1578"/>
      <c r="AC6" s="1568" t="s">
        <v>1944</v>
      </c>
      <c r="AD6" s="1575" t="s">
        <v>7</v>
      </c>
      <c r="AE6" s="1574" t="s">
        <v>65</v>
      </c>
      <c r="AF6" s="1574"/>
      <c r="AG6" s="1568" t="s">
        <v>1944</v>
      </c>
      <c r="AH6" s="1575" t="s">
        <v>8</v>
      </c>
      <c r="AI6" s="1574" t="s">
        <v>65</v>
      </c>
      <c r="AJ6" s="1574"/>
      <c r="AK6" s="1568" t="s">
        <v>1944</v>
      </c>
      <c r="AL6" s="1575" t="s">
        <v>9</v>
      </c>
      <c r="AM6" s="1574" t="s">
        <v>65</v>
      </c>
      <c r="AN6" s="1574"/>
      <c r="AO6" s="1568" t="s">
        <v>1944</v>
      </c>
      <c r="AP6" s="1575" t="s">
        <v>10</v>
      </c>
      <c r="AQ6" s="1574" t="s">
        <v>65</v>
      </c>
      <c r="AR6" s="1574"/>
      <c r="AS6" s="1568" t="s">
        <v>1944</v>
      </c>
      <c r="AT6" s="1575" t="s">
        <v>11</v>
      </c>
      <c r="AU6" s="1574" t="s">
        <v>65</v>
      </c>
      <c r="AV6" s="1574"/>
      <c r="AW6" s="1568" t="s">
        <v>1944</v>
      </c>
      <c r="AX6" s="1575" t="s">
        <v>12</v>
      </c>
      <c r="AY6" s="1574" t="s">
        <v>65</v>
      </c>
      <c r="AZ6" s="1574"/>
      <c r="BA6" s="1568" t="s">
        <v>1944</v>
      </c>
      <c r="BB6" s="1575" t="s">
        <v>13</v>
      </c>
      <c r="BC6" s="1574" t="s">
        <v>65</v>
      </c>
      <c r="BD6" s="1574"/>
      <c r="BE6" s="1568" t="s">
        <v>1944</v>
      </c>
    </row>
    <row r="7" spans="1:57" ht="83.25" customHeight="1">
      <c r="A7" s="1583"/>
      <c r="B7" s="1584"/>
      <c r="C7" s="1572"/>
      <c r="D7" s="1573"/>
      <c r="E7" s="1573"/>
      <c r="F7" s="1573"/>
      <c r="G7" s="1573"/>
      <c r="H7" s="1573"/>
      <c r="I7" s="1573"/>
      <c r="J7" s="1573"/>
      <c r="K7" s="1573"/>
      <c r="L7" s="1573"/>
      <c r="M7" s="1573"/>
      <c r="N7" s="1585"/>
      <c r="O7" s="1585"/>
      <c r="P7" s="1585"/>
      <c r="Q7" s="1569"/>
      <c r="R7" s="1577"/>
      <c r="S7" s="883" t="s">
        <v>2273</v>
      </c>
      <c r="T7" s="930" t="s">
        <v>1906</v>
      </c>
      <c r="U7" s="1569"/>
      <c r="V7" s="1577"/>
      <c r="W7" s="883" t="s">
        <v>2273</v>
      </c>
      <c r="X7" s="930" t="s">
        <v>1906</v>
      </c>
      <c r="Y7" s="1569"/>
      <c r="Z7" s="1580"/>
      <c r="AA7" s="1412" t="s">
        <v>2273</v>
      </c>
      <c r="AB7" s="1413" t="s">
        <v>1906</v>
      </c>
      <c r="AC7" s="1569"/>
      <c r="AD7" s="1576"/>
      <c r="AE7" s="883" t="s">
        <v>2273</v>
      </c>
      <c r="AF7" s="930" t="s">
        <v>1906</v>
      </c>
      <c r="AG7" s="1569"/>
      <c r="AH7" s="1577"/>
      <c r="AI7" s="883" t="s">
        <v>2273</v>
      </c>
      <c r="AJ7" s="930" t="s">
        <v>1906</v>
      </c>
      <c r="AK7" s="1569"/>
      <c r="AL7" s="1577"/>
      <c r="AM7" s="883" t="s">
        <v>2273</v>
      </c>
      <c r="AN7" s="930" t="s">
        <v>1906</v>
      </c>
      <c r="AO7" s="1569"/>
      <c r="AP7" s="1577"/>
      <c r="AQ7" s="883" t="s">
        <v>2273</v>
      </c>
      <c r="AR7" s="930" t="s">
        <v>1906</v>
      </c>
      <c r="AS7" s="1569"/>
      <c r="AT7" s="1577"/>
      <c r="AU7" s="883" t="s">
        <v>2273</v>
      </c>
      <c r="AV7" s="930" t="s">
        <v>1906</v>
      </c>
      <c r="AW7" s="1569"/>
      <c r="AX7" s="1577"/>
      <c r="AY7" s="883" t="s">
        <v>2273</v>
      </c>
      <c r="AZ7" s="930" t="s">
        <v>1906</v>
      </c>
      <c r="BA7" s="1569"/>
      <c r="BB7" s="1577"/>
      <c r="BC7" s="883" t="s">
        <v>2273</v>
      </c>
      <c r="BD7" s="930" t="s">
        <v>1906</v>
      </c>
      <c r="BE7" s="1569"/>
    </row>
    <row r="8" spans="1:57" s="937" customFormat="1" ht="20.25" customHeight="1">
      <c r="A8" s="931" t="s">
        <v>14</v>
      </c>
      <c r="B8" s="932" t="s">
        <v>15</v>
      </c>
      <c r="C8" s="932"/>
      <c r="D8" s="932"/>
      <c r="E8" s="932"/>
      <c r="F8" s="932"/>
      <c r="G8" s="932"/>
      <c r="H8" s="932"/>
      <c r="I8" s="932"/>
      <c r="J8" s="932"/>
      <c r="K8" s="932"/>
      <c r="L8" s="932"/>
      <c r="M8" s="932"/>
      <c r="N8" s="933"/>
      <c r="O8" s="933"/>
      <c r="P8" s="933"/>
      <c r="Q8" s="934"/>
      <c r="R8" s="933"/>
      <c r="S8" s="935"/>
      <c r="T8" s="936"/>
      <c r="U8" s="934"/>
      <c r="V8" s="933"/>
      <c r="W8" s="936"/>
      <c r="X8" s="936"/>
      <c r="Y8" s="934"/>
      <c r="Z8" s="1414"/>
      <c r="AA8" s="1415"/>
      <c r="AB8" s="1415"/>
      <c r="AC8" s="934"/>
      <c r="AD8" s="933"/>
      <c r="AE8" s="936"/>
      <c r="AF8" s="936"/>
      <c r="AG8" s="934"/>
      <c r="AH8" s="933"/>
      <c r="AI8" s="936"/>
      <c r="AJ8" s="936"/>
      <c r="AK8" s="934"/>
      <c r="AL8" s="933"/>
      <c r="AM8" s="936"/>
      <c r="AN8" s="936"/>
      <c r="AO8" s="934"/>
      <c r="AP8" s="933"/>
      <c r="AQ8" s="936"/>
      <c r="AR8" s="936"/>
      <c r="AS8" s="934"/>
      <c r="AT8" s="933"/>
      <c r="AU8" s="936"/>
      <c r="AV8" s="936"/>
      <c r="AW8" s="934"/>
      <c r="AX8" s="933"/>
      <c r="AY8" s="936"/>
      <c r="AZ8" s="936"/>
      <c r="BA8" s="934"/>
      <c r="BB8" s="933"/>
      <c r="BC8" s="936"/>
      <c r="BD8" s="936"/>
      <c r="BE8" s="934"/>
    </row>
    <row r="9" spans="1:57" s="937" customFormat="1" ht="21" customHeight="1">
      <c r="A9" s="938" t="s">
        <v>16</v>
      </c>
      <c r="B9" s="939" t="s">
        <v>17</v>
      </c>
      <c r="C9" s="938">
        <f>C10+C15</f>
        <v>3958629.4</v>
      </c>
      <c r="D9" s="938">
        <f t="shared" ref="D9:M9" si="1">D10+D15</f>
        <v>886141.4</v>
      </c>
      <c r="E9" s="938">
        <f t="shared" si="1"/>
        <v>464955</v>
      </c>
      <c r="F9" s="938">
        <f t="shared" si="1"/>
        <v>351193</v>
      </c>
      <c r="G9" s="938">
        <f t="shared" si="1"/>
        <v>342276</v>
      </c>
      <c r="H9" s="938">
        <f t="shared" si="1"/>
        <v>420097</v>
      </c>
      <c r="I9" s="938">
        <f t="shared" si="1"/>
        <v>389985</v>
      </c>
      <c r="J9" s="938">
        <f t="shared" si="1"/>
        <v>130497</v>
      </c>
      <c r="K9" s="938">
        <f t="shared" si="1"/>
        <v>254024</v>
      </c>
      <c r="L9" s="938">
        <f t="shared" si="1"/>
        <v>394091</v>
      </c>
      <c r="M9" s="938">
        <f t="shared" si="1"/>
        <v>325370</v>
      </c>
      <c r="N9" s="938">
        <f>N10+N15</f>
        <v>4396146.5940000005</v>
      </c>
      <c r="O9" s="938">
        <f t="shared" ref="O9:BD9" si="2">O10+O15</f>
        <v>4027670.594</v>
      </c>
      <c r="P9" s="938">
        <f t="shared" si="2"/>
        <v>368476</v>
      </c>
      <c r="Q9" s="940"/>
      <c r="R9" s="938">
        <f t="shared" si="2"/>
        <v>998038.16400000011</v>
      </c>
      <c r="S9" s="938">
        <f t="shared" si="2"/>
        <v>923189.16400000011</v>
      </c>
      <c r="T9" s="938">
        <f t="shared" si="2"/>
        <v>74849</v>
      </c>
      <c r="U9" s="940"/>
      <c r="V9" s="938">
        <f t="shared" si="2"/>
        <v>504188.09</v>
      </c>
      <c r="W9" s="938">
        <f t="shared" si="2"/>
        <v>450045.09</v>
      </c>
      <c r="X9" s="938">
        <f t="shared" si="2"/>
        <v>54143</v>
      </c>
      <c r="Y9" s="940"/>
      <c r="Z9" s="1416">
        <f t="shared" si="2"/>
        <v>393518.5</v>
      </c>
      <c r="AA9" s="1416">
        <f t="shared" si="2"/>
        <v>356403.5</v>
      </c>
      <c r="AB9" s="1416">
        <f t="shared" si="2"/>
        <v>37115</v>
      </c>
      <c r="AC9" s="940"/>
      <c r="AD9" s="938">
        <f t="shared" si="2"/>
        <v>376164.15</v>
      </c>
      <c r="AE9" s="938">
        <f t="shared" si="2"/>
        <v>338137.15</v>
      </c>
      <c r="AF9" s="938">
        <f t="shared" si="2"/>
        <v>38027</v>
      </c>
      <c r="AG9" s="940"/>
      <c r="AH9" s="938">
        <f t="shared" si="2"/>
        <v>465646.42</v>
      </c>
      <c r="AI9" s="938">
        <f t="shared" si="2"/>
        <v>426053.42</v>
      </c>
      <c r="AJ9" s="938">
        <f t="shared" si="2"/>
        <v>39593</v>
      </c>
      <c r="AK9" s="940"/>
      <c r="AL9" s="938">
        <f t="shared" si="2"/>
        <v>436499.82</v>
      </c>
      <c r="AM9" s="938">
        <f t="shared" si="2"/>
        <v>392516.82</v>
      </c>
      <c r="AN9" s="938">
        <f t="shared" si="2"/>
        <v>43983</v>
      </c>
      <c r="AO9" s="940"/>
      <c r="AP9" s="938">
        <f t="shared" si="2"/>
        <v>142115.68</v>
      </c>
      <c r="AQ9" s="938">
        <f t="shared" si="2"/>
        <v>137103.67999999999</v>
      </c>
      <c r="AR9" s="938">
        <f t="shared" si="2"/>
        <v>5012</v>
      </c>
      <c r="AS9" s="940"/>
      <c r="AT9" s="938">
        <f t="shared" si="2"/>
        <v>286587.12</v>
      </c>
      <c r="AU9" s="938">
        <f t="shared" si="2"/>
        <v>263137.12</v>
      </c>
      <c r="AV9" s="938">
        <f t="shared" si="2"/>
        <v>23450</v>
      </c>
      <c r="AW9" s="940"/>
      <c r="AX9" s="938">
        <f t="shared" si="2"/>
        <v>433496.52</v>
      </c>
      <c r="AY9" s="938">
        <f t="shared" si="2"/>
        <v>413365.52</v>
      </c>
      <c r="AZ9" s="938">
        <f t="shared" si="2"/>
        <v>20131</v>
      </c>
      <c r="BA9" s="940"/>
      <c r="BB9" s="938">
        <f t="shared" si="2"/>
        <v>359892.13</v>
      </c>
      <c r="BC9" s="938">
        <f t="shared" si="2"/>
        <v>327719.13</v>
      </c>
      <c r="BD9" s="938">
        <f t="shared" si="2"/>
        <v>32173</v>
      </c>
      <c r="BE9" s="940"/>
    </row>
    <row r="10" spans="1:57" s="937" customFormat="1" ht="24.75" customHeight="1">
      <c r="A10" s="941" t="s">
        <v>18</v>
      </c>
      <c r="B10" s="939" t="s">
        <v>19</v>
      </c>
      <c r="C10" s="942">
        <f>SUM(D10:M10)</f>
        <v>1512460</v>
      </c>
      <c r="D10" s="942">
        <f>'File goc huyen'!D15</f>
        <v>612915</v>
      </c>
      <c r="E10" s="942">
        <f>'File goc huyen'!E15</f>
        <v>93046</v>
      </c>
      <c r="F10" s="942">
        <f>'File goc huyen'!F15</f>
        <v>93743</v>
      </c>
      <c r="G10" s="942">
        <f>'File goc huyen'!G15</f>
        <v>100961</v>
      </c>
      <c r="H10" s="942">
        <f>'File goc huyen'!H15</f>
        <v>21855</v>
      </c>
      <c r="I10" s="942">
        <f>'File goc huyen'!I15</f>
        <v>88703</v>
      </c>
      <c r="J10" s="942">
        <f>'File goc huyen'!J15</f>
        <v>35229</v>
      </c>
      <c r="K10" s="942">
        <f>'File goc huyen'!K15</f>
        <v>57612</v>
      </c>
      <c r="L10" s="942">
        <f>'File goc huyen'!L15</f>
        <v>366539</v>
      </c>
      <c r="M10" s="942">
        <f>'File goc huyen'!M15</f>
        <v>41857</v>
      </c>
      <c r="N10" s="473">
        <f>O10+P10</f>
        <v>1557040</v>
      </c>
      <c r="O10" s="473">
        <f>ROUND(S10+W10+AA10+AE10+AI10+AM10+AQ10+AU10+AY10+BC10,0)</f>
        <v>1557040</v>
      </c>
      <c r="P10" s="473">
        <f>ROUND(T10+X10+AB10+AF10+AJ10+AN10+AR10+AV10+AZ10+BD10,0)</f>
        <v>0</v>
      </c>
      <c r="Q10" s="740"/>
      <c r="R10" s="473">
        <f>S10+T10</f>
        <v>647231</v>
      </c>
      <c r="S10" s="473">
        <f>S12</f>
        <v>647231</v>
      </c>
      <c r="T10" s="473"/>
      <c r="U10" s="740"/>
      <c r="V10" s="473">
        <f>W10+X10</f>
        <v>74417</v>
      </c>
      <c r="W10" s="473">
        <f t="shared" ref="W10:BC10" si="3">W12</f>
        <v>74417</v>
      </c>
      <c r="X10" s="473"/>
      <c r="Y10" s="740"/>
      <c r="Z10" s="1417">
        <f>AA10+AB10</f>
        <v>96379</v>
      </c>
      <c r="AA10" s="1417">
        <f t="shared" si="3"/>
        <v>96379</v>
      </c>
      <c r="AB10" s="1417"/>
      <c r="AC10" s="740"/>
      <c r="AD10" s="473">
        <f>AE10+AF10</f>
        <v>94409</v>
      </c>
      <c r="AE10" s="473">
        <f t="shared" si="3"/>
        <v>94409</v>
      </c>
      <c r="AF10" s="473"/>
      <c r="AG10" s="740"/>
      <c r="AH10" s="473">
        <f>AI10+AJ10</f>
        <v>23829</v>
      </c>
      <c r="AI10" s="473">
        <f t="shared" si="3"/>
        <v>23829</v>
      </c>
      <c r="AJ10" s="473"/>
      <c r="AK10" s="740"/>
      <c r="AL10" s="473">
        <f>AM10+AN10</f>
        <v>88222</v>
      </c>
      <c r="AM10" s="473">
        <f t="shared" si="3"/>
        <v>88222</v>
      </c>
      <c r="AN10" s="473"/>
      <c r="AO10" s="740"/>
      <c r="AP10" s="473">
        <f>AQ10+AR10</f>
        <v>40883</v>
      </c>
      <c r="AQ10" s="473">
        <f t="shared" si="3"/>
        <v>40883</v>
      </c>
      <c r="AR10" s="473"/>
      <c r="AS10" s="740"/>
      <c r="AT10" s="473">
        <f>AU10+AV10</f>
        <v>64761</v>
      </c>
      <c r="AU10" s="473">
        <f t="shared" si="3"/>
        <v>64761</v>
      </c>
      <c r="AV10" s="473"/>
      <c r="AW10" s="740"/>
      <c r="AX10" s="473">
        <f>AY10+AZ10</f>
        <v>385538</v>
      </c>
      <c r="AY10" s="473">
        <f t="shared" si="3"/>
        <v>385538</v>
      </c>
      <c r="AZ10" s="473"/>
      <c r="BA10" s="740"/>
      <c r="BB10" s="473">
        <f>BC10+BD10</f>
        <v>41371</v>
      </c>
      <c r="BC10" s="473">
        <f t="shared" si="3"/>
        <v>41371</v>
      </c>
      <c r="BD10" s="473"/>
      <c r="BE10" s="740"/>
    </row>
    <row r="11" spans="1:57" ht="19.5" customHeight="1">
      <c r="A11" s="943" t="s">
        <v>20</v>
      </c>
      <c r="B11" s="944" t="s">
        <v>21</v>
      </c>
      <c r="C11" s="942">
        <f t="shared" ref="C11:C76" si="4">SUM(D11:M11)</f>
        <v>4500000</v>
      </c>
      <c r="D11" s="945">
        <f>'File goc huyen'!D16</f>
        <v>2926900</v>
      </c>
      <c r="E11" s="945">
        <f>'File goc huyen'!E16</f>
        <v>168570</v>
      </c>
      <c r="F11" s="945">
        <f>'File goc huyen'!F16</f>
        <v>124580</v>
      </c>
      <c r="G11" s="945">
        <f>'File goc huyen'!G16</f>
        <v>434860</v>
      </c>
      <c r="H11" s="945">
        <f>'File goc huyen'!H16</f>
        <v>28130</v>
      </c>
      <c r="I11" s="945">
        <f>'File goc huyen'!I16</f>
        <v>112630</v>
      </c>
      <c r="J11" s="945">
        <f>'File goc huyen'!J16</f>
        <v>67600</v>
      </c>
      <c r="K11" s="945">
        <f>'File goc huyen'!K16</f>
        <v>76310</v>
      </c>
      <c r="L11" s="945">
        <f>'File goc huyen'!L16</f>
        <v>500260</v>
      </c>
      <c r="M11" s="945">
        <f>'File goc huyen'!M16</f>
        <v>60160</v>
      </c>
      <c r="N11" s="946">
        <f t="shared" ref="N11:N69" si="5">O11+P11</f>
        <v>4600000</v>
      </c>
      <c r="O11" s="946">
        <f t="shared" ref="O11:P14" si="6">S11+W11+AA11+AE11+AI11+AM11+AQ11+AU11+AY11+BC11</f>
        <v>4600000</v>
      </c>
      <c r="P11" s="946">
        <f t="shared" si="6"/>
        <v>0</v>
      </c>
      <c r="Q11" s="744"/>
      <c r="R11" s="946">
        <f t="shared" ref="R11:R69" si="7">S11+T11</f>
        <v>2991580</v>
      </c>
      <c r="S11" s="472">
        <f>'File goc huyen'!S16</f>
        <v>2991580</v>
      </c>
      <c r="T11" s="472"/>
      <c r="U11" s="744"/>
      <c r="V11" s="946">
        <f t="shared" ref="V11:V69" si="8">W11+X11</f>
        <v>133660</v>
      </c>
      <c r="W11" s="472">
        <f>'File goc huyen'!W16</f>
        <v>133660</v>
      </c>
      <c r="X11" s="472"/>
      <c r="Y11" s="744"/>
      <c r="Z11" s="1418">
        <f t="shared" ref="Z11:Z69" si="9">AA11+AB11</f>
        <v>126600</v>
      </c>
      <c r="AA11" s="1379">
        <f>'File goc huyen'!AA16</f>
        <v>126600</v>
      </c>
      <c r="AB11" s="1379"/>
      <c r="AC11" s="744"/>
      <c r="AD11" s="946">
        <f t="shared" ref="AD11:AD69" si="10">AE11+AF11</f>
        <v>430500</v>
      </c>
      <c r="AE11" s="472">
        <f>'File goc huyen'!AE16</f>
        <v>430500</v>
      </c>
      <c r="AF11" s="472"/>
      <c r="AG11" s="744"/>
      <c r="AH11" s="946">
        <f t="shared" ref="AH11:AH69" si="11">AI11+AJ11</f>
        <v>30500</v>
      </c>
      <c r="AI11" s="472">
        <f>'File goc huyen'!AI16</f>
        <v>30500</v>
      </c>
      <c r="AJ11" s="472"/>
      <c r="AK11" s="744"/>
      <c r="AL11" s="946">
        <f t="shared" ref="AL11:AL69" si="12">AM11+AN11</f>
        <v>114660</v>
      </c>
      <c r="AM11" s="472">
        <f>'File goc huyen'!AM16</f>
        <v>114660</v>
      </c>
      <c r="AN11" s="472"/>
      <c r="AO11" s="744"/>
      <c r="AP11" s="946">
        <f t="shared" ref="AP11:AP69" si="13">AQ11+AR11</f>
        <v>89700</v>
      </c>
      <c r="AQ11" s="472">
        <f>'File goc huyen'!AQ16</f>
        <v>89700</v>
      </c>
      <c r="AR11" s="472"/>
      <c r="AS11" s="744"/>
      <c r="AT11" s="946">
        <f t="shared" ref="AT11:AT69" si="14">AU11+AV11</f>
        <v>83900</v>
      </c>
      <c r="AU11" s="472">
        <f>'File goc huyen'!AU16</f>
        <v>83900</v>
      </c>
      <c r="AV11" s="472"/>
      <c r="AW11" s="744"/>
      <c r="AX11" s="946">
        <f t="shared" ref="AX11:AX69" si="15">AY11+AZ11</f>
        <v>538100</v>
      </c>
      <c r="AY11" s="472">
        <f>'File goc huyen'!AY16</f>
        <v>538100</v>
      </c>
      <c r="AZ11" s="472"/>
      <c r="BA11" s="744"/>
      <c r="BB11" s="946">
        <f t="shared" ref="BB11:BB69" si="16">BC11+BD11</f>
        <v>60800</v>
      </c>
      <c r="BC11" s="472">
        <f>'File goc huyen'!BC16</f>
        <v>60800</v>
      </c>
      <c r="BD11" s="472"/>
      <c r="BE11" s="744"/>
    </row>
    <row r="12" spans="1:57" ht="19.5" customHeight="1">
      <c r="A12" s="943" t="s">
        <v>20</v>
      </c>
      <c r="B12" s="944" t="s">
        <v>22</v>
      </c>
      <c r="C12" s="942">
        <f t="shared" si="4"/>
        <v>1512460</v>
      </c>
      <c r="D12" s="945">
        <f>'File goc huyen'!D17</f>
        <v>612915</v>
      </c>
      <c r="E12" s="945">
        <f>'File goc huyen'!E17</f>
        <v>93046</v>
      </c>
      <c r="F12" s="945">
        <f>'File goc huyen'!F17</f>
        <v>93743</v>
      </c>
      <c r="G12" s="945">
        <f>'File goc huyen'!G17</f>
        <v>100961</v>
      </c>
      <c r="H12" s="945">
        <f>'File goc huyen'!H17</f>
        <v>21855</v>
      </c>
      <c r="I12" s="945">
        <f>'File goc huyen'!I17</f>
        <v>88703</v>
      </c>
      <c r="J12" s="945">
        <f>'File goc huyen'!J17</f>
        <v>35229</v>
      </c>
      <c r="K12" s="945">
        <f>'File goc huyen'!K17</f>
        <v>57612</v>
      </c>
      <c r="L12" s="945">
        <f>'File goc huyen'!L17</f>
        <v>366539</v>
      </c>
      <c r="M12" s="945">
        <f>'File goc huyen'!M17</f>
        <v>41857</v>
      </c>
      <c r="N12" s="946">
        <f t="shared" si="5"/>
        <v>1557040</v>
      </c>
      <c r="O12" s="946">
        <f t="shared" si="6"/>
        <v>1557040</v>
      </c>
      <c r="P12" s="946">
        <f t="shared" si="6"/>
        <v>0</v>
      </c>
      <c r="Q12" s="744"/>
      <c r="R12" s="946">
        <f t="shared" si="7"/>
        <v>647231</v>
      </c>
      <c r="S12" s="472">
        <f>S13+S14</f>
        <v>647231</v>
      </c>
      <c r="T12" s="472"/>
      <c r="U12" s="744"/>
      <c r="V12" s="946">
        <f t="shared" si="8"/>
        <v>74417</v>
      </c>
      <c r="W12" s="472">
        <f t="shared" ref="W12:AY12" si="17">W13+W14</f>
        <v>74417</v>
      </c>
      <c r="X12" s="472"/>
      <c r="Y12" s="744"/>
      <c r="Z12" s="1418">
        <f t="shared" si="9"/>
        <v>96379</v>
      </c>
      <c r="AA12" s="1379">
        <f t="shared" si="17"/>
        <v>96379</v>
      </c>
      <c r="AB12" s="1379"/>
      <c r="AC12" s="744"/>
      <c r="AD12" s="946">
        <f t="shared" si="10"/>
        <v>94409</v>
      </c>
      <c r="AE12" s="472">
        <f t="shared" si="17"/>
        <v>94409</v>
      </c>
      <c r="AF12" s="472"/>
      <c r="AG12" s="744"/>
      <c r="AH12" s="946">
        <f t="shared" si="11"/>
        <v>23829</v>
      </c>
      <c r="AI12" s="472">
        <f t="shared" si="17"/>
        <v>23829</v>
      </c>
      <c r="AJ12" s="472"/>
      <c r="AK12" s="744"/>
      <c r="AL12" s="946">
        <f t="shared" si="12"/>
        <v>88222</v>
      </c>
      <c r="AM12" s="472">
        <f t="shared" si="17"/>
        <v>88222</v>
      </c>
      <c r="AN12" s="472"/>
      <c r="AO12" s="744"/>
      <c r="AP12" s="946">
        <f t="shared" si="13"/>
        <v>40883</v>
      </c>
      <c r="AQ12" s="472">
        <f t="shared" si="17"/>
        <v>40883</v>
      </c>
      <c r="AR12" s="472"/>
      <c r="AS12" s="744"/>
      <c r="AT12" s="946">
        <f t="shared" si="14"/>
        <v>64761</v>
      </c>
      <c r="AU12" s="472">
        <f t="shared" si="17"/>
        <v>64761</v>
      </c>
      <c r="AV12" s="472"/>
      <c r="AW12" s="744"/>
      <c r="AX12" s="946">
        <f t="shared" si="15"/>
        <v>385538</v>
      </c>
      <c r="AY12" s="472">
        <f t="shared" si="17"/>
        <v>385538</v>
      </c>
      <c r="AZ12" s="472"/>
      <c r="BA12" s="744"/>
      <c r="BB12" s="946">
        <f t="shared" si="16"/>
        <v>41371</v>
      </c>
      <c r="BC12" s="472">
        <f>BC13+BC14</f>
        <v>41371</v>
      </c>
      <c r="BD12" s="472"/>
      <c r="BE12" s="744"/>
    </row>
    <row r="13" spans="1:57" ht="19.5" customHeight="1">
      <c r="A13" s="943" t="s">
        <v>23</v>
      </c>
      <c r="B13" s="944" t="s">
        <v>24</v>
      </c>
      <c r="C13" s="942">
        <f t="shared" si="4"/>
        <v>753942</v>
      </c>
      <c r="D13" s="945">
        <f>'File goc huyen'!D18</f>
        <v>339440</v>
      </c>
      <c r="E13" s="945">
        <f>'File goc huyen'!E18</f>
        <v>47715</v>
      </c>
      <c r="F13" s="945">
        <f>'File goc huyen'!F18</f>
        <v>29613</v>
      </c>
      <c r="G13" s="945">
        <f>'File goc huyen'!G18</f>
        <v>46130</v>
      </c>
      <c r="H13" s="945">
        <f>'File goc huyen'!H18</f>
        <v>15203</v>
      </c>
      <c r="I13" s="945">
        <f>'File goc huyen'!I18</f>
        <v>26015</v>
      </c>
      <c r="J13" s="945">
        <f>'File goc huyen'!J18</f>
        <v>17919</v>
      </c>
      <c r="K13" s="945">
        <f>'File goc huyen'!K18</f>
        <v>30134</v>
      </c>
      <c r="L13" s="945">
        <f>'File goc huyen'!L18</f>
        <v>184749</v>
      </c>
      <c r="M13" s="945">
        <f>'File goc huyen'!M18</f>
        <v>17024</v>
      </c>
      <c r="N13" s="946">
        <f t="shared" si="5"/>
        <v>809015</v>
      </c>
      <c r="O13" s="946">
        <f t="shared" si="6"/>
        <v>809015</v>
      </c>
      <c r="P13" s="946">
        <f t="shared" si="6"/>
        <v>0</v>
      </c>
      <c r="Q13" s="744"/>
      <c r="R13" s="946">
        <f t="shared" si="7"/>
        <v>378750</v>
      </c>
      <c r="S13" s="472">
        <f>'File goc huyen'!S18</f>
        <v>378750</v>
      </c>
      <c r="T13" s="472"/>
      <c r="U13" s="744"/>
      <c r="V13" s="946">
        <f t="shared" si="8"/>
        <v>44300</v>
      </c>
      <c r="W13" s="472">
        <f>'File goc huyen'!W18</f>
        <v>44300</v>
      </c>
      <c r="X13" s="472"/>
      <c r="Y13" s="744"/>
      <c r="Z13" s="1418">
        <f t="shared" si="9"/>
        <v>28748</v>
      </c>
      <c r="AA13" s="1379">
        <f>'File goc huyen'!AA18</f>
        <v>28748</v>
      </c>
      <c r="AB13" s="1379"/>
      <c r="AC13" s="744"/>
      <c r="AD13" s="946">
        <f t="shared" si="10"/>
        <v>45180</v>
      </c>
      <c r="AE13" s="472">
        <f>'File goc huyen'!AE18</f>
        <v>45180</v>
      </c>
      <c r="AF13" s="472"/>
      <c r="AG13" s="744"/>
      <c r="AH13" s="946">
        <f t="shared" si="11"/>
        <v>15383</v>
      </c>
      <c r="AI13" s="472">
        <f>'File goc huyen'!AI18</f>
        <v>15383</v>
      </c>
      <c r="AJ13" s="472"/>
      <c r="AK13" s="744"/>
      <c r="AL13" s="946">
        <f t="shared" si="12"/>
        <v>32865</v>
      </c>
      <c r="AM13" s="472">
        <f>'File goc huyen'!AM18</f>
        <v>32865</v>
      </c>
      <c r="AN13" s="472"/>
      <c r="AO13" s="744"/>
      <c r="AP13" s="946">
        <f t="shared" si="13"/>
        <v>14684</v>
      </c>
      <c r="AQ13" s="472">
        <f>'File goc huyen'!AQ18</f>
        <v>14684</v>
      </c>
      <c r="AR13" s="472"/>
      <c r="AS13" s="744"/>
      <c r="AT13" s="946">
        <f t="shared" si="14"/>
        <v>21288</v>
      </c>
      <c r="AU13" s="472">
        <f>'File goc huyen'!AU18</f>
        <v>21288</v>
      </c>
      <c r="AV13" s="472"/>
      <c r="AW13" s="744"/>
      <c r="AX13" s="946">
        <f t="shared" si="15"/>
        <v>211279</v>
      </c>
      <c r="AY13" s="472">
        <f>'File goc huyen'!AY18</f>
        <v>211279</v>
      </c>
      <c r="AZ13" s="472"/>
      <c r="BA13" s="744"/>
      <c r="BB13" s="946">
        <f t="shared" si="16"/>
        <v>16538</v>
      </c>
      <c r="BC13" s="472">
        <f>'File goc huyen'!BC18</f>
        <v>16538</v>
      </c>
      <c r="BD13" s="472"/>
      <c r="BE13" s="744"/>
    </row>
    <row r="14" spans="1:57" ht="19.5" customHeight="1">
      <c r="A14" s="943" t="s">
        <v>23</v>
      </c>
      <c r="B14" s="944" t="s">
        <v>25</v>
      </c>
      <c r="C14" s="942">
        <f t="shared" si="4"/>
        <v>758518</v>
      </c>
      <c r="D14" s="945">
        <f>'File goc huyen'!D19</f>
        <v>273475</v>
      </c>
      <c r="E14" s="945">
        <f>'File goc huyen'!E19</f>
        <v>45331</v>
      </c>
      <c r="F14" s="945">
        <f>'File goc huyen'!F19</f>
        <v>64130</v>
      </c>
      <c r="G14" s="945">
        <f>'File goc huyen'!G19</f>
        <v>54831</v>
      </c>
      <c r="H14" s="945">
        <f>'File goc huyen'!H19</f>
        <v>6652</v>
      </c>
      <c r="I14" s="945">
        <f>'File goc huyen'!I19</f>
        <v>62688</v>
      </c>
      <c r="J14" s="945">
        <f>'File goc huyen'!J19</f>
        <v>17310</v>
      </c>
      <c r="K14" s="945">
        <f>'File goc huyen'!K19</f>
        <v>27478</v>
      </c>
      <c r="L14" s="945">
        <f>'File goc huyen'!L19</f>
        <v>181790</v>
      </c>
      <c r="M14" s="945">
        <f>'File goc huyen'!M19</f>
        <v>24833</v>
      </c>
      <c r="N14" s="946">
        <f t="shared" si="5"/>
        <v>748025</v>
      </c>
      <c r="O14" s="946">
        <f t="shared" si="6"/>
        <v>748025</v>
      </c>
      <c r="P14" s="946">
        <f t="shared" si="6"/>
        <v>0</v>
      </c>
      <c r="Q14" s="744"/>
      <c r="R14" s="946">
        <f t="shared" si="7"/>
        <v>268481</v>
      </c>
      <c r="S14" s="472">
        <f>'File goc huyen'!S19</f>
        <v>268481</v>
      </c>
      <c r="T14" s="472"/>
      <c r="U14" s="744"/>
      <c r="V14" s="946">
        <f t="shared" si="8"/>
        <v>30117</v>
      </c>
      <c r="W14" s="472">
        <f>'File goc huyen'!W19</f>
        <v>30117</v>
      </c>
      <c r="X14" s="472"/>
      <c r="Y14" s="744"/>
      <c r="Z14" s="1418">
        <f t="shared" si="9"/>
        <v>67631</v>
      </c>
      <c r="AA14" s="1379">
        <f>'File goc huyen'!AA19</f>
        <v>67631</v>
      </c>
      <c r="AB14" s="1379"/>
      <c r="AC14" s="744"/>
      <c r="AD14" s="946">
        <f t="shared" si="10"/>
        <v>49229</v>
      </c>
      <c r="AE14" s="472">
        <f>'File goc huyen'!AE19</f>
        <v>49229</v>
      </c>
      <c r="AF14" s="472"/>
      <c r="AG14" s="744"/>
      <c r="AH14" s="946">
        <f t="shared" si="11"/>
        <v>8446</v>
      </c>
      <c r="AI14" s="472">
        <f>'File goc huyen'!AI19</f>
        <v>8446</v>
      </c>
      <c r="AJ14" s="472"/>
      <c r="AK14" s="744"/>
      <c r="AL14" s="946">
        <f t="shared" si="12"/>
        <v>55357</v>
      </c>
      <c r="AM14" s="472">
        <f>'File goc huyen'!AM19</f>
        <v>55357</v>
      </c>
      <c r="AN14" s="472"/>
      <c r="AO14" s="744"/>
      <c r="AP14" s="946">
        <f t="shared" si="13"/>
        <v>26199</v>
      </c>
      <c r="AQ14" s="472">
        <f>'File goc huyen'!AQ19</f>
        <v>26199</v>
      </c>
      <c r="AR14" s="472"/>
      <c r="AS14" s="744"/>
      <c r="AT14" s="946">
        <f t="shared" si="14"/>
        <v>43473</v>
      </c>
      <c r="AU14" s="472">
        <f>'File goc huyen'!AU19</f>
        <v>43473</v>
      </c>
      <c r="AV14" s="472"/>
      <c r="AW14" s="744"/>
      <c r="AX14" s="946">
        <f t="shared" si="15"/>
        <v>174259</v>
      </c>
      <c r="AY14" s="472">
        <f>'File goc huyen'!AY19</f>
        <v>174259</v>
      </c>
      <c r="AZ14" s="472"/>
      <c r="BA14" s="744"/>
      <c r="BB14" s="946">
        <f t="shared" si="16"/>
        <v>24833</v>
      </c>
      <c r="BC14" s="472">
        <f>'File goc huyen'!BC19</f>
        <v>24833</v>
      </c>
      <c r="BD14" s="472"/>
      <c r="BE14" s="744"/>
    </row>
    <row r="15" spans="1:57" s="937" customFormat="1" ht="19.5" customHeight="1">
      <c r="A15" s="941" t="s">
        <v>26</v>
      </c>
      <c r="B15" s="939" t="s">
        <v>27</v>
      </c>
      <c r="C15" s="942">
        <f t="shared" si="4"/>
        <v>2446169.4</v>
      </c>
      <c r="D15" s="942">
        <f>D16+D19</f>
        <v>273226.40000000002</v>
      </c>
      <c r="E15" s="942">
        <f t="shared" ref="E15:M15" si="18">E16+E19</f>
        <v>371909</v>
      </c>
      <c r="F15" s="942">
        <f t="shared" si="18"/>
        <v>257450</v>
      </c>
      <c r="G15" s="942">
        <f t="shared" si="18"/>
        <v>241315</v>
      </c>
      <c r="H15" s="942">
        <f t="shared" si="18"/>
        <v>398242</v>
      </c>
      <c r="I15" s="942">
        <f t="shared" si="18"/>
        <v>301282</v>
      </c>
      <c r="J15" s="942">
        <f t="shared" si="18"/>
        <v>95268</v>
      </c>
      <c r="K15" s="942">
        <f t="shared" si="18"/>
        <v>196412</v>
      </c>
      <c r="L15" s="942">
        <f t="shared" si="18"/>
        <v>27552</v>
      </c>
      <c r="M15" s="942">
        <f t="shared" si="18"/>
        <v>283513</v>
      </c>
      <c r="N15" s="938">
        <f t="shared" si="5"/>
        <v>2839106.594</v>
      </c>
      <c r="O15" s="938">
        <f>O16+O19</f>
        <v>2470630.594</v>
      </c>
      <c r="P15" s="938">
        <f>P16+P19</f>
        <v>368476</v>
      </c>
      <c r="Q15" s="940"/>
      <c r="R15" s="938">
        <f t="shared" si="7"/>
        <v>350807.16400000005</v>
      </c>
      <c r="S15" s="938">
        <f t="shared" ref="S15:BD15" si="19">S16+S19</f>
        <v>275958.16400000005</v>
      </c>
      <c r="T15" s="938">
        <f t="shared" si="19"/>
        <v>74849</v>
      </c>
      <c r="U15" s="940"/>
      <c r="V15" s="938">
        <f t="shared" si="8"/>
        <v>429771.09</v>
      </c>
      <c r="W15" s="938">
        <f t="shared" si="19"/>
        <v>375628.09</v>
      </c>
      <c r="X15" s="938">
        <f t="shared" si="19"/>
        <v>54143</v>
      </c>
      <c r="Y15" s="940"/>
      <c r="Z15" s="1416">
        <f t="shared" si="9"/>
        <v>297139.5</v>
      </c>
      <c r="AA15" s="1416">
        <f t="shared" si="19"/>
        <v>260024.5</v>
      </c>
      <c r="AB15" s="1416">
        <f t="shared" si="19"/>
        <v>37115</v>
      </c>
      <c r="AC15" s="940"/>
      <c r="AD15" s="938">
        <f t="shared" si="10"/>
        <v>281755.15000000002</v>
      </c>
      <c r="AE15" s="938">
        <f t="shared" si="19"/>
        <v>243728.15</v>
      </c>
      <c r="AF15" s="938">
        <f t="shared" si="19"/>
        <v>38027</v>
      </c>
      <c r="AG15" s="940"/>
      <c r="AH15" s="938">
        <f t="shared" si="11"/>
        <v>441817.42</v>
      </c>
      <c r="AI15" s="938">
        <f t="shared" si="19"/>
        <v>402224.42</v>
      </c>
      <c r="AJ15" s="938">
        <f t="shared" si="19"/>
        <v>39593</v>
      </c>
      <c r="AK15" s="940"/>
      <c r="AL15" s="938">
        <f t="shared" si="12"/>
        <v>348277.82</v>
      </c>
      <c r="AM15" s="938">
        <f t="shared" si="19"/>
        <v>304294.82</v>
      </c>
      <c r="AN15" s="938">
        <f t="shared" si="19"/>
        <v>43983</v>
      </c>
      <c r="AO15" s="940"/>
      <c r="AP15" s="938">
        <f t="shared" si="13"/>
        <v>101232.68</v>
      </c>
      <c r="AQ15" s="938">
        <f t="shared" si="19"/>
        <v>96220.68</v>
      </c>
      <c r="AR15" s="938">
        <f t="shared" si="19"/>
        <v>5012</v>
      </c>
      <c r="AS15" s="940"/>
      <c r="AT15" s="938">
        <f t="shared" si="14"/>
        <v>221826.12</v>
      </c>
      <c r="AU15" s="938">
        <f t="shared" si="19"/>
        <v>198376.12</v>
      </c>
      <c r="AV15" s="938">
        <f t="shared" si="19"/>
        <v>23450</v>
      </c>
      <c r="AW15" s="940"/>
      <c r="AX15" s="938">
        <f t="shared" si="15"/>
        <v>47958.520000000004</v>
      </c>
      <c r="AY15" s="938">
        <f t="shared" si="19"/>
        <v>27827.52</v>
      </c>
      <c r="AZ15" s="938">
        <f t="shared" si="19"/>
        <v>20131</v>
      </c>
      <c r="BA15" s="940"/>
      <c r="BB15" s="938">
        <f t="shared" si="16"/>
        <v>318521.13</v>
      </c>
      <c r="BC15" s="938">
        <f t="shared" si="19"/>
        <v>286348.13</v>
      </c>
      <c r="BD15" s="938">
        <f t="shared" si="19"/>
        <v>32173</v>
      </c>
      <c r="BE15" s="940"/>
    </row>
    <row r="16" spans="1:57" s="937" customFormat="1" ht="28.5" customHeight="1">
      <c r="A16" s="941" t="s">
        <v>42</v>
      </c>
      <c r="B16" s="939" t="s">
        <v>1550</v>
      </c>
      <c r="C16" s="942">
        <f t="shared" si="4"/>
        <v>2446169.4</v>
      </c>
      <c r="D16" s="942">
        <f>'File goc huyen'!D23</f>
        <v>273226.40000000002</v>
      </c>
      <c r="E16" s="942">
        <f>'File goc huyen'!E23</f>
        <v>371909</v>
      </c>
      <c r="F16" s="942">
        <f>'File goc huyen'!F23</f>
        <v>257450</v>
      </c>
      <c r="G16" s="942">
        <f>'File goc huyen'!G23</f>
        <v>241315</v>
      </c>
      <c r="H16" s="942">
        <f>'File goc huyen'!H23</f>
        <v>398242</v>
      </c>
      <c r="I16" s="942">
        <f>'File goc huyen'!I23</f>
        <v>301282</v>
      </c>
      <c r="J16" s="942">
        <f>'File goc huyen'!J23</f>
        <v>95268</v>
      </c>
      <c r="K16" s="942">
        <f>'File goc huyen'!K23</f>
        <v>196412</v>
      </c>
      <c r="L16" s="942">
        <f>'File goc huyen'!L23</f>
        <v>27552</v>
      </c>
      <c r="M16" s="942">
        <f>'File goc huyen'!M23</f>
        <v>283513</v>
      </c>
      <c r="N16" s="938">
        <f t="shared" si="5"/>
        <v>2470630.594</v>
      </c>
      <c r="O16" s="938">
        <f>S16+W16+AA16+AE16+AI16+AM16+AQ16+AU16+AY16+BC16</f>
        <v>2470630.594</v>
      </c>
      <c r="P16" s="938">
        <f>T16+X16+AB16+AF16+AJ16+AN16+AR16+AV16+AZ16+BD16</f>
        <v>0</v>
      </c>
      <c r="Q16" s="940"/>
      <c r="R16" s="938">
        <f t="shared" si="7"/>
        <v>275958.16400000005</v>
      </c>
      <c r="S16" s="938">
        <f>'File goc huyen'!S22-0.5</f>
        <v>275958.16400000005</v>
      </c>
      <c r="T16" s="938"/>
      <c r="U16" s="940"/>
      <c r="V16" s="938">
        <f t="shared" si="8"/>
        <v>375628.09</v>
      </c>
      <c r="W16" s="938">
        <f>'File goc huyen'!W22</f>
        <v>375628.09</v>
      </c>
      <c r="X16" s="938"/>
      <c r="Y16" s="940"/>
      <c r="Z16" s="1416">
        <f t="shared" si="9"/>
        <v>260024.5</v>
      </c>
      <c r="AA16" s="1416">
        <f>'File goc huyen'!AA22</f>
        <v>260024.5</v>
      </c>
      <c r="AB16" s="1416"/>
      <c r="AC16" s="940"/>
      <c r="AD16" s="938">
        <f t="shared" si="10"/>
        <v>243728.15</v>
      </c>
      <c r="AE16" s="938">
        <f>'File goc huyen'!AE22</f>
        <v>243728.15</v>
      </c>
      <c r="AF16" s="938"/>
      <c r="AG16" s="940"/>
      <c r="AH16" s="938">
        <f t="shared" si="11"/>
        <v>402224.42</v>
      </c>
      <c r="AI16" s="938">
        <f>'File goc huyen'!AI22</f>
        <v>402224.42</v>
      </c>
      <c r="AJ16" s="938"/>
      <c r="AK16" s="940"/>
      <c r="AL16" s="938">
        <f t="shared" si="12"/>
        <v>304294.82</v>
      </c>
      <c r="AM16" s="938">
        <f>'File goc huyen'!AM22</f>
        <v>304294.82</v>
      </c>
      <c r="AN16" s="938"/>
      <c r="AO16" s="940"/>
      <c r="AP16" s="938">
        <f t="shared" si="13"/>
        <v>96220.68</v>
      </c>
      <c r="AQ16" s="938">
        <f>'File goc huyen'!AQ22</f>
        <v>96220.68</v>
      </c>
      <c r="AR16" s="938"/>
      <c r="AS16" s="940"/>
      <c r="AT16" s="938">
        <f t="shared" si="14"/>
        <v>198376.12</v>
      </c>
      <c r="AU16" s="938">
        <f>'File goc huyen'!AU22</f>
        <v>198376.12</v>
      </c>
      <c r="AV16" s="938"/>
      <c r="AW16" s="940"/>
      <c r="AX16" s="938">
        <f t="shared" si="15"/>
        <v>27827.52</v>
      </c>
      <c r="AY16" s="938">
        <f>'File goc huyen'!AY22</f>
        <v>27827.52</v>
      </c>
      <c r="AZ16" s="938"/>
      <c r="BA16" s="940"/>
      <c r="BB16" s="938">
        <f t="shared" si="16"/>
        <v>286348.13</v>
      </c>
      <c r="BC16" s="938">
        <f>'File goc huyen'!BC22</f>
        <v>286348.13</v>
      </c>
      <c r="BD16" s="938"/>
      <c r="BE16" s="940"/>
    </row>
    <row r="17" spans="1:58" ht="19.5" customHeight="1">
      <c r="A17" s="943"/>
      <c r="B17" s="944" t="s">
        <v>1942</v>
      </c>
      <c r="C17" s="942">
        <f t="shared" si="4"/>
        <v>0</v>
      </c>
      <c r="D17" s="945"/>
      <c r="E17" s="945"/>
      <c r="F17" s="945"/>
      <c r="G17" s="945"/>
      <c r="H17" s="945"/>
      <c r="I17" s="945"/>
      <c r="J17" s="945"/>
      <c r="K17" s="945"/>
      <c r="L17" s="945"/>
      <c r="M17" s="945"/>
      <c r="N17" s="946">
        <f t="shared" ref="N17:N18" si="20">O17+P17</f>
        <v>2446169</v>
      </c>
      <c r="O17" s="946">
        <f t="shared" ref="O17:O18" si="21">S17+W17+AA17+AE17+AI17+AM17+AQ17+AU17+AY17+BC17</f>
        <v>2446169</v>
      </c>
      <c r="P17" s="946"/>
      <c r="Q17" s="947"/>
      <c r="R17" s="946">
        <f t="shared" si="7"/>
        <v>273226</v>
      </c>
      <c r="S17" s="946">
        <v>273226</v>
      </c>
      <c r="T17" s="946"/>
      <c r="U17" s="947"/>
      <c r="V17" s="946">
        <f t="shared" si="8"/>
        <v>371909</v>
      </c>
      <c r="W17" s="946">
        <v>371909</v>
      </c>
      <c r="X17" s="946"/>
      <c r="Y17" s="947"/>
      <c r="Z17" s="1418">
        <f t="shared" si="9"/>
        <v>257450</v>
      </c>
      <c r="AA17" s="1418">
        <v>257450</v>
      </c>
      <c r="AB17" s="1418"/>
      <c r="AC17" s="947"/>
      <c r="AD17" s="946">
        <f t="shared" si="10"/>
        <v>241315</v>
      </c>
      <c r="AE17" s="946">
        <v>241315</v>
      </c>
      <c r="AF17" s="946"/>
      <c r="AG17" s="947"/>
      <c r="AH17" s="946">
        <f t="shared" si="11"/>
        <v>398242</v>
      </c>
      <c r="AI17" s="946">
        <v>398242</v>
      </c>
      <c r="AJ17" s="946"/>
      <c r="AK17" s="947"/>
      <c r="AL17" s="946">
        <f t="shared" si="12"/>
        <v>301282</v>
      </c>
      <c r="AM17" s="946">
        <v>301282</v>
      </c>
      <c r="AN17" s="946"/>
      <c r="AO17" s="947"/>
      <c r="AP17" s="946">
        <f t="shared" si="13"/>
        <v>95268</v>
      </c>
      <c r="AQ17" s="946">
        <v>95268</v>
      </c>
      <c r="AR17" s="946"/>
      <c r="AS17" s="947"/>
      <c r="AT17" s="946">
        <f t="shared" si="14"/>
        <v>196412</v>
      </c>
      <c r="AU17" s="946">
        <v>196412</v>
      </c>
      <c r="AV17" s="946"/>
      <c r="AW17" s="947"/>
      <c r="AX17" s="946">
        <f t="shared" si="15"/>
        <v>27552</v>
      </c>
      <c r="AY17" s="946">
        <v>27552</v>
      </c>
      <c r="AZ17" s="946"/>
      <c r="BA17" s="947"/>
      <c r="BB17" s="946">
        <f t="shared" si="16"/>
        <v>283513</v>
      </c>
      <c r="BC17" s="946">
        <v>283513</v>
      </c>
      <c r="BD17" s="946"/>
      <c r="BE17" s="947"/>
    </row>
    <row r="18" spans="1:58" ht="19.5" customHeight="1">
      <c r="A18" s="943"/>
      <c r="B18" s="944" t="s">
        <v>1943</v>
      </c>
      <c r="C18" s="942">
        <f t="shared" si="4"/>
        <v>0</v>
      </c>
      <c r="D18" s="945"/>
      <c r="E18" s="945"/>
      <c r="F18" s="945"/>
      <c r="G18" s="945"/>
      <c r="H18" s="945"/>
      <c r="I18" s="945"/>
      <c r="J18" s="945"/>
      <c r="K18" s="945"/>
      <c r="L18" s="945"/>
      <c r="M18" s="945"/>
      <c r="N18" s="946">
        <f t="shared" si="20"/>
        <v>24462</v>
      </c>
      <c r="O18" s="946">
        <f t="shared" si="21"/>
        <v>24462</v>
      </c>
      <c r="P18" s="946"/>
      <c r="Q18" s="947"/>
      <c r="R18" s="946">
        <f t="shared" si="7"/>
        <v>2732</v>
      </c>
      <c r="S18" s="946">
        <f>ROUND(S17*1%,0)</f>
        <v>2732</v>
      </c>
      <c r="T18" s="946"/>
      <c r="U18" s="947"/>
      <c r="V18" s="946">
        <f t="shared" si="8"/>
        <v>3719</v>
      </c>
      <c r="W18" s="946">
        <f>ROUND(W17*1%,0)</f>
        <v>3719</v>
      </c>
      <c r="X18" s="946"/>
      <c r="Y18" s="947"/>
      <c r="Z18" s="1418">
        <f t="shared" si="9"/>
        <v>2575</v>
      </c>
      <c r="AA18" s="1418">
        <f>ROUND(AA17*1%,0)</f>
        <v>2575</v>
      </c>
      <c r="AB18" s="1418"/>
      <c r="AC18" s="947"/>
      <c r="AD18" s="946">
        <f t="shared" si="10"/>
        <v>2413</v>
      </c>
      <c r="AE18" s="946">
        <f>ROUND(AE17*1%,0)</f>
        <v>2413</v>
      </c>
      <c r="AF18" s="946"/>
      <c r="AG18" s="947"/>
      <c r="AH18" s="946">
        <f t="shared" si="11"/>
        <v>3982</v>
      </c>
      <c r="AI18" s="946">
        <f>ROUND(AI17*1%,0)</f>
        <v>3982</v>
      </c>
      <c r="AJ18" s="946"/>
      <c r="AK18" s="947"/>
      <c r="AL18" s="946">
        <f t="shared" si="12"/>
        <v>3013</v>
      </c>
      <c r="AM18" s="946">
        <f>ROUND(AM17*1%,0)</f>
        <v>3013</v>
      </c>
      <c r="AN18" s="946"/>
      <c r="AO18" s="947"/>
      <c r="AP18" s="946">
        <f t="shared" si="13"/>
        <v>953</v>
      </c>
      <c r="AQ18" s="946">
        <f>ROUND(AQ17*1%,0)</f>
        <v>953</v>
      </c>
      <c r="AR18" s="946"/>
      <c r="AS18" s="947"/>
      <c r="AT18" s="946">
        <f t="shared" si="14"/>
        <v>1964</v>
      </c>
      <c r="AU18" s="946">
        <f>ROUND(AU17*1%,0)</f>
        <v>1964</v>
      </c>
      <c r="AV18" s="946"/>
      <c r="AW18" s="947"/>
      <c r="AX18" s="946">
        <f t="shared" si="15"/>
        <v>276</v>
      </c>
      <c r="AY18" s="946">
        <f>ROUND(AY17*1%,0)</f>
        <v>276</v>
      </c>
      <c r="AZ18" s="946"/>
      <c r="BA18" s="947"/>
      <c r="BB18" s="946">
        <f t="shared" si="16"/>
        <v>2835</v>
      </c>
      <c r="BC18" s="946">
        <f>ROUND(BC17*1%,0)</f>
        <v>2835</v>
      </c>
      <c r="BD18" s="946"/>
      <c r="BE18" s="947"/>
    </row>
    <row r="19" spans="1:58" s="937" customFormat="1" ht="28.5" customHeight="1">
      <c r="A19" s="941" t="s">
        <v>52</v>
      </c>
      <c r="B19" s="939" t="s">
        <v>1906</v>
      </c>
      <c r="C19" s="942">
        <f t="shared" si="4"/>
        <v>0</v>
      </c>
      <c r="D19" s="942"/>
      <c r="E19" s="942"/>
      <c r="F19" s="942"/>
      <c r="G19" s="942"/>
      <c r="H19" s="942"/>
      <c r="I19" s="942"/>
      <c r="J19" s="942"/>
      <c r="K19" s="942"/>
      <c r="L19" s="942"/>
      <c r="M19" s="942"/>
      <c r="N19" s="938">
        <f>O19+P19</f>
        <v>368476</v>
      </c>
      <c r="O19" s="938">
        <f t="shared" ref="O19:P25" si="22">S19+W19+AA19+AE19+AI19+AM19+AQ19+AU19+AY19+BC19</f>
        <v>0</v>
      </c>
      <c r="P19" s="938">
        <f>T19+X19+AB19+AF19+AJ19+AN19+AR19+AV19+AZ19+BD19</f>
        <v>368476</v>
      </c>
      <c r="Q19" s="940"/>
      <c r="R19" s="938">
        <f>S19+T19</f>
        <v>74849</v>
      </c>
      <c r="S19" s="938">
        <f>S20+S25</f>
        <v>0</v>
      </c>
      <c r="T19" s="938">
        <f>T20-T23</f>
        <v>74849</v>
      </c>
      <c r="U19" s="940"/>
      <c r="V19" s="938">
        <f>W19+X19</f>
        <v>54143</v>
      </c>
      <c r="W19" s="938">
        <f>W20+W25</f>
        <v>0</v>
      </c>
      <c r="X19" s="938">
        <f>X20-X23</f>
        <v>54143</v>
      </c>
      <c r="Y19" s="940"/>
      <c r="Z19" s="1416">
        <f t="shared" si="9"/>
        <v>37115</v>
      </c>
      <c r="AA19" s="1416">
        <f>AA20+AA25</f>
        <v>0</v>
      </c>
      <c r="AB19" s="1416">
        <f>AB20-AB23</f>
        <v>37115</v>
      </c>
      <c r="AC19" s="940"/>
      <c r="AD19" s="938">
        <f t="shared" si="10"/>
        <v>38027</v>
      </c>
      <c r="AE19" s="938">
        <f>AE20+AE25</f>
        <v>0</v>
      </c>
      <c r="AF19" s="938">
        <f>AF20-AF23</f>
        <v>38027</v>
      </c>
      <c r="AG19" s="940"/>
      <c r="AH19" s="938">
        <f t="shared" si="11"/>
        <v>39593</v>
      </c>
      <c r="AI19" s="938">
        <f>AI20+AI25</f>
        <v>0</v>
      </c>
      <c r="AJ19" s="938">
        <f>AJ20-AJ23</f>
        <v>39593</v>
      </c>
      <c r="AK19" s="940"/>
      <c r="AL19" s="938">
        <f t="shared" si="12"/>
        <v>43983</v>
      </c>
      <c r="AM19" s="938">
        <f>AM20+AM25</f>
        <v>0</v>
      </c>
      <c r="AN19" s="938">
        <f>AN20-AN23</f>
        <v>43983</v>
      </c>
      <c r="AO19" s="940"/>
      <c r="AP19" s="938">
        <f t="shared" si="13"/>
        <v>5012</v>
      </c>
      <c r="AQ19" s="938">
        <f>AQ20+AQ25</f>
        <v>0</v>
      </c>
      <c r="AR19" s="938">
        <f>AR20-AR23</f>
        <v>5012</v>
      </c>
      <c r="AS19" s="940"/>
      <c r="AT19" s="938">
        <f t="shared" si="14"/>
        <v>23450</v>
      </c>
      <c r="AU19" s="938">
        <f>AU20+AU25</f>
        <v>0</v>
      </c>
      <c r="AV19" s="938">
        <f>AV20-AV23</f>
        <v>23450</v>
      </c>
      <c r="AW19" s="940"/>
      <c r="AX19" s="938">
        <f t="shared" si="15"/>
        <v>20131</v>
      </c>
      <c r="AY19" s="938">
        <f>AY20+AY25</f>
        <v>0</v>
      </c>
      <c r="AZ19" s="938">
        <f>AZ20-AZ23</f>
        <v>20131</v>
      </c>
      <c r="BA19" s="940"/>
      <c r="BB19" s="938">
        <f t="shared" si="16"/>
        <v>32173</v>
      </c>
      <c r="BC19" s="938">
        <f>BC20+BC25</f>
        <v>0</v>
      </c>
      <c r="BD19" s="938">
        <f>BD20-BD23</f>
        <v>32173</v>
      </c>
      <c r="BE19" s="940"/>
    </row>
    <row r="20" spans="1:58" ht="28.5" customHeight="1">
      <c r="A20" s="943" t="s">
        <v>45</v>
      </c>
      <c r="B20" s="944" t="s">
        <v>1907</v>
      </c>
      <c r="C20" s="942">
        <f t="shared" si="4"/>
        <v>0</v>
      </c>
      <c r="D20" s="945"/>
      <c r="E20" s="945"/>
      <c r="F20" s="945"/>
      <c r="G20" s="945"/>
      <c r="H20" s="945"/>
      <c r="I20" s="945"/>
      <c r="J20" s="945"/>
      <c r="K20" s="945"/>
      <c r="L20" s="945"/>
      <c r="M20" s="945"/>
      <c r="N20" s="946">
        <f t="shared" si="5"/>
        <v>371346</v>
      </c>
      <c r="O20" s="946">
        <f t="shared" si="22"/>
        <v>0</v>
      </c>
      <c r="P20" s="946">
        <f t="shared" si="22"/>
        <v>371346</v>
      </c>
      <c r="Q20" s="947"/>
      <c r="R20" s="946">
        <f t="shared" si="7"/>
        <v>70095</v>
      </c>
      <c r="S20" s="946">
        <f>S21-S22-S24</f>
        <v>0</v>
      </c>
      <c r="T20" s="946">
        <f>T21-T22</f>
        <v>70095</v>
      </c>
      <c r="U20" s="947"/>
      <c r="V20" s="946">
        <f t="shared" si="8"/>
        <v>46238</v>
      </c>
      <c r="W20" s="946">
        <f>W21-W22-W24</f>
        <v>0</v>
      </c>
      <c r="X20" s="946">
        <f>X21-X22</f>
        <v>46238</v>
      </c>
      <c r="Y20" s="947"/>
      <c r="Z20" s="1418">
        <f t="shared" si="9"/>
        <v>38436</v>
      </c>
      <c r="AA20" s="1418">
        <f>AA21-AA22-AA24</f>
        <v>0</v>
      </c>
      <c r="AB20" s="1418">
        <f>AB21-AB22</f>
        <v>38436</v>
      </c>
      <c r="AC20" s="947"/>
      <c r="AD20" s="946">
        <f t="shared" si="10"/>
        <v>35191</v>
      </c>
      <c r="AE20" s="946">
        <f>AE21-AE22-AE24</f>
        <v>0</v>
      </c>
      <c r="AF20" s="946">
        <f>AF21-AF22</f>
        <v>35191</v>
      </c>
      <c r="AG20" s="947"/>
      <c r="AH20" s="946">
        <f t="shared" si="11"/>
        <v>40445</v>
      </c>
      <c r="AI20" s="946">
        <f>AI21-AI22-AI24</f>
        <v>0</v>
      </c>
      <c r="AJ20" s="946">
        <f>AJ21-AJ22</f>
        <v>40445</v>
      </c>
      <c r="AK20" s="947"/>
      <c r="AL20" s="946">
        <f t="shared" si="12"/>
        <v>41492</v>
      </c>
      <c r="AM20" s="946">
        <f>AM21-AM22-AM24</f>
        <v>0</v>
      </c>
      <c r="AN20" s="946">
        <f>AN21-AN22</f>
        <v>41492</v>
      </c>
      <c r="AO20" s="947"/>
      <c r="AP20" s="946">
        <f t="shared" si="13"/>
        <v>10014</v>
      </c>
      <c r="AQ20" s="946">
        <f>AQ21-AQ22-AQ24</f>
        <v>0</v>
      </c>
      <c r="AR20" s="946">
        <f>AR21-AR22</f>
        <v>10014</v>
      </c>
      <c r="AS20" s="947"/>
      <c r="AT20" s="946">
        <f t="shared" si="14"/>
        <v>27075</v>
      </c>
      <c r="AU20" s="946">
        <f>AU21-AU22-AU24</f>
        <v>0</v>
      </c>
      <c r="AV20" s="946">
        <f>AV21-AV22</f>
        <v>27075</v>
      </c>
      <c r="AW20" s="947"/>
      <c r="AX20" s="946">
        <f t="shared" si="15"/>
        <v>29968</v>
      </c>
      <c r="AY20" s="946">
        <f>AY21-AY22-AY24</f>
        <v>0</v>
      </c>
      <c r="AZ20" s="946">
        <f>AZ21-AZ22</f>
        <v>29968</v>
      </c>
      <c r="BA20" s="947"/>
      <c r="BB20" s="946">
        <f t="shared" si="16"/>
        <v>32392</v>
      </c>
      <c r="BC20" s="946">
        <f>BC21-BC22-BC24</f>
        <v>0</v>
      </c>
      <c r="BD20" s="946">
        <f>BD21-BD22</f>
        <v>32392</v>
      </c>
      <c r="BE20" s="947"/>
    </row>
    <row r="21" spans="1:58" ht="28.5" customHeight="1">
      <c r="A21" s="943" t="s">
        <v>23</v>
      </c>
      <c r="B21" s="944" t="s">
        <v>1908</v>
      </c>
      <c r="C21" s="942">
        <f t="shared" si="4"/>
        <v>0</v>
      </c>
      <c r="D21" s="945"/>
      <c r="E21" s="945"/>
      <c r="F21" s="945"/>
      <c r="G21" s="945"/>
      <c r="H21" s="945"/>
      <c r="I21" s="945"/>
      <c r="J21" s="945"/>
      <c r="K21" s="945"/>
      <c r="L21" s="945"/>
      <c r="M21" s="945"/>
      <c r="N21" s="946">
        <f t="shared" si="5"/>
        <v>437864</v>
      </c>
      <c r="O21" s="946">
        <f t="shared" si="22"/>
        <v>0</v>
      </c>
      <c r="P21" s="946">
        <f t="shared" si="22"/>
        <v>437864</v>
      </c>
      <c r="Q21" s="947"/>
      <c r="R21" s="946">
        <f t="shared" si="7"/>
        <v>80970</v>
      </c>
      <c r="S21" s="946"/>
      <c r="T21" s="946">
        <v>80970</v>
      </c>
      <c r="U21" s="947"/>
      <c r="V21" s="946">
        <f t="shared" si="8"/>
        <v>55047</v>
      </c>
      <c r="W21" s="946"/>
      <c r="X21" s="946">
        <v>55047</v>
      </c>
      <c r="Y21" s="947"/>
      <c r="Z21" s="1418">
        <f t="shared" si="9"/>
        <v>45410</v>
      </c>
      <c r="AA21" s="1418"/>
      <c r="AB21" s="1418">
        <v>45410</v>
      </c>
      <c r="AC21" s="947"/>
      <c r="AD21" s="946">
        <f t="shared" si="10"/>
        <v>40510</v>
      </c>
      <c r="AE21" s="946"/>
      <c r="AF21" s="946">
        <v>40510</v>
      </c>
      <c r="AG21" s="947"/>
      <c r="AH21" s="946">
        <f t="shared" si="11"/>
        <v>48477</v>
      </c>
      <c r="AI21" s="946"/>
      <c r="AJ21" s="946">
        <v>48477</v>
      </c>
      <c r="AK21" s="947"/>
      <c r="AL21" s="946">
        <f t="shared" si="12"/>
        <v>47958</v>
      </c>
      <c r="AM21" s="946"/>
      <c r="AN21" s="946">
        <v>47958</v>
      </c>
      <c r="AO21" s="947"/>
      <c r="AP21" s="946">
        <f t="shared" si="13"/>
        <v>12241</v>
      </c>
      <c r="AQ21" s="946"/>
      <c r="AR21" s="946">
        <v>12241</v>
      </c>
      <c r="AS21" s="947"/>
      <c r="AT21" s="946">
        <f t="shared" si="14"/>
        <v>31356</v>
      </c>
      <c r="AU21" s="946"/>
      <c r="AV21" s="946">
        <v>31356</v>
      </c>
      <c r="AW21" s="947"/>
      <c r="AX21" s="946">
        <f t="shared" si="15"/>
        <v>37734</v>
      </c>
      <c r="AY21" s="946"/>
      <c r="AZ21" s="946">
        <v>37734</v>
      </c>
      <c r="BA21" s="947"/>
      <c r="BB21" s="946">
        <f t="shared" si="16"/>
        <v>38161</v>
      </c>
      <c r="BC21" s="946"/>
      <c r="BD21" s="946">
        <v>38161</v>
      </c>
      <c r="BE21" s="947"/>
    </row>
    <row r="22" spans="1:58" ht="28.5" customHeight="1">
      <c r="A22" s="943" t="s">
        <v>23</v>
      </c>
      <c r="B22" s="944" t="s">
        <v>1909</v>
      </c>
      <c r="C22" s="942">
        <f t="shared" si="4"/>
        <v>0</v>
      </c>
      <c r="D22" s="945"/>
      <c r="E22" s="945"/>
      <c r="F22" s="945"/>
      <c r="G22" s="945"/>
      <c r="H22" s="945"/>
      <c r="I22" s="945"/>
      <c r="J22" s="945"/>
      <c r="K22" s="945"/>
      <c r="L22" s="945"/>
      <c r="M22" s="945"/>
      <c r="N22" s="946">
        <f t="shared" si="5"/>
        <v>66518</v>
      </c>
      <c r="O22" s="946">
        <f t="shared" si="22"/>
        <v>0</v>
      </c>
      <c r="P22" s="946">
        <f t="shared" si="22"/>
        <v>66518</v>
      </c>
      <c r="Q22" s="947"/>
      <c r="R22" s="946">
        <f t="shared" si="7"/>
        <v>10875</v>
      </c>
      <c r="S22" s="946"/>
      <c r="T22" s="946">
        <v>10875</v>
      </c>
      <c r="U22" s="947"/>
      <c r="V22" s="946">
        <f t="shared" si="8"/>
        <v>8809</v>
      </c>
      <c r="W22" s="946"/>
      <c r="X22" s="946">
        <v>8809</v>
      </c>
      <c r="Y22" s="947"/>
      <c r="Z22" s="1418">
        <f t="shared" si="9"/>
        <v>6974</v>
      </c>
      <c r="AA22" s="1418"/>
      <c r="AB22" s="1418">
        <v>6974</v>
      </c>
      <c r="AC22" s="947"/>
      <c r="AD22" s="946">
        <f t="shared" si="10"/>
        <v>5319</v>
      </c>
      <c r="AE22" s="946"/>
      <c r="AF22" s="946">
        <v>5319</v>
      </c>
      <c r="AG22" s="947"/>
      <c r="AH22" s="946">
        <f t="shared" si="11"/>
        <v>8032</v>
      </c>
      <c r="AI22" s="946"/>
      <c r="AJ22" s="946">
        <v>8032</v>
      </c>
      <c r="AK22" s="947"/>
      <c r="AL22" s="946">
        <f t="shared" si="12"/>
        <v>6466</v>
      </c>
      <c r="AM22" s="946"/>
      <c r="AN22" s="946">
        <v>6466</v>
      </c>
      <c r="AO22" s="947"/>
      <c r="AP22" s="946">
        <f t="shared" si="13"/>
        <v>2227</v>
      </c>
      <c r="AQ22" s="946"/>
      <c r="AR22" s="946">
        <v>2227</v>
      </c>
      <c r="AS22" s="947"/>
      <c r="AT22" s="946">
        <f t="shared" si="14"/>
        <v>4281</v>
      </c>
      <c r="AU22" s="946"/>
      <c r="AV22" s="946">
        <v>4281</v>
      </c>
      <c r="AW22" s="947"/>
      <c r="AX22" s="946">
        <f t="shared" si="15"/>
        <v>7766</v>
      </c>
      <c r="AY22" s="946"/>
      <c r="AZ22" s="946">
        <v>7766</v>
      </c>
      <c r="BA22" s="947"/>
      <c r="BB22" s="946">
        <f t="shared" si="16"/>
        <v>5769</v>
      </c>
      <c r="BC22" s="946"/>
      <c r="BD22" s="946">
        <v>5769</v>
      </c>
      <c r="BE22" s="947"/>
    </row>
    <row r="23" spans="1:58" ht="28.5" customHeight="1">
      <c r="A23" s="943" t="s">
        <v>47</v>
      </c>
      <c r="B23" s="944" t="s">
        <v>1559</v>
      </c>
      <c r="C23" s="942"/>
      <c r="D23" s="945"/>
      <c r="E23" s="945"/>
      <c r="F23" s="945"/>
      <c r="G23" s="945"/>
      <c r="H23" s="945"/>
      <c r="I23" s="945"/>
      <c r="J23" s="945"/>
      <c r="K23" s="945"/>
      <c r="L23" s="945"/>
      <c r="M23" s="945"/>
      <c r="N23" s="946">
        <f>N24+N25</f>
        <v>2870</v>
      </c>
      <c r="O23" s="946">
        <f t="shared" ref="O23:BD23" si="23">O24+O25</f>
        <v>0</v>
      </c>
      <c r="P23" s="946">
        <f t="shared" si="23"/>
        <v>2870</v>
      </c>
      <c r="Q23" s="946">
        <f t="shared" si="23"/>
        <v>0</v>
      </c>
      <c r="R23" s="946">
        <f t="shared" si="23"/>
        <v>-4754</v>
      </c>
      <c r="S23" s="946">
        <f t="shared" si="23"/>
        <v>0</v>
      </c>
      <c r="T23" s="946">
        <f t="shared" si="23"/>
        <v>-4754</v>
      </c>
      <c r="U23" s="946">
        <f t="shared" si="23"/>
        <v>0</v>
      </c>
      <c r="V23" s="946">
        <f t="shared" si="23"/>
        <v>-7905</v>
      </c>
      <c r="W23" s="946">
        <f t="shared" si="23"/>
        <v>0</v>
      </c>
      <c r="X23" s="946">
        <f t="shared" si="23"/>
        <v>-7905</v>
      </c>
      <c r="Y23" s="946">
        <f t="shared" si="23"/>
        <v>0</v>
      </c>
      <c r="Z23" s="1418">
        <f t="shared" si="23"/>
        <v>1321</v>
      </c>
      <c r="AA23" s="1418">
        <f t="shared" si="23"/>
        <v>0</v>
      </c>
      <c r="AB23" s="1418">
        <f t="shared" si="23"/>
        <v>1321</v>
      </c>
      <c r="AC23" s="946">
        <f t="shared" si="23"/>
        <v>0</v>
      </c>
      <c r="AD23" s="946">
        <f t="shared" si="23"/>
        <v>-2836</v>
      </c>
      <c r="AE23" s="946">
        <f t="shared" si="23"/>
        <v>0</v>
      </c>
      <c r="AF23" s="946">
        <f t="shared" si="23"/>
        <v>-2836</v>
      </c>
      <c r="AG23" s="946">
        <f t="shared" si="23"/>
        <v>0</v>
      </c>
      <c r="AH23" s="946">
        <f t="shared" si="23"/>
        <v>852</v>
      </c>
      <c r="AI23" s="946">
        <f t="shared" si="23"/>
        <v>0</v>
      </c>
      <c r="AJ23" s="946">
        <f t="shared" si="23"/>
        <v>852</v>
      </c>
      <c r="AK23" s="946">
        <f t="shared" si="23"/>
        <v>0</v>
      </c>
      <c r="AL23" s="946">
        <f t="shared" si="23"/>
        <v>-2491</v>
      </c>
      <c r="AM23" s="946">
        <f t="shared" si="23"/>
        <v>0</v>
      </c>
      <c r="AN23" s="946">
        <f t="shared" si="23"/>
        <v>-2491</v>
      </c>
      <c r="AO23" s="946">
        <f t="shared" si="23"/>
        <v>0</v>
      </c>
      <c r="AP23" s="946">
        <f t="shared" si="23"/>
        <v>5002</v>
      </c>
      <c r="AQ23" s="946">
        <f t="shared" si="23"/>
        <v>0</v>
      </c>
      <c r="AR23" s="946">
        <f t="shared" si="23"/>
        <v>5002</v>
      </c>
      <c r="AS23" s="946">
        <f t="shared" si="23"/>
        <v>0</v>
      </c>
      <c r="AT23" s="946">
        <f t="shared" si="23"/>
        <v>3625</v>
      </c>
      <c r="AU23" s="946">
        <f t="shared" si="23"/>
        <v>0</v>
      </c>
      <c r="AV23" s="946">
        <f t="shared" si="23"/>
        <v>3625</v>
      </c>
      <c r="AW23" s="946">
        <f t="shared" si="23"/>
        <v>0</v>
      </c>
      <c r="AX23" s="946">
        <f t="shared" si="23"/>
        <v>9837</v>
      </c>
      <c r="AY23" s="946">
        <f t="shared" si="23"/>
        <v>0</v>
      </c>
      <c r="AZ23" s="946">
        <f t="shared" si="23"/>
        <v>9837</v>
      </c>
      <c r="BA23" s="946">
        <f t="shared" si="23"/>
        <v>0</v>
      </c>
      <c r="BB23" s="946">
        <f t="shared" si="23"/>
        <v>219</v>
      </c>
      <c r="BC23" s="946">
        <f t="shared" si="23"/>
        <v>0</v>
      </c>
      <c r="BD23" s="946">
        <f t="shared" si="23"/>
        <v>219</v>
      </c>
      <c r="BE23" s="947"/>
    </row>
    <row r="24" spans="1:58" ht="28.5" hidden="1" customHeight="1" outlineLevel="1">
      <c r="A24" s="943" t="s">
        <v>23</v>
      </c>
      <c r="B24" s="944" t="s">
        <v>1910</v>
      </c>
      <c r="C24" s="942">
        <f t="shared" si="4"/>
        <v>0</v>
      </c>
      <c r="D24" s="945"/>
      <c r="E24" s="945"/>
      <c r="F24" s="945"/>
      <c r="G24" s="945"/>
      <c r="H24" s="945"/>
      <c r="I24" s="945"/>
      <c r="J24" s="945"/>
      <c r="K24" s="945"/>
      <c r="L24" s="945"/>
      <c r="M24" s="945"/>
      <c r="N24" s="946">
        <f t="shared" si="5"/>
        <v>20856</v>
      </c>
      <c r="O24" s="946">
        <f t="shared" si="22"/>
        <v>0</v>
      </c>
      <c r="P24" s="946">
        <f t="shared" si="22"/>
        <v>20856</v>
      </c>
      <c r="Q24" s="947"/>
      <c r="R24" s="946">
        <f t="shared" si="7"/>
        <v>0</v>
      </c>
      <c r="S24" s="946"/>
      <c r="T24" s="946">
        <f>IF(T68&lt;0,-T68,0)</f>
        <v>0</v>
      </c>
      <c r="U24" s="947"/>
      <c r="V24" s="946">
        <f t="shared" si="8"/>
        <v>0</v>
      </c>
      <c r="W24" s="946"/>
      <c r="X24" s="946">
        <f>IF(X68&lt;0,-X68,0)</f>
        <v>0</v>
      </c>
      <c r="Y24" s="947"/>
      <c r="Z24" s="1418">
        <f t="shared" si="9"/>
        <v>1321</v>
      </c>
      <c r="AA24" s="1418"/>
      <c r="AB24" s="1418">
        <f>AA68</f>
        <v>1321</v>
      </c>
      <c r="AC24" s="947"/>
      <c r="AD24" s="946">
        <f t="shared" si="10"/>
        <v>0</v>
      </c>
      <c r="AE24" s="946"/>
      <c r="AF24" s="946">
        <f>IF(AF68&lt;0,-AF68,0)</f>
        <v>0</v>
      </c>
      <c r="AG24" s="947"/>
      <c r="AH24" s="946">
        <f t="shared" si="11"/>
        <v>852</v>
      </c>
      <c r="AI24" s="946"/>
      <c r="AJ24" s="946">
        <f>AI68</f>
        <v>852</v>
      </c>
      <c r="AK24" s="947"/>
      <c r="AL24" s="946">
        <f t="shared" si="12"/>
        <v>0</v>
      </c>
      <c r="AM24" s="946"/>
      <c r="AN24" s="946">
        <f>IF(AN68&lt;0,-AN68,0)</f>
        <v>0</v>
      </c>
      <c r="AO24" s="947"/>
      <c r="AP24" s="946">
        <f t="shared" si="13"/>
        <v>5002</v>
      </c>
      <c r="AQ24" s="946"/>
      <c r="AR24" s="946">
        <f>AQ68</f>
        <v>5002</v>
      </c>
      <c r="AS24" s="947"/>
      <c r="AT24" s="946">
        <f t="shared" si="14"/>
        <v>3625</v>
      </c>
      <c r="AU24" s="946"/>
      <c r="AV24" s="946">
        <f>AU68</f>
        <v>3625</v>
      </c>
      <c r="AW24" s="947"/>
      <c r="AX24" s="946">
        <f t="shared" si="15"/>
        <v>9837</v>
      </c>
      <c r="AY24" s="946"/>
      <c r="AZ24" s="946">
        <f>AY68</f>
        <v>9837</v>
      </c>
      <c r="BA24" s="947"/>
      <c r="BB24" s="946">
        <f t="shared" si="16"/>
        <v>219</v>
      </c>
      <c r="BC24" s="946"/>
      <c r="BD24" s="946">
        <f>BC68</f>
        <v>219</v>
      </c>
      <c r="BE24" s="947"/>
    </row>
    <row r="25" spans="1:58" ht="36.75" hidden="1" customHeight="1" outlineLevel="1">
      <c r="A25" s="943" t="s">
        <v>23</v>
      </c>
      <c r="B25" s="948" t="s">
        <v>2272</v>
      </c>
      <c r="C25" s="942">
        <f t="shared" si="4"/>
        <v>0</v>
      </c>
      <c r="D25" s="945"/>
      <c r="E25" s="945"/>
      <c r="F25" s="945"/>
      <c r="G25" s="945"/>
      <c r="H25" s="945"/>
      <c r="I25" s="945"/>
      <c r="J25" s="945"/>
      <c r="K25" s="945"/>
      <c r="L25" s="945"/>
      <c r="M25" s="945"/>
      <c r="N25" s="946">
        <f t="shared" si="5"/>
        <v>-17986</v>
      </c>
      <c r="O25" s="946">
        <f t="shared" si="22"/>
        <v>0</v>
      </c>
      <c r="P25" s="946">
        <f t="shared" si="22"/>
        <v>-17986</v>
      </c>
      <c r="Q25" s="947"/>
      <c r="R25" s="946">
        <f t="shared" si="7"/>
        <v>-4754</v>
      </c>
      <c r="S25" s="946"/>
      <c r="T25" s="946">
        <f>S74</f>
        <v>-4754</v>
      </c>
      <c r="U25" s="947"/>
      <c r="V25" s="946">
        <f t="shared" si="8"/>
        <v>-7905</v>
      </c>
      <c r="W25" s="946"/>
      <c r="X25" s="946">
        <f>W68</f>
        <v>-7905</v>
      </c>
      <c r="Y25" s="947"/>
      <c r="Z25" s="1418">
        <f t="shared" si="9"/>
        <v>0</v>
      </c>
      <c r="AA25" s="1418"/>
      <c r="AB25" s="1418">
        <f>IF(AB68&gt;0,AB68,0)</f>
        <v>0</v>
      </c>
      <c r="AC25" s="947"/>
      <c r="AD25" s="946">
        <f t="shared" si="10"/>
        <v>-2836</v>
      </c>
      <c r="AE25" s="946"/>
      <c r="AF25" s="946">
        <f>AE68</f>
        <v>-2836</v>
      </c>
      <c r="AG25" s="947"/>
      <c r="AH25" s="946">
        <f t="shared" si="11"/>
        <v>0</v>
      </c>
      <c r="AI25" s="946"/>
      <c r="AJ25" s="946">
        <f>IF(AJ68&gt;0,AJ68,0)</f>
        <v>0</v>
      </c>
      <c r="AK25" s="947"/>
      <c r="AL25" s="946">
        <f t="shared" si="12"/>
        <v>-2491</v>
      </c>
      <c r="AM25" s="946"/>
      <c r="AN25" s="946">
        <f>AM68</f>
        <v>-2491</v>
      </c>
      <c r="AO25" s="947"/>
      <c r="AP25" s="946">
        <f t="shared" si="13"/>
        <v>0</v>
      </c>
      <c r="AQ25" s="946"/>
      <c r="AR25" s="946">
        <f>IF(AR68&gt;0,AR68,0)</f>
        <v>0</v>
      </c>
      <c r="AS25" s="947"/>
      <c r="AT25" s="946">
        <f>AU25+AV25</f>
        <v>0</v>
      </c>
      <c r="AU25" s="946"/>
      <c r="AV25" s="946">
        <f>IF(AV68&gt;0,AV68,0)</f>
        <v>0</v>
      </c>
      <c r="AW25" s="947"/>
      <c r="AX25" s="946">
        <f t="shared" si="15"/>
        <v>0</v>
      </c>
      <c r="AY25" s="946"/>
      <c r="AZ25" s="946">
        <f>IF(AZ68&gt;0,AZ68,0)</f>
        <v>0</v>
      </c>
      <c r="BA25" s="947"/>
      <c r="BB25" s="946">
        <f t="shared" si="16"/>
        <v>0</v>
      </c>
      <c r="BC25" s="946"/>
      <c r="BD25" s="946">
        <f>IF(BD68&gt;0,BD68,0)</f>
        <v>0</v>
      </c>
      <c r="BE25" s="947"/>
    </row>
    <row r="26" spans="1:58" s="937" customFormat="1" ht="22.5" customHeight="1" collapsed="1">
      <c r="A26" s="938" t="s">
        <v>28</v>
      </c>
      <c r="B26" s="949" t="s">
        <v>29</v>
      </c>
      <c r="C26" s="942">
        <f t="shared" si="4"/>
        <v>3958629.18</v>
      </c>
      <c r="D26" s="950">
        <f>D28+D35+D64+D67+D68</f>
        <v>886140.86</v>
      </c>
      <c r="E26" s="950">
        <f t="shared" ref="E26:M26" si="24">E28+E35+E64+E67+E68</f>
        <v>464955.06</v>
      </c>
      <c r="F26" s="950">
        <f t="shared" si="24"/>
        <v>351192.66000000003</v>
      </c>
      <c r="G26" s="950">
        <f t="shared" si="24"/>
        <v>342276.24</v>
      </c>
      <c r="H26" s="950">
        <f t="shared" si="24"/>
        <v>420096.6</v>
      </c>
      <c r="I26" s="950">
        <f t="shared" si="24"/>
        <v>389985.2</v>
      </c>
      <c r="J26" s="950">
        <f t="shared" si="24"/>
        <v>130497.45999999999</v>
      </c>
      <c r="K26" s="950">
        <f t="shared" si="24"/>
        <v>254024.08000000002</v>
      </c>
      <c r="L26" s="950">
        <f t="shared" si="24"/>
        <v>394090.66000000003</v>
      </c>
      <c r="M26" s="950">
        <f t="shared" si="24"/>
        <v>325370.36</v>
      </c>
      <c r="N26" s="938">
        <f t="shared" si="5"/>
        <v>4396147</v>
      </c>
      <c r="O26" s="938">
        <f>S26+W26+AA26+AE26+AI26+AM26+AQ26+AU26+AY26+BC26</f>
        <v>4027671</v>
      </c>
      <c r="P26" s="938">
        <f>ROUND(P28+P35+P64+P68+P67,0)</f>
        <v>368476</v>
      </c>
      <c r="Q26" s="940">
        <f>O26/C26%</f>
        <v>101.74408404679117</v>
      </c>
      <c r="R26" s="938">
        <f t="shared" si="7"/>
        <v>998038</v>
      </c>
      <c r="S26" s="938">
        <f>ROUND(S28+S35+S64+S68+S67,0)</f>
        <v>923189</v>
      </c>
      <c r="T26" s="938">
        <f>ROUND(T28+T35+T64+T68+T67,0)</f>
        <v>74849</v>
      </c>
      <c r="U26" s="940">
        <f>S26/D26%</f>
        <v>104.18084095569185</v>
      </c>
      <c r="V26" s="938">
        <f t="shared" si="8"/>
        <v>504188</v>
      </c>
      <c r="W26" s="938">
        <f>ROUND(W28+W35+W64+W68,0)</f>
        <v>450045</v>
      </c>
      <c r="X26" s="938">
        <f>ROUND(X28+X35+X64+X68+X67,0)</f>
        <v>54143</v>
      </c>
      <c r="Y26" s="940">
        <f t="shared" ref="Y26:Y37" si="25">W26/E26%</f>
        <v>96.793225564638448</v>
      </c>
      <c r="Z26" s="1416">
        <f t="shared" si="9"/>
        <v>393519</v>
      </c>
      <c r="AA26" s="1416">
        <f>ROUND(AA28+AA35+AA64+AA68,0)</f>
        <v>356404</v>
      </c>
      <c r="AB26" s="1416">
        <f>ROUND(AB28+AB35+AB64+AB68+AB67,0)</f>
        <v>37115</v>
      </c>
      <c r="AC26" s="940">
        <f t="shared" ref="AC26:AC37" si="26">AA26/F26%</f>
        <v>101.48389775572188</v>
      </c>
      <c r="AD26" s="938">
        <f t="shared" si="10"/>
        <v>376164</v>
      </c>
      <c r="AE26" s="938">
        <f>ROUND(AE28+AE35+AE64+AE68,0)</f>
        <v>338137</v>
      </c>
      <c r="AF26" s="938">
        <f>ROUND(AF28+AF35+AF64+AF68+AF67,0)</f>
        <v>38027</v>
      </c>
      <c r="AG26" s="940">
        <f t="shared" ref="AG26:AG37" si="27">AE26/G26%</f>
        <v>98.790672703428086</v>
      </c>
      <c r="AH26" s="938">
        <f t="shared" si="11"/>
        <v>465646</v>
      </c>
      <c r="AI26" s="938">
        <f>ROUND(AI28+AI35+AI64+AI68,0)</f>
        <v>426053</v>
      </c>
      <c r="AJ26" s="938">
        <f>ROUND(AJ28+AJ35+AJ64+AJ68+AJ67,0)</f>
        <v>39593</v>
      </c>
      <c r="AK26" s="940">
        <f t="shared" ref="AK26:AK37" si="28">AI26/H26%</f>
        <v>101.41786436738599</v>
      </c>
      <c r="AL26" s="938">
        <f t="shared" si="12"/>
        <v>436500</v>
      </c>
      <c r="AM26" s="938">
        <f>ROUND(AM28+AM35+AM64+AM68,0)</f>
        <v>392517</v>
      </c>
      <c r="AN26" s="938">
        <f>ROUND(AN28+AN35+AN64+AN68+AN67,0)</f>
        <v>43983</v>
      </c>
      <c r="AO26" s="940">
        <f t="shared" ref="AO26:AO37" si="29">AM26/I26%</f>
        <v>100.64920412364366</v>
      </c>
      <c r="AP26" s="938">
        <f t="shared" si="13"/>
        <v>142116</v>
      </c>
      <c r="AQ26" s="938">
        <f>ROUND(AQ28+AQ35+AQ64+AQ68,0)</f>
        <v>137104</v>
      </c>
      <c r="AR26" s="938">
        <f>ROUND(AR28+AR35+AR64+AR68+AR67,0)</f>
        <v>5012</v>
      </c>
      <c r="AS26" s="940">
        <f t="shared" ref="AS26:AS37" si="30">AQ26/J26%</f>
        <v>105.06258129468573</v>
      </c>
      <c r="AT26" s="938">
        <f t="shared" si="14"/>
        <v>286587</v>
      </c>
      <c r="AU26" s="938">
        <f>ROUND(AU28+AU35+AU64+AU68,0)</f>
        <v>263137</v>
      </c>
      <c r="AV26" s="938">
        <f>ROUND(AV28+AV35+AV64+AV68+AV67,0)</f>
        <v>23450</v>
      </c>
      <c r="AW26" s="940">
        <f t="shared" ref="AW26:AW37" si="31">AU26/K26%</f>
        <v>103.58742368046367</v>
      </c>
      <c r="AX26" s="938">
        <f t="shared" si="15"/>
        <v>433497</v>
      </c>
      <c r="AY26" s="938">
        <f>ROUND(AY28+AY35+AY64+AY68,0)</f>
        <v>413366</v>
      </c>
      <c r="AZ26" s="938">
        <f>ROUND(AZ28+AZ35+AZ64+AZ68+AZ67,0)</f>
        <v>20131</v>
      </c>
      <c r="BA26" s="940">
        <f t="shared" ref="BA26:BA37" si="32">AY26/L26%</f>
        <v>104.89109282620399</v>
      </c>
      <c r="BB26" s="938">
        <f t="shared" si="16"/>
        <v>359892</v>
      </c>
      <c r="BC26" s="938">
        <f>ROUND(BC28+BC35+BC64+BC68,0)</f>
        <v>327719</v>
      </c>
      <c r="BD26" s="938">
        <f>ROUND(BD28+BD35+BD64+BD68+BD67,0)</f>
        <v>32173</v>
      </c>
      <c r="BE26" s="940">
        <f t="shared" ref="BE26:BE37" si="33">BC26/M26%</f>
        <v>100.72183587958042</v>
      </c>
    </row>
    <row r="27" spans="1:58" s="954" customFormat="1" ht="46.5" hidden="1" customHeight="1">
      <c r="A27" s="951"/>
      <c r="B27" s="952" t="s">
        <v>30</v>
      </c>
      <c r="C27" s="942">
        <f t="shared" si="4"/>
        <v>0</v>
      </c>
      <c r="D27" s="953"/>
      <c r="E27" s="953"/>
      <c r="F27" s="953"/>
      <c r="G27" s="953"/>
      <c r="H27" s="953"/>
      <c r="I27" s="953"/>
      <c r="J27" s="953"/>
      <c r="K27" s="953"/>
      <c r="L27" s="953"/>
      <c r="M27" s="953"/>
      <c r="N27" s="946">
        <f t="shared" si="5"/>
        <v>4027671</v>
      </c>
      <c r="O27" s="946">
        <f>S27+W27+AA27+AE27+AI27+AM27+AQ27+AU27+AY27+BC27</f>
        <v>4027671</v>
      </c>
      <c r="P27" s="946"/>
      <c r="Q27" s="947"/>
      <c r="R27" s="946">
        <f t="shared" si="7"/>
        <v>923189</v>
      </c>
      <c r="S27" s="946">
        <f>S26</f>
        <v>923189</v>
      </c>
      <c r="T27" s="946"/>
      <c r="U27" s="947"/>
      <c r="V27" s="946">
        <f t="shared" si="8"/>
        <v>450045</v>
      </c>
      <c r="W27" s="946">
        <f>W26</f>
        <v>450045</v>
      </c>
      <c r="X27" s="946"/>
      <c r="Y27" s="940" t="e">
        <f t="shared" si="25"/>
        <v>#DIV/0!</v>
      </c>
      <c r="Z27" s="1418">
        <f t="shared" si="9"/>
        <v>356404</v>
      </c>
      <c r="AA27" s="1418">
        <f>AA26</f>
        <v>356404</v>
      </c>
      <c r="AB27" s="1418"/>
      <c r="AC27" s="940" t="e">
        <f t="shared" si="26"/>
        <v>#DIV/0!</v>
      </c>
      <c r="AD27" s="946">
        <f t="shared" si="10"/>
        <v>338137</v>
      </c>
      <c r="AE27" s="946">
        <f>AE26</f>
        <v>338137</v>
      </c>
      <c r="AF27" s="946"/>
      <c r="AG27" s="940" t="e">
        <f t="shared" si="27"/>
        <v>#DIV/0!</v>
      </c>
      <c r="AH27" s="946">
        <f t="shared" si="11"/>
        <v>426053</v>
      </c>
      <c r="AI27" s="946">
        <f>AI26</f>
        <v>426053</v>
      </c>
      <c r="AJ27" s="946"/>
      <c r="AK27" s="940" t="e">
        <f t="shared" si="28"/>
        <v>#DIV/0!</v>
      </c>
      <c r="AL27" s="946">
        <f t="shared" si="12"/>
        <v>392517</v>
      </c>
      <c r="AM27" s="946">
        <f>AM26</f>
        <v>392517</v>
      </c>
      <c r="AN27" s="946"/>
      <c r="AO27" s="940" t="e">
        <f t="shared" si="29"/>
        <v>#DIV/0!</v>
      </c>
      <c r="AP27" s="946">
        <f t="shared" si="13"/>
        <v>137104</v>
      </c>
      <c r="AQ27" s="946">
        <f>AQ26</f>
        <v>137104</v>
      </c>
      <c r="AR27" s="946"/>
      <c r="AS27" s="940" t="e">
        <f t="shared" si="30"/>
        <v>#DIV/0!</v>
      </c>
      <c r="AT27" s="946">
        <f t="shared" si="14"/>
        <v>263137</v>
      </c>
      <c r="AU27" s="946">
        <f>AU26</f>
        <v>263137</v>
      </c>
      <c r="AV27" s="946"/>
      <c r="AW27" s="940" t="e">
        <f t="shared" si="31"/>
        <v>#DIV/0!</v>
      </c>
      <c r="AX27" s="946">
        <f t="shared" si="15"/>
        <v>413366</v>
      </c>
      <c r="AY27" s="946">
        <f>AY26</f>
        <v>413366</v>
      </c>
      <c r="AZ27" s="946"/>
      <c r="BA27" s="940" t="e">
        <f t="shared" si="32"/>
        <v>#DIV/0!</v>
      </c>
      <c r="BB27" s="946">
        <f t="shared" si="16"/>
        <v>327719</v>
      </c>
      <c r="BC27" s="946">
        <f>BC26</f>
        <v>327719</v>
      </c>
      <c r="BD27" s="946"/>
      <c r="BE27" s="940" t="e">
        <f t="shared" si="33"/>
        <v>#DIV/0!</v>
      </c>
    </row>
    <row r="28" spans="1:58" s="937" customFormat="1" ht="22.5" customHeight="1">
      <c r="A28" s="941" t="s">
        <v>18</v>
      </c>
      <c r="B28" s="949" t="s">
        <v>31</v>
      </c>
      <c r="C28" s="942">
        <f t="shared" si="4"/>
        <v>433790.6</v>
      </c>
      <c r="D28" s="950">
        <f>D31+D32</f>
        <v>187437.6</v>
      </c>
      <c r="E28" s="950">
        <f t="shared" ref="E28:M28" si="34">E31+E32</f>
        <v>27265</v>
      </c>
      <c r="F28" s="950">
        <f t="shared" si="34"/>
        <v>20571</v>
      </c>
      <c r="G28" s="950">
        <f t="shared" si="34"/>
        <v>31156</v>
      </c>
      <c r="H28" s="950">
        <f t="shared" si="34"/>
        <v>15950</v>
      </c>
      <c r="I28" s="950">
        <f t="shared" si="34"/>
        <v>25432</v>
      </c>
      <c r="J28" s="950">
        <f t="shared" si="34"/>
        <v>14726</v>
      </c>
      <c r="K28" s="950">
        <f t="shared" si="34"/>
        <v>7028</v>
      </c>
      <c r="L28" s="950">
        <f t="shared" si="34"/>
        <v>95623</v>
      </c>
      <c r="M28" s="950">
        <f t="shared" si="34"/>
        <v>8602</v>
      </c>
      <c r="N28" s="938">
        <f t="shared" si="5"/>
        <v>433791</v>
      </c>
      <c r="O28" s="938">
        <f t="shared" ref="O28:BC28" si="35">O31+O32+O34</f>
        <v>433791</v>
      </c>
      <c r="P28" s="938"/>
      <c r="Q28" s="940">
        <f t="shared" ref="Q28:Q37" si="36">O28/C28%</f>
        <v>100.00009221038907</v>
      </c>
      <c r="R28" s="938">
        <f t="shared" si="7"/>
        <v>192762</v>
      </c>
      <c r="S28" s="938">
        <f>S31+S32+S34</f>
        <v>192762</v>
      </c>
      <c r="T28" s="938"/>
      <c r="U28" s="940">
        <f t="shared" ref="U28:U37" si="37">S28/D28%</f>
        <v>102.84062536011984</v>
      </c>
      <c r="V28" s="938">
        <f t="shared" si="8"/>
        <v>24625</v>
      </c>
      <c r="W28" s="938">
        <f t="shared" si="35"/>
        <v>24625</v>
      </c>
      <c r="X28" s="938"/>
      <c r="Y28" s="940">
        <f t="shared" si="25"/>
        <v>90.317256556024219</v>
      </c>
      <c r="Z28" s="1416">
        <f t="shared" si="9"/>
        <v>20571</v>
      </c>
      <c r="AA28" s="1416">
        <f t="shared" si="35"/>
        <v>20571</v>
      </c>
      <c r="AB28" s="1416"/>
      <c r="AC28" s="940">
        <f t="shared" si="26"/>
        <v>100</v>
      </c>
      <c r="AD28" s="938">
        <f t="shared" si="10"/>
        <v>29396</v>
      </c>
      <c r="AE28" s="938">
        <f t="shared" si="35"/>
        <v>29396</v>
      </c>
      <c r="AF28" s="938"/>
      <c r="AG28" s="940">
        <f t="shared" si="27"/>
        <v>94.351007831557325</v>
      </c>
      <c r="AH28" s="938">
        <f t="shared" si="11"/>
        <v>15950</v>
      </c>
      <c r="AI28" s="938">
        <f t="shared" si="35"/>
        <v>15950</v>
      </c>
      <c r="AJ28" s="938"/>
      <c r="AK28" s="940">
        <f t="shared" si="28"/>
        <v>100</v>
      </c>
      <c r="AL28" s="938">
        <f t="shared" si="12"/>
        <v>29832</v>
      </c>
      <c r="AM28" s="938">
        <f t="shared" si="35"/>
        <v>29832</v>
      </c>
      <c r="AN28" s="938"/>
      <c r="AO28" s="940">
        <f t="shared" si="29"/>
        <v>117.30103806228374</v>
      </c>
      <c r="AP28" s="938">
        <f t="shared" si="13"/>
        <v>10326</v>
      </c>
      <c r="AQ28" s="938">
        <f t="shared" si="35"/>
        <v>10326</v>
      </c>
      <c r="AR28" s="938"/>
      <c r="AS28" s="940">
        <f t="shared" si="30"/>
        <v>70.12087464348771</v>
      </c>
      <c r="AT28" s="938">
        <f t="shared" si="14"/>
        <v>7028</v>
      </c>
      <c r="AU28" s="938">
        <f t="shared" si="35"/>
        <v>7028</v>
      </c>
      <c r="AV28" s="938"/>
      <c r="AW28" s="940">
        <f t="shared" si="31"/>
        <v>100</v>
      </c>
      <c r="AX28" s="938">
        <f t="shared" si="15"/>
        <v>95623</v>
      </c>
      <c r="AY28" s="938">
        <f t="shared" si="35"/>
        <v>95623</v>
      </c>
      <c r="AZ28" s="938"/>
      <c r="BA28" s="940">
        <f t="shared" si="32"/>
        <v>100</v>
      </c>
      <c r="BB28" s="938">
        <f t="shared" si="16"/>
        <v>7678.0000000000009</v>
      </c>
      <c r="BC28" s="938">
        <f t="shared" si="35"/>
        <v>7678.0000000000009</v>
      </c>
      <c r="BD28" s="938"/>
      <c r="BE28" s="940">
        <f t="shared" si="33"/>
        <v>89.258312020460366</v>
      </c>
    </row>
    <row r="29" spans="1:58" ht="18.75" hidden="1" customHeight="1" outlineLevel="1">
      <c r="A29" s="943"/>
      <c r="B29" s="955" t="s">
        <v>32</v>
      </c>
      <c r="C29" s="942">
        <f t="shared" si="4"/>
        <v>0</v>
      </c>
      <c r="D29" s="956"/>
      <c r="E29" s="956"/>
      <c r="F29" s="956"/>
      <c r="G29" s="956"/>
      <c r="H29" s="956"/>
      <c r="I29" s="956"/>
      <c r="J29" s="956"/>
      <c r="K29" s="956"/>
      <c r="L29" s="956"/>
      <c r="M29" s="956"/>
      <c r="N29" s="946">
        <f t="shared" si="5"/>
        <v>0</v>
      </c>
      <c r="O29" s="946"/>
      <c r="P29" s="946"/>
      <c r="Q29" s="940" t="e">
        <f t="shared" si="36"/>
        <v>#DIV/0!</v>
      </c>
      <c r="R29" s="946">
        <f t="shared" si="7"/>
        <v>0</v>
      </c>
      <c r="S29" s="946"/>
      <c r="T29" s="946"/>
      <c r="U29" s="940" t="e">
        <f t="shared" si="37"/>
        <v>#DIV/0!</v>
      </c>
      <c r="V29" s="946">
        <f t="shared" si="8"/>
        <v>0</v>
      </c>
      <c r="W29" s="946"/>
      <c r="X29" s="946"/>
      <c r="Y29" s="940" t="e">
        <f t="shared" si="25"/>
        <v>#DIV/0!</v>
      </c>
      <c r="Z29" s="1418">
        <f t="shared" si="9"/>
        <v>0</v>
      </c>
      <c r="AA29" s="1418"/>
      <c r="AB29" s="1418"/>
      <c r="AC29" s="940" t="e">
        <f t="shared" si="26"/>
        <v>#DIV/0!</v>
      </c>
      <c r="AD29" s="946">
        <f t="shared" si="10"/>
        <v>0</v>
      </c>
      <c r="AE29" s="946"/>
      <c r="AF29" s="946"/>
      <c r="AG29" s="940" t="e">
        <f t="shared" si="27"/>
        <v>#DIV/0!</v>
      </c>
      <c r="AH29" s="946">
        <f t="shared" si="11"/>
        <v>0</v>
      </c>
      <c r="AI29" s="946"/>
      <c r="AJ29" s="946"/>
      <c r="AK29" s="940" t="e">
        <f t="shared" si="28"/>
        <v>#DIV/0!</v>
      </c>
      <c r="AL29" s="946">
        <f t="shared" si="12"/>
        <v>0</v>
      </c>
      <c r="AM29" s="946"/>
      <c r="AN29" s="946"/>
      <c r="AO29" s="940" t="e">
        <f t="shared" si="29"/>
        <v>#DIV/0!</v>
      </c>
      <c r="AP29" s="946">
        <f t="shared" si="13"/>
        <v>0</v>
      </c>
      <c r="AQ29" s="946"/>
      <c r="AR29" s="946"/>
      <c r="AS29" s="940" t="e">
        <f t="shared" si="30"/>
        <v>#DIV/0!</v>
      </c>
      <c r="AT29" s="946">
        <f t="shared" si="14"/>
        <v>0</v>
      </c>
      <c r="AU29" s="946"/>
      <c r="AV29" s="946"/>
      <c r="AW29" s="940" t="e">
        <f t="shared" si="31"/>
        <v>#DIV/0!</v>
      </c>
      <c r="AX29" s="946">
        <f t="shared" si="15"/>
        <v>0</v>
      </c>
      <c r="AY29" s="946"/>
      <c r="AZ29" s="946"/>
      <c r="BA29" s="940" t="e">
        <f t="shared" si="32"/>
        <v>#DIV/0!</v>
      </c>
      <c r="BB29" s="946">
        <f t="shared" si="16"/>
        <v>0</v>
      </c>
      <c r="BC29" s="946"/>
      <c r="BD29" s="946"/>
      <c r="BE29" s="940" t="e">
        <f t="shared" si="33"/>
        <v>#DIV/0!</v>
      </c>
      <c r="BF29" s="937"/>
    </row>
    <row r="30" spans="1:58" ht="21" hidden="1" customHeight="1" outlineLevel="1">
      <c r="A30" s="943"/>
      <c r="B30" s="955" t="s">
        <v>33</v>
      </c>
      <c r="C30" s="942">
        <f t="shared" si="4"/>
        <v>0</v>
      </c>
      <c r="D30" s="956"/>
      <c r="E30" s="956"/>
      <c r="F30" s="956"/>
      <c r="G30" s="956"/>
      <c r="H30" s="956"/>
      <c r="I30" s="956"/>
      <c r="J30" s="956"/>
      <c r="K30" s="956"/>
      <c r="L30" s="956"/>
      <c r="M30" s="956"/>
      <c r="N30" s="946">
        <f t="shared" si="5"/>
        <v>0</v>
      </c>
      <c r="O30" s="946"/>
      <c r="P30" s="946"/>
      <c r="Q30" s="940" t="e">
        <f t="shared" si="36"/>
        <v>#DIV/0!</v>
      </c>
      <c r="R30" s="946">
        <f t="shared" si="7"/>
        <v>0</v>
      </c>
      <c r="S30" s="946"/>
      <c r="T30" s="946"/>
      <c r="U30" s="940" t="e">
        <f t="shared" si="37"/>
        <v>#DIV/0!</v>
      </c>
      <c r="V30" s="946">
        <f t="shared" si="8"/>
        <v>0</v>
      </c>
      <c r="W30" s="946"/>
      <c r="X30" s="946"/>
      <c r="Y30" s="940" t="e">
        <f t="shared" si="25"/>
        <v>#DIV/0!</v>
      </c>
      <c r="Z30" s="1418">
        <f t="shared" si="9"/>
        <v>0</v>
      </c>
      <c r="AA30" s="1418"/>
      <c r="AB30" s="1418"/>
      <c r="AC30" s="940" t="e">
        <f t="shared" si="26"/>
        <v>#DIV/0!</v>
      </c>
      <c r="AD30" s="946">
        <f t="shared" si="10"/>
        <v>0</v>
      </c>
      <c r="AE30" s="946"/>
      <c r="AF30" s="946"/>
      <c r="AG30" s="940" t="e">
        <f t="shared" si="27"/>
        <v>#DIV/0!</v>
      </c>
      <c r="AH30" s="946">
        <f t="shared" si="11"/>
        <v>0</v>
      </c>
      <c r="AI30" s="946"/>
      <c r="AJ30" s="946"/>
      <c r="AK30" s="940" t="e">
        <f t="shared" si="28"/>
        <v>#DIV/0!</v>
      </c>
      <c r="AL30" s="946">
        <f t="shared" si="12"/>
        <v>0</v>
      </c>
      <c r="AM30" s="946"/>
      <c r="AN30" s="946"/>
      <c r="AO30" s="940" t="e">
        <f t="shared" si="29"/>
        <v>#DIV/0!</v>
      </c>
      <c r="AP30" s="946">
        <f t="shared" si="13"/>
        <v>0</v>
      </c>
      <c r="AQ30" s="946"/>
      <c r="AR30" s="946"/>
      <c r="AS30" s="940" t="e">
        <f t="shared" si="30"/>
        <v>#DIV/0!</v>
      </c>
      <c r="AT30" s="946">
        <f t="shared" si="14"/>
        <v>0</v>
      </c>
      <c r="AU30" s="946"/>
      <c r="AV30" s="946"/>
      <c r="AW30" s="940" t="e">
        <f t="shared" si="31"/>
        <v>#DIV/0!</v>
      </c>
      <c r="AX30" s="946">
        <f t="shared" si="15"/>
        <v>0</v>
      </c>
      <c r="AY30" s="946"/>
      <c r="AZ30" s="946"/>
      <c r="BA30" s="940" t="e">
        <f t="shared" si="32"/>
        <v>#DIV/0!</v>
      </c>
      <c r="BB30" s="946">
        <f t="shared" si="16"/>
        <v>0</v>
      </c>
      <c r="BC30" s="946"/>
      <c r="BD30" s="946"/>
      <c r="BE30" s="940" t="e">
        <f t="shared" si="33"/>
        <v>#DIV/0!</v>
      </c>
      <c r="BF30" s="937"/>
    </row>
    <row r="31" spans="1:58" ht="24" customHeight="1" collapsed="1">
      <c r="A31" s="943" t="s">
        <v>34</v>
      </c>
      <c r="B31" s="955" t="s">
        <v>35</v>
      </c>
      <c r="C31" s="942">
        <f t="shared" si="4"/>
        <v>81791</v>
      </c>
      <c r="D31" s="956">
        <f>'File goc huyen'!D50</f>
        <v>16410</v>
      </c>
      <c r="E31" s="956">
        <f>'File goc huyen'!E50</f>
        <v>7025</v>
      </c>
      <c r="F31" s="956">
        <f>'File goc huyen'!F50</f>
        <v>7371</v>
      </c>
      <c r="G31" s="956">
        <f>'File goc huyen'!G50</f>
        <v>7396</v>
      </c>
      <c r="H31" s="956">
        <f>'File goc huyen'!H50</f>
        <v>8030</v>
      </c>
      <c r="I31" s="956">
        <f>'File goc huyen'!I50</f>
        <v>7832</v>
      </c>
      <c r="J31" s="956">
        <f>'File goc huyen'!J50</f>
        <v>5926</v>
      </c>
      <c r="K31" s="956">
        <f>'File goc huyen'!K50</f>
        <v>6588</v>
      </c>
      <c r="L31" s="956">
        <f>'File goc huyen'!L50</f>
        <v>7623</v>
      </c>
      <c r="M31" s="956">
        <f>'File goc huyen'!M50</f>
        <v>7590.0000000000009</v>
      </c>
      <c r="N31" s="946">
        <f t="shared" si="5"/>
        <v>81791</v>
      </c>
      <c r="O31" s="946">
        <f>S31+W31+AA31+AE31+AI31+AM31+AQ31+AU31+AY31+BC31</f>
        <v>81791</v>
      </c>
      <c r="P31" s="946"/>
      <c r="Q31" s="940">
        <f t="shared" si="36"/>
        <v>100</v>
      </c>
      <c r="R31" s="946">
        <f t="shared" si="7"/>
        <v>16410</v>
      </c>
      <c r="S31" s="946">
        <f>'File goc huyen'!S50</f>
        <v>16410</v>
      </c>
      <c r="T31" s="946"/>
      <c r="U31" s="940">
        <f t="shared" si="37"/>
        <v>100</v>
      </c>
      <c r="V31" s="946">
        <f t="shared" si="8"/>
        <v>7025</v>
      </c>
      <c r="W31" s="946">
        <f>'File goc huyen'!W50</f>
        <v>7025</v>
      </c>
      <c r="X31" s="946"/>
      <c r="Y31" s="940">
        <f t="shared" si="25"/>
        <v>100</v>
      </c>
      <c r="Z31" s="1418">
        <f t="shared" si="9"/>
        <v>7371</v>
      </c>
      <c r="AA31" s="1418">
        <f>'File goc huyen'!AA50</f>
        <v>7371</v>
      </c>
      <c r="AB31" s="1418"/>
      <c r="AC31" s="940">
        <f t="shared" si="26"/>
        <v>100.00000000000001</v>
      </c>
      <c r="AD31" s="946">
        <f t="shared" si="10"/>
        <v>7396</v>
      </c>
      <c r="AE31" s="946">
        <f>'File goc huyen'!AE50</f>
        <v>7396</v>
      </c>
      <c r="AF31" s="946"/>
      <c r="AG31" s="940">
        <f t="shared" si="27"/>
        <v>100.00000000000001</v>
      </c>
      <c r="AH31" s="946">
        <f t="shared" si="11"/>
        <v>8030</v>
      </c>
      <c r="AI31" s="946">
        <f>'File goc huyen'!AI50</f>
        <v>8030</v>
      </c>
      <c r="AJ31" s="946"/>
      <c r="AK31" s="940">
        <f t="shared" si="28"/>
        <v>100</v>
      </c>
      <c r="AL31" s="946">
        <f t="shared" si="12"/>
        <v>7832</v>
      </c>
      <c r="AM31" s="946">
        <f>'File goc huyen'!AM50</f>
        <v>7832</v>
      </c>
      <c r="AN31" s="946"/>
      <c r="AO31" s="940">
        <f t="shared" si="29"/>
        <v>100.00000000000001</v>
      </c>
      <c r="AP31" s="946">
        <f t="shared" si="13"/>
        <v>5926</v>
      </c>
      <c r="AQ31" s="946">
        <f>'File goc huyen'!AQ50</f>
        <v>5926</v>
      </c>
      <c r="AR31" s="946"/>
      <c r="AS31" s="940">
        <f t="shared" si="30"/>
        <v>100</v>
      </c>
      <c r="AT31" s="946">
        <f t="shared" si="14"/>
        <v>6588</v>
      </c>
      <c r="AU31" s="946">
        <f>'File goc huyen'!AU50</f>
        <v>6588</v>
      </c>
      <c r="AV31" s="946"/>
      <c r="AW31" s="940">
        <f t="shared" si="31"/>
        <v>100</v>
      </c>
      <c r="AX31" s="946">
        <f t="shared" si="15"/>
        <v>7623</v>
      </c>
      <c r="AY31" s="946">
        <f>'File goc huyen'!AY50</f>
        <v>7623</v>
      </c>
      <c r="AZ31" s="946"/>
      <c r="BA31" s="940">
        <f t="shared" si="32"/>
        <v>100</v>
      </c>
      <c r="BB31" s="946">
        <f t="shared" si="16"/>
        <v>7590.0000000000009</v>
      </c>
      <c r="BC31" s="946">
        <f>'File goc huyen'!BC50</f>
        <v>7590.0000000000009</v>
      </c>
      <c r="BD31" s="946"/>
      <c r="BE31" s="940">
        <f t="shared" si="33"/>
        <v>100</v>
      </c>
    </row>
    <row r="32" spans="1:58" ht="22.5" customHeight="1">
      <c r="A32" s="943" t="s">
        <v>36</v>
      </c>
      <c r="B32" s="955" t="s">
        <v>37</v>
      </c>
      <c r="C32" s="942">
        <f t="shared" si="4"/>
        <v>351999.6</v>
      </c>
      <c r="D32" s="956">
        <f>'File goc huyen'!D51</f>
        <v>171027.6</v>
      </c>
      <c r="E32" s="956">
        <f>'File goc huyen'!E51</f>
        <v>20240</v>
      </c>
      <c r="F32" s="956">
        <f>'File goc huyen'!F51</f>
        <v>13200</v>
      </c>
      <c r="G32" s="956">
        <f>'File goc huyen'!G51</f>
        <v>23760</v>
      </c>
      <c r="H32" s="956">
        <f>'File goc huyen'!H51</f>
        <v>7920</v>
      </c>
      <c r="I32" s="956">
        <f>'File goc huyen'!I51</f>
        <v>17600</v>
      </c>
      <c r="J32" s="956">
        <f>'File goc huyen'!J51</f>
        <v>8800</v>
      </c>
      <c r="K32" s="956">
        <f>'File goc huyen'!K51</f>
        <v>440</v>
      </c>
      <c r="L32" s="956">
        <f>'File goc huyen'!L51</f>
        <v>88000</v>
      </c>
      <c r="M32" s="956">
        <f>'File goc huyen'!M51</f>
        <v>1012</v>
      </c>
      <c r="N32" s="946">
        <f t="shared" si="5"/>
        <v>352000</v>
      </c>
      <c r="O32" s="946">
        <f>S32+W32+AA32+AE32+AI32+AM32+AQ32+AU32+AY32+BC32</f>
        <v>352000</v>
      </c>
      <c r="P32" s="946"/>
      <c r="Q32" s="940">
        <f t="shared" si="36"/>
        <v>100.00011363649278</v>
      </c>
      <c r="R32" s="946">
        <f t="shared" si="7"/>
        <v>176352</v>
      </c>
      <c r="S32" s="946">
        <f>'File goc huyen'!S51</f>
        <v>176352</v>
      </c>
      <c r="T32" s="946"/>
      <c r="U32" s="940">
        <f t="shared" si="37"/>
        <v>103.11318173207131</v>
      </c>
      <c r="V32" s="946">
        <f t="shared" si="8"/>
        <v>17600</v>
      </c>
      <c r="W32" s="946">
        <f>'File goc huyen'!W51</f>
        <v>17600</v>
      </c>
      <c r="X32" s="946"/>
      <c r="Y32" s="940">
        <f t="shared" si="25"/>
        <v>86.956521739130437</v>
      </c>
      <c r="Z32" s="1418">
        <f t="shared" si="9"/>
        <v>13200</v>
      </c>
      <c r="AA32" s="1418">
        <f>'File goc huyen'!AA51</f>
        <v>13200</v>
      </c>
      <c r="AB32" s="1418"/>
      <c r="AC32" s="940">
        <f t="shared" si="26"/>
        <v>100</v>
      </c>
      <c r="AD32" s="946">
        <f t="shared" si="10"/>
        <v>22000</v>
      </c>
      <c r="AE32" s="946">
        <f>'File goc huyen'!AE51</f>
        <v>22000</v>
      </c>
      <c r="AF32" s="946"/>
      <c r="AG32" s="940">
        <f t="shared" si="27"/>
        <v>92.592592592592595</v>
      </c>
      <c r="AH32" s="946">
        <f t="shared" si="11"/>
        <v>7920</v>
      </c>
      <c r="AI32" s="946">
        <f>'File goc huyen'!AI51</f>
        <v>7920</v>
      </c>
      <c r="AJ32" s="946"/>
      <c r="AK32" s="940">
        <f t="shared" si="28"/>
        <v>100</v>
      </c>
      <c r="AL32" s="946">
        <f t="shared" si="12"/>
        <v>22000</v>
      </c>
      <c r="AM32" s="946">
        <f>'File goc huyen'!AM51</f>
        <v>22000</v>
      </c>
      <c r="AN32" s="946"/>
      <c r="AO32" s="940">
        <f t="shared" si="29"/>
        <v>125</v>
      </c>
      <c r="AP32" s="946">
        <f t="shared" si="13"/>
        <v>4400</v>
      </c>
      <c r="AQ32" s="946">
        <f>'File goc huyen'!AQ51</f>
        <v>4400</v>
      </c>
      <c r="AR32" s="946"/>
      <c r="AS32" s="940">
        <f t="shared" si="30"/>
        <v>50</v>
      </c>
      <c r="AT32" s="946">
        <f t="shared" si="14"/>
        <v>440</v>
      </c>
      <c r="AU32" s="946">
        <f>'File goc huyen'!AU51</f>
        <v>440</v>
      </c>
      <c r="AV32" s="946"/>
      <c r="AW32" s="940">
        <f t="shared" si="31"/>
        <v>99.999999999999986</v>
      </c>
      <c r="AX32" s="946">
        <f t="shared" si="15"/>
        <v>88000</v>
      </c>
      <c r="AY32" s="946">
        <f>'File goc huyen'!AY51</f>
        <v>88000</v>
      </c>
      <c r="AZ32" s="946"/>
      <c r="BA32" s="940">
        <f t="shared" si="32"/>
        <v>100</v>
      </c>
      <c r="BB32" s="946">
        <f t="shared" si="16"/>
        <v>88</v>
      </c>
      <c r="BC32" s="946">
        <f>'File goc huyen'!BC51</f>
        <v>88</v>
      </c>
      <c r="BD32" s="946"/>
      <c r="BE32" s="940">
        <f t="shared" si="33"/>
        <v>8.6956521739130448</v>
      </c>
    </row>
    <row r="33" spans="1:57" s="954" customFormat="1" ht="88.5" hidden="1" customHeight="1" outlineLevel="1">
      <c r="A33" s="957"/>
      <c r="B33" s="958" t="s">
        <v>1439</v>
      </c>
      <c r="C33" s="942">
        <f t="shared" si="4"/>
        <v>0</v>
      </c>
      <c r="D33" s="959"/>
      <c r="E33" s="959"/>
      <c r="F33" s="959"/>
      <c r="G33" s="959"/>
      <c r="H33" s="959"/>
      <c r="I33" s="959"/>
      <c r="J33" s="959"/>
      <c r="K33" s="959"/>
      <c r="L33" s="959"/>
      <c r="M33" s="959"/>
      <c r="N33" s="951">
        <f t="shared" si="5"/>
        <v>0</v>
      </c>
      <c r="O33" s="951">
        <f>S33</f>
        <v>0</v>
      </c>
      <c r="P33" s="951"/>
      <c r="Q33" s="940" t="e">
        <f t="shared" si="36"/>
        <v>#DIV/0!</v>
      </c>
      <c r="R33" s="951">
        <f t="shared" si="7"/>
        <v>0</v>
      </c>
      <c r="S33" s="951"/>
      <c r="T33" s="951"/>
      <c r="U33" s="940" t="e">
        <f t="shared" si="37"/>
        <v>#DIV/0!</v>
      </c>
      <c r="V33" s="951">
        <f t="shared" si="8"/>
        <v>0</v>
      </c>
      <c r="W33" s="951"/>
      <c r="X33" s="951"/>
      <c r="Y33" s="940" t="e">
        <f t="shared" si="25"/>
        <v>#DIV/0!</v>
      </c>
      <c r="Z33" s="1419">
        <f t="shared" si="9"/>
        <v>0</v>
      </c>
      <c r="AA33" s="1419"/>
      <c r="AB33" s="1419"/>
      <c r="AC33" s="940" t="e">
        <f t="shared" si="26"/>
        <v>#DIV/0!</v>
      </c>
      <c r="AD33" s="951">
        <f t="shared" si="10"/>
        <v>0</v>
      </c>
      <c r="AE33" s="951"/>
      <c r="AF33" s="951"/>
      <c r="AG33" s="940" t="e">
        <f t="shared" si="27"/>
        <v>#DIV/0!</v>
      </c>
      <c r="AH33" s="951">
        <f t="shared" si="11"/>
        <v>0</v>
      </c>
      <c r="AI33" s="951"/>
      <c r="AJ33" s="951"/>
      <c r="AK33" s="940" t="e">
        <f t="shared" si="28"/>
        <v>#DIV/0!</v>
      </c>
      <c r="AL33" s="951">
        <f t="shared" si="12"/>
        <v>0</v>
      </c>
      <c r="AM33" s="951"/>
      <c r="AN33" s="951"/>
      <c r="AO33" s="940" t="e">
        <f t="shared" si="29"/>
        <v>#DIV/0!</v>
      </c>
      <c r="AP33" s="951">
        <f t="shared" si="13"/>
        <v>0</v>
      </c>
      <c r="AQ33" s="951"/>
      <c r="AR33" s="951"/>
      <c r="AS33" s="940" t="e">
        <f t="shared" si="30"/>
        <v>#DIV/0!</v>
      </c>
      <c r="AT33" s="951">
        <f t="shared" si="14"/>
        <v>0</v>
      </c>
      <c r="AU33" s="951"/>
      <c r="AV33" s="951"/>
      <c r="AW33" s="940" t="e">
        <f t="shared" si="31"/>
        <v>#DIV/0!</v>
      </c>
      <c r="AX33" s="951">
        <f t="shared" si="15"/>
        <v>0</v>
      </c>
      <c r="AY33" s="951"/>
      <c r="AZ33" s="951"/>
      <c r="BA33" s="940" t="e">
        <f t="shared" si="32"/>
        <v>#DIV/0!</v>
      </c>
      <c r="BB33" s="951">
        <f t="shared" si="16"/>
        <v>0</v>
      </c>
      <c r="BC33" s="951"/>
      <c r="BD33" s="951"/>
      <c r="BE33" s="940" t="e">
        <f t="shared" si="33"/>
        <v>#DIV/0!</v>
      </c>
    </row>
    <row r="34" spans="1:57" ht="27" hidden="1" customHeight="1" outlineLevel="1">
      <c r="A34" s="943" t="s">
        <v>38</v>
      </c>
      <c r="B34" s="955" t="s">
        <v>39</v>
      </c>
      <c r="C34" s="942">
        <f t="shared" si="4"/>
        <v>0</v>
      </c>
      <c r="D34" s="956"/>
      <c r="E34" s="956"/>
      <c r="F34" s="956"/>
      <c r="G34" s="956"/>
      <c r="H34" s="956"/>
      <c r="I34" s="956"/>
      <c r="J34" s="956"/>
      <c r="K34" s="956"/>
      <c r="L34" s="956"/>
      <c r="M34" s="956"/>
      <c r="N34" s="946">
        <f t="shared" si="5"/>
        <v>0</v>
      </c>
      <c r="O34" s="946">
        <f>S34+W34+AA34+AE34+AI34+AM34+AQ34+AU34+AY34+BC34</f>
        <v>0</v>
      </c>
      <c r="P34" s="946"/>
      <c r="Q34" s="940" t="e">
        <f t="shared" si="36"/>
        <v>#DIV/0!</v>
      </c>
      <c r="R34" s="946">
        <f t="shared" si="7"/>
        <v>0</v>
      </c>
      <c r="S34" s="956"/>
      <c r="T34" s="956"/>
      <c r="U34" s="940" t="e">
        <f t="shared" si="37"/>
        <v>#DIV/0!</v>
      </c>
      <c r="V34" s="946">
        <f t="shared" si="8"/>
        <v>0</v>
      </c>
      <c r="W34" s="956"/>
      <c r="X34" s="956"/>
      <c r="Y34" s="940" t="e">
        <f t="shared" si="25"/>
        <v>#DIV/0!</v>
      </c>
      <c r="Z34" s="1418">
        <f t="shared" si="9"/>
        <v>0</v>
      </c>
      <c r="AA34" s="1420"/>
      <c r="AB34" s="1420"/>
      <c r="AC34" s="940" t="e">
        <f t="shared" si="26"/>
        <v>#DIV/0!</v>
      </c>
      <c r="AD34" s="946">
        <f t="shared" si="10"/>
        <v>0</v>
      </c>
      <c r="AE34" s="956"/>
      <c r="AF34" s="956"/>
      <c r="AG34" s="940" t="e">
        <f t="shared" si="27"/>
        <v>#DIV/0!</v>
      </c>
      <c r="AH34" s="946">
        <f t="shared" si="11"/>
        <v>0</v>
      </c>
      <c r="AI34" s="956"/>
      <c r="AJ34" s="956"/>
      <c r="AK34" s="940" t="e">
        <f t="shared" si="28"/>
        <v>#DIV/0!</v>
      </c>
      <c r="AL34" s="946">
        <f t="shared" si="12"/>
        <v>0</v>
      </c>
      <c r="AM34" s="956"/>
      <c r="AN34" s="956"/>
      <c r="AO34" s="940" t="e">
        <f t="shared" si="29"/>
        <v>#DIV/0!</v>
      </c>
      <c r="AP34" s="946">
        <f t="shared" si="13"/>
        <v>0</v>
      </c>
      <c r="AQ34" s="956"/>
      <c r="AR34" s="956"/>
      <c r="AS34" s="940" t="e">
        <f t="shared" si="30"/>
        <v>#DIV/0!</v>
      </c>
      <c r="AT34" s="946">
        <f t="shared" si="14"/>
        <v>0</v>
      </c>
      <c r="AU34" s="956"/>
      <c r="AV34" s="956"/>
      <c r="AW34" s="940" t="e">
        <f t="shared" si="31"/>
        <v>#DIV/0!</v>
      </c>
      <c r="AX34" s="946">
        <f t="shared" si="15"/>
        <v>0</v>
      </c>
      <c r="AY34" s="956"/>
      <c r="AZ34" s="956"/>
      <c r="BA34" s="940" t="e">
        <f t="shared" si="32"/>
        <v>#DIV/0!</v>
      </c>
      <c r="BB34" s="946">
        <f t="shared" si="16"/>
        <v>0</v>
      </c>
      <c r="BC34" s="956"/>
      <c r="BD34" s="956"/>
      <c r="BE34" s="940" t="e">
        <f t="shared" si="33"/>
        <v>#DIV/0!</v>
      </c>
    </row>
    <row r="35" spans="1:57" s="937" customFormat="1" ht="26.25" customHeight="1" collapsed="1">
      <c r="A35" s="941" t="s">
        <v>26</v>
      </c>
      <c r="B35" s="949" t="s">
        <v>40</v>
      </c>
      <c r="C35" s="942">
        <f t="shared" si="4"/>
        <v>3396719.58</v>
      </c>
      <c r="D35" s="950">
        <f>D37+D53+D55</f>
        <v>632034.26</v>
      </c>
      <c r="E35" s="950">
        <f t="shared" ref="E35:M35" si="38">E37+E53+E55</f>
        <v>428391.06</v>
      </c>
      <c r="F35" s="950">
        <f t="shared" si="38"/>
        <v>323597.66000000003</v>
      </c>
      <c r="G35" s="950">
        <f t="shared" si="38"/>
        <v>304274.24</v>
      </c>
      <c r="H35" s="950">
        <f t="shared" si="38"/>
        <v>395744.6</v>
      </c>
      <c r="I35" s="950">
        <f t="shared" si="38"/>
        <v>356753.2</v>
      </c>
      <c r="J35" s="950">
        <f t="shared" si="38"/>
        <v>113161.45999999999</v>
      </c>
      <c r="K35" s="950">
        <f t="shared" si="38"/>
        <v>241916.08000000002</v>
      </c>
      <c r="L35" s="950">
        <f t="shared" si="38"/>
        <v>290585.66000000003</v>
      </c>
      <c r="M35" s="950">
        <f t="shared" si="38"/>
        <v>310261.36</v>
      </c>
      <c r="N35" s="938">
        <f t="shared" si="5"/>
        <v>3786433.29544</v>
      </c>
      <c r="O35" s="938">
        <f>O37+O52+O55+O53</f>
        <v>3415087.29544</v>
      </c>
      <c r="P35" s="938">
        <f t="shared" ref="P35:BC35" si="39">P37+P52+P55+P53</f>
        <v>371346</v>
      </c>
      <c r="Q35" s="940">
        <f t="shared" si="36"/>
        <v>100.54074865491251</v>
      </c>
      <c r="R35" s="938">
        <f t="shared" si="7"/>
        <v>697315.28566000005</v>
      </c>
      <c r="S35" s="938">
        <f t="shared" si="39"/>
        <v>627220.28566000005</v>
      </c>
      <c r="T35" s="938">
        <f t="shared" si="39"/>
        <v>70095</v>
      </c>
      <c r="U35" s="940">
        <f t="shared" si="37"/>
        <v>99.23833648827835</v>
      </c>
      <c r="V35" s="938">
        <f t="shared" si="8"/>
        <v>469478.70426000003</v>
      </c>
      <c r="W35" s="938">
        <f t="shared" si="39"/>
        <v>423240.70426000003</v>
      </c>
      <c r="X35" s="938">
        <f t="shared" si="39"/>
        <v>46238</v>
      </c>
      <c r="Y35" s="940">
        <f t="shared" si="25"/>
        <v>98.797744346018803</v>
      </c>
      <c r="Z35" s="1416">
        <f t="shared" si="9"/>
        <v>365078.34660000005</v>
      </c>
      <c r="AA35" s="1416">
        <f t="shared" si="39"/>
        <v>326642.34660000005</v>
      </c>
      <c r="AB35" s="1416">
        <f t="shared" si="39"/>
        <v>38436</v>
      </c>
      <c r="AC35" s="940">
        <f t="shared" si="26"/>
        <v>100.94088646994543</v>
      </c>
      <c r="AD35" s="938">
        <f t="shared" si="10"/>
        <v>339244.80331999995</v>
      </c>
      <c r="AE35" s="938">
        <f t="shared" si="39"/>
        <v>304053.80331999995</v>
      </c>
      <c r="AF35" s="938">
        <f t="shared" si="39"/>
        <v>35191</v>
      </c>
      <c r="AG35" s="940">
        <f t="shared" si="27"/>
        <v>99.92755328877</v>
      </c>
      <c r="AH35" s="938">
        <f t="shared" si="11"/>
        <v>440383.08600000001</v>
      </c>
      <c r="AI35" s="938">
        <f t="shared" si="39"/>
        <v>399938.08600000001</v>
      </c>
      <c r="AJ35" s="938">
        <f t="shared" si="39"/>
        <v>40445</v>
      </c>
      <c r="AK35" s="940">
        <f t="shared" si="28"/>
        <v>101.05964452831448</v>
      </c>
      <c r="AL35" s="938">
        <f t="shared" si="12"/>
        <v>397937.77399999998</v>
      </c>
      <c r="AM35" s="938">
        <f t="shared" si="39"/>
        <v>356445.77399999998</v>
      </c>
      <c r="AN35" s="938">
        <f t="shared" si="39"/>
        <v>41492</v>
      </c>
      <c r="AO35" s="940">
        <f t="shared" si="29"/>
        <v>99.913826701484382</v>
      </c>
      <c r="AP35" s="938">
        <f t="shared" si="13"/>
        <v>128948.10459999999</v>
      </c>
      <c r="AQ35" s="938">
        <f t="shared" si="39"/>
        <v>118934.10459999999</v>
      </c>
      <c r="AR35" s="938">
        <f t="shared" si="39"/>
        <v>10014</v>
      </c>
      <c r="AS35" s="940">
        <f t="shared" si="30"/>
        <v>105.10124613097074</v>
      </c>
      <c r="AT35" s="938">
        <f t="shared" si="14"/>
        <v>273827.2108</v>
      </c>
      <c r="AU35" s="938">
        <f t="shared" si="39"/>
        <v>246752.2108</v>
      </c>
      <c r="AV35" s="938">
        <f t="shared" si="39"/>
        <v>27075</v>
      </c>
      <c r="AW35" s="940">
        <f t="shared" si="31"/>
        <v>101.99909439670152</v>
      </c>
      <c r="AX35" s="938">
        <f t="shared" si="15"/>
        <v>329203.51659999997</v>
      </c>
      <c r="AY35" s="938">
        <f t="shared" si="39"/>
        <v>299235.51659999997</v>
      </c>
      <c r="AZ35" s="938">
        <f t="shared" si="39"/>
        <v>29968</v>
      </c>
      <c r="BA35" s="940">
        <f t="shared" si="32"/>
        <v>102.97669768012638</v>
      </c>
      <c r="BB35" s="938">
        <f t="shared" si="16"/>
        <v>345016.46360000002</v>
      </c>
      <c r="BC35" s="938">
        <f t="shared" si="39"/>
        <v>312624.46360000002</v>
      </c>
      <c r="BD35" s="938">
        <f>BD37+BD52+BD55+BD53</f>
        <v>32392</v>
      </c>
      <c r="BE35" s="940">
        <f t="shared" si="33"/>
        <v>100.76164933976956</v>
      </c>
    </row>
    <row r="36" spans="1:57" s="963" customFormat="1" ht="28.5" hidden="1" customHeight="1" outlineLevel="1">
      <c r="A36" s="960"/>
      <c r="B36" s="961" t="s">
        <v>41</v>
      </c>
      <c r="C36" s="942">
        <f t="shared" si="4"/>
        <v>0</v>
      </c>
      <c r="D36" s="962"/>
      <c r="E36" s="962"/>
      <c r="F36" s="962"/>
      <c r="G36" s="962"/>
      <c r="H36" s="962"/>
      <c r="I36" s="962"/>
      <c r="J36" s="962"/>
      <c r="K36" s="962"/>
      <c r="L36" s="962"/>
      <c r="M36" s="962"/>
      <c r="N36" s="940">
        <f t="shared" si="5"/>
        <v>35639.485369426271</v>
      </c>
      <c r="O36" s="940">
        <f>S36+W36+AA36+AE36+AI36+AM36+AQ36+AU36+AY36+BC36</f>
        <v>35639.485369426271</v>
      </c>
      <c r="P36" s="940"/>
      <c r="Q36" s="940" t="e">
        <f t="shared" si="36"/>
        <v>#DIV/0!</v>
      </c>
      <c r="R36" s="940">
        <f t="shared" si="7"/>
        <v>8711.7176466231576</v>
      </c>
      <c r="S36" s="938">
        <v>8711.7176466231576</v>
      </c>
      <c r="T36" s="940"/>
      <c r="U36" s="940" t="e">
        <f t="shared" si="37"/>
        <v>#DIV/0!</v>
      </c>
      <c r="V36" s="940">
        <f t="shared" si="8"/>
        <v>3885.3376312792766</v>
      </c>
      <c r="W36" s="940">
        <v>3885.3376312792766</v>
      </c>
      <c r="X36" s="940"/>
      <c r="Y36" s="940" t="e">
        <f t="shared" si="25"/>
        <v>#DIV/0!</v>
      </c>
      <c r="Z36" s="1421">
        <f t="shared" si="9"/>
        <v>3178.7038320845022</v>
      </c>
      <c r="AA36" s="1421">
        <v>3178.7038320845022</v>
      </c>
      <c r="AB36" s="1421"/>
      <c r="AC36" s="940" t="e">
        <f t="shared" si="26"/>
        <v>#DIV/0!</v>
      </c>
      <c r="AD36" s="940">
        <f t="shared" si="10"/>
        <v>3637.8784782490011</v>
      </c>
      <c r="AE36" s="940">
        <v>3637.8784782490011</v>
      </c>
      <c r="AF36" s="940"/>
      <c r="AG36" s="940" t="e">
        <f t="shared" si="27"/>
        <v>#DIV/0!</v>
      </c>
      <c r="AH36" s="940">
        <f t="shared" si="11"/>
        <v>3393.1826769695858</v>
      </c>
      <c r="AI36" s="940">
        <v>3393.1826769695858</v>
      </c>
      <c r="AJ36" s="940"/>
      <c r="AK36" s="940" t="e">
        <f t="shared" si="28"/>
        <v>#DIV/0!</v>
      </c>
      <c r="AL36" s="940">
        <f t="shared" si="12"/>
        <v>3627.2857216323537</v>
      </c>
      <c r="AM36" s="940">
        <v>3627.2857216323537</v>
      </c>
      <c r="AN36" s="940"/>
      <c r="AO36" s="940" t="e">
        <f t="shared" si="29"/>
        <v>#DIV/0!</v>
      </c>
      <c r="AP36" s="940">
        <f t="shared" si="13"/>
        <v>951.9510906673795</v>
      </c>
      <c r="AQ36" s="940">
        <v>951.9510906673795</v>
      </c>
      <c r="AR36" s="940"/>
      <c r="AS36" s="940" t="e">
        <f t="shared" si="30"/>
        <v>#DIV/0!</v>
      </c>
      <c r="AT36" s="940">
        <f t="shared" si="14"/>
        <v>2671.4481544660821</v>
      </c>
      <c r="AU36" s="940">
        <v>2671.4481544660821</v>
      </c>
      <c r="AV36" s="940"/>
      <c r="AW36" s="940" t="e">
        <f t="shared" si="31"/>
        <v>#DIV/0!</v>
      </c>
      <c r="AX36" s="940">
        <f t="shared" si="15"/>
        <v>2568.385653050927</v>
      </c>
      <c r="AY36" s="940">
        <v>2568.385653050927</v>
      </c>
      <c r="AZ36" s="940"/>
      <c r="BA36" s="940" t="e">
        <f t="shared" si="32"/>
        <v>#DIV/0!</v>
      </c>
      <c r="BB36" s="940">
        <f t="shared" si="16"/>
        <v>3013.5944844040068</v>
      </c>
      <c r="BC36" s="940">
        <v>3013.5944844040068</v>
      </c>
      <c r="BD36" s="940"/>
      <c r="BE36" s="940" t="e">
        <f t="shared" si="33"/>
        <v>#DIV/0!</v>
      </c>
    </row>
    <row r="37" spans="1:57" s="937" customFormat="1" ht="23.25" customHeight="1" collapsed="1">
      <c r="A37" s="941" t="s">
        <v>42</v>
      </c>
      <c r="B37" s="939" t="s">
        <v>43</v>
      </c>
      <c r="C37" s="942">
        <f t="shared" si="4"/>
        <v>1983629.58</v>
      </c>
      <c r="D37" s="942">
        <f>'File goc huyen'!D55</f>
        <v>360239.26</v>
      </c>
      <c r="E37" s="942">
        <f>'File goc huyen'!E55</f>
        <v>271743.06</v>
      </c>
      <c r="F37" s="942">
        <f>'File goc huyen'!F55</f>
        <v>205785.66</v>
      </c>
      <c r="G37" s="942">
        <f>'File goc huyen'!G55</f>
        <v>166228.24</v>
      </c>
      <c r="H37" s="942">
        <f>'File goc huyen'!H55</f>
        <v>228074.6</v>
      </c>
      <c r="I37" s="942">
        <f>'File goc huyen'!I55</f>
        <v>214737.2</v>
      </c>
      <c r="J37" s="942">
        <f>'File goc huyen'!J55</f>
        <v>47355.46</v>
      </c>
      <c r="K37" s="942">
        <f>'File goc huyen'!K55</f>
        <v>141728.08000000002</v>
      </c>
      <c r="L37" s="942">
        <f>'File goc huyen'!L55</f>
        <v>160527.66</v>
      </c>
      <c r="M37" s="942">
        <f>'File goc huyen'!M55</f>
        <v>187210.36000000002</v>
      </c>
      <c r="N37" s="938">
        <f>O37+P37</f>
        <v>2185722.29544</v>
      </c>
      <c r="O37" s="938">
        <f>S37+W37+AA37+AE37+AI37+AM37+AQ37+AU37+AY37+BC37</f>
        <v>1979526.29544</v>
      </c>
      <c r="P37" s="938">
        <f>T37+X37+AB37+AF37+AJ37+AN37+AR37+AV37+AZ37+BD37</f>
        <v>206196</v>
      </c>
      <c r="Q37" s="940">
        <f t="shared" si="36"/>
        <v>99.793142600747061</v>
      </c>
      <c r="R37" s="938">
        <f t="shared" si="7"/>
        <v>399497.28565999999</v>
      </c>
      <c r="S37" s="938">
        <f t="shared" ref="S37:BC37" si="40">S38+S51</f>
        <v>357097.28565999999</v>
      </c>
      <c r="T37" s="938">
        <f>T38+T51</f>
        <v>42400</v>
      </c>
      <c r="U37" s="940">
        <f t="shared" si="37"/>
        <v>99.127809017817768</v>
      </c>
      <c r="V37" s="938">
        <f t="shared" si="8"/>
        <v>292237.70426000003</v>
      </c>
      <c r="W37" s="938">
        <f t="shared" si="40"/>
        <v>264683.70426000003</v>
      </c>
      <c r="X37" s="938">
        <f>X38+X51</f>
        <v>27554</v>
      </c>
      <c r="Y37" s="940">
        <f t="shared" si="25"/>
        <v>97.402194654023546</v>
      </c>
      <c r="Z37" s="1416">
        <f t="shared" si="9"/>
        <v>229403.34660000002</v>
      </c>
      <c r="AA37" s="1416">
        <f t="shared" si="40"/>
        <v>207614.34660000002</v>
      </c>
      <c r="AB37" s="1416">
        <f>AB38+AB51</f>
        <v>21789</v>
      </c>
      <c r="AC37" s="940">
        <f t="shared" si="26"/>
        <v>100.8886365551419</v>
      </c>
      <c r="AD37" s="938">
        <f t="shared" si="10"/>
        <v>184138.80331999998</v>
      </c>
      <c r="AE37" s="938">
        <f t="shared" si="40"/>
        <v>165141.80331999998</v>
      </c>
      <c r="AF37" s="938">
        <f>AF38+AF51</f>
        <v>18997</v>
      </c>
      <c r="AG37" s="940">
        <f t="shared" si="27"/>
        <v>99.346418707194388</v>
      </c>
      <c r="AH37" s="938">
        <f t="shared" si="11"/>
        <v>251193.08600000001</v>
      </c>
      <c r="AI37" s="938">
        <f t="shared" si="40"/>
        <v>229920.08600000001</v>
      </c>
      <c r="AJ37" s="938">
        <f>AJ38+AJ51</f>
        <v>21273</v>
      </c>
      <c r="AK37" s="940">
        <f t="shared" si="28"/>
        <v>100.80915893308593</v>
      </c>
      <c r="AL37" s="938">
        <f t="shared" si="12"/>
        <v>236940.774</v>
      </c>
      <c r="AM37" s="938">
        <f t="shared" si="40"/>
        <v>213812.774</v>
      </c>
      <c r="AN37" s="938">
        <f>AN38+AN51</f>
        <v>23128</v>
      </c>
      <c r="AO37" s="940">
        <f t="shared" si="29"/>
        <v>99.569508217486288</v>
      </c>
      <c r="AP37" s="938">
        <f t="shared" si="13"/>
        <v>51708.104599999999</v>
      </c>
      <c r="AQ37" s="938">
        <f t="shared" si="40"/>
        <v>47708.104599999999</v>
      </c>
      <c r="AR37" s="938">
        <f>AR38+AR51</f>
        <v>4000</v>
      </c>
      <c r="AS37" s="940">
        <f t="shared" si="30"/>
        <v>100.74467569315132</v>
      </c>
      <c r="AT37" s="938">
        <f t="shared" si="14"/>
        <v>158030.2108</v>
      </c>
      <c r="AU37" s="938">
        <f t="shared" si="40"/>
        <v>142931.2108</v>
      </c>
      <c r="AV37" s="938">
        <f>AV38+AV51</f>
        <v>15099</v>
      </c>
      <c r="AW37" s="940">
        <f t="shared" si="31"/>
        <v>100.84890079651116</v>
      </c>
      <c r="AX37" s="938">
        <f t="shared" si="15"/>
        <v>177564.5166</v>
      </c>
      <c r="AY37" s="938">
        <f t="shared" si="40"/>
        <v>161931.5166</v>
      </c>
      <c r="AZ37" s="938">
        <f>AZ38+AZ51</f>
        <v>15633</v>
      </c>
      <c r="BA37" s="940">
        <f t="shared" si="32"/>
        <v>100.87452629658962</v>
      </c>
      <c r="BB37" s="938">
        <f t="shared" si="16"/>
        <v>205008.46360000002</v>
      </c>
      <c r="BC37" s="938">
        <f t="shared" si="40"/>
        <v>188685.46360000002</v>
      </c>
      <c r="BD37" s="938">
        <f>BD38+BD51</f>
        <v>16323</v>
      </c>
      <c r="BE37" s="940">
        <f t="shared" si="33"/>
        <v>100.78793908627706</v>
      </c>
    </row>
    <row r="38" spans="1:57" s="937" customFormat="1" ht="23.25" customHeight="1">
      <c r="A38" s="964" t="s">
        <v>44</v>
      </c>
      <c r="B38" s="939" t="s">
        <v>1455</v>
      </c>
      <c r="C38" s="942">
        <f t="shared" si="4"/>
        <v>0</v>
      </c>
      <c r="D38" s="942"/>
      <c r="E38" s="942"/>
      <c r="F38" s="942"/>
      <c r="G38" s="942"/>
      <c r="H38" s="942"/>
      <c r="I38" s="942"/>
      <c r="J38" s="942"/>
      <c r="K38" s="942"/>
      <c r="L38" s="942"/>
      <c r="M38" s="942"/>
      <c r="N38" s="938">
        <f t="shared" si="5"/>
        <v>2178004</v>
      </c>
      <c r="O38" s="938">
        <f>O39+O45+O50</f>
        <v>1973167</v>
      </c>
      <c r="P38" s="938">
        <f>T38+X38+AB38+AF38+AJ38+AN38+AR38+AV38+AZ38+BD38</f>
        <v>204837</v>
      </c>
      <c r="Q38" s="940"/>
      <c r="R38" s="938">
        <f t="shared" si="7"/>
        <v>398907.28565999999</v>
      </c>
      <c r="S38" s="938">
        <f t="shared" ref="S38:BC38" si="41">S39+S45+S50</f>
        <v>356625.28565999999</v>
      </c>
      <c r="T38" s="938">
        <f>'File goc huyen'!T56</f>
        <v>42282</v>
      </c>
      <c r="U38" s="940"/>
      <c r="V38" s="938">
        <f t="shared" si="8"/>
        <v>291266.70426000003</v>
      </c>
      <c r="W38" s="938">
        <f t="shared" si="41"/>
        <v>263905.70426000003</v>
      </c>
      <c r="X38" s="938">
        <f>'File goc huyen'!X56</f>
        <v>27361</v>
      </c>
      <c r="Y38" s="940"/>
      <c r="Z38" s="1416">
        <f t="shared" si="9"/>
        <v>228823.34660000002</v>
      </c>
      <c r="AA38" s="1416">
        <f t="shared" si="41"/>
        <v>207136.34660000002</v>
      </c>
      <c r="AB38" s="1416">
        <f>'File goc huyen'!AB56</f>
        <v>21687</v>
      </c>
      <c r="AC38" s="940"/>
      <c r="AD38" s="938">
        <f t="shared" si="10"/>
        <v>183773.80331999998</v>
      </c>
      <c r="AE38" s="938">
        <f t="shared" si="41"/>
        <v>164848.80331999998</v>
      </c>
      <c r="AF38" s="938">
        <f>'File goc huyen'!AF56</f>
        <v>18925</v>
      </c>
      <c r="AG38" s="940"/>
      <c r="AH38" s="938">
        <f t="shared" si="11"/>
        <v>250162.08600000001</v>
      </c>
      <c r="AI38" s="938">
        <f t="shared" si="41"/>
        <v>229073.08600000001</v>
      </c>
      <c r="AJ38" s="938">
        <f>'File goc huyen'!AJ56</f>
        <v>21089</v>
      </c>
      <c r="AK38" s="940"/>
      <c r="AL38" s="938">
        <f t="shared" si="12"/>
        <v>235815.774</v>
      </c>
      <c r="AM38" s="938">
        <f t="shared" si="41"/>
        <v>212915.774</v>
      </c>
      <c r="AN38" s="938">
        <f>'File goc huyen'!AN56</f>
        <v>22900</v>
      </c>
      <c r="AO38" s="940"/>
      <c r="AP38" s="938">
        <f t="shared" si="13"/>
        <v>51245.104599999999</v>
      </c>
      <c r="AQ38" s="938">
        <f t="shared" si="41"/>
        <v>47290.104599999999</v>
      </c>
      <c r="AR38" s="938">
        <f>'File goc huyen'!AR56</f>
        <v>3955</v>
      </c>
      <c r="AS38" s="940"/>
      <c r="AT38" s="938">
        <f t="shared" si="14"/>
        <v>157082.2108</v>
      </c>
      <c r="AU38" s="938">
        <f t="shared" si="41"/>
        <v>142141.2108</v>
      </c>
      <c r="AV38" s="938">
        <f>'File goc huyen'!AV56</f>
        <v>14941</v>
      </c>
      <c r="AW38" s="940"/>
      <c r="AX38" s="938">
        <f t="shared" si="15"/>
        <v>176797.5166</v>
      </c>
      <c r="AY38" s="938">
        <f t="shared" si="41"/>
        <v>161261.5166</v>
      </c>
      <c r="AZ38" s="938">
        <f>'File goc huyen'!AZ56</f>
        <v>15536</v>
      </c>
      <c r="BA38" s="940"/>
      <c r="BB38" s="938">
        <f t="shared" si="16"/>
        <v>204131.46360000002</v>
      </c>
      <c r="BC38" s="938">
        <f t="shared" si="41"/>
        <v>187970.46360000002</v>
      </c>
      <c r="BD38" s="938">
        <f>'File goc huyen'!BD56</f>
        <v>16161</v>
      </c>
      <c r="BE38" s="940"/>
    </row>
    <row r="39" spans="1:57" ht="23.25" customHeight="1">
      <c r="A39" s="965" t="s">
        <v>45</v>
      </c>
      <c r="B39" s="944" t="s">
        <v>694</v>
      </c>
      <c r="C39" s="942">
        <f t="shared" si="4"/>
        <v>0</v>
      </c>
      <c r="D39" s="945"/>
      <c r="E39" s="945"/>
      <c r="F39" s="945"/>
      <c r="G39" s="945"/>
      <c r="H39" s="945"/>
      <c r="I39" s="945"/>
      <c r="J39" s="945"/>
      <c r="K39" s="945"/>
      <c r="L39" s="945"/>
      <c r="M39" s="945"/>
      <c r="N39" s="946">
        <f t="shared" si="5"/>
        <v>1739411</v>
      </c>
      <c r="O39" s="946">
        <f>ROUND(S39+W39+AA39+AE39+AI39+AM39+AQ39+AU39+AY39+BC39,0)-1</f>
        <v>1739411</v>
      </c>
      <c r="P39" s="946"/>
      <c r="Q39" s="947"/>
      <c r="R39" s="946">
        <f t="shared" si="7"/>
        <v>345966.28565999999</v>
      </c>
      <c r="S39" s="946">
        <f>'File goc huyen'!S57</f>
        <v>345966.28565999999</v>
      </c>
      <c r="T39" s="946"/>
      <c r="U39" s="947"/>
      <c r="V39" s="946">
        <f t="shared" si="8"/>
        <v>236366.70426</v>
      </c>
      <c r="W39" s="946">
        <f>'File goc huyen'!W57</f>
        <v>236366.70426</v>
      </c>
      <c r="X39" s="946"/>
      <c r="Y39" s="947"/>
      <c r="Z39" s="1418">
        <f t="shared" si="9"/>
        <v>184697.34660000002</v>
      </c>
      <c r="AA39" s="1418">
        <f>'File goc huyen'!AA57</f>
        <v>184697.34660000002</v>
      </c>
      <c r="AB39" s="1418"/>
      <c r="AC39" s="947"/>
      <c r="AD39" s="946">
        <f t="shared" si="10"/>
        <v>154118.80331999998</v>
      </c>
      <c r="AE39" s="946">
        <f>'File goc huyen'!AE57</f>
        <v>154118.80331999998</v>
      </c>
      <c r="AF39" s="946"/>
      <c r="AG39" s="947"/>
      <c r="AH39" s="946">
        <f t="shared" si="11"/>
        <v>186394.08600000001</v>
      </c>
      <c r="AI39" s="946">
        <f>'File goc huyen'!AI57</f>
        <v>186394.08600000001</v>
      </c>
      <c r="AJ39" s="946"/>
      <c r="AK39" s="947"/>
      <c r="AL39" s="946">
        <f t="shared" si="12"/>
        <v>183960.774</v>
      </c>
      <c r="AM39" s="946">
        <f>'File goc huyen'!AM57</f>
        <v>183960.774</v>
      </c>
      <c r="AN39" s="946"/>
      <c r="AO39" s="947"/>
      <c r="AP39" s="946">
        <f t="shared" si="13"/>
        <v>35617.104599999999</v>
      </c>
      <c r="AQ39" s="946">
        <f>'File goc huyen'!AQ57</f>
        <v>35617.104599999999</v>
      </c>
      <c r="AR39" s="946"/>
      <c r="AS39" s="947"/>
      <c r="AT39" s="946">
        <f t="shared" si="14"/>
        <v>121516.2108</v>
      </c>
      <c r="AU39" s="946">
        <f>'File goc huyen'!AU57</f>
        <v>121516.2108</v>
      </c>
      <c r="AV39" s="946"/>
      <c r="AW39" s="947"/>
      <c r="AX39" s="946">
        <f t="shared" si="15"/>
        <v>141789.5166</v>
      </c>
      <c r="AY39" s="946">
        <f>'File goc huyen'!AY57</f>
        <v>141789.5166</v>
      </c>
      <c r="AZ39" s="946"/>
      <c r="BA39" s="947"/>
      <c r="BB39" s="946">
        <f t="shared" si="16"/>
        <v>148985.46360000002</v>
      </c>
      <c r="BC39" s="946">
        <f>'File goc huyen'!BC57</f>
        <v>148985.46360000002</v>
      </c>
      <c r="BD39" s="946"/>
      <c r="BE39" s="947"/>
    </row>
    <row r="40" spans="1:57" s="922" customFormat="1" ht="23.25" hidden="1" customHeight="1" outlineLevel="1">
      <c r="A40" s="943" t="s">
        <v>23</v>
      </c>
      <c r="B40" s="945" t="s">
        <v>46</v>
      </c>
      <c r="C40" s="942">
        <f t="shared" si="4"/>
        <v>0</v>
      </c>
      <c r="D40" s="945"/>
      <c r="E40" s="945"/>
      <c r="F40" s="945"/>
      <c r="G40" s="945"/>
      <c r="H40" s="945"/>
      <c r="I40" s="945"/>
      <c r="J40" s="945"/>
      <c r="K40" s="945"/>
      <c r="L40" s="945"/>
      <c r="M40" s="945"/>
      <c r="N40" s="946">
        <f t="shared" si="5"/>
        <v>902323</v>
      </c>
      <c r="O40" s="946">
        <f>ROUND(S40+W40+AA40+AE40+AI40+AM40+AQ40+AU40+AY40+BC40,0)</f>
        <v>902323</v>
      </c>
      <c r="P40" s="946"/>
      <c r="Q40" s="947"/>
      <c r="R40" s="946">
        <f t="shared" si="7"/>
        <v>138055</v>
      </c>
      <c r="S40" s="946">
        <f>ROUND('DT chi TX 2022 theo ĐM HĐND'!H62,0)</f>
        <v>138055</v>
      </c>
      <c r="T40" s="946"/>
      <c r="U40" s="947"/>
      <c r="V40" s="946">
        <f t="shared" si="8"/>
        <v>136169</v>
      </c>
      <c r="W40" s="946">
        <f>ROUND('DT chi TX 2022 theo ĐM HĐND'!I62,0)</f>
        <v>136169</v>
      </c>
      <c r="X40" s="946"/>
      <c r="Y40" s="947"/>
      <c r="Z40" s="1418">
        <f t="shared" si="9"/>
        <v>85558</v>
      </c>
      <c r="AA40" s="1418">
        <f>ROUND('DT chi TX 2022 theo ĐM HĐND'!J62,0)</f>
        <v>85558</v>
      </c>
      <c r="AB40" s="1418"/>
      <c r="AC40" s="947"/>
      <c r="AD40" s="946">
        <f t="shared" si="10"/>
        <v>59085</v>
      </c>
      <c r="AE40" s="946">
        <f>ROUND('DT chi TX 2022 theo ĐM HĐND'!K62,0)</f>
        <v>59085</v>
      </c>
      <c r="AF40" s="946"/>
      <c r="AG40" s="947"/>
      <c r="AH40" s="946">
        <f t="shared" si="11"/>
        <v>109883</v>
      </c>
      <c r="AI40" s="946">
        <f>ROUND('DT chi TX 2022 theo ĐM HĐND'!L62,0)</f>
        <v>109883</v>
      </c>
      <c r="AJ40" s="946"/>
      <c r="AK40" s="947"/>
      <c r="AL40" s="946">
        <f t="shared" si="12"/>
        <v>105966</v>
      </c>
      <c r="AM40" s="946">
        <f>ROUND('DT chi TX 2022 theo ĐM HĐND'!M62,0)</f>
        <v>105966</v>
      </c>
      <c r="AN40" s="946"/>
      <c r="AO40" s="947"/>
      <c r="AP40" s="946">
        <f t="shared" si="13"/>
        <v>26315</v>
      </c>
      <c r="AQ40" s="946">
        <f>ROUND('DT chi TX 2022 theo ĐM HĐND'!N62,0)</f>
        <v>26315</v>
      </c>
      <c r="AR40" s="946"/>
      <c r="AS40" s="947"/>
      <c r="AT40" s="946">
        <f t="shared" si="14"/>
        <v>75539</v>
      </c>
      <c r="AU40" s="946">
        <f>ROUND('DT chi TX 2022 theo ĐM HĐND'!O62,0)</f>
        <v>75539</v>
      </c>
      <c r="AV40" s="946"/>
      <c r="AW40" s="947"/>
      <c r="AX40" s="946">
        <f t="shared" si="15"/>
        <v>68522</v>
      </c>
      <c r="AY40" s="946">
        <f>ROUND('DT chi TX 2022 theo ĐM HĐND'!P62,0)</f>
        <v>68522</v>
      </c>
      <c r="AZ40" s="946"/>
      <c r="BA40" s="947"/>
      <c r="BB40" s="946">
        <f t="shared" si="16"/>
        <v>97231</v>
      </c>
      <c r="BC40" s="946">
        <f>ROUND('DT chi TX 2022 theo ĐM HĐND'!Q62,0)</f>
        <v>97231</v>
      </c>
      <c r="BD40" s="946"/>
      <c r="BE40" s="947"/>
    </row>
    <row r="41" spans="1:57" ht="23.25" hidden="1" customHeight="1" outlineLevel="1">
      <c r="A41" s="943" t="s">
        <v>23</v>
      </c>
      <c r="B41" s="966" t="s">
        <v>48</v>
      </c>
      <c r="C41" s="942">
        <f t="shared" si="4"/>
        <v>0</v>
      </c>
      <c r="D41" s="967"/>
      <c r="E41" s="967"/>
      <c r="F41" s="967"/>
      <c r="G41" s="967"/>
      <c r="H41" s="967"/>
      <c r="I41" s="967"/>
      <c r="J41" s="967"/>
      <c r="K41" s="967"/>
      <c r="L41" s="967"/>
      <c r="M41" s="967"/>
      <c r="N41" s="946">
        <f t="shared" si="5"/>
        <v>807006</v>
      </c>
      <c r="O41" s="946">
        <f t="shared" ref="O41:O51" si="42">S41+W41+AA41+AE41+AI41+AM41+AQ41+AU41+AY41+BC41</f>
        <v>807006</v>
      </c>
      <c r="P41" s="946"/>
      <c r="Q41" s="947"/>
      <c r="R41" s="946">
        <f t="shared" si="7"/>
        <v>204208</v>
      </c>
      <c r="S41" s="946">
        <f>ROUND('DT chi TX 2022 theo ĐM HĐND'!H67,0)</f>
        <v>204208</v>
      </c>
      <c r="T41" s="946"/>
      <c r="U41" s="947"/>
      <c r="V41" s="946">
        <f t="shared" si="8"/>
        <v>102484</v>
      </c>
      <c r="W41" s="946">
        <f>ROUND('DT chi TX 2022 theo ĐM HĐND'!I67,0)</f>
        <v>102484</v>
      </c>
      <c r="X41" s="946"/>
      <c r="Y41" s="947"/>
      <c r="Z41" s="1418">
        <f t="shared" si="9"/>
        <v>93725</v>
      </c>
      <c r="AA41" s="1418">
        <f>ROUND('DT chi TX 2022 theo ĐM HĐND'!J67,0)</f>
        <v>93725</v>
      </c>
      <c r="AB41" s="1418"/>
      <c r="AC41" s="947"/>
      <c r="AD41" s="946">
        <f t="shared" si="10"/>
        <v>93077</v>
      </c>
      <c r="AE41" s="946">
        <f>ROUND('DT chi TX 2022 theo ĐM HĐND'!K67,0)</f>
        <v>93077</v>
      </c>
      <c r="AF41" s="946"/>
      <c r="AG41" s="947"/>
      <c r="AH41" s="946">
        <f t="shared" si="11"/>
        <v>71047</v>
      </c>
      <c r="AI41" s="946">
        <f>ROUND('DT chi TX 2022 theo ĐM HĐND'!L67,0)</f>
        <v>71047</v>
      </c>
      <c r="AJ41" s="946"/>
      <c r="AK41" s="947"/>
      <c r="AL41" s="946">
        <f t="shared" si="12"/>
        <v>75294</v>
      </c>
      <c r="AM41" s="946">
        <f>ROUND('DT chi TX 2022 theo ĐM HĐND'!M67,0)</f>
        <v>75294</v>
      </c>
      <c r="AN41" s="946"/>
      <c r="AO41" s="947"/>
      <c r="AP41" s="946">
        <f t="shared" si="13"/>
        <v>8258</v>
      </c>
      <c r="AQ41" s="946">
        <f>ROUND('DT chi TX 2022 theo ĐM HĐND'!N67,0)</f>
        <v>8258</v>
      </c>
      <c r="AR41" s="946"/>
      <c r="AS41" s="947"/>
      <c r="AT41" s="946">
        <f t="shared" si="14"/>
        <v>42415</v>
      </c>
      <c r="AU41" s="946">
        <f>ROUND('DT chi TX 2022 theo ĐM HĐND'!O67,0)</f>
        <v>42415</v>
      </c>
      <c r="AV41" s="946"/>
      <c r="AW41" s="947"/>
      <c r="AX41" s="946">
        <f t="shared" si="15"/>
        <v>69111</v>
      </c>
      <c r="AY41" s="946">
        <f>ROUND('DT chi TX 2022 theo ĐM HĐND'!P67,0)</f>
        <v>69111</v>
      </c>
      <c r="AZ41" s="946"/>
      <c r="BA41" s="947"/>
      <c r="BB41" s="946">
        <f t="shared" si="16"/>
        <v>47387</v>
      </c>
      <c r="BC41" s="946">
        <f>ROUND('DT chi TX 2022 theo ĐM HĐND'!Q67,0)</f>
        <v>47387</v>
      </c>
      <c r="BD41" s="946"/>
      <c r="BE41" s="947"/>
    </row>
    <row r="42" spans="1:57" s="954" customFormat="1" ht="22.5" hidden="1" customHeight="1" outlineLevel="1" collapsed="1">
      <c r="A42" s="957"/>
      <c r="B42" s="968" t="s">
        <v>1526</v>
      </c>
      <c r="C42" s="942">
        <f t="shared" si="4"/>
        <v>0</v>
      </c>
      <c r="D42" s="969"/>
      <c r="E42" s="969"/>
      <c r="F42" s="969"/>
      <c r="G42" s="969"/>
      <c r="H42" s="969"/>
      <c r="I42" s="969"/>
      <c r="J42" s="969"/>
      <c r="K42" s="969"/>
      <c r="L42" s="969"/>
      <c r="M42" s="969"/>
      <c r="N42" s="951">
        <f t="shared" si="5"/>
        <v>50342</v>
      </c>
      <c r="O42" s="951">
        <f t="shared" si="42"/>
        <v>50342</v>
      </c>
      <c r="P42" s="951"/>
      <c r="Q42" s="970"/>
      <c r="R42" s="951">
        <f t="shared" si="7"/>
        <v>10632</v>
      </c>
      <c r="S42" s="951">
        <f>ROUND('DT chi TX 2022 theo ĐM HĐND'!H88,0)</f>
        <v>10632</v>
      </c>
      <c r="T42" s="951"/>
      <c r="U42" s="970"/>
      <c r="V42" s="951">
        <f t="shared" si="8"/>
        <v>6891</v>
      </c>
      <c r="W42" s="951">
        <f>ROUND('DT chi TX 2022 theo ĐM HĐND'!I88,0)</f>
        <v>6891</v>
      </c>
      <c r="X42" s="951"/>
      <c r="Y42" s="970"/>
      <c r="Z42" s="1419">
        <f t="shared" si="9"/>
        <v>5023</v>
      </c>
      <c r="AA42" s="1419">
        <f>ROUND('DT chi TX 2022 theo ĐM HĐND'!J88,0)</f>
        <v>5023</v>
      </c>
      <c r="AB42" s="1419"/>
      <c r="AC42" s="970"/>
      <c r="AD42" s="951">
        <f t="shared" si="10"/>
        <v>5044</v>
      </c>
      <c r="AE42" s="951">
        <f>ROUND('DT chi TX 2022 theo ĐM HĐND'!K88,0)</f>
        <v>5044</v>
      </c>
      <c r="AF42" s="951"/>
      <c r="AG42" s="970"/>
      <c r="AH42" s="951">
        <f t="shared" si="11"/>
        <v>5787</v>
      </c>
      <c r="AI42" s="951">
        <f>ROUND('DT chi TX 2022 theo ĐM HĐND'!L88,0)</f>
        <v>5787</v>
      </c>
      <c r="AJ42" s="951"/>
      <c r="AK42" s="970"/>
      <c r="AL42" s="951">
        <f t="shared" si="12"/>
        <v>5000</v>
      </c>
      <c r="AM42" s="951">
        <f>ROUND('DT chi TX 2022 theo ĐM HĐND'!M88,0)</f>
        <v>5000</v>
      </c>
      <c r="AN42" s="951"/>
      <c r="AO42" s="970"/>
      <c r="AP42" s="951">
        <f t="shared" si="13"/>
        <v>1160</v>
      </c>
      <c r="AQ42" s="951">
        <f>ROUND('DT chi TX 2022 theo ĐM HĐND'!N88,0)</f>
        <v>1160</v>
      </c>
      <c r="AR42" s="951"/>
      <c r="AS42" s="970"/>
      <c r="AT42" s="951">
        <f t="shared" si="14"/>
        <v>3259</v>
      </c>
      <c r="AU42" s="951">
        <f>ROUND('DT chi TX 2022 theo ĐM HĐND'!O88,0)</f>
        <v>3259</v>
      </c>
      <c r="AV42" s="951"/>
      <c r="AW42" s="970"/>
      <c r="AX42" s="951">
        <f t="shared" si="15"/>
        <v>3850</v>
      </c>
      <c r="AY42" s="951">
        <f>ROUND('DT chi TX 2022 theo ĐM HĐND'!P88,0)</f>
        <v>3850</v>
      </c>
      <c r="AZ42" s="951"/>
      <c r="BA42" s="970"/>
      <c r="BB42" s="951">
        <f t="shared" si="16"/>
        <v>3696</v>
      </c>
      <c r="BC42" s="951">
        <f>ROUND('DT chi TX 2022 theo ĐM HĐND'!Q88,0)</f>
        <v>3696</v>
      </c>
      <c r="BD42" s="951"/>
      <c r="BE42" s="970"/>
    </row>
    <row r="43" spans="1:57" s="954" customFormat="1" ht="27" hidden="1" customHeight="1" outlineLevel="1">
      <c r="A43" s="957"/>
      <c r="B43" s="968" t="s">
        <v>1533</v>
      </c>
      <c r="C43" s="942">
        <f t="shared" si="4"/>
        <v>0</v>
      </c>
      <c r="D43" s="969"/>
      <c r="E43" s="969"/>
      <c r="F43" s="969"/>
      <c r="G43" s="969"/>
      <c r="H43" s="969"/>
      <c r="I43" s="969"/>
      <c r="J43" s="969"/>
      <c r="K43" s="969"/>
      <c r="L43" s="969"/>
      <c r="M43" s="969"/>
      <c r="N43" s="951">
        <f t="shared" si="5"/>
        <v>25433</v>
      </c>
      <c r="O43" s="951">
        <f t="shared" si="42"/>
        <v>25433</v>
      </c>
      <c r="P43" s="951"/>
      <c r="Q43" s="970"/>
      <c r="R43" s="951">
        <f t="shared" si="7"/>
        <v>4520</v>
      </c>
      <c r="S43" s="951">
        <v>4520</v>
      </c>
      <c r="T43" s="951"/>
      <c r="U43" s="970"/>
      <c r="V43" s="951">
        <f t="shared" si="8"/>
        <v>3102</v>
      </c>
      <c r="W43" s="951">
        <v>3102</v>
      </c>
      <c r="X43" s="951"/>
      <c r="Y43" s="970"/>
      <c r="Z43" s="1419">
        <f t="shared" si="9"/>
        <v>2367</v>
      </c>
      <c r="AA43" s="1419">
        <v>2367</v>
      </c>
      <c r="AB43" s="1419"/>
      <c r="AC43" s="970"/>
      <c r="AD43" s="951">
        <f t="shared" si="10"/>
        <v>2312</v>
      </c>
      <c r="AE43" s="951">
        <v>2312</v>
      </c>
      <c r="AF43" s="951"/>
      <c r="AG43" s="970"/>
      <c r="AH43" s="951">
        <f t="shared" si="11"/>
        <v>3322</v>
      </c>
      <c r="AI43" s="951">
        <v>3322</v>
      </c>
      <c r="AJ43" s="951"/>
      <c r="AK43" s="970"/>
      <c r="AL43" s="951">
        <f t="shared" si="12"/>
        <v>2524</v>
      </c>
      <c r="AM43" s="951">
        <v>2524</v>
      </c>
      <c r="AN43" s="951"/>
      <c r="AO43" s="970"/>
      <c r="AP43" s="951">
        <f t="shared" si="13"/>
        <v>677</v>
      </c>
      <c r="AQ43" s="951">
        <v>677</v>
      </c>
      <c r="AR43" s="951"/>
      <c r="AS43" s="970"/>
      <c r="AT43" s="951">
        <f t="shared" si="14"/>
        <v>1782</v>
      </c>
      <c r="AU43" s="951">
        <v>1782</v>
      </c>
      <c r="AV43" s="951"/>
      <c r="AW43" s="970"/>
      <c r="AX43" s="951">
        <f t="shared" si="15"/>
        <v>2580</v>
      </c>
      <c r="AY43" s="951">
        <v>2580</v>
      </c>
      <c r="AZ43" s="951"/>
      <c r="BA43" s="970"/>
      <c r="BB43" s="951">
        <f t="shared" si="16"/>
        <v>2247</v>
      </c>
      <c r="BC43" s="951">
        <v>2247</v>
      </c>
      <c r="BD43" s="951"/>
      <c r="BE43" s="970"/>
    </row>
    <row r="44" spans="1:57" s="954" customFormat="1" ht="30.75" hidden="1" customHeight="1" outlineLevel="1">
      <c r="A44" s="957"/>
      <c r="B44" s="968" t="s">
        <v>1534</v>
      </c>
      <c r="C44" s="942">
        <f t="shared" si="4"/>
        <v>0</v>
      </c>
      <c r="D44" s="969"/>
      <c r="E44" s="969"/>
      <c r="F44" s="969"/>
      <c r="G44" s="969"/>
      <c r="H44" s="969"/>
      <c r="I44" s="969"/>
      <c r="J44" s="969"/>
      <c r="K44" s="969"/>
      <c r="L44" s="969"/>
      <c r="M44" s="969"/>
      <c r="N44" s="951">
        <f t="shared" si="5"/>
        <v>24909</v>
      </c>
      <c r="O44" s="951">
        <f t="shared" si="42"/>
        <v>24909</v>
      </c>
      <c r="P44" s="951"/>
      <c r="Q44" s="970"/>
      <c r="R44" s="951">
        <f t="shared" si="7"/>
        <v>6112</v>
      </c>
      <c r="S44" s="951">
        <v>6112</v>
      </c>
      <c r="T44" s="951"/>
      <c r="U44" s="970"/>
      <c r="V44" s="951">
        <f t="shared" si="8"/>
        <v>3789</v>
      </c>
      <c r="W44" s="951">
        <v>3789</v>
      </c>
      <c r="X44" s="951"/>
      <c r="Y44" s="970"/>
      <c r="Z44" s="1419">
        <f t="shared" si="9"/>
        <v>2656</v>
      </c>
      <c r="AA44" s="1419">
        <v>2656</v>
      </c>
      <c r="AB44" s="1419"/>
      <c r="AC44" s="970"/>
      <c r="AD44" s="951">
        <f t="shared" si="10"/>
        <v>2732</v>
      </c>
      <c r="AE44" s="951">
        <v>2732</v>
      </c>
      <c r="AF44" s="951"/>
      <c r="AG44" s="970"/>
      <c r="AH44" s="951">
        <f t="shared" si="11"/>
        <v>2465</v>
      </c>
      <c r="AI44" s="951">
        <v>2465</v>
      </c>
      <c r="AJ44" s="951"/>
      <c r="AK44" s="970"/>
      <c r="AL44" s="951">
        <f t="shared" si="12"/>
        <v>2476</v>
      </c>
      <c r="AM44" s="951">
        <v>2476</v>
      </c>
      <c r="AN44" s="951"/>
      <c r="AO44" s="970"/>
      <c r="AP44" s="951">
        <f t="shared" si="13"/>
        <v>483</v>
      </c>
      <c r="AQ44" s="951">
        <v>483</v>
      </c>
      <c r="AR44" s="951"/>
      <c r="AS44" s="970"/>
      <c r="AT44" s="951">
        <f t="shared" si="14"/>
        <v>1477</v>
      </c>
      <c r="AU44" s="951">
        <v>1477</v>
      </c>
      <c r="AV44" s="951"/>
      <c r="AW44" s="970"/>
      <c r="AX44" s="951">
        <f t="shared" si="15"/>
        <v>1270</v>
      </c>
      <c r="AY44" s="951">
        <v>1270</v>
      </c>
      <c r="AZ44" s="951"/>
      <c r="BA44" s="970"/>
      <c r="BB44" s="951">
        <f t="shared" si="16"/>
        <v>1449</v>
      </c>
      <c r="BC44" s="951">
        <v>1449</v>
      </c>
      <c r="BD44" s="951"/>
      <c r="BE44" s="970"/>
    </row>
    <row r="45" spans="1:57" ht="23.25" customHeight="1" collapsed="1">
      <c r="A45" s="943" t="s">
        <v>47</v>
      </c>
      <c r="B45" s="971" t="s">
        <v>50</v>
      </c>
      <c r="C45" s="942">
        <f t="shared" si="4"/>
        <v>0</v>
      </c>
      <c r="D45" s="972"/>
      <c r="E45" s="972"/>
      <c r="F45" s="972"/>
      <c r="G45" s="972"/>
      <c r="H45" s="972"/>
      <c r="I45" s="972"/>
      <c r="J45" s="972"/>
      <c r="K45" s="972"/>
      <c r="L45" s="972"/>
      <c r="M45" s="972"/>
      <c r="N45" s="946">
        <f t="shared" si="5"/>
        <v>148911</v>
      </c>
      <c r="O45" s="946">
        <f t="shared" si="42"/>
        <v>148911</v>
      </c>
      <c r="P45" s="946"/>
      <c r="Q45" s="947"/>
      <c r="R45" s="946">
        <f t="shared" si="7"/>
        <v>5892</v>
      </c>
      <c r="S45" s="946">
        <f>S46+S47+S48+S49</f>
        <v>5892</v>
      </c>
      <c r="T45" s="946"/>
      <c r="U45" s="947"/>
      <c r="V45" s="946">
        <f t="shared" si="8"/>
        <v>17401</v>
      </c>
      <c r="W45" s="946">
        <f t="shared" ref="W45:BC45" si="43">W46+W47+W48+W49</f>
        <v>17401</v>
      </c>
      <c r="X45" s="946"/>
      <c r="Y45" s="947"/>
      <c r="Z45" s="1418">
        <f t="shared" si="9"/>
        <v>11010</v>
      </c>
      <c r="AA45" s="1418">
        <f t="shared" si="43"/>
        <v>11010</v>
      </c>
      <c r="AB45" s="1418"/>
      <c r="AC45" s="947"/>
      <c r="AD45" s="946">
        <f t="shared" si="10"/>
        <v>7525</v>
      </c>
      <c r="AE45" s="946">
        <f t="shared" si="43"/>
        <v>7525</v>
      </c>
      <c r="AF45" s="946"/>
      <c r="AG45" s="947"/>
      <c r="AH45" s="946">
        <f t="shared" si="11"/>
        <v>28543</v>
      </c>
      <c r="AI45" s="946">
        <f t="shared" si="43"/>
        <v>28543</v>
      </c>
      <c r="AJ45" s="946"/>
      <c r="AK45" s="947"/>
      <c r="AL45" s="946">
        <f t="shared" si="12"/>
        <v>14793</v>
      </c>
      <c r="AM45" s="946">
        <f t="shared" si="43"/>
        <v>14793</v>
      </c>
      <c r="AN45" s="946"/>
      <c r="AO45" s="947"/>
      <c r="AP45" s="946">
        <f t="shared" si="13"/>
        <v>6418</v>
      </c>
      <c r="AQ45" s="946">
        <f t="shared" si="43"/>
        <v>6418</v>
      </c>
      <c r="AR45" s="946"/>
      <c r="AS45" s="947"/>
      <c r="AT45" s="946">
        <f t="shared" si="14"/>
        <v>13735</v>
      </c>
      <c r="AU45" s="946">
        <f t="shared" si="43"/>
        <v>13735</v>
      </c>
      <c r="AV45" s="946"/>
      <c r="AW45" s="947"/>
      <c r="AX45" s="946">
        <f t="shared" si="15"/>
        <v>17359</v>
      </c>
      <c r="AY45" s="946">
        <f t="shared" si="43"/>
        <v>17359</v>
      </c>
      <c r="AZ45" s="946"/>
      <c r="BA45" s="947"/>
      <c r="BB45" s="946">
        <f t="shared" si="16"/>
        <v>26235</v>
      </c>
      <c r="BC45" s="946">
        <f t="shared" si="43"/>
        <v>26235</v>
      </c>
      <c r="BD45" s="946"/>
      <c r="BE45" s="947"/>
    </row>
    <row r="46" spans="1:57" ht="33" customHeight="1">
      <c r="A46" s="973" t="s">
        <v>23</v>
      </c>
      <c r="B46" s="971" t="s">
        <v>1529</v>
      </c>
      <c r="C46" s="942">
        <f t="shared" si="4"/>
        <v>0</v>
      </c>
      <c r="D46" s="972"/>
      <c r="E46" s="972"/>
      <c r="F46" s="972"/>
      <c r="G46" s="972"/>
      <c r="H46" s="972"/>
      <c r="I46" s="972"/>
      <c r="J46" s="972"/>
      <c r="K46" s="972"/>
      <c r="L46" s="972"/>
      <c r="M46" s="972"/>
      <c r="N46" s="946">
        <f t="shared" si="5"/>
        <v>27994</v>
      </c>
      <c r="O46" s="946">
        <f t="shared" si="42"/>
        <v>27994</v>
      </c>
      <c r="P46" s="946"/>
      <c r="Q46" s="947"/>
      <c r="R46" s="946">
        <f t="shared" si="7"/>
        <v>1466</v>
      </c>
      <c r="S46" s="946">
        <f>ROUND('DT chi TX 2022 theo ĐM HĐND'!H97,0)</f>
        <v>1466</v>
      </c>
      <c r="T46" s="946"/>
      <c r="U46" s="947"/>
      <c r="V46" s="946">
        <f t="shared" si="8"/>
        <v>3563</v>
      </c>
      <c r="W46" s="946">
        <f>ROUND('DT chi TX 2022 theo ĐM HĐND'!I97,0)</f>
        <v>3563</v>
      </c>
      <c r="X46" s="946"/>
      <c r="Y46" s="947"/>
      <c r="Z46" s="1418">
        <f t="shared" si="9"/>
        <v>3230</v>
      </c>
      <c r="AA46" s="1418">
        <f>ROUND('DT chi TX 2022 theo ĐM HĐND'!J97,0)</f>
        <v>3230</v>
      </c>
      <c r="AB46" s="1418"/>
      <c r="AC46" s="947"/>
      <c r="AD46" s="946">
        <f t="shared" si="10"/>
        <v>1045</v>
      </c>
      <c r="AE46" s="946">
        <f>ROUND('DT chi TX 2022 theo ĐM HĐND'!K97,0)</f>
        <v>1045</v>
      </c>
      <c r="AF46" s="946"/>
      <c r="AG46" s="947"/>
      <c r="AH46" s="946">
        <f t="shared" si="11"/>
        <v>4626</v>
      </c>
      <c r="AI46" s="946">
        <f>ROUND('DT chi TX 2022 theo ĐM HĐND'!L97,0)</f>
        <v>4626</v>
      </c>
      <c r="AJ46" s="946"/>
      <c r="AK46" s="947"/>
      <c r="AL46" s="946">
        <f t="shared" si="12"/>
        <v>3890</v>
      </c>
      <c r="AM46" s="946">
        <f>ROUND('DT chi TX 2022 theo ĐM HĐND'!M97,0)</f>
        <v>3890</v>
      </c>
      <c r="AN46" s="946"/>
      <c r="AO46" s="947"/>
      <c r="AP46" s="946">
        <f t="shared" si="13"/>
        <v>874</v>
      </c>
      <c r="AQ46" s="946">
        <f>ROUND('DT chi TX 2022 theo ĐM HĐND'!N97,0)</f>
        <v>874</v>
      </c>
      <c r="AR46" s="946"/>
      <c r="AS46" s="947"/>
      <c r="AT46" s="946">
        <f t="shared" si="14"/>
        <v>2755</v>
      </c>
      <c r="AU46" s="946">
        <f>ROUND('DT chi TX 2022 theo ĐM HĐND'!O97,0)</f>
        <v>2755</v>
      </c>
      <c r="AV46" s="946"/>
      <c r="AW46" s="947"/>
      <c r="AX46" s="946">
        <f t="shared" si="15"/>
        <v>2897</v>
      </c>
      <c r="AY46" s="946">
        <f>ROUND('DT chi TX 2022 theo ĐM HĐND'!P97,0)</f>
        <v>2897</v>
      </c>
      <c r="AZ46" s="946"/>
      <c r="BA46" s="947"/>
      <c r="BB46" s="946">
        <f t="shared" si="16"/>
        <v>3648</v>
      </c>
      <c r="BC46" s="946">
        <f>ROUND('DT chi TX 2022 theo ĐM HĐND'!Q97,0)</f>
        <v>3648</v>
      </c>
      <c r="BD46" s="946"/>
      <c r="BE46" s="947"/>
    </row>
    <row r="47" spans="1:57" ht="42" customHeight="1">
      <c r="A47" s="973" t="s">
        <v>23</v>
      </c>
      <c r="B47" s="971" t="s">
        <v>1532</v>
      </c>
      <c r="C47" s="942">
        <f t="shared" si="4"/>
        <v>0</v>
      </c>
      <c r="D47" s="972"/>
      <c r="E47" s="972"/>
      <c r="F47" s="972"/>
      <c r="G47" s="972"/>
      <c r="H47" s="972"/>
      <c r="I47" s="972"/>
      <c r="J47" s="972"/>
      <c r="K47" s="972"/>
      <c r="L47" s="972"/>
      <c r="M47" s="972"/>
      <c r="N47" s="946">
        <f t="shared" si="5"/>
        <v>6256</v>
      </c>
      <c r="O47" s="946">
        <f t="shared" si="42"/>
        <v>6256</v>
      </c>
      <c r="P47" s="946"/>
      <c r="Q47" s="947"/>
      <c r="R47" s="946">
        <f t="shared" si="7"/>
        <v>573</v>
      </c>
      <c r="S47" s="946">
        <f>'DT chi TX 2022 theo ĐM HĐND'!H98</f>
        <v>573</v>
      </c>
      <c r="T47" s="946"/>
      <c r="U47" s="947"/>
      <c r="V47" s="946">
        <f t="shared" si="8"/>
        <v>700</v>
      </c>
      <c r="W47" s="946">
        <f>'DT chi TX 2022 theo ĐM HĐND'!I98</f>
        <v>700</v>
      </c>
      <c r="X47" s="946"/>
      <c r="Y47" s="947"/>
      <c r="Z47" s="1418">
        <f t="shared" si="9"/>
        <v>192</v>
      </c>
      <c r="AA47" s="1418">
        <f>'DT chi TX 2022 theo ĐM HĐND'!J98</f>
        <v>192</v>
      </c>
      <c r="AB47" s="1418"/>
      <c r="AC47" s="947"/>
      <c r="AD47" s="946">
        <f t="shared" si="10"/>
        <v>486</v>
      </c>
      <c r="AE47" s="946">
        <f>'DT chi TX 2022 theo ĐM HĐND'!K98</f>
        <v>486</v>
      </c>
      <c r="AF47" s="946"/>
      <c r="AG47" s="947"/>
      <c r="AH47" s="946">
        <f t="shared" si="11"/>
        <v>1440</v>
      </c>
      <c r="AI47" s="946">
        <f>'DT chi TX 2022 theo ĐM HĐND'!L98</f>
        <v>1440</v>
      </c>
      <c r="AJ47" s="946"/>
      <c r="AK47" s="947"/>
      <c r="AL47" s="946">
        <f t="shared" si="12"/>
        <v>790</v>
      </c>
      <c r="AM47" s="946">
        <f>'DT chi TX 2022 theo ĐM HĐND'!M98</f>
        <v>790</v>
      </c>
      <c r="AN47" s="946"/>
      <c r="AO47" s="947"/>
      <c r="AP47" s="946">
        <f t="shared" si="13"/>
        <v>184</v>
      </c>
      <c r="AQ47" s="946">
        <f>'DT chi TX 2022 theo ĐM HĐND'!N98</f>
        <v>184</v>
      </c>
      <c r="AR47" s="946"/>
      <c r="AS47" s="947"/>
      <c r="AT47" s="946">
        <f t="shared" si="14"/>
        <v>1054</v>
      </c>
      <c r="AU47" s="946">
        <f>'DT chi TX 2022 theo ĐM HĐND'!O98</f>
        <v>1054</v>
      </c>
      <c r="AV47" s="946"/>
      <c r="AW47" s="947"/>
      <c r="AX47" s="946">
        <f t="shared" si="15"/>
        <v>503</v>
      </c>
      <c r="AY47" s="946">
        <f>'DT chi TX 2022 theo ĐM HĐND'!P98</f>
        <v>503</v>
      </c>
      <c r="AZ47" s="946"/>
      <c r="BA47" s="947"/>
      <c r="BB47" s="946">
        <f t="shared" si="16"/>
        <v>334</v>
      </c>
      <c r="BC47" s="946">
        <f>'DT chi TX 2022 theo ĐM HĐND'!Q98</f>
        <v>334</v>
      </c>
      <c r="BD47" s="946"/>
      <c r="BE47" s="947"/>
    </row>
    <row r="48" spans="1:57" ht="31.5" customHeight="1">
      <c r="A48" s="973" t="s">
        <v>23</v>
      </c>
      <c r="B48" s="971" t="s">
        <v>1530</v>
      </c>
      <c r="C48" s="942">
        <f t="shared" si="4"/>
        <v>0</v>
      </c>
      <c r="D48" s="972"/>
      <c r="E48" s="972"/>
      <c r="F48" s="972"/>
      <c r="G48" s="972"/>
      <c r="H48" s="972"/>
      <c r="I48" s="972"/>
      <c r="J48" s="972"/>
      <c r="K48" s="972"/>
      <c r="L48" s="972"/>
      <c r="M48" s="972"/>
      <c r="N48" s="946">
        <f t="shared" si="5"/>
        <v>87485</v>
      </c>
      <c r="O48" s="946">
        <f t="shared" si="42"/>
        <v>87485</v>
      </c>
      <c r="P48" s="946"/>
      <c r="Q48" s="947"/>
      <c r="R48" s="946">
        <f t="shared" si="7"/>
        <v>2200</v>
      </c>
      <c r="S48" s="946">
        <f>'DT chi TX 2022 theo ĐM HĐND'!H99</f>
        <v>2200</v>
      </c>
      <c r="T48" s="946"/>
      <c r="U48" s="947"/>
      <c r="V48" s="946">
        <f t="shared" si="8"/>
        <v>8500</v>
      </c>
      <c r="W48" s="946">
        <f>'DT chi TX 2022 theo ĐM HĐND'!I99</f>
        <v>8500</v>
      </c>
      <c r="X48" s="946"/>
      <c r="Y48" s="947"/>
      <c r="Z48" s="1418">
        <f t="shared" si="9"/>
        <v>5200</v>
      </c>
      <c r="AA48" s="1418">
        <f>'DT chi TX 2022 theo ĐM HĐND'!J99</f>
        <v>5200</v>
      </c>
      <c r="AB48" s="1418"/>
      <c r="AC48" s="947"/>
      <c r="AD48" s="946">
        <f t="shared" si="10"/>
        <v>5000</v>
      </c>
      <c r="AE48" s="946">
        <f>'DT chi TX 2022 theo ĐM HĐND'!K99</f>
        <v>5000</v>
      </c>
      <c r="AF48" s="946"/>
      <c r="AG48" s="947"/>
      <c r="AH48" s="946">
        <f t="shared" si="11"/>
        <v>18200</v>
      </c>
      <c r="AI48" s="946">
        <f>'DT chi TX 2022 theo ĐM HĐND'!L99</f>
        <v>18200</v>
      </c>
      <c r="AJ48" s="946"/>
      <c r="AK48" s="947"/>
      <c r="AL48" s="946">
        <f t="shared" si="12"/>
        <v>6100</v>
      </c>
      <c r="AM48" s="946">
        <f>'DT chi TX 2022 theo ĐM HĐND'!M99</f>
        <v>6100</v>
      </c>
      <c r="AN48" s="946"/>
      <c r="AO48" s="947"/>
      <c r="AP48" s="946">
        <f t="shared" si="13"/>
        <v>4300</v>
      </c>
      <c r="AQ48" s="946">
        <f>'DT chi TX 2022 theo ĐM HĐND'!N99</f>
        <v>4300</v>
      </c>
      <c r="AR48" s="946"/>
      <c r="AS48" s="947"/>
      <c r="AT48" s="946">
        <f t="shared" si="14"/>
        <v>7200</v>
      </c>
      <c r="AU48" s="946">
        <f>'DT chi TX 2022 theo ĐM HĐND'!O99</f>
        <v>7200</v>
      </c>
      <c r="AV48" s="946"/>
      <c r="AW48" s="947"/>
      <c r="AX48" s="946">
        <f t="shared" si="15"/>
        <v>11950</v>
      </c>
      <c r="AY48" s="946">
        <f>'DT chi TX 2022 theo ĐM HĐND'!P99</f>
        <v>11950</v>
      </c>
      <c r="AZ48" s="946"/>
      <c r="BA48" s="947"/>
      <c r="BB48" s="946">
        <f t="shared" si="16"/>
        <v>18835</v>
      </c>
      <c r="BC48" s="946">
        <f>'DT chi TX 2022 theo ĐM HĐND'!Q99</f>
        <v>18835</v>
      </c>
      <c r="BD48" s="946"/>
      <c r="BE48" s="947"/>
    </row>
    <row r="49" spans="1:57" ht="32.25" customHeight="1">
      <c r="A49" s="973" t="s">
        <v>23</v>
      </c>
      <c r="B49" s="971" t="s">
        <v>1531</v>
      </c>
      <c r="C49" s="942">
        <f t="shared" si="4"/>
        <v>0</v>
      </c>
      <c r="D49" s="972"/>
      <c r="E49" s="972"/>
      <c r="F49" s="972"/>
      <c r="G49" s="972"/>
      <c r="H49" s="972"/>
      <c r="I49" s="972"/>
      <c r="J49" s="972"/>
      <c r="K49" s="972"/>
      <c r="L49" s="972"/>
      <c r="M49" s="972"/>
      <c r="N49" s="946">
        <f t="shared" si="5"/>
        <v>27176</v>
      </c>
      <c r="O49" s="946">
        <f t="shared" si="42"/>
        <v>27176</v>
      </c>
      <c r="P49" s="946"/>
      <c r="Q49" s="947"/>
      <c r="R49" s="946">
        <f t="shared" si="7"/>
        <v>1653</v>
      </c>
      <c r="S49" s="946">
        <f>ROUND('DT chi TX 2022 theo ĐM HĐND'!H100,0)</f>
        <v>1653</v>
      </c>
      <c r="T49" s="946"/>
      <c r="U49" s="947"/>
      <c r="V49" s="946">
        <f t="shared" si="8"/>
        <v>4638</v>
      </c>
      <c r="W49" s="946">
        <f>ROUND('DT chi TX 2022 theo ĐM HĐND'!I100,0)</f>
        <v>4638</v>
      </c>
      <c r="X49" s="946"/>
      <c r="Y49" s="947"/>
      <c r="Z49" s="1418">
        <f t="shared" si="9"/>
        <v>2388</v>
      </c>
      <c r="AA49" s="1418">
        <f>ROUND('DT chi TX 2022 theo ĐM HĐND'!J100,0)</f>
        <v>2388</v>
      </c>
      <c r="AB49" s="1418"/>
      <c r="AC49" s="947"/>
      <c r="AD49" s="946">
        <f t="shared" si="10"/>
        <v>994</v>
      </c>
      <c r="AE49" s="946">
        <f>ROUND('DT chi TX 2022 theo ĐM HĐND'!K100,0)</f>
        <v>994</v>
      </c>
      <c r="AF49" s="946"/>
      <c r="AG49" s="947"/>
      <c r="AH49" s="946">
        <f t="shared" si="11"/>
        <v>4277</v>
      </c>
      <c r="AI49" s="946">
        <f>ROUND('DT chi TX 2022 theo ĐM HĐND'!L100,0)</f>
        <v>4277</v>
      </c>
      <c r="AJ49" s="946"/>
      <c r="AK49" s="947"/>
      <c r="AL49" s="946">
        <f t="shared" si="12"/>
        <v>4013</v>
      </c>
      <c r="AM49" s="946">
        <f>ROUND('DT chi TX 2022 theo ĐM HĐND'!M100,0)</f>
        <v>4013</v>
      </c>
      <c r="AN49" s="946"/>
      <c r="AO49" s="947"/>
      <c r="AP49" s="946">
        <f t="shared" si="13"/>
        <v>1060</v>
      </c>
      <c r="AQ49" s="946">
        <f>ROUND('DT chi TX 2022 theo ĐM HĐND'!N100,0)</f>
        <v>1060</v>
      </c>
      <c r="AR49" s="946"/>
      <c r="AS49" s="947"/>
      <c r="AT49" s="946">
        <f t="shared" si="14"/>
        <v>2726</v>
      </c>
      <c r="AU49" s="946">
        <f>ROUND('DT chi TX 2022 theo ĐM HĐND'!O100,0)</f>
        <v>2726</v>
      </c>
      <c r="AV49" s="946"/>
      <c r="AW49" s="947"/>
      <c r="AX49" s="946">
        <f t="shared" si="15"/>
        <v>2009</v>
      </c>
      <c r="AY49" s="946">
        <f>ROUND('DT chi TX 2022 theo ĐM HĐND'!P100,0)</f>
        <v>2009</v>
      </c>
      <c r="AZ49" s="946"/>
      <c r="BA49" s="947"/>
      <c r="BB49" s="946">
        <f t="shared" si="16"/>
        <v>3418</v>
      </c>
      <c r="BC49" s="946">
        <f>ROUND('DT chi TX 2022 theo ĐM HĐND'!Q100,0)</f>
        <v>3418</v>
      </c>
      <c r="BD49" s="946"/>
      <c r="BE49" s="947"/>
    </row>
    <row r="50" spans="1:57" ht="25.5" customHeight="1">
      <c r="A50" s="943" t="s">
        <v>49</v>
      </c>
      <c r="B50" s="742" t="s">
        <v>1544</v>
      </c>
      <c r="C50" s="942">
        <f t="shared" si="4"/>
        <v>0</v>
      </c>
      <c r="D50" s="742"/>
      <c r="E50" s="742"/>
      <c r="F50" s="742"/>
      <c r="G50" s="742"/>
      <c r="H50" s="742"/>
      <c r="I50" s="742"/>
      <c r="J50" s="742"/>
      <c r="K50" s="742"/>
      <c r="L50" s="742"/>
      <c r="M50" s="742"/>
      <c r="N50" s="946">
        <f t="shared" si="5"/>
        <v>84845</v>
      </c>
      <c r="O50" s="946">
        <f t="shared" si="42"/>
        <v>84845</v>
      </c>
      <c r="P50" s="946"/>
      <c r="Q50" s="970"/>
      <c r="R50" s="946">
        <f t="shared" si="7"/>
        <v>4767</v>
      </c>
      <c r="S50" s="951">
        <f>'File goc huyen'!S68</f>
        <v>4767</v>
      </c>
      <c r="T50" s="951"/>
      <c r="U50" s="970"/>
      <c r="V50" s="946">
        <f t="shared" si="8"/>
        <v>10138</v>
      </c>
      <c r="W50" s="951">
        <f>'File goc huyen'!W68</f>
        <v>10138</v>
      </c>
      <c r="X50" s="951"/>
      <c r="Y50" s="970"/>
      <c r="Z50" s="1418">
        <f t="shared" si="9"/>
        <v>11429</v>
      </c>
      <c r="AA50" s="1419">
        <f>'File goc huyen'!AA68</f>
        <v>11429</v>
      </c>
      <c r="AB50" s="1419"/>
      <c r="AC50" s="970"/>
      <c r="AD50" s="946">
        <f t="shared" si="10"/>
        <v>3205</v>
      </c>
      <c r="AE50" s="951">
        <f>'File goc huyen'!AE68</f>
        <v>3205</v>
      </c>
      <c r="AF50" s="951"/>
      <c r="AG50" s="970"/>
      <c r="AH50" s="946">
        <f t="shared" si="11"/>
        <v>14136</v>
      </c>
      <c r="AI50" s="951">
        <f>'File goc huyen'!AI68</f>
        <v>14136</v>
      </c>
      <c r="AJ50" s="951"/>
      <c r="AK50" s="970"/>
      <c r="AL50" s="946">
        <f t="shared" si="12"/>
        <v>14162</v>
      </c>
      <c r="AM50" s="951">
        <f>'File goc huyen'!AM68</f>
        <v>14162</v>
      </c>
      <c r="AN50" s="951"/>
      <c r="AO50" s="970"/>
      <c r="AP50" s="946">
        <f t="shared" si="13"/>
        <v>5255</v>
      </c>
      <c r="AQ50" s="951">
        <f>'File goc huyen'!AQ68</f>
        <v>5255</v>
      </c>
      <c r="AR50" s="951"/>
      <c r="AS50" s="970"/>
      <c r="AT50" s="946">
        <f t="shared" si="14"/>
        <v>6890</v>
      </c>
      <c r="AU50" s="951">
        <f>'File goc huyen'!AU68</f>
        <v>6890</v>
      </c>
      <c r="AV50" s="951"/>
      <c r="AW50" s="970"/>
      <c r="AX50" s="946">
        <f t="shared" si="15"/>
        <v>2113</v>
      </c>
      <c r="AY50" s="951">
        <f>'File goc huyen'!AY68</f>
        <v>2113</v>
      </c>
      <c r="AZ50" s="951"/>
      <c r="BA50" s="970"/>
      <c r="BB50" s="946">
        <f t="shared" si="16"/>
        <v>12750</v>
      </c>
      <c r="BC50" s="951">
        <f>'File goc huyen'!BC68</f>
        <v>12750</v>
      </c>
      <c r="BD50" s="951"/>
      <c r="BE50" s="970"/>
    </row>
    <row r="51" spans="1:57" s="937" customFormat="1" ht="24.75" customHeight="1">
      <c r="A51" s="964" t="s">
        <v>51</v>
      </c>
      <c r="B51" s="737" t="s">
        <v>1456</v>
      </c>
      <c r="C51" s="942">
        <f t="shared" si="4"/>
        <v>0</v>
      </c>
      <c r="D51" s="737"/>
      <c r="E51" s="737"/>
      <c r="F51" s="737"/>
      <c r="G51" s="737"/>
      <c r="H51" s="737"/>
      <c r="I51" s="737"/>
      <c r="J51" s="737"/>
      <c r="K51" s="737"/>
      <c r="L51" s="737"/>
      <c r="M51" s="737"/>
      <c r="N51" s="938">
        <f t="shared" si="5"/>
        <v>7717</v>
      </c>
      <c r="O51" s="938">
        <f t="shared" si="42"/>
        <v>6358</v>
      </c>
      <c r="P51" s="938">
        <f>T51+X51+AB51+AF51+AJ51+AN51+AR51+AV51+AZ51+BD51</f>
        <v>1359</v>
      </c>
      <c r="Q51" s="940"/>
      <c r="R51" s="938">
        <f t="shared" si="7"/>
        <v>590</v>
      </c>
      <c r="S51" s="938">
        <f>'DT chi TX 2022 theo ĐM HĐND'!H101</f>
        <v>472</v>
      </c>
      <c r="T51" s="938">
        <f>'File goc huyen'!T73</f>
        <v>118</v>
      </c>
      <c r="U51" s="940"/>
      <c r="V51" s="938">
        <f t="shared" si="8"/>
        <v>971</v>
      </c>
      <c r="W51" s="938">
        <f>'DT chi TX 2022 theo ĐM HĐND'!I101</f>
        <v>778</v>
      </c>
      <c r="X51" s="938">
        <f>'File goc huyen'!X73</f>
        <v>193</v>
      </c>
      <c r="Y51" s="940"/>
      <c r="Z51" s="1416">
        <f t="shared" si="9"/>
        <v>580</v>
      </c>
      <c r="AA51" s="1416">
        <f>'DT chi TX 2022 theo ĐM HĐND'!J101</f>
        <v>478</v>
      </c>
      <c r="AB51" s="1416">
        <f>'File goc huyen'!AB73</f>
        <v>102</v>
      </c>
      <c r="AC51" s="940"/>
      <c r="AD51" s="938">
        <f t="shared" si="10"/>
        <v>365</v>
      </c>
      <c r="AE51" s="938">
        <f>'DT chi TX 2022 theo ĐM HĐND'!K101</f>
        <v>293</v>
      </c>
      <c r="AF51" s="938">
        <f>'File goc huyen'!AF73</f>
        <v>72</v>
      </c>
      <c r="AG51" s="940"/>
      <c r="AH51" s="938">
        <f t="shared" si="11"/>
        <v>1031</v>
      </c>
      <c r="AI51" s="938">
        <f>'DT chi TX 2022 theo ĐM HĐND'!L101</f>
        <v>847</v>
      </c>
      <c r="AJ51" s="938">
        <f>'File goc huyen'!AJ73</f>
        <v>184</v>
      </c>
      <c r="AK51" s="940"/>
      <c r="AL51" s="938">
        <f t="shared" si="12"/>
        <v>1125</v>
      </c>
      <c r="AM51" s="938">
        <f>'DT chi TX 2022 theo ĐM HĐND'!M101</f>
        <v>897</v>
      </c>
      <c r="AN51" s="938">
        <f>'File goc huyen'!AN73</f>
        <v>228</v>
      </c>
      <c r="AO51" s="940"/>
      <c r="AP51" s="938">
        <f t="shared" si="13"/>
        <v>463</v>
      </c>
      <c r="AQ51" s="938">
        <f>'DT chi TX 2022 theo ĐM HĐND'!N101</f>
        <v>418</v>
      </c>
      <c r="AR51" s="938">
        <f>'File goc huyen'!AR73</f>
        <v>45</v>
      </c>
      <c r="AS51" s="940"/>
      <c r="AT51" s="938">
        <f t="shared" si="14"/>
        <v>948</v>
      </c>
      <c r="AU51" s="938">
        <f>'DT chi TX 2022 theo ĐM HĐND'!O101</f>
        <v>790</v>
      </c>
      <c r="AV51" s="938">
        <f>'File goc huyen'!AV73</f>
        <v>158</v>
      </c>
      <c r="AW51" s="940"/>
      <c r="AX51" s="938">
        <f t="shared" si="15"/>
        <v>767</v>
      </c>
      <c r="AY51" s="938">
        <f>'DT chi TX 2022 theo ĐM HĐND'!P101</f>
        <v>670</v>
      </c>
      <c r="AZ51" s="938">
        <f>'File goc huyen'!AZ73</f>
        <v>97</v>
      </c>
      <c r="BA51" s="940"/>
      <c r="BB51" s="938">
        <f t="shared" si="16"/>
        <v>877</v>
      </c>
      <c r="BC51" s="938">
        <f>'DT chi TX 2022 theo ĐM HĐND'!Q101</f>
        <v>715</v>
      </c>
      <c r="BD51" s="938">
        <f>'File goc huyen'!BD73</f>
        <v>162</v>
      </c>
      <c r="BE51" s="940"/>
    </row>
    <row r="52" spans="1:57" s="937" customFormat="1" ht="23.25" hidden="1" customHeight="1" outlineLevel="1">
      <c r="A52" s="941"/>
      <c r="B52" s="974"/>
      <c r="C52" s="942">
        <f t="shared" si="4"/>
        <v>0</v>
      </c>
      <c r="D52" s="975"/>
      <c r="E52" s="975"/>
      <c r="F52" s="975"/>
      <c r="G52" s="975"/>
      <c r="H52" s="975"/>
      <c r="I52" s="975"/>
      <c r="J52" s="975"/>
      <c r="K52" s="975"/>
      <c r="L52" s="975"/>
      <c r="M52" s="975"/>
      <c r="N52" s="938">
        <f t="shared" si="5"/>
        <v>0</v>
      </c>
      <c r="O52" s="938"/>
      <c r="P52" s="938"/>
      <c r="Q52" s="940"/>
      <c r="R52" s="938">
        <f t="shared" si="7"/>
        <v>0</v>
      </c>
      <c r="S52" s="938"/>
      <c r="T52" s="938"/>
      <c r="U52" s="940"/>
      <c r="V52" s="938">
        <f t="shared" si="8"/>
        <v>0</v>
      </c>
      <c r="W52" s="938"/>
      <c r="X52" s="938"/>
      <c r="Y52" s="940"/>
      <c r="Z52" s="1416">
        <f t="shared" si="9"/>
        <v>0</v>
      </c>
      <c r="AA52" s="1416"/>
      <c r="AB52" s="1416"/>
      <c r="AC52" s="940"/>
      <c r="AD52" s="938">
        <f t="shared" si="10"/>
        <v>0</v>
      </c>
      <c r="AE52" s="938"/>
      <c r="AF52" s="938"/>
      <c r="AG52" s="940"/>
      <c r="AH52" s="938">
        <f t="shared" si="11"/>
        <v>0</v>
      </c>
      <c r="AI52" s="938"/>
      <c r="AJ52" s="938"/>
      <c r="AK52" s="940"/>
      <c r="AL52" s="938">
        <f t="shared" si="12"/>
        <v>0</v>
      </c>
      <c r="AM52" s="938"/>
      <c r="AN52" s="938"/>
      <c r="AO52" s="940"/>
      <c r="AP52" s="938">
        <f t="shared" si="13"/>
        <v>0</v>
      </c>
      <c r="AQ52" s="938"/>
      <c r="AR52" s="938"/>
      <c r="AS52" s="940"/>
      <c r="AT52" s="938">
        <f t="shared" si="14"/>
        <v>0</v>
      </c>
      <c r="AU52" s="938"/>
      <c r="AV52" s="938"/>
      <c r="AW52" s="940"/>
      <c r="AX52" s="938">
        <f t="shared" si="15"/>
        <v>0</v>
      </c>
      <c r="AY52" s="938"/>
      <c r="AZ52" s="938"/>
      <c r="BA52" s="940"/>
      <c r="BB52" s="938">
        <f t="shared" si="16"/>
        <v>0</v>
      </c>
      <c r="BC52" s="938"/>
      <c r="BD52" s="938"/>
      <c r="BE52" s="940"/>
    </row>
    <row r="53" spans="1:57" s="937" customFormat="1" ht="23.25" customHeight="1" collapsed="1">
      <c r="A53" s="941" t="s">
        <v>52</v>
      </c>
      <c r="B53" s="974" t="s">
        <v>54</v>
      </c>
      <c r="C53" s="942">
        <f t="shared" si="4"/>
        <v>2000</v>
      </c>
      <c r="D53" s="975">
        <f>'File goc huyen'!D76</f>
        <v>200</v>
      </c>
      <c r="E53" s="975">
        <f>'File goc huyen'!E76</f>
        <v>200</v>
      </c>
      <c r="F53" s="975">
        <f>'File goc huyen'!F76</f>
        <v>200</v>
      </c>
      <c r="G53" s="975">
        <f>'File goc huyen'!G76</f>
        <v>200</v>
      </c>
      <c r="H53" s="975">
        <f>'File goc huyen'!H76</f>
        <v>200</v>
      </c>
      <c r="I53" s="975">
        <f>'File goc huyen'!I76</f>
        <v>200</v>
      </c>
      <c r="J53" s="975">
        <f>'File goc huyen'!J76</f>
        <v>200</v>
      </c>
      <c r="K53" s="975">
        <f>'File goc huyen'!K76</f>
        <v>200</v>
      </c>
      <c r="L53" s="975">
        <f>'File goc huyen'!L76</f>
        <v>200</v>
      </c>
      <c r="M53" s="975">
        <f>'File goc huyen'!M76</f>
        <v>200</v>
      </c>
      <c r="N53" s="938">
        <f t="shared" si="5"/>
        <v>2000</v>
      </c>
      <c r="O53" s="938">
        <f>S53+W53+AA53+AE53+AI53+AM53+AQ53+AU53+AY53+BC53</f>
        <v>2000</v>
      </c>
      <c r="P53" s="938">
        <f>T53+X53+AB53+AF53+AJ53+AN53+AR53+AV53+AZ53+BD53</f>
        <v>0</v>
      </c>
      <c r="Q53" s="940">
        <f>O53/C53%</f>
        <v>100</v>
      </c>
      <c r="R53" s="938">
        <f t="shared" si="7"/>
        <v>200</v>
      </c>
      <c r="S53" s="976">
        <f>S54</f>
        <v>200</v>
      </c>
      <c r="T53" s="976"/>
      <c r="U53" s="940">
        <f>S53/D53%</f>
        <v>100</v>
      </c>
      <c r="V53" s="938">
        <f t="shared" si="8"/>
        <v>200</v>
      </c>
      <c r="W53" s="976">
        <f t="shared" ref="W53:BC53" si="44">W54</f>
        <v>200</v>
      </c>
      <c r="X53" s="976"/>
      <c r="Y53" s="940">
        <f>W53/E53%</f>
        <v>100</v>
      </c>
      <c r="Z53" s="1416">
        <f t="shared" si="9"/>
        <v>200</v>
      </c>
      <c r="AA53" s="1422">
        <f t="shared" si="44"/>
        <v>200</v>
      </c>
      <c r="AB53" s="1422"/>
      <c r="AC53" s="940">
        <f>AA53/F53%</f>
        <v>100</v>
      </c>
      <c r="AD53" s="938">
        <f t="shared" si="10"/>
        <v>200</v>
      </c>
      <c r="AE53" s="976">
        <f t="shared" si="44"/>
        <v>200</v>
      </c>
      <c r="AF53" s="976"/>
      <c r="AG53" s="940">
        <f>AE53/G53%</f>
        <v>100</v>
      </c>
      <c r="AH53" s="938">
        <f t="shared" si="11"/>
        <v>200</v>
      </c>
      <c r="AI53" s="976">
        <f t="shared" si="44"/>
        <v>200</v>
      </c>
      <c r="AJ53" s="976"/>
      <c r="AK53" s="940">
        <f>AI53/H53%</f>
        <v>100</v>
      </c>
      <c r="AL53" s="938">
        <f t="shared" si="12"/>
        <v>200</v>
      </c>
      <c r="AM53" s="976">
        <f t="shared" si="44"/>
        <v>200</v>
      </c>
      <c r="AN53" s="976"/>
      <c r="AO53" s="940">
        <f>AM53/I53%</f>
        <v>100</v>
      </c>
      <c r="AP53" s="938">
        <f t="shared" si="13"/>
        <v>200</v>
      </c>
      <c r="AQ53" s="976">
        <f t="shared" si="44"/>
        <v>200</v>
      </c>
      <c r="AR53" s="976"/>
      <c r="AS53" s="940">
        <f>AQ53/J53%</f>
        <v>100</v>
      </c>
      <c r="AT53" s="938">
        <f t="shared" si="14"/>
        <v>200</v>
      </c>
      <c r="AU53" s="976">
        <f t="shared" si="44"/>
        <v>200</v>
      </c>
      <c r="AV53" s="976"/>
      <c r="AW53" s="940">
        <f>AU53/K53%</f>
        <v>100</v>
      </c>
      <c r="AX53" s="938">
        <f t="shared" si="15"/>
        <v>200</v>
      </c>
      <c r="AY53" s="976">
        <f t="shared" si="44"/>
        <v>200</v>
      </c>
      <c r="AZ53" s="976"/>
      <c r="BA53" s="940">
        <f>AY53/L53%</f>
        <v>100</v>
      </c>
      <c r="BB53" s="938">
        <f t="shared" si="16"/>
        <v>200</v>
      </c>
      <c r="BC53" s="976">
        <f t="shared" si="44"/>
        <v>200</v>
      </c>
      <c r="BD53" s="976"/>
      <c r="BE53" s="940">
        <f>BC53/M53%</f>
        <v>100</v>
      </c>
    </row>
    <row r="54" spans="1:57" ht="23.25" customHeight="1">
      <c r="A54" s="943"/>
      <c r="B54" s="977" t="s">
        <v>55</v>
      </c>
      <c r="C54" s="942">
        <f t="shared" si="4"/>
        <v>0</v>
      </c>
      <c r="D54" s="978"/>
      <c r="E54" s="978"/>
      <c r="F54" s="978"/>
      <c r="G54" s="978"/>
      <c r="H54" s="978"/>
      <c r="I54" s="978"/>
      <c r="J54" s="978"/>
      <c r="K54" s="978"/>
      <c r="L54" s="978"/>
      <c r="M54" s="978"/>
      <c r="N54" s="946">
        <f t="shared" si="5"/>
        <v>2000</v>
      </c>
      <c r="O54" s="946">
        <f>S54+W54+AA54+AE54+AI54+AM54+AQ54+AU54+AY54+BC54</f>
        <v>2000</v>
      </c>
      <c r="P54" s="946"/>
      <c r="Q54" s="947"/>
      <c r="R54" s="946">
        <f t="shared" si="7"/>
        <v>200</v>
      </c>
      <c r="S54" s="946">
        <f>'File goc huyen'!S76</f>
        <v>200</v>
      </c>
      <c r="T54" s="946"/>
      <c r="U54" s="947"/>
      <c r="V54" s="946">
        <f t="shared" si="8"/>
        <v>200</v>
      </c>
      <c r="W54" s="946">
        <f>'File goc huyen'!W76</f>
        <v>200</v>
      </c>
      <c r="X54" s="946"/>
      <c r="Y54" s="947"/>
      <c r="Z54" s="1418">
        <f t="shared" si="9"/>
        <v>200</v>
      </c>
      <c r="AA54" s="1418">
        <f>'File goc huyen'!AA76</f>
        <v>200</v>
      </c>
      <c r="AB54" s="1418"/>
      <c r="AC54" s="947"/>
      <c r="AD54" s="946">
        <f t="shared" si="10"/>
        <v>200</v>
      </c>
      <c r="AE54" s="946">
        <f>'File goc huyen'!AE76</f>
        <v>200</v>
      </c>
      <c r="AF54" s="946"/>
      <c r="AG54" s="947"/>
      <c r="AH54" s="946">
        <f t="shared" si="11"/>
        <v>200</v>
      </c>
      <c r="AI54" s="946">
        <f>'File goc huyen'!AI76</f>
        <v>200</v>
      </c>
      <c r="AJ54" s="946"/>
      <c r="AK54" s="947"/>
      <c r="AL54" s="946">
        <f t="shared" si="12"/>
        <v>200</v>
      </c>
      <c r="AM54" s="946">
        <f>'File goc huyen'!AM76</f>
        <v>200</v>
      </c>
      <c r="AN54" s="946"/>
      <c r="AO54" s="947"/>
      <c r="AP54" s="946">
        <f t="shared" si="13"/>
        <v>200</v>
      </c>
      <c r="AQ54" s="946">
        <f>'File goc huyen'!AQ76</f>
        <v>200</v>
      </c>
      <c r="AR54" s="946"/>
      <c r="AS54" s="947"/>
      <c r="AT54" s="946">
        <f t="shared" si="14"/>
        <v>200</v>
      </c>
      <c r="AU54" s="946">
        <f>'File goc huyen'!AU76</f>
        <v>200</v>
      </c>
      <c r="AV54" s="946"/>
      <c r="AW54" s="947"/>
      <c r="AX54" s="946">
        <f t="shared" si="15"/>
        <v>200</v>
      </c>
      <c r="AY54" s="946">
        <f>'File goc huyen'!AY76</f>
        <v>200</v>
      </c>
      <c r="AZ54" s="946"/>
      <c r="BA54" s="947"/>
      <c r="BB54" s="946">
        <f t="shared" si="16"/>
        <v>200</v>
      </c>
      <c r="BC54" s="946">
        <f>'File goc huyen'!BC76</f>
        <v>200</v>
      </c>
      <c r="BD54" s="946"/>
      <c r="BE54" s="947"/>
    </row>
    <row r="55" spans="1:57" s="937" customFormat="1" ht="24" customHeight="1">
      <c r="A55" s="941" t="s">
        <v>53</v>
      </c>
      <c r="B55" s="939" t="s">
        <v>1457</v>
      </c>
      <c r="C55" s="942">
        <f t="shared" si="4"/>
        <v>1411090</v>
      </c>
      <c r="D55" s="942">
        <f>'File goc huyen'!D78</f>
        <v>271595</v>
      </c>
      <c r="E55" s="942">
        <f>'File goc huyen'!E78</f>
        <v>156448</v>
      </c>
      <c r="F55" s="942">
        <f>'File goc huyen'!F78</f>
        <v>117612</v>
      </c>
      <c r="G55" s="942">
        <f>'File goc huyen'!G78</f>
        <v>137846</v>
      </c>
      <c r="H55" s="942">
        <f>'File goc huyen'!H78</f>
        <v>167470</v>
      </c>
      <c r="I55" s="942">
        <f>'File goc huyen'!I78</f>
        <v>141816</v>
      </c>
      <c r="J55" s="942">
        <f>'File goc huyen'!J78</f>
        <v>65606</v>
      </c>
      <c r="K55" s="942">
        <f>'File goc huyen'!K78</f>
        <v>99988</v>
      </c>
      <c r="L55" s="942">
        <f>'File goc huyen'!L78</f>
        <v>129858</v>
      </c>
      <c r="M55" s="942">
        <f>'File goc huyen'!M78</f>
        <v>122851</v>
      </c>
      <c r="N55" s="938">
        <f t="shared" si="5"/>
        <v>1598711</v>
      </c>
      <c r="O55" s="938">
        <f>O57+O58+O63</f>
        <v>1433561</v>
      </c>
      <c r="P55" s="938">
        <f>T55+X55+AB55+AF55+AJ55+AN55+AR55+AV55+AZ55+BD55</f>
        <v>165150</v>
      </c>
      <c r="Q55" s="940">
        <f>O55/C55%</f>
        <v>101.59245689502441</v>
      </c>
      <c r="R55" s="938">
        <f t="shared" si="7"/>
        <v>297618</v>
      </c>
      <c r="S55" s="938">
        <f t="shared" ref="S55:BC55" si="45">S57+S58+S63</f>
        <v>269923</v>
      </c>
      <c r="T55" s="938">
        <f>'File goc huyen'!T78</f>
        <v>27695</v>
      </c>
      <c r="U55" s="940">
        <f>S55/D55%</f>
        <v>99.384377473812123</v>
      </c>
      <c r="V55" s="938">
        <f t="shared" si="8"/>
        <v>177041</v>
      </c>
      <c r="W55" s="938">
        <f t="shared" si="45"/>
        <v>158357</v>
      </c>
      <c r="X55" s="938">
        <f>'File goc huyen'!X78</f>
        <v>18684</v>
      </c>
      <c r="Y55" s="940">
        <f>W55/E55%</f>
        <v>101.22021374514216</v>
      </c>
      <c r="Z55" s="1416">
        <f t="shared" si="9"/>
        <v>135475</v>
      </c>
      <c r="AA55" s="1416">
        <f t="shared" si="45"/>
        <v>118828</v>
      </c>
      <c r="AB55" s="1416">
        <f>'File goc huyen'!AB78</f>
        <v>16647</v>
      </c>
      <c r="AC55" s="940">
        <f>AA55/F55%</f>
        <v>101.03390810461518</v>
      </c>
      <c r="AD55" s="938">
        <f t="shared" si="10"/>
        <v>154906</v>
      </c>
      <c r="AE55" s="938">
        <f t="shared" si="45"/>
        <v>138712</v>
      </c>
      <c r="AF55" s="938">
        <f>'File goc huyen'!AF78</f>
        <v>16194</v>
      </c>
      <c r="AG55" s="940">
        <f>AE55/G55%</f>
        <v>100.62823730830057</v>
      </c>
      <c r="AH55" s="938">
        <f t="shared" si="11"/>
        <v>188990</v>
      </c>
      <c r="AI55" s="938">
        <f t="shared" si="45"/>
        <v>169818</v>
      </c>
      <c r="AJ55" s="938">
        <f>'File goc huyen'!AJ78</f>
        <v>19172</v>
      </c>
      <c r="AK55" s="940">
        <f>AI55/H55%</f>
        <v>101.4020421568042</v>
      </c>
      <c r="AL55" s="938">
        <f t="shared" si="12"/>
        <v>160797</v>
      </c>
      <c r="AM55" s="938">
        <f t="shared" si="45"/>
        <v>142433</v>
      </c>
      <c r="AN55" s="938">
        <f>'File goc huyen'!AN78</f>
        <v>18364</v>
      </c>
      <c r="AO55" s="940">
        <f>AM55/I55%</f>
        <v>100.43507079596095</v>
      </c>
      <c r="AP55" s="938">
        <f t="shared" si="13"/>
        <v>77040</v>
      </c>
      <c r="AQ55" s="938">
        <f t="shared" si="45"/>
        <v>71026</v>
      </c>
      <c r="AR55" s="938">
        <f>'File goc huyen'!AR78</f>
        <v>6014</v>
      </c>
      <c r="AS55" s="940">
        <f>AQ55/J55%</f>
        <v>108.26143950248454</v>
      </c>
      <c r="AT55" s="938">
        <f t="shared" si="14"/>
        <v>115597</v>
      </c>
      <c r="AU55" s="938">
        <f t="shared" si="45"/>
        <v>103621</v>
      </c>
      <c r="AV55" s="938">
        <f>'File goc huyen'!AV78</f>
        <v>11976</v>
      </c>
      <c r="AW55" s="940">
        <f>AU55/K55%</f>
        <v>103.63343601232148</v>
      </c>
      <c r="AX55" s="938">
        <f t="shared" si="15"/>
        <v>151439</v>
      </c>
      <c r="AY55" s="938">
        <f t="shared" si="45"/>
        <v>137104</v>
      </c>
      <c r="AZ55" s="938">
        <f>'File goc huyen'!AZ78</f>
        <v>14335</v>
      </c>
      <c r="BA55" s="940">
        <f>AY55/L55%</f>
        <v>105.57994116650495</v>
      </c>
      <c r="BB55" s="938">
        <f t="shared" si="16"/>
        <v>139808</v>
      </c>
      <c r="BC55" s="938">
        <f t="shared" si="45"/>
        <v>123739</v>
      </c>
      <c r="BD55" s="938">
        <f>'File goc huyen'!BD78</f>
        <v>16069</v>
      </c>
      <c r="BE55" s="940">
        <f>BC55/M55%</f>
        <v>100.72282683901636</v>
      </c>
    </row>
    <row r="56" spans="1:57" s="954" customFormat="1" ht="36" customHeight="1">
      <c r="A56" s="957"/>
      <c r="B56" s="952" t="s">
        <v>1352</v>
      </c>
      <c r="C56" s="942">
        <f t="shared" si="4"/>
        <v>0</v>
      </c>
      <c r="D56" s="953"/>
      <c r="E56" s="953"/>
      <c r="F56" s="953"/>
      <c r="G56" s="953"/>
      <c r="H56" s="953"/>
      <c r="I56" s="953"/>
      <c r="J56" s="953"/>
      <c r="K56" s="953"/>
      <c r="L56" s="953"/>
      <c r="M56" s="953"/>
      <c r="N56" s="951">
        <f t="shared" si="5"/>
        <v>21900</v>
      </c>
      <c r="O56" s="951">
        <f>SUM(S56:BC56)</f>
        <v>21900</v>
      </c>
      <c r="P56" s="951"/>
      <c r="Q56" s="970"/>
      <c r="R56" s="951">
        <f t="shared" si="7"/>
        <v>1500</v>
      </c>
      <c r="S56" s="951">
        <v>1500</v>
      </c>
      <c r="T56" s="951"/>
      <c r="U56" s="970"/>
      <c r="V56" s="951">
        <f t="shared" si="8"/>
        <v>1500</v>
      </c>
      <c r="W56" s="951">
        <v>1500</v>
      </c>
      <c r="X56" s="951"/>
      <c r="Y56" s="970"/>
      <c r="Z56" s="1419">
        <f t="shared" si="9"/>
        <v>1500</v>
      </c>
      <c r="AA56" s="1419">
        <v>1500</v>
      </c>
      <c r="AB56" s="1419"/>
      <c r="AC56" s="970"/>
      <c r="AD56" s="951">
        <f t="shared" si="10"/>
        <v>1500</v>
      </c>
      <c r="AE56" s="951">
        <v>1500</v>
      </c>
      <c r="AF56" s="951"/>
      <c r="AG56" s="970"/>
      <c r="AH56" s="951">
        <f t="shared" si="11"/>
        <v>1000</v>
      </c>
      <c r="AI56" s="951">
        <v>1000</v>
      </c>
      <c r="AJ56" s="951"/>
      <c r="AK56" s="970"/>
      <c r="AL56" s="951">
        <f t="shared" si="12"/>
        <v>1000</v>
      </c>
      <c r="AM56" s="951">
        <v>1000</v>
      </c>
      <c r="AN56" s="951"/>
      <c r="AO56" s="970"/>
      <c r="AP56" s="951">
        <f t="shared" si="13"/>
        <v>700</v>
      </c>
      <c r="AQ56" s="951">
        <v>700</v>
      </c>
      <c r="AR56" s="951"/>
      <c r="AS56" s="970"/>
      <c r="AT56" s="951">
        <f t="shared" si="14"/>
        <v>1000</v>
      </c>
      <c r="AU56" s="951">
        <v>1000</v>
      </c>
      <c r="AV56" s="951"/>
      <c r="AW56" s="970"/>
      <c r="AX56" s="951">
        <f t="shared" si="15"/>
        <v>1000</v>
      </c>
      <c r="AY56" s="951">
        <v>1000</v>
      </c>
      <c r="AZ56" s="951"/>
      <c r="BA56" s="970"/>
      <c r="BB56" s="951">
        <f t="shared" si="16"/>
        <v>1000</v>
      </c>
      <c r="BC56" s="951">
        <v>1000</v>
      </c>
      <c r="BD56" s="951"/>
      <c r="BE56" s="970"/>
    </row>
    <row r="57" spans="1:57" s="922" customFormat="1" ht="23.25" customHeight="1">
      <c r="A57" s="943" t="s">
        <v>45</v>
      </c>
      <c r="B57" s="956" t="s">
        <v>57</v>
      </c>
      <c r="C57" s="942">
        <f t="shared" si="4"/>
        <v>0</v>
      </c>
      <c r="D57" s="956"/>
      <c r="E57" s="956"/>
      <c r="F57" s="956"/>
      <c r="G57" s="956"/>
      <c r="H57" s="956"/>
      <c r="I57" s="956"/>
      <c r="J57" s="956"/>
      <c r="K57" s="956"/>
      <c r="L57" s="956"/>
      <c r="M57" s="956"/>
      <c r="N57" s="946">
        <f t="shared" si="5"/>
        <v>1398245</v>
      </c>
      <c r="O57" s="946">
        <f>S57+W57+AA57+AE57+AI57+AM57+AQ57+AU57+AY57+BC57</f>
        <v>1398245</v>
      </c>
      <c r="P57" s="946"/>
      <c r="Q57" s="947"/>
      <c r="R57" s="946">
        <f t="shared" si="7"/>
        <v>266260</v>
      </c>
      <c r="S57" s="946">
        <f>'File goc huyen'!S80</f>
        <v>266260</v>
      </c>
      <c r="T57" s="946"/>
      <c r="U57" s="947"/>
      <c r="V57" s="946">
        <f t="shared" si="8"/>
        <v>153160</v>
      </c>
      <c r="W57" s="946">
        <f>'File goc huyen'!W80</f>
        <v>153160</v>
      </c>
      <c r="X57" s="946"/>
      <c r="Y57" s="947"/>
      <c r="Z57" s="1418">
        <f t="shared" si="9"/>
        <v>114974</v>
      </c>
      <c r="AA57" s="1418">
        <f>'File goc huyen'!AA80</f>
        <v>114974</v>
      </c>
      <c r="AB57" s="1418"/>
      <c r="AC57" s="947"/>
      <c r="AD57" s="946">
        <f t="shared" si="10"/>
        <v>137470</v>
      </c>
      <c r="AE57" s="946">
        <f>'File goc huyen'!AE80</f>
        <v>137470</v>
      </c>
      <c r="AF57" s="946"/>
      <c r="AG57" s="947"/>
      <c r="AH57" s="946">
        <f t="shared" si="11"/>
        <v>164668</v>
      </c>
      <c r="AI57" s="946">
        <f>'File goc huyen'!AI80</f>
        <v>164668</v>
      </c>
      <c r="AJ57" s="946"/>
      <c r="AK57" s="947"/>
      <c r="AL57" s="946">
        <f t="shared" si="12"/>
        <v>134067</v>
      </c>
      <c r="AM57" s="946">
        <f>'File goc huyen'!AM80</f>
        <v>134067</v>
      </c>
      <c r="AN57" s="946"/>
      <c r="AO57" s="947"/>
      <c r="AP57" s="946">
        <f t="shared" si="13"/>
        <v>70324</v>
      </c>
      <c r="AQ57" s="946">
        <f>'File goc huyen'!AQ80</f>
        <v>70324</v>
      </c>
      <c r="AR57" s="946"/>
      <c r="AS57" s="947"/>
      <c r="AT57" s="946">
        <f t="shared" si="14"/>
        <v>100137</v>
      </c>
      <c r="AU57" s="946">
        <f>'File goc huyen'!AU80</f>
        <v>100137</v>
      </c>
      <c r="AV57" s="946"/>
      <c r="AW57" s="947"/>
      <c r="AX57" s="946">
        <f t="shared" si="15"/>
        <v>135198</v>
      </c>
      <c r="AY57" s="946">
        <f>'File goc huyen'!AY80</f>
        <v>135198</v>
      </c>
      <c r="AZ57" s="946"/>
      <c r="BA57" s="947"/>
      <c r="BB57" s="946">
        <f t="shared" si="16"/>
        <v>121987</v>
      </c>
      <c r="BC57" s="946">
        <f>'File goc huyen'!BC80</f>
        <v>121987</v>
      </c>
      <c r="BD57" s="946"/>
      <c r="BE57" s="947"/>
    </row>
    <row r="58" spans="1:57" ht="23.25" hidden="1" customHeight="1">
      <c r="A58" s="979" t="s">
        <v>47</v>
      </c>
      <c r="B58" s="955" t="s">
        <v>58</v>
      </c>
      <c r="C58" s="942">
        <f t="shared" si="4"/>
        <v>0</v>
      </c>
      <c r="D58" s="956"/>
      <c r="E58" s="956"/>
      <c r="F58" s="956"/>
      <c r="G58" s="956"/>
      <c r="H58" s="956"/>
      <c r="I58" s="956"/>
      <c r="J58" s="956"/>
      <c r="K58" s="956"/>
      <c r="L58" s="956"/>
      <c r="M58" s="956"/>
      <c r="N58" s="946">
        <f t="shared" ref="N58:N62" si="46">O58+P58</f>
        <v>0</v>
      </c>
      <c r="O58" s="946">
        <f t="shared" ref="O58:O62" si="47">S58+W58+AA58+AE58+AI58+AM58+AQ58+AU58+AY58+BC58</f>
        <v>0</v>
      </c>
      <c r="P58" s="946"/>
      <c r="Q58" s="947"/>
      <c r="R58" s="946">
        <f t="shared" si="7"/>
        <v>0</v>
      </c>
      <c r="S58" s="946">
        <f>'DT chi TX 2022 theo ĐM HĐND'!H326</f>
        <v>0</v>
      </c>
      <c r="T58" s="946"/>
      <c r="U58" s="947"/>
      <c r="V58" s="946">
        <f t="shared" si="8"/>
        <v>0</v>
      </c>
      <c r="W58" s="946">
        <f>'DT chi TX 2022 theo ĐM HĐND'!I326</f>
        <v>0</v>
      </c>
      <c r="X58" s="946"/>
      <c r="Y58" s="947"/>
      <c r="Z58" s="1418">
        <f t="shared" si="9"/>
        <v>0</v>
      </c>
      <c r="AA58" s="1418">
        <f>'DT chi TX 2022 theo ĐM HĐND'!J326</f>
        <v>0</v>
      </c>
      <c r="AB58" s="1418"/>
      <c r="AC58" s="947"/>
      <c r="AD58" s="946">
        <f t="shared" si="10"/>
        <v>0</v>
      </c>
      <c r="AE58" s="946">
        <f>'DT chi TX 2022 theo ĐM HĐND'!K326</f>
        <v>0</v>
      </c>
      <c r="AF58" s="946"/>
      <c r="AG58" s="947"/>
      <c r="AH58" s="946">
        <f t="shared" si="11"/>
        <v>0</v>
      </c>
      <c r="AI58" s="946">
        <f>'DT chi TX 2022 theo ĐM HĐND'!L326</f>
        <v>0</v>
      </c>
      <c r="AJ58" s="946"/>
      <c r="AK58" s="947"/>
      <c r="AL58" s="946">
        <f t="shared" si="12"/>
        <v>0</v>
      </c>
      <c r="AM58" s="946">
        <f>'DT chi TX 2022 theo ĐM HĐND'!M326</f>
        <v>0</v>
      </c>
      <c r="AN58" s="946"/>
      <c r="AO58" s="947"/>
      <c r="AP58" s="946">
        <f t="shared" si="13"/>
        <v>0</v>
      </c>
      <c r="AQ58" s="946">
        <f>'DT chi TX 2022 theo ĐM HĐND'!N326</f>
        <v>0</v>
      </c>
      <c r="AR58" s="946"/>
      <c r="AS58" s="947"/>
      <c r="AT58" s="946">
        <f t="shared" si="14"/>
        <v>0</v>
      </c>
      <c r="AU58" s="946">
        <f>'DT chi TX 2022 theo ĐM HĐND'!O326</f>
        <v>0</v>
      </c>
      <c r="AV58" s="946"/>
      <c r="AW58" s="947"/>
      <c r="AX58" s="946">
        <f t="shared" si="15"/>
        <v>0</v>
      </c>
      <c r="AY58" s="946"/>
      <c r="AZ58" s="946"/>
      <c r="BA58" s="947"/>
      <c r="BB58" s="946">
        <f t="shared" si="16"/>
        <v>0</v>
      </c>
      <c r="BC58" s="946">
        <f>'DT chi TX 2022 theo ĐM HĐND'!Q326</f>
        <v>0</v>
      </c>
      <c r="BD58" s="946"/>
      <c r="BE58" s="947"/>
    </row>
    <row r="59" spans="1:57" ht="23.25" customHeight="1">
      <c r="A59" s="980"/>
      <c r="B59" s="981" t="s">
        <v>2293</v>
      </c>
      <c r="C59" s="942"/>
      <c r="D59" s="982"/>
      <c r="E59" s="982"/>
      <c r="F59" s="982"/>
      <c r="G59" s="982"/>
      <c r="H59" s="982"/>
      <c r="I59" s="982"/>
      <c r="J59" s="982"/>
      <c r="K59" s="982"/>
      <c r="L59" s="982"/>
      <c r="M59" s="982"/>
      <c r="N59" s="946"/>
      <c r="O59" s="946"/>
      <c r="P59" s="946"/>
      <c r="Q59" s="947"/>
      <c r="R59" s="946"/>
      <c r="S59" s="946"/>
      <c r="T59" s="946"/>
      <c r="U59" s="947"/>
      <c r="V59" s="946"/>
      <c r="W59" s="946"/>
      <c r="X59" s="946"/>
      <c r="Y59" s="947"/>
      <c r="Z59" s="1418"/>
      <c r="AA59" s="1418"/>
      <c r="AB59" s="1418"/>
      <c r="AC59" s="947"/>
      <c r="AD59" s="946"/>
      <c r="AE59" s="946"/>
      <c r="AF59" s="946"/>
      <c r="AG59" s="947"/>
      <c r="AH59" s="946"/>
      <c r="AI59" s="946"/>
      <c r="AJ59" s="946"/>
      <c r="AK59" s="947"/>
      <c r="AL59" s="946"/>
      <c r="AM59" s="946"/>
      <c r="AN59" s="946"/>
      <c r="AO59" s="947"/>
      <c r="AP59" s="946"/>
      <c r="AQ59" s="946"/>
      <c r="AR59" s="946"/>
      <c r="AS59" s="947"/>
      <c r="AT59" s="946"/>
      <c r="AU59" s="946"/>
      <c r="AV59" s="946"/>
      <c r="AW59" s="947"/>
      <c r="AX59" s="946"/>
      <c r="AY59" s="946"/>
      <c r="AZ59" s="946"/>
      <c r="BA59" s="947"/>
      <c r="BB59" s="946"/>
      <c r="BC59" s="946"/>
      <c r="BD59" s="946"/>
      <c r="BE59" s="947"/>
    </row>
    <row r="60" spans="1:57" ht="25.5" customHeight="1">
      <c r="A60" s="980"/>
      <c r="B60" s="981" t="s">
        <v>2294</v>
      </c>
      <c r="C60" s="942"/>
      <c r="D60" s="982"/>
      <c r="E60" s="982"/>
      <c r="F60" s="982"/>
      <c r="G60" s="982"/>
      <c r="H60" s="982"/>
      <c r="I60" s="982"/>
      <c r="J60" s="982"/>
      <c r="K60" s="982"/>
      <c r="L60" s="982"/>
      <c r="M60" s="982"/>
      <c r="N60" s="946">
        <f t="shared" si="46"/>
        <v>15628</v>
      </c>
      <c r="O60" s="946">
        <f t="shared" si="47"/>
        <v>15628</v>
      </c>
      <c r="P60" s="946"/>
      <c r="Q60" s="947"/>
      <c r="R60" s="946">
        <f t="shared" si="7"/>
        <v>1817</v>
      </c>
      <c r="S60" s="946">
        <v>1817</v>
      </c>
      <c r="T60" s="946"/>
      <c r="U60" s="947"/>
      <c r="V60" s="946">
        <f t="shared" si="8"/>
        <v>2030</v>
      </c>
      <c r="W60" s="946">
        <v>2030</v>
      </c>
      <c r="X60" s="946"/>
      <c r="Y60" s="947"/>
      <c r="Z60" s="1418">
        <f t="shared" si="9"/>
        <v>871</v>
      </c>
      <c r="AA60" s="1418">
        <v>871</v>
      </c>
      <c r="AB60" s="1418"/>
      <c r="AC60" s="947"/>
      <c r="AD60" s="946">
        <f t="shared" si="10"/>
        <v>1296</v>
      </c>
      <c r="AE60" s="946">
        <v>1296</v>
      </c>
      <c r="AF60" s="946"/>
      <c r="AG60" s="947"/>
      <c r="AH60" s="946">
        <f t="shared" si="11"/>
        <v>2441</v>
      </c>
      <c r="AI60" s="946">
        <v>2441</v>
      </c>
      <c r="AJ60" s="946"/>
      <c r="AK60" s="947"/>
      <c r="AL60" s="946">
        <f t="shared" si="12"/>
        <v>943</v>
      </c>
      <c r="AM60" s="946">
        <v>943</v>
      </c>
      <c r="AN60" s="946"/>
      <c r="AO60" s="947"/>
      <c r="AP60" s="946">
        <f t="shared" si="13"/>
        <v>60</v>
      </c>
      <c r="AQ60" s="946">
        <v>60</v>
      </c>
      <c r="AR60" s="946"/>
      <c r="AS60" s="947"/>
      <c r="AT60" s="946">
        <f t="shared" si="14"/>
        <v>758</v>
      </c>
      <c r="AU60" s="946">
        <v>758</v>
      </c>
      <c r="AV60" s="946"/>
      <c r="AW60" s="947"/>
      <c r="AX60" s="946">
        <f t="shared" si="15"/>
        <v>3532</v>
      </c>
      <c r="AY60" s="946">
        <v>3532</v>
      </c>
      <c r="AZ60" s="946"/>
      <c r="BA60" s="947"/>
      <c r="BB60" s="946">
        <f t="shared" si="16"/>
        <v>1880</v>
      </c>
      <c r="BC60" s="946">
        <v>1880</v>
      </c>
      <c r="BD60" s="946"/>
      <c r="BE60" s="947"/>
    </row>
    <row r="61" spans="1:57" ht="35.25" customHeight="1">
      <c r="A61" s="980"/>
      <c r="B61" s="981" t="s">
        <v>2295</v>
      </c>
      <c r="C61" s="942"/>
      <c r="D61" s="982"/>
      <c r="E61" s="982"/>
      <c r="F61" s="982"/>
      <c r="G61" s="982"/>
      <c r="H61" s="982"/>
      <c r="I61" s="982"/>
      <c r="J61" s="982"/>
      <c r="K61" s="982"/>
      <c r="L61" s="982"/>
      <c r="M61" s="982"/>
      <c r="N61" s="946">
        <f t="shared" si="46"/>
        <v>14702</v>
      </c>
      <c r="O61" s="946">
        <f t="shared" si="47"/>
        <v>14702</v>
      </c>
      <c r="P61" s="946"/>
      <c r="Q61" s="947"/>
      <c r="R61" s="946">
        <f t="shared" si="7"/>
        <v>2497</v>
      </c>
      <c r="S61" s="946">
        <v>2497</v>
      </c>
      <c r="T61" s="946"/>
      <c r="U61" s="947"/>
      <c r="V61" s="946">
        <f t="shared" si="8"/>
        <v>2259</v>
      </c>
      <c r="W61" s="946">
        <v>2259</v>
      </c>
      <c r="X61" s="946"/>
      <c r="Y61" s="947"/>
      <c r="Z61" s="1418">
        <f t="shared" si="9"/>
        <v>1176</v>
      </c>
      <c r="AA61" s="1418">
        <v>1176</v>
      </c>
      <c r="AB61" s="1418"/>
      <c r="AC61" s="947"/>
      <c r="AD61" s="946">
        <f t="shared" si="10"/>
        <v>893</v>
      </c>
      <c r="AE61" s="946">
        <v>893</v>
      </c>
      <c r="AF61" s="946"/>
      <c r="AG61" s="947"/>
      <c r="AH61" s="946">
        <f t="shared" si="11"/>
        <v>1949</v>
      </c>
      <c r="AI61" s="946">
        <v>1949</v>
      </c>
      <c r="AJ61" s="946"/>
      <c r="AK61" s="947"/>
      <c r="AL61" s="946">
        <f t="shared" si="12"/>
        <v>738</v>
      </c>
      <c r="AM61" s="946">
        <v>738</v>
      </c>
      <c r="AN61" s="946"/>
      <c r="AO61" s="947"/>
      <c r="AP61" s="946">
        <f t="shared" si="13"/>
        <v>81</v>
      </c>
      <c r="AQ61" s="946">
        <v>81</v>
      </c>
      <c r="AR61" s="946"/>
      <c r="AS61" s="947"/>
      <c r="AT61" s="946">
        <f t="shared" si="14"/>
        <v>849</v>
      </c>
      <c r="AU61" s="946">
        <v>849</v>
      </c>
      <c r="AV61" s="946"/>
      <c r="AW61" s="947"/>
      <c r="AX61" s="946">
        <f t="shared" si="15"/>
        <v>2312</v>
      </c>
      <c r="AY61" s="946">
        <v>2312</v>
      </c>
      <c r="AZ61" s="946"/>
      <c r="BA61" s="947"/>
      <c r="BB61" s="946">
        <f t="shared" si="16"/>
        <v>1948</v>
      </c>
      <c r="BC61" s="946">
        <v>1948</v>
      </c>
      <c r="BD61" s="946"/>
      <c r="BE61" s="947"/>
    </row>
    <row r="62" spans="1:57" ht="30.75" customHeight="1">
      <c r="A62" s="980"/>
      <c r="B62" s="981" t="s">
        <v>2301</v>
      </c>
      <c r="C62" s="942"/>
      <c r="D62" s="982"/>
      <c r="E62" s="982"/>
      <c r="F62" s="982"/>
      <c r="G62" s="982"/>
      <c r="H62" s="982"/>
      <c r="I62" s="982"/>
      <c r="J62" s="982"/>
      <c r="K62" s="982"/>
      <c r="L62" s="982"/>
      <c r="M62" s="982"/>
      <c r="N62" s="946">
        <f t="shared" si="46"/>
        <v>926</v>
      </c>
      <c r="O62" s="946">
        <f t="shared" si="47"/>
        <v>926</v>
      </c>
      <c r="P62" s="946"/>
      <c r="Q62" s="947"/>
      <c r="R62" s="946">
        <f t="shared" si="7"/>
        <v>-680</v>
      </c>
      <c r="S62" s="946">
        <f>S60-S61</f>
        <v>-680</v>
      </c>
      <c r="T62" s="946"/>
      <c r="U62" s="947"/>
      <c r="V62" s="946">
        <f t="shared" si="8"/>
        <v>-229</v>
      </c>
      <c r="W62" s="946">
        <f>W60-W61</f>
        <v>-229</v>
      </c>
      <c r="X62" s="946"/>
      <c r="Y62" s="947"/>
      <c r="Z62" s="1418">
        <f t="shared" si="9"/>
        <v>-305</v>
      </c>
      <c r="AA62" s="1418">
        <f>AA60-AA61</f>
        <v>-305</v>
      </c>
      <c r="AB62" s="1418"/>
      <c r="AC62" s="947"/>
      <c r="AD62" s="946">
        <f t="shared" si="10"/>
        <v>403</v>
      </c>
      <c r="AE62" s="946">
        <f>AE60-AE61</f>
        <v>403</v>
      </c>
      <c r="AF62" s="946"/>
      <c r="AG62" s="947"/>
      <c r="AH62" s="946">
        <f t="shared" si="11"/>
        <v>492</v>
      </c>
      <c r="AI62" s="946">
        <f>AI60-AI61</f>
        <v>492</v>
      </c>
      <c r="AJ62" s="946"/>
      <c r="AK62" s="947"/>
      <c r="AL62" s="946">
        <f t="shared" si="12"/>
        <v>205</v>
      </c>
      <c r="AM62" s="946">
        <f>AM60-AM61</f>
        <v>205</v>
      </c>
      <c r="AN62" s="946"/>
      <c r="AO62" s="947"/>
      <c r="AP62" s="946">
        <f t="shared" si="13"/>
        <v>-21</v>
      </c>
      <c r="AQ62" s="946">
        <f>AQ60-AQ61</f>
        <v>-21</v>
      </c>
      <c r="AR62" s="946"/>
      <c r="AS62" s="947"/>
      <c r="AT62" s="946">
        <f t="shared" si="14"/>
        <v>-91</v>
      </c>
      <c r="AU62" s="946">
        <f>AU60-AU61</f>
        <v>-91</v>
      </c>
      <c r="AV62" s="946"/>
      <c r="AW62" s="947"/>
      <c r="AX62" s="946">
        <f t="shared" si="15"/>
        <v>1220</v>
      </c>
      <c r="AY62" s="946">
        <f>AY60-AY61</f>
        <v>1220</v>
      </c>
      <c r="AZ62" s="946"/>
      <c r="BA62" s="947"/>
      <c r="BB62" s="946">
        <f t="shared" si="16"/>
        <v>-68</v>
      </c>
      <c r="BC62" s="946">
        <f>BC60-BC61</f>
        <v>-68</v>
      </c>
      <c r="BD62" s="946"/>
      <c r="BE62" s="947"/>
    </row>
    <row r="63" spans="1:57" ht="23.25" customHeight="1">
      <c r="A63" s="983" t="s">
        <v>47</v>
      </c>
      <c r="B63" s="984" t="s">
        <v>1545</v>
      </c>
      <c r="C63" s="942">
        <f t="shared" si="4"/>
        <v>0</v>
      </c>
      <c r="D63" s="982"/>
      <c r="E63" s="982"/>
      <c r="F63" s="982"/>
      <c r="G63" s="982"/>
      <c r="H63" s="982"/>
      <c r="I63" s="982"/>
      <c r="J63" s="982"/>
      <c r="K63" s="982"/>
      <c r="L63" s="982"/>
      <c r="M63" s="982"/>
      <c r="N63" s="946">
        <f t="shared" si="5"/>
        <v>35316</v>
      </c>
      <c r="O63" s="946">
        <f>S63+W63+AA63+AE63+AI63+AM63+AQ63+AU63+AY63+BC63</f>
        <v>35316</v>
      </c>
      <c r="P63" s="946"/>
      <c r="Q63" s="947"/>
      <c r="R63" s="946">
        <f t="shared" si="7"/>
        <v>3663</v>
      </c>
      <c r="S63" s="946">
        <f>'File goc huyen'!S82</f>
        <v>3663</v>
      </c>
      <c r="T63" s="946"/>
      <c r="U63" s="947"/>
      <c r="V63" s="946">
        <f t="shared" si="8"/>
        <v>5197</v>
      </c>
      <c r="W63" s="946">
        <f>'File goc huyen'!W82</f>
        <v>5197</v>
      </c>
      <c r="X63" s="946"/>
      <c r="Y63" s="947"/>
      <c r="Z63" s="1418">
        <f t="shared" si="9"/>
        <v>3854</v>
      </c>
      <c r="AA63" s="1418">
        <f>'File goc huyen'!AA82</f>
        <v>3854</v>
      </c>
      <c r="AB63" s="1418"/>
      <c r="AC63" s="947"/>
      <c r="AD63" s="946">
        <f t="shared" si="10"/>
        <v>1242</v>
      </c>
      <c r="AE63" s="946">
        <f>'File goc huyen'!AE82</f>
        <v>1242</v>
      </c>
      <c r="AF63" s="946"/>
      <c r="AG63" s="947"/>
      <c r="AH63" s="946">
        <f t="shared" si="11"/>
        <v>5150</v>
      </c>
      <c r="AI63" s="946">
        <f>'File goc huyen'!AI82</f>
        <v>5150</v>
      </c>
      <c r="AJ63" s="946"/>
      <c r="AK63" s="947"/>
      <c r="AL63" s="946">
        <f t="shared" si="12"/>
        <v>8366</v>
      </c>
      <c r="AM63" s="946">
        <f>'File goc huyen'!AM82</f>
        <v>8366</v>
      </c>
      <c r="AN63" s="946"/>
      <c r="AO63" s="947"/>
      <c r="AP63" s="946">
        <f t="shared" si="13"/>
        <v>702</v>
      </c>
      <c r="AQ63" s="946">
        <f>'File goc huyen'!AQ82</f>
        <v>702</v>
      </c>
      <c r="AR63" s="946"/>
      <c r="AS63" s="947"/>
      <c r="AT63" s="946">
        <f t="shared" si="14"/>
        <v>3484</v>
      </c>
      <c r="AU63" s="946">
        <f>'File goc huyen'!AU82</f>
        <v>3484</v>
      </c>
      <c r="AV63" s="946"/>
      <c r="AW63" s="947"/>
      <c r="AX63" s="946">
        <f t="shared" si="15"/>
        <v>1906</v>
      </c>
      <c r="AY63" s="946">
        <f>'File goc huyen'!AY82</f>
        <v>1906</v>
      </c>
      <c r="AZ63" s="946"/>
      <c r="BA63" s="947"/>
      <c r="BB63" s="946">
        <f t="shared" si="16"/>
        <v>1752</v>
      </c>
      <c r="BC63" s="946">
        <f>'File goc huyen'!BC82</f>
        <v>1752</v>
      </c>
      <c r="BD63" s="946"/>
      <c r="BE63" s="947"/>
    </row>
    <row r="64" spans="1:57" s="937" customFormat="1" ht="22.5" customHeight="1">
      <c r="A64" s="941" t="s">
        <v>59</v>
      </c>
      <c r="B64" s="949" t="s">
        <v>60</v>
      </c>
      <c r="C64" s="942">
        <f t="shared" si="4"/>
        <v>79173</v>
      </c>
      <c r="D64" s="950">
        <f>'File goc huyen'!D88</f>
        <v>17723</v>
      </c>
      <c r="E64" s="950">
        <f>'File goc huyen'!E88</f>
        <v>9299</v>
      </c>
      <c r="F64" s="950">
        <f>'File goc huyen'!F88</f>
        <v>7024</v>
      </c>
      <c r="G64" s="950">
        <f>'File goc huyen'!G88</f>
        <v>6846</v>
      </c>
      <c r="H64" s="950">
        <f>'File goc huyen'!H88</f>
        <v>8402</v>
      </c>
      <c r="I64" s="950">
        <f>'File goc huyen'!I88</f>
        <v>7800</v>
      </c>
      <c r="J64" s="950">
        <f>'File goc huyen'!J88</f>
        <v>2610</v>
      </c>
      <c r="K64" s="950">
        <f>'File goc huyen'!K88</f>
        <v>5080</v>
      </c>
      <c r="L64" s="950">
        <f>'File goc huyen'!L88</f>
        <v>7882</v>
      </c>
      <c r="M64" s="950">
        <f>'File goc huyen'!M88</f>
        <v>6507</v>
      </c>
      <c r="N64" s="938">
        <f t="shared" si="5"/>
        <v>87923</v>
      </c>
      <c r="O64" s="938">
        <f>ROUND(S64+W64+AA64+AE64+AI64+AM64+AQ64+AU64+AY64+BC64,0)</f>
        <v>87923</v>
      </c>
      <c r="P64" s="938"/>
      <c r="Q64" s="940">
        <f>O64/C64%</f>
        <v>111.05174743915224</v>
      </c>
      <c r="R64" s="938">
        <f>'File goc huyen'!R88</f>
        <v>19961</v>
      </c>
      <c r="S64" s="938">
        <f>'File goc huyen'!S88</f>
        <v>19961</v>
      </c>
      <c r="T64" s="938"/>
      <c r="U64" s="940">
        <f>S64/D64%</f>
        <v>112.6276589742143</v>
      </c>
      <c r="V64" s="938">
        <f t="shared" si="8"/>
        <v>10084</v>
      </c>
      <c r="W64" s="938">
        <f>'File goc huyen'!W88</f>
        <v>10084</v>
      </c>
      <c r="X64" s="938"/>
      <c r="Y64" s="940">
        <f>W64/E64%</f>
        <v>108.4417679320357</v>
      </c>
      <c r="Z64" s="1416">
        <f t="shared" si="9"/>
        <v>7870</v>
      </c>
      <c r="AA64" s="1416">
        <f>'File goc huyen'!AA88</f>
        <v>7870</v>
      </c>
      <c r="AB64" s="1416"/>
      <c r="AC64" s="940">
        <f>AA64/F64%</f>
        <v>112.04441913439636</v>
      </c>
      <c r="AD64" s="938">
        <f t="shared" si="10"/>
        <v>7523</v>
      </c>
      <c r="AE64" s="938">
        <f>'File goc huyen'!AE88</f>
        <v>7523</v>
      </c>
      <c r="AF64" s="938"/>
      <c r="AG64" s="940">
        <f>AE64/G64%</f>
        <v>109.88898626935438</v>
      </c>
      <c r="AH64" s="938">
        <f t="shared" si="11"/>
        <v>9313</v>
      </c>
      <c r="AI64" s="938">
        <f>'File goc huyen'!AI88</f>
        <v>9313</v>
      </c>
      <c r="AJ64" s="938"/>
      <c r="AK64" s="940">
        <f>AI64/H64%</f>
        <v>110.84265651035469</v>
      </c>
      <c r="AL64" s="938">
        <f t="shared" si="12"/>
        <v>8730</v>
      </c>
      <c r="AM64" s="938">
        <f>'File goc huyen'!AM88</f>
        <v>8730</v>
      </c>
      <c r="AN64" s="938"/>
      <c r="AO64" s="940">
        <f>AM64/I64%</f>
        <v>111.92307692307692</v>
      </c>
      <c r="AP64" s="938">
        <f t="shared" si="13"/>
        <v>2842</v>
      </c>
      <c r="AQ64" s="938">
        <f>'File goc huyen'!AQ88</f>
        <v>2842</v>
      </c>
      <c r="AR64" s="938"/>
      <c r="AS64" s="940">
        <f>AQ64/J64%</f>
        <v>108.88888888888889</v>
      </c>
      <c r="AT64" s="938">
        <f t="shared" si="14"/>
        <v>5732</v>
      </c>
      <c r="AU64" s="938">
        <f>'File goc huyen'!AU88</f>
        <v>5732</v>
      </c>
      <c r="AV64" s="938"/>
      <c r="AW64" s="940">
        <f>AU64/K64%</f>
        <v>112.83464566929135</v>
      </c>
      <c r="AX64" s="938">
        <f t="shared" si="15"/>
        <v>8670</v>
      </c>
      <c r="AY64" s="938">
        <f>'File goc huyen'!AY88</f>
        <v>8670</v>
      </c>
      <c r="AZ64" s="938"/>
      <c r="BA64" s="940">
        <f>AY64/L64%</f>
        <v>109.99746257295104</v>
      </c>
      <c r="BB64" s="938">
        <f t="shared" si="16"/>
        <v>7198</v>
      </c>
      <c r="BC64" s="938">
        <f>'File goc huyen'!BC88</f>
        <v>7198</v>
      </c>
      <c r="BD64" s="938"/>
      <c r="BE64" s="940">
        <f>BC64/M64%</f>
        <v>110.61933302597204</v>
      </c>
    </row>
    <row r="65" spans="1:57" ht="29.25" customHeight="1">
      <c r="A65" s="943"/>
      <c r="B65" s="766" t="s">
        <v>2286</v>
      </c>
      <c r="C65" s="945"/>
      <c r="D65" s="956"/>
      <c r="E65" s="956"/>
      <c r="F65" s="956"/>
      <c r="G65" s="956"/>
      <c r="H65" s="956"/>
      <c r="I65" s="956"/>
      <c r="J65" s="956"/>
      <c r="K65" s="956"/>
      <c r="L65" s="956"/>
      <c r="M65" s="956"/>
      <c r="N65" s="946">
        <f t="shared" ref="N65" si="48">O65+P65</f>
        <v>1760</v>
      </c>
      <c r="O65" s="946">
        <f>S65+W65+AA65+AE65+AI65+AM65+AQ65+AU65+AY65+BC65</f>
        <v>1760</v>
      </c>
      <c r="P65" s="946"/>
      <c r="Q65" s="947"/>
      <c r="R65" s="946"/>
      <c r="S65" s="946">
        <f>S67*2%</f>
        <v>1760</v>
      </c>
      <c r="T65" s="946"/>
      <c r="U65" s="947"/>
      <c r="V65" s="946"/>
      <c r="W65" s="946"/>
      <c r="X65" s="946"/>
      <c r="Y65" s="947"/>
      <c r="Z65" s="1418"/>
      <c r="AA65" s="1418"/>
      <c r="AB65" s="1418"/>
      <c r="AC65" s="947"/>
      <c r="AD65" s="946"/>
      <c r="AE65" s="946"/>
      <c r="AF65" s="946"/>
      <c r="AG65" s="947"/>
      <c r="AH65" s="946"/>
      <c r="AI65" s="946"/>
      <c r="AJ65" s="946"/>
      <c r="AK65" s="947"/>
      <c r="AL65" s="946"/>
      <c r="AM65" s="946"/>
      <c r="AN65" s="946"/>
      <c r="AO65" s="947"/>
      <c r="AP65" s="946"/>
      <c r="AQ65" s="946"/>
      <c r="AR65" s="946"/>
      <c r="AS65" s="947"/>
      <c r="AT65" s="946"/>
      <c r="AU65" s="946"/>
      <c r="AV65" s="946"/>
      <c r="AW65" s="947"/>
      <c r="AX65" s="946"/>
      <c r="AY65" s="946"/>
      <c r="AZ65" s="946"/>
      <c r="BA65" s="947"/>
      <c r="BB65" s="946"/>
      <c r="BC65" s="946"/>
      <c r="BD65" s="946"/>
      <c r="BE65" s="947"/>
    </row>
    <row r="66" spans="1:57" s="989" customFormat="1" ht="24" customHeight="1">
      <c r="A66" s="985"/>
      <c r="B66" s="986" t="s">
        <v>61</v>
      </c>
      <c r="C66" s="942">
        <f t="shared" si="4"/>
        <v>0</v>
      </c>
      <c r="D66" s="945"/>
      <c r="E66" s="945"/>
      <c r="F66" s="945"/>
      <c r="G66" s="945"/>
      <c r="H66" s="945"/>
      <c r="I66" s="945"/>
      <c r="J66" s="945"/>
      <c r="K66" s="945"/>
      <c r="L66" s="945"/>
      <c r="M66" s="945"/>
      <c r="N66" s="987">
        <f>N64/(N26)*100</f>
        <v>2.0000013648315216</v>
      </c>
      <c r="O66" s="987"/>
      <c r="P66" s="987"/>
      <c r="Q66" s="987"/>
      <c r="R66" s="987">
        <f>R64/(R26)*100</f>
        <v>2.0000240471805686</v>
      </c>
      <c r="S66" s="988"/>
      <c r="T66" s="987"/>
      <c r="U66" s="987"/>
      <c r="V66" s="987">
        <f>V64/(V26)*100</f>
        <v>2.0000476012915818</v>
      </c>
      <c r="W66" s="987"/>
      <c r="X66" s="987"/>
      <c r="Y66" s="987"/>
      <c r="Z66" s="1423">
        <f>Z64/(Z26)*100</f>
        <v>1.9999034354122671</v>
      </c>
      <c r="AA66" s="1423"/>
      <c r="AB66" s="1423"/>
      <c r="AC66" s="987"/>
      <c r="AD66" s="987">
        <f>AD64/(AD26)*100</f>
        <v>1.9999255643814933</v>
      </c>
      <c r="AE66" s="987"/>
      <c r="AF66" s="987"/>
      <c r="AG66" s="987"/>
      <c r="AH66" s="987">
        <f>AH64/(AH26)*100</f>
        <v>2.0000171804332045</v>
      </c>
      <c r="AI66" s="987"/>
      <c r="AJ66" s="987"/>
      <c r="AK66" s="987"/>
      <c r="AL66" s="987">
        <f>AL64/(AL26)*100</f>
        <v>2</v>
      </c>
      <c r="AM66" s="987"/>
      <c r="AN66" s="987"/>
      <c r="AO66" s="987"/>
      <c r="AP66" s="987">
        <f>AP64/AP9*100</f>
        <v>1.9997793346941029</v>
      </c>
      <c r="AQ66" s="987"/>
      <c r="AR66" s="987"/>
      <c r="AS66" s="987"/>
      <c r="AT66" s="987">
        <f>AT64/(AT26)*100</f>
        <v>2.000090722886942</v>
      </c>
      <c r="AU66" s="987"/>
      <c r="AV66" s="987"/>
      <c r="AW66" s="987"/>
      <c r="AX66" s="987">
        <f>AX64/(AX26)*100</f>
        <v>2.0000138409262345</v>
      </c>
      <c r="AY66" s="987"/>
      <c r="AZ66" s="987"/>
      <c r="BA66" s="987"/>
      <c r="BB66" s="987">
        <f>BB64/(BB26)*100</f>
        <v>2.0000444577817791</v>
      </c>
      <c r="BC66" s="987"/>
      <c r="BD66" s="987"/>
      <c r="BE66" s="987"/>
    </row>
    <row r="67" spans="1:57" s="937" customFormat="1" ht="60.75" customHeight="1">
      <c r="A67" s="941" t="s">
        <v>73</v>
      </c>
      <c r="B67" s="949" t="s">
        <v>1686</v>
      </c>
      <c r="C67" s="942">
        <f t="shared" si="4"/>
        <v>48946</v>
      </c>
      <c r="D67" s="950">
        <f>'File goc huyen'!D90</f>
        <v>48946</v>
      </c>
      <c r="E67" s="950"/>
      <c r="F67" s="950"/>
      <c r="G67" s="950"/>
      <c r="H67" s="950"/>
      <c r="I67" s="950"/>
      <c r="J67" s="950"/>
      <c r="K67" s="950"/>
      <c r="L67" s="950"/>
      <c r="M67" s="950"/>
      <c r="N67" s="938">
        <f t="shared" si="5"/>
        <v>88000</v>
      </c>
      <c r="O67" s="938">
        <f>S67</f>
        <v>88000</v>
      </c>
      <c r="P67" s="938"/>
      <c r="Q67" s="990"/>
      <c r="R67" s="938">
        <f t="shared" si="7"/>
        <v>88000</v>
      </c>
      <c r="S67" s="950">
        <f>'File goc huyen'!S90</f>
        <v>88000</v>
      </c>
      <c r="T67" s="950"/>
      <c r="U67" s="940">
        <f>S67/D67%</f>
        <v>179.78997262289053</v>
      </c>
      <c r="V67" s="938">
        <f t="shared" si="8"/>
        <v>0</v>
      </c>
      <c r="W67" s="950"/>
      <c r="X67" s="950"/>
      <c r="Y67" s="990"/>
      <c r="Z67" s="1416">
        <f t="shared" si="9"/>
        <v>0</v>
      </c>
      <c r="AA67" s="1424"/>
      <c r="AB67" s="1424"/>
      <c r="AC67" s="990"/>
      <c r="AD67" s="938">
        <f t="shared" si="10"/>
        <v>0</v>
      </c>
      <c r="AE67" s="950"/>
      <c r="AF67" s="950"/>
      <c r="AG67" s="990"/>
      <c r="AH67" s="938">
        <f t="shared" si="11"/>
        <v>0</v>
      </c>
      <c r="AI67" s="950"/>
      <c r="AJ67" s="950"/>
      <c r="AK67" s="990"/>
      <c r="AL67" s="938">
        <f t="shared" si="12"/>
        <v>0</v>
      </c>
      <c r="AM67" s="950"/>
      <c r="AN67" s="950"/>
      <c r="AO67" s="990"/>
      <c r="AP67" s="938">
        <f t="shared" si="13"/>
        <v>0</v>
      </c>
      <c r="AQ67" s="950"/>
      <c r="AR67" s="950"/>
      <c r="AS67" s="990"/>
      <c r="AT67" s="938">
        <f t="shared" si="14"/>
        <v>0</v>
      </c>
      <c r="AU67" s="950"/>
      <c r="AV67" s="950"/>
      <c r="AW67" s="990"/>
      <c r="AX67" s="938">
        <f t="shared" si="15"/>
        <v>0</v>
      </c>
      <c r="AY67" s="950"/>
      <c r="AZ67" s="950"/>
      <c r="BA67" s="990"/>
      <c r="BB67" s="938">
        <f t="shared" si="16"/>
        <v>0</v>
      </c>
      <c r="BC67" s="950"/>
      <c r="BD67" s="950"/>
      <c r="BE67" s="990"/>
    </row>
    <row r="68" spans="1:57" s="996" customFormat="1" ht="19.5" customHeight="1">
      <c r="A68" s="991">
        <v>5</v>
      </c>
      <c r="B68" s="992" t="s">
        <v>1559</v>
      </c>
      <c r="C68" s="942">
        <f t="shared" si="4"/>
        <v>0</v>
      </c>
      <c r="D68" s="993"/>
      <c r="E68" s="993"/>
      <c r="F68" s="993"/>
      <c r="G68" s="993"/>
      <c r="H68" s="993"/>
      <c r="I68" s="993"/>
      <c r="J68" s="993"/>
      <c r="K68" s="993"/>
      <c r="L68" s="993"/>
      <c r="M68" s="993"/>
      <c r="N68" s="938">
        <f t="shared" si="5"/>
        <v>0</v>
      </c>
      <c r="O68" s="938">
        <f>S68+W68+AA68+AE68+AI68+AM68+AQ68+AU68+AY68+BC68</f>
        <v>2870</v>
      </c>
      <c r="P68" s="938">
        <f>T68+X68+AB68+AF68+AJ68+AN68+AR68+AV68+AZ68+BD68</f>
        <v>-2870</v>
      </c>
      <c r="Q68" s="994"/>
      <c r="R68" s="938">
        <f t="shared" si="7"/>
        <v>0</v>
      </c>
      <c r="S68" s="995">
        <f>'File goc huyen'!S92</f>
        <v>-4754</v>
      </c>
      <c r="T68" s="995">
        <f>-S68</f>
        <v>4754</v>
      </c>
      <c r="U68" s="994"/>
      <c r="V68" s="938">
        <f t="shared" si="8"/>
        <v>0</v>
      </c>
      <c r="W68" s="995">
        <f>'File goc huyen'!W92</f>
        <v>-7905</v>
      </c>
      <c r="X68" s="995">
        <f>-W68</f>
        <v>7905</v>
      </c>
      <c r="Y68" s="994"/>
      <c r="Z68" s="1416">
        <f t="shared" si="9"/>
        <v>0</v>
      </c>
      <c r="AA68" s="1425">
        <f>'File goc huyen'!AA92</f>
        <v>1321</v>
      </c>
      <c r="AB68" s="1425">
        <f>-AA68</f>
        <v>-1321</v>
      </c>
      <c r="AC68" s="994"/>
      <c r="AD68" s="938">
        <f t="shared" si="10"/>
        <v>0</v>
      </c>
      <c r="AE68" s="995">
        <f>'File goc huyen'!AE92</f>
        <v>-2836</v>
      </c>
      <c r="AF68" s="995">
        <f>-AE68</f>
        <v>2836</v>
      </c>
      <c r="AG68" s="994"/>
      <c r="AH68" s="938">
        <f t="shared" si="11"/>
        <v>0</v>
      </c>
      <c r="AI68" s="995">
        <f>'File goc huyen'!AI92</f>
        <v>852</v>
      </c>
      <c r="AJ68" s="995">
        <f>-AI68</f>
        <v>-852</v>
      </c>
      <c r="AK68" s="994"/>
      <c r="AL68" s="938">
        <f t="shared" si="12"/>
        <v>0</v>
      </c>
      <c r="AM68" s="995">
        <f>'File goc huyen'!AM92</f>
        <v>-2491</v>
      </c>
      <c r="AN68" s="995">
        <f>-AM68</f>
        <v>2491</v>
      </c>
      <c r="AO68" s="994"/>
      <c r="AP68" s="938">
        <f t="shared" si="13"/>
        <v>0</v>
      </c>
      <c r="AQ68" s="995">
        <f>'File goc huyen'!AQ92</f>
        <v>5002</v>
      </c>
      <c r="AR68" s="995">
        <f>-AQ68</f>
        <v>-5002</v>
      </c>
      <c r="AS68" s="994"/>
      <c r="AT68" s="938">
        <f t="shared" si="14"/>
        <v>0</v>
      </c>
      <c r="AU68" s="995">
        <f>'File goc huyen'!AU92</f>
        <v>3625</v>
      </c>
      <c r="AV68" s="995">
        <f>-AU68</f>
        <v>-3625</v>
      </c>
      <c r="AW68" s="994"/>
      <c r="AX68" s="938">
        <f t="shared" si="15"/>
        <v>0</v>
      </c>
      <c r="AY68" s="995">
        <f>'File goc huyen'!AY92</f>
        <v>9837</v>
      </c>
      <c r="AZ68" s="995">
        <f>-AY68</f>
        <v>-9837</v>
      </c>
      <c r="BA68" s="994"/>
      <c r="BB68" s="938">
        <f t="shared" si="16"/>
        <v>0</v>
      </c>
      <c r="BC68" s="995">
        <f>'File goc huyen'!BC92</f>
        <v>219</v>
      </c>
      <c r="BD68" s="995">
        <f>-BC68</f>
        <v>-219</v>
      </c>
      <c r="BE68" s="994"/>
    </row>
    <row r="69" spans="1:57" s="1002" customFormat="1" ht="19.5" customHeight="1">
      <c r="A69" s="997"/>
      <c r="B69" s="998" t="s">
        <v>1916</v>
      </c>
      <c r="C69" s="942">
        <f t="shared" si="4"/>
        <v>0</v>
      </c>
      <c r="D69" s="999"/>
      <c r="E69" s="999"/>
      <c r="F69" s="999"/>
      <c r="G69" s="999"/>
      <c r="H69" s="999"/>
      <c r="I69" s="999"/>
      <c r="J69" s="999"/>
      <c r="K69" s="999"/>
      <c r="L69" s="999"/>
      <c r="M69" s="999"/>
      <c r="N69" s="946">
        <f t="shared" si="5"/>
        <v>0</v>
      </c>
      <c r="O69" s="946">
        <f>S69+W69+AA69+AE69+AI69+AM69+AQ69+AU69+AY69+BC69</f>
        <v>2870</v>
      </c>
      <c r="P69" s="946">
        <f>T69+X69+AB69+AF69+AJ69+AN69+AR69+AV69+AZ69+BD69</f>
        <v>-2870</v>
      </c>
      <c r="Q69" s="1000"/>
      <c r="R69" s="946">
        <f t="shared" si="7"/>
        <v>0</v>
      </c>
      <c r="S69" s="1001">
        <f>'File goc huyen'!S93</f>
        <v>-4754</v>
      </c>
      <c r="T69" s="1001">
        <f>-S69</f>
        <v>4754</v>
      </c>
      <c r="U69" s="1000"/>
      <c r="V69" s="946">
        <f t="shared" si="8"/>
        <v>0</v>
      </c>
      <c r="W69" s="1001">
        <f>'File goc huyen'!W93</f>
        <v>-7905</v>
      </c>
      <c r="X69" s="1001">
        <f>-W69</f>
        <v>7905</v>
      </c>
      <c r="Y69" s="1000"/>
      <c r="Z69" s="1418">
        <f t="shared" si="9"/>
        <v>0</v>
      </c>
      <c r="AA69" s="1426">
        <f>'File goc huyen'!AA93</f>
        <v>1321</v>
      </c>
      <c r="AB69" s="1426">
        <f>-AA69</f>
        <v>-1321</v>
      </c>
      <c r="AC69" s="1000"/>
      <c r="AD69" s="946">
        <f t="shared" si="10"/>
        <v>0</v>
      </c>
      <c r="AE69" s="1001">
        <f>'File goc huyen'!AE93</f>
        <v>-2836</v>
      </c>
      <c r="AF69" s="1001">
        <f>-AE69</f>
        <v>2836</v>
      </c>
      <c r="AG69" s="1000"/>
      <c r="AH69" s="946">
        <f t="shared" si="11"/>
        <v>0</v>
      </c>
      <c r="AI69" s="1001">
        <f>'File goc huyen'!AI93</f>
        <v>852</v>
      </c>
      <c r="AJ69" s="1001">
        <f>-AI69</f>
        <v>-852</v>
      </c>
      <c r="AK69" s="1000"/>
      <c r="AL69" s="946">
        <f t="shared" si="12"/>
        <v>0</v>
      </c>
      <c r="AM69" s="1001">
        <f>'File goc huyen'!AM93</f>
        <v>-2491</v>
      </c>
      <c r="AN69" s="1001">
        <f>-AM69</f>
        <v>2491</v>
      </c>
      <c r="AO69" s="1000"/>
      <c r="AP69" s="946">
        <f t="shared" si="13"/>
        <v>0</v>
      </c>
      <c r="AQ69" s="1001">
        <f>'File goc huyen'!AQ93</f>
        <v>5002</v>
      </c>
      <c r="AR69" s="1001">
        <f>-AQ69</f>
        <v>-5002</v>
      </c>
      <c r="AS69" s="1000"/>
      <c r="AT69" s="946">
        <f t="shared" si="14"/>
        <v>0</v>
      </c>
      <c r="AU69" s="1001">
        <f>'File goc huyen'!AU93</f>
        <v>3625</v>
      </c>
      <c r="AV69" s="1001">
        <f>-AU69</f>
        <v>-3625</v>
      </c>
      <c r="AW69" s="1000"/>
      <c r="AX69" s="946">
        <f t="shared" si="15"/>
        <v>0</v>
      </c>
      <c r="AY69" s="1001">
        <f>'File goc huyen'!AY93</f>
        <v>9837</v>
      </c>
      <c r="AZ69" s="1001">
        <f>-AY69</f>
        <v>-9837</v>
      </c>
      <c r="BA69" s="1000"/>
      <c r="BB69" s="946">
        <f t="shared" si="16"/>
        <v>0</v>
      </c>
      <c r="BC69" s="1001">
        <f>'File goc huyen'!BC93</f>
        <v>219</v>
      </c>
      <c r="BD69" s="1001">
        <f>-BC69</f>
        <v>-219</v>
      </c>
      <c r="BE69" s="1000"/>
    </row>
    <row r="70" spans="1:57" s="1002" customFormat="1">
      <c r="A70" s="997"/>
      <c r="B70" s="998" t="s">
        <v>338</v>
      </c>
      <c r="C70" s="942">
        <f t="shared" si="4"/>
        <v>0</v>
      </c>
      <c r="D70" s="999"/>
      <c r="E70" s="999"/>
      <c r="F70" s="999"/>
      <c r="G70" s="999"/>
      <c r="H70" s="999"/>
      <c r="I70" s="999"/>
      <c r="J70" s="999"/>
      <c r="K70" s="999"/>
      <c r="L70" s="999"/>
      <c r="M70" s="999"/>
      <c r="N70" s="1003"/>
      <c r="O70" s="1003"/>
      <c r="P70" s="1003"/>
      <c r="Q70" s="1000"/>
      <c r="R70" s="1003"/>
      <c r="S70" s="1001"/>
      <c r="T70" s="1001"/>
      <c r="U70" s="1000"/>
      <c r="V70" s="1003"/>
      <c r="W70" s="1001"/>
      <c r="X70" s="1001"/>
      <c r="Y70" s="1000"/>
      <c r="Z70" s="1427"/>
      <c r="AA70" s="1426"/>
      <c r="AB70" s="1426"/>
      <c r="AC70" s="1000"/>
      <c r="AD70" s="1003"/>
      <c r="AE70" s="1001"/>
      <c r="AF70" s="1001"/>
      <c r="AG70" s="1000"/>
      <c r="AH70" s="1003"/>
      <c r="AI70" s="1001"/>
      <c r="AJ70" s="1001"/>
      <c r="AK70" s="1000"/>
      <c r="AL70" s="1003"/>
      <c r="AM70" s="1001"/>
      <c r="AN70" s="1001"/>
      <c r="AO70" s="1000"/>
      <c r="AP70" s="1003"/>
      <c r="AQ70" s="1001"/>
      <c r="AR70" s="1001"/>
      <c r="AS70" s="1000"/>
      <c r="AT70" s="1003"/>
      <c r="AU70" s="1001"/>
      <c r="AV70" s="1001"/>
      <c r="AW70" s="1000"/>
      <c r="AX70" s="1003"/>
      <c r="AY70" s="1001"/>
      <c r="AZ70" s="1001"/>
      <c r="BA70" s="1000"/>
      <c r="BB70" s="1003"/>
      <c r="BC70" s="1001"/>
      <c r="BD70" s="1001"/>
      <c r="BE70" s="1000"/>
    </row>
    <row r="71" spans="1:57" s="1002" customFormat="1" ht="30" customHeight="1">
      <c r="A71" s="997"/>
      <c r="B71" s="998" t="s">
        <v>1931</v>
      </c>
      <c r="C71" s="942">
        <f t="shared" si="4"/>
        <v>0</v>
      </c>
      <c r="D71" s="999"/>
      <c r="E71" s="999"/>
      <c r="F71" s="999"/>
      <c r="G71" s="999"/>
      <c r="H71" s="999"/>
      <c r="I71" s="999"/>
      <c r="J71" s="999"/>
      <c r="K71" s="999"/>
      <c r="L71" s="999"/>
      <c r="M71" s="999"/>
      <c r="N71" s="946">
        <f t="shared" ref="N71:N74" si="49">O71+P71</f>
        <v>20856</v>
      </c>
      <c r="O71" s="946">
        <f>S71+W71+AA71+AE71+AI71+AM71+AQ71+AU71+AY71+BC71</f>
        <v>20856</v>
      </c>
      <c r="P71" s="946">
        <f>T71+X71+AB71+AF71+AJ71+AN71+AR71+AV71+AZ71+BD71</f>
        <v>0</v>
      </c>
      <c r="Q71" s="1000"/>
      <c r="R71" s="1003"/>
      <c r="S71" s="1001">
        <f>IF(S68&gt;0,S68,0)</f>
        <v>0</v>
      </c>
      <c r="T71" s="1001"/>
      <c r="U71" s="1000"/>
      <c r="V71" s="1003"/>
      <c r="W71" s="1001">
        <f>IF(W68&gt;0,W68,0)</f>
        <v>0</v>
      </c>
      <c r="X71" s="1001"/>
      <c r="Y71" s="1000"/>
      <c r="Z71" s="1427"/>
      <c r="AA71" s="1426">
        <f>IF(AA68&gt;0,AA68,0)</f>
        <v>1321</v>
      </c>
      <c r="AB71" s="1426"/>
      <c r="AC71" s="1000"/>
      <c r="AD71" s="1003"/>
      <c r="AE71" s="1001">
        <f>IF(AE68&gt;0,AE68,0)</f>
        <v>0</v>
      </c>
      <c r="AF71" s="1001"/>
      <c r="AG71" s="1000"/>
      <c r="AH71" s="1003"/>
      <c r="AI71" s="1001">
        <f>IF(AI68&gt;0,AI68,0)</f>
        <v>852</v>
      </c>
      <c r="AJ71" s="1001"/>
      <c r="AK71" s="1000"/>
      <c r="AL71" s="1003"/>
      <c r="AM71" s="1001">
        <f>IF(AM68&gt;0,AM68,0)</f>
        <v>0</v>
      </c>
      <c r="AN71" s="1001"/>
      <c r="AO71" s="1000"/>
      <c r="AP71" s="1003"/>
      <c r="AQ71" s="1001">
        <f>IF(AQ68&gt;0,AQ68,0)</f>
        <v>5002</v>
      </c>
      <c r="AR71" s="1001"/>
      <c r="AS71" s="1000"/>
      <c r="AT71" s="1003"/>
      <c r="AU71" s="1001">
        <f>IF(AU68&gt;0,AU68,0)</f>
        <v>3625</v>
      </c>
      <c r="AV71" s="1001"/>
      <c r="AW71" s="1000"/>
      <c r="AX71" s="1003"/>
      <c r="AY71" s="1001">
        <f>IF(AY68&gt;0,AY68,0)</f>
        <v>9837</v>
      </c>
      <c r="AZ71" s="1001"/>
      <c r="BA71" s="1000"/>
      <c r="BB71" s="1003"/>
      <c r="BC71" s="1001">
        <f>IF(BC68&gt;0,BC68,0)</f>
        <v>219</v>
      </c>
      <c r="BD71" s="1001"/>
      <c r="BE71" s="1000"/>
    </row>
    <row r="72" spans="1:57" s="1002" customFormat="1">
      <c r="A72" s="997"/>
      <c r="B72" s="998" t="s">
        <v>1933</v>
      </c>
      <c r="C72" s="942">
        <f t="shared" si="4"/>
        <v>0</v>
      </c>
      <c r="D72" s="999"/>
      <c r="E72" s="999"/>
      <c r="F72" s="999"/>
      <c r="G72" s="999"/>
      <c r="H72" s="999"/>
      <c r="I72" s="999"/>
      <c r="J72" s="999"/>
      <c r="K72" s="999"/>
      <c r="L72" s="999"/>
      <c r="M72" s="999"/>
      <c r="N72" s="946">
        <f t="shared" ref="N72:N73" si="50">O72+P72</f>
        <v>10891.149138055369</v>
      </c>
      <c r="O72" s="946">
        <f>S72+W72+AA72+AE72+AI72+AM72+AQ72+AU72+AY72+BC72</f>
        <v>10891.149138055369</v>
      </c>
      <c r="P72" s="946"/>
      <c r="Q72" s="1000"/>
      <c r="R72" s="1003"/>
      <c r="S72" s="1001"/>
      <c r="T72" s="1001"/>
      <c r="U72" s="1000"/>
      <c r="V72" s="1003"/>
      <c r="W72" s="1001"/>
      <c r="X72" s="1001"/>
      <c r="Y72" s="1000"/>
      <c r="Z72" s="1427"/>
      <c r="AA72" s="1426">
        <f>AA37/AA35*AA71</f>
        <v>839.6295052167618</v>
      </c>
      <c r="AB72" s="1426"/>
      <c r="AC72" s="1000"/>
      <c r="AD72" s="1003"/>
      <c r="AE72" s="1001"/>
      <c r="AF72" s="1001"/>
      <c r="AG72" s="1000"/>
      <c r="AH72" s="1003"/>
      <c r="AI72" s="1001">
        <f>AI37/AI35*AI71</f>
        <v>489.80559773944617</v>
      </c>
      <c r="AJ72" s="1001"/>
      <c r="AK72" s="1000"/>
      <c r="AL72" s="1003"/>
      <c r="AM72" s="1001"/>
      <c r="AN72" s="1001"/>
      <c r="AO72" s="1000"/>
      <c r="AP72" s="1003"/>
      <c r="AQ72" s="1001">
        <f>AQ37/AQ35*AQ71</f>
        <v>2006.4550871407496</v>
      </c>
      <c r="AR72" s="1001"/>
      <c r="AS72" s="1000"/>
      <c r="AT72" s="1003"/>
      <c r="AU72" s="1001">
        <f>AU37/AU35*AU71</f>
        <v>2099.7811426701105</v>
      </c>
      <c r="AV72" s="1001"/>
      <c r="AW72" s="1000"/>
      <c r="AX72" s="1003"/>
      <c r="AY72" s="1001">
        <f>AY37/AY35*AY71</f>
        <v>5323.299676767715</v>
      </c>
      <c r="AZ72" s="1001"/>
      <c r="BA72" s="1000"/>
      <c r="BB72" s="1003"/>
      <c r="BC72" s="1001">
        <f>BC37/BC35*BC71</f>
        <v>132.1781285205858</v>
      </c>
      <c r="BD72" s="1001"/>
      <c r="BE72" s="1000"/>
    </row>
    <row r="73" spans="1:57" s="1002" customFormat="1">
      <c r="A73" s="997"/>
      <c r="B73" s="998" t="s">
        <v>1934</v>
      </c>
      <c r="C73" s="942">
        <f t="shared" si="4"/>
        <v>0</v>
      </c>
      <c r="D73" s="999"/>
      <c r="E73" s="999"/>
      <c r="F73" s="999"/>
      <c r="G73" s="999"/>
      <c r="H73" s="999"/>
      <c r="I73" s="999"/>
      <c r="J73" s="999"/>
      <c r="K73" s="999"/>
      <c r="L73" s="999"/>
      <c r="M73" s="999"/>
      <c r="N73" s="946">
        <f t="shared" si="50"/>
        <v>9964.8508619446311</v>
      </c>
      <c r="O73" s="946">
        <f>S73+W73+AA73+AE73+AI73+AM73+AQ73+AU73+AY73+BC73</f>
        <v>9964.8508619446311</v>
      </c>
      <c r="P73" s="946"/>
      <c r="Q73" s="1000"/>
      <c r="R73" s="1003"/>
      <c r="S73" s="1001"/>
      <c r="T73" s="1001"/>
      <c r="U73" s="1000"/>
      <c r="V73" s="1003"/>
      <c r="W73" s="1001"/>
      <c r="X73" s="1001"/>
      <c r="Y73" s="1000"/>
      <c r="Z73" s="1427"/>
      <c r="AA73" s="1426">
        <f>AA71-AA72</f>
        <v>481.3704947832382</v>
      </c>
      <c r="AB73" s="1426"/>
      <c r="AC73" s="1000"/>
      <c r="AD73" s="1003"/>
      <c r="AE73" s="1001"/>
      <c r="AF73" s="1001"/>
      <c r="AG73" s="1000"/>
      <c r="AH73" s="1003"/>
      <c r="AI73" s="1001">
        <f>AI71-AI72</f>
        <v>362.19440226055383</v>
      </c>
      <c r="AJ73" s="1001"/>
      <c r="AK73" s="1000"/>
      <c r="AL73" s="1003"/>
      <c r="AM73" s="1001"/>
      <c r="AN73" s="1001"/>
      <c r="AO73" s="1000"/>
      <c r="AP73" s="1003"/>
      <c r="AQ73" s="1001">
        <f>AQ71-AQ72</f>
        <v>2995.5449128592504</v>
      </c>
      <c r="AR73" s="1001"/>
      <c r="AS73" s="1000"/>
      <c r="AT73" s="1003"/>
      <c r="AU73" s="1001">
        <f>AU71-AU72</f>
        <v>1525.2188573298895</v>
      </c>
      <c r="AV73" s="1001"/>
      <c r="AW73" s="1000"/>
      <c r="AX73" s="1003"/>
      <c r="AY73" s="1001">
        <f>AY71-AY72</f>
        <v>4513.700323232285</v>
      </c>
      <c r="AZ73" s="1001"/>
      <c r="BA73" s="1000"/>
      <c r="BB73" s="1003"/>
      <c r="BC73" s="1001">
        <f>BC71-BC72</f>
        <v>86.821871479414199</v>
      </c>
      <c r="BD73" s="1001"/>
      <c r="BE73" s="1000"/>
    </row>
    <row r="74" spans="1:57" s="1002" customFormat="1" ht="36.75" customHeight="1">
      <c r="A74" s="997"/>
      <c r="B74" s="998" t="s">
        <v>2272</v>
      </c>
      <c r="C74" s="942">
        <f t="shared" si="4"/>
        <v>0</v>
      </c>
      <c r="D74" s="999"/>
      <c r="E74" s="999"/>
      <c r="F74" s="999"/>
      <c r="G74" s="999"/>
      <c r="H74" s="999"/>
      <c r="I74" s="999"/>
      <c r="J74" s="999"/>
      <c r="K74" s="999"/>
      <c r="L74" s="999"/>
      <c r="M74" s="999"/>
      <c r="N74" s="946">
        <f t="shared" si="49"/>
        <v>-17986</v>
      </c>
      <c r="O74" s="946">
        <f>S74+W74+AA74+AE74+AI74+AM74+AQ74+AU74+AY74+BC74</f>
        <v>-17986</v>
      </c>
      <c r="P74" s="946">
        <f>T74+X74+AB74+AF74+AJ74+AN74+AR74+AV74+AZ74+BD74</f>
        <v>0</v>
      </c>
      <c r="Q74" s="1000"/>
      <c r="R74" s="1003"/>
      <c r="S74" s="1001">
        <f>IF(S68&lt;0,S68,0)</f>
        <v>-4754</v>
      </c>
      <c r="T74" s="1001"/>
      <c r="U74" s="1000"/>
      <c r="V74" s="1003"/>
      <c r="W74" s="1001">
        <f>IF(W68&lt;0,W68,0)</f>
        <v>-7905</v>
      </c>
      <c r="X74" s="1001"/>
      <c r="Y74" s="1000"/>
      <c r="Z74" s="1427"/>
      <c r="AA74" s="1426">
        <f>IF(AA68&lt;0,AA68,0)</f>
        <v>0</v>
      </c>
      <c r="AB74" s="1426"/>
      <c r="AC74" s="1000"/>
      <c r="AD74" s="1003"/>
      <c r="AE74" s="1001">
        <f>IF(AE68&lt;0,AE68,0)</f>
        <v>-2836</v>
      </c>
      <c r="AF74" s="1001"/>
      <c r="AG74" s="1000"/>
      <c r="AH74" s="1003"/>
      <c r="AI74" s="1001">
        <f>IF(AI68&lt;0,AI68,0)</f>
        <v>0</v>
      </c>
      <c r="AJ74" s="1001"/>
      <c r="AK74" s="1000"/>
      <c r="AL74" s="1003"/>
      <c r="AM74" s="1001">
        <f>IF(AM68&lt;0,AM68,0)</f>
        <v>-2491</v>
      </c>
      <c r="AN74" s="1001"/>
      <c r="AO74" s="1000"/>
      <c r="AP74" s="1003"/>
      <c r="AQ74" s="1001">
        <f>IF(AQ68&lt;0,AQ68,0)</f>
        <v>0</v>
      </c>
      <c r="AR74" s="1001"/>
      <c r="AS74" s="1000"/>
      <c r="AT74" s="1003"/>
      <c r="AU74" s="1001">
        <f>IF(AU68&lt;0,AU68,0)</f>
        <v>0</v>
      </c>
      <c r="AV74" s="1001"/>
      <c r="AW74" s="1000"/>
      <c r="AX74" s="1003"/>
      <c r="AY74" s="1001">
        <f>IF(AY68&lt;0,AY68,0)</f>
        <v>0</v>
      </c>
      <c r="AZ74" s="1001"/>
      <c r="BA74" s="1000"/>
      <c r="BB74" s="1003"/>
      <c r="BC74" s="1001">
        <f>IF(BC68&lt;0,BC68,0)</f>
        <v>0</v>
      </c>
      <c r="BD74" s="1001"/>
      <c r="BE74" s="1000"/>
    </row>
    <row r="75" spans="1:57" s="1002" customFormat="1">
      <c r="A75" s="997"/>
      <c r="B75" s="998" t="s">
        <v>1933</v>
      </c>
      <c r="C75" s="942">
        <f t="shared" si="4"/>
        <v>0</v>
      </c>
      <c r="D75" s="999"/>
      <c r="E75" s="999"/>
      <c r="F75" s="999"/>
      <c r="G75" s="999"/>
      <c r="H75" s="999"/>
      <c r="I75" s="999"/>
      <c r="J75" s="999"/>
      <c r="K75" s="999"/>
      <c r="L75" s="999"/>
      <c r="M75" s="999"/>
      <c r="N75" s="946">
        <f t="shared" ref="N75:N76" si="51">O75+P75</f>
        <v>-10685</v>
      </c>
      <c r="O75" s="946">
        <f>S75+W75+AA75+AE75+AI75+AM75+AQ75+AU75+AY75+BC75</f>
        <v>-10685</v>
      </c>
      <c r="P75" s="946"/>
      <c r="Q75" s="1000"/>
      <c r="R75" s="1003"/>
      <c r="S75" s="1001">
        <f>ROUND(S37/S35*S74,0)</f>
        <v>-2707</v>
      </c>
      <c r="T75" s="1001"/>
      <c r="U75" s="1000"/>
      <c r="V75" s="1003"/>
      <c r="W75" s="1001">
        <f>ROUND(W37/W35*W74,0)</f>
        <v>-4944</v>
      </c>
      <c r="X75" s="1001"/>
      <c r="Y75" s="1000"/>
      <c r="Z75" s="1427"/>
      <c r="AA75" s="1426"/>
      <c r="AB75" s="1426"/>
      <c r="AC75" s="1000"/>
      <c r="AD75" s="1003"/>
      <c r="AE75" s="1001">
        <f>ROUND(AE37/AE35*AE74,0)</f>
        <v>-1540</v>
      </c>
      <c r="AF75" s="1001"/>
      <c r="AG75" s="1000"/>
      <c r="AH75" s="1003"/>
      <c r="AI75" s="1001"/>
      <c r="AJ75" s="1001"/>
      <c r="AK75" s="1000"/>
      <c r="AL75" s="1003"/>
      <c r="AM75" s="1001">
        <f>ROUND(AM37/AM35*AM74,0)</f>
        <v>-1494</v>
      </c>
      <c r="AN75" s="1001"/>
      <c r="AO75" s="1000"/>
      <c r="AP75" s="1003"/>
      <c r="AQ75" s="1001"/>
      <c r="AR75" s="1001"/>
      <c r="AS75" s="1000"/>
      <c r="AT75" s="1003"/>
      <c r="AU75" s="1001"/>
      <c r="AV75" s="1001"/>
      <c r="AW75" s="1000"/>
      <c r="AX75" s="1003"/>
      <c r="AY75" s="1001"/>
      <c r="AZ75" s="1001"/>
      <c r="BA75" s="1000"/>
      <c r="BB75" s="1003"/>
      <c r="BC75" s="1001"/>
      <c r="BD75" s="1001"/>
      <c r="BE75" s="1000"/>
    </row>
    <row r="76" spans="1:57" s="1002" customFormat="1">
      <c r="A76" s="997"/>
      <c r="B76" s="998" t="s">
        <v>1934</v>
      </c>
      <c r="C76" s="942">
        <f t="shared" si="4"/>
        <v>0</v>
      </c>
      <c r="D76" s="999"/>
      <c r="E76" s="999"/>
      <c r="F76" s="999"/>
      <c r="G76" s="999"/>
      <c r="H76" s="999"/>
      <c r="I76" s="999"/>
      <c r="J76" s="999"/>
      <c r="K76" s="999"/>
      <c r="L76" s="999"/>
      <c r="M76" s="999"/>
      <c r="N76" s="946">
        <f t="shared" si="51"/>
        <v>-7301</v>
      </c>
      <c r="O76" s="946">
        <f>S76+W76+AA76+AE76+AI76+AM76+AQ76+AU76+AY76+BC76</f>
        <v>-7301</v>
      </c>
      <c r="P76" s="946"/>
      <c r="Q76" s="1000"/>
      <c r="R76" s="1003"/>
      <c r="S76" s="1001">
        <f>S74-S75</f>
        <v>-2047</v>
      </c>
      <c r="T76" s="1001"/>
      <c r="U76" s="1000"/>
      <c r="V76" s="1003"/>
      <c r="W76" s="1001">
        <f>W74-W75</f>
        <v>-2961</v>
      </c>
      <c r="X76" s="1001"/>
      <c r="Y76" s="1000"/>
      <c r="Z76" s="1427"/>
      <c r="AA76" s="1426"/>
      <c r="AB76" s="1426"/>
      <c r="AC76" s="1000"/>
      <c r="AD76" s="1003"/>
      <c r="AE76" s="1001">
        <f>AE74-AE75</f>
        <v>-1296</v>
      </c>
      <c r="AF76" s="1001"/>
      <c r="AG76" s="1000"/>
      <c r="AH76" s="1003"/>
      <c r="AI76" s="1001"/>
      <c r="AJ76" s="1001"/>
      <c r="AK76" s="1000"/>
      <c r="AL76" s="1003"/>
      <c r="AM76" s="1001">
        <f>AM74-AM75</f>
        <v>-997</v>
      </c>
      <c r="AN76" s="1001"/>
      <c r="AO76" s="1000"/>
      <c r="AP76" s="1003"/>
      <c r="AQ76" s="1001"/>
      <c r="AR76" s="1001"/>
      <c r="AS76" s="1000"/>
      <c r="AT76" s="1003"/>
      <c r="AU76" s="1001"/>
      <c r="AV76" s="1001"/>
      <c r="AW76" s="1000"/>
      <c r="AX76" s="1003"/>
      <c r="AY76" s="1001"/>
      <c r="AZ76" s="1001"/>
      <c r="BA76" s="1000"/>
      <c r="BB76" s="1003"/>
      <c r="BC76" s="1001"/>
      <c r="BD76" s="1001"/>
      <c r="BE76" s="1000"/>
    </row>
    <row r="77" spans="1:57" s="1008" customFormat="1" ht="11.25" customHeight="1">
      <c r="A77" s="1004"/>
      <c r="B77" s="1005"/>
      <c r="C77" s="1006"/>
      <c r="D77" s="1006"/>
      <c r="E77" s="1006"/>
      <c r="F77" s="1006"/>
      <c r="G77" s="1006"/>
      <c r="H77" s="1006"/>
      <c r="I77" s="1006"/>
      <c r="J77" s="1006"/>
      <c r="K77" s="1006"/>
      <c r="L77" s="1006"/>
      <c r="M77" s="1006"/>
      <c r="N77" s="1004"/>
      <c r="O77" s="1004"/>
      <c r="P77" s="1004"/>
      <c r="Q77" s="1007"/>
      <c r="R77" s="1004"/>
      <c r="S77" s="1004"/>
      <c r="T77" s="1004"/>
      <c r="U77" s="1007"/>
      <c r="V77" s="1004"/>
      <c r="W77" s="1004"/>
      <c r="X77" s="1004"/>
      <c r="Y77" s="1007"/>
      <c r="Z77" s="1428"/>
      <c r="AA77" s="1428"/>
      <c r="AB77" s="1428"/>
      <c r="AC77" s="1007"/>
      <c r="AD77" s="1004"/>
      <c r="AE77" s="1004"/>
      <c r="AF77" s="1004"/>
      <c r="AG77" s="1007"/>
      <c r="AH77" s="1004"/>
      <c r="AI77" s="1004"/>
      <c r="AJ77" s="1004"/>
      <c r="AK77" s="1007"/>
      <c r="AL77" s="1004"/>
      <c r="AM77" s="1004"/>
      <c r="AN77" s="1004"/>
      <c r="AO77" s="1007"/>
      <c r="AP77" s="1004"/>
      <c r="AQ77" s="1004"/>
      <c r="AR77" s="1004"/>
      <c r="AS77" s="1007"/>
      <c r="AT77" s="1004"/>
      <c r="AU77" s="1004"/>
      <c r="AV77" s="1004"/>
      <c r="AW77" s="1007"/>
      <c r="AX77" s="1004"/>
      <c r="AY77" s="1004"/>
      <c r="AZ77" s="1004"/>
      <c r="BA77" s="1007"/>
      <c r="BB77" s="1004"/>
      <c r="BC77" s="1004"/>
      <c r="BD77" s="1004"/>
      <c r="BE77" s="1007"/>
    </row>
    <row r="78" spans="1:57">
      <c r="A78" s="1009"/>
      <c r="B78" s="1010"/>
      <c r="C78" s="1010"/>
      <c r="D78" s="1010"/>
      <c r="E78" s="1010"/>
      <c r="F78" s="1010"/>
      <c r="G78" s="1010"/>
      <c r="H78" s="1010"/>
      <c r="I78" s="1010"/>
      <c r="J78" s="1010"/>
      <c r="K78" s="1010"/>
      <c r="L78" s="1010"/>
      <c r="M78" s="1010"/>
      <c r="N78" s="1010"/>
      <c r="O78" s="1010"/>
      <c r="P78" s="1010"/>
      <c r="Q78" s="1010"/>
      <c r="R78" s="1010"/>
      <c r="S78" s="1010"/>
      <c r="T78" s="1010"/>
      <c r="U78" s="1011"/>
      <c r="V78" s="1010"/>
      <c r="W78" s="1010"/>
      <c r="X78" s="1010"/>
      <c r="Y78" s="1010"/>
      <c r="Z78" s="1429"/>
      <c r="AA78" s="1429"/>
      <c r="AB78" s="1429"/>
      <c r="AC78" s="1010"/>
      <c r="AD78" s="1010"/>
      <c r="AE78" s="1010"/>
      <c r="AF78" s="1010"/>
      <c r="AG78" s="1010"/>
      <c r="AH78" s="1010"/>
      <c r="AI78" s="1010"/>
      <c r="AJ78" s="1010"/>
      <c r="AK78" s="1010"/>
      <c r="AL78" s="1010"/>
      <c r="AM78" s="1010"/>
      <c r="AN78" s="1010"/>
      <c r="AO78" s="1010"/>
      <c r="AP78" s="1010"/>
      <c r="AQ78" s="1010"/>
      <c r="AR78" s="1010"/>
      <c r="AS78" s="1010"/>
      <c r="AT78" s="1010"/>
      <c r="AU78" s="1010"/>
      <c r="AV78" s="1010"/>
      <c r="AW78" s="1010"/>
      <c r="AX78" s="1010"/>
      <c r="AY78" s="1010"/>
      <c r="AZ78" s="1010"/>
      <c r="BA78" s="1010"/>
      <c r="BB78" s="1010"/>
      <c r="BC78" s="1010"/>
      <c r="BD78" s="1010"/>
    </row>
    <row r="79" spans="1:57">
      <c r="A79" s="1009"/>
      <c r="B79" s="1010"/>
      <c r="C79" s="1010"/>
      <c r="D79" s="1010"/>
      <c r="E79" s="1010"/>
      <c r="F79" s="1010"/>
      <c r="G79" s="1010"/>
      <c r="H79" s="1010"/>
      <c r="I79" s="1010"/>
      <c r="J79" s="1010"/>
      <c r="K79" s="1010"/>
      <c r="L79" s="1010"/>
      <c r="M79" s="1010"/>
      <c r="N79" s="1010"/>
      <c r="O79" s="1010"/>
      <c r="P79" s="1010"/>
      <c r="Q79" s="1010"/>
      <c r="R79" s="1010"/>
      <c r="S79" s="1010"/>
      <c r="T79" s="1010"/>
      <c r="U79" s="1011"/>
      <c r="V79" s="1010"/>
      <c r="W79" s="1010"/>
      <c r="X79" s="1010"/>
      <c r="Y79" s="1010"/>
      <c r="Z79" s="1429"/>
      <c r="AA79" s="1429"/>
      <c r="AB79" s="1429"/>
      <c r="AC79" s="1010"/>
      <c r="AD79" s="1010"/>
      <c r="AE79" s="1010"/>
      <c r="AF79" s="1010"/>
      <c r="AG79" s="1010"/>
      <c r="AH79" s="1010"/>
      <c r="AI79" s="1010"/>
      <c r="AJ79" s="1010"/>
      <c r="AK79" s="1010"/>
      <c r="AL79" s="1010"/>
      <c r="AM79" s="1010"/>
      <c r="AN79" s="1010"/>
      <c r="AO79" s="1010"/>
      <c r="AP79" s="1010"/>
      <c r="AQ79" s="1010"/>
      <c r="AR79" s="1010"/>
      <c r="AS79" s="1010"/>
      <c r="AT79" s="1010"/>
      <c r="AU79" s="1010"/>
      <c r="AV79" s="1010"/>
      <c r="AW79" s="1010"/>
      <c r="AX79" s="1010"/>
      <c r="AY79" s="1010"/>
      <c r="AZ79" s="1010"/>
      <c r="BA79" s="1010"/>
      <c r="BB79" s="1010"/>
      <c r="BC79" s="1010"/>
      <c r="BD79" s="1010"/>
    </row>
    <row r="80" spans="1:57">
      <c r="A80" s="1009"/>
      <c r="B80" s="1010"/>
      <c r="C80" s="1010"/>
      <c r="D80" s="1010"/>
      <c r="E80" s="1010"/>
      <c r="F80" s="1010"/>
      <c r="G80" s="1010"/>
      <c r="H80" s="1010"/>
      <c r="I80" s="1010"/>
      <c r="J80" s="1010"/>
      <c r="K80" s="1010"/>
      <c r="L80" s="1010"/>
      <c r="M80" s="1010"/>
      <c r="N80" s="1010"/>
      <c r="O80" s="1010"/>
      <c r="P80" s="1010"/>
      <c r="Q80" s="1010"/>
      <c r="R80" s="1010"/>
      <c r="S80" s="1010"/>
      <c r="T80" s="1010"/>
      <c r="U80" s="1011"/>
      <c r="V80" s="1010"/>
      <c r="W80" s="1010"/>
      <c r="X80" s="1010"/>
      <c r="Y80" s="1010"/>
      <c r="Z80" s="1429"/>
      <c r="AA80" s="1429"/>
      <c r="AB80" s="1429"/>
      <c r="AC80" s="1010"/>
      <c r="AD80" s="1010"/>
      <c r="AE80" s="1010"/>
      <c r="AF80" s="1010"/>
      <c r="AG80" s="1010"/>
      <c r="AH80" s="1010"/>
      <c r="AI80" s="1010"/>
      <c r="AJ80" s="1010"/>
      <c r="AK80" s="1010"/>
      <c r="AL80" s="1010"/>
      <c r="AM80" s="1010"/>
      <c r="AN80" s="1010"/>
      <c r="AO80" s="1010"/>
      <c r="AP80" s="1010"/>
      <c r="AQ80" s="1010"/>
      <c r="AR80" s="1010"/>
      <c r="AS80" s="1010"/>
      <c r="AT80" s="1010"/>
      <c r="AU80" s="1010"/>
      <c r="AV80" s="1010"/>
      <c r="AW80" s="1010"/>
      <c r="AX80" s="1010"/>
      <c r="AY80" s="1010"/>
      <c r="AZ80" s="1010"/>
      <c r="BA80" s="1010"/>
      <c r="BB80" s="1010"/>
      <c r="BC80" s="1010"/>
      <c r="BD80" s="1010"/>
    </row>
    <row r="81" spans="1:56">
      <c r="A81" s="1009"/>
      <c r="B81" s="1010"/>
      <c r="C81" s="1010"/>
      <c r="D81" s="1010"/>
      <c r="E81" s="1010"/>
      <c r="F81" s="1010"/>
      <c r="G81" s="1010"/>
      <c r="H81" s="1010"/>
      <c r="I81" s="1010"/>
      <c r="J81" s="1010"/>
      <c r="K81" s="1010"/>
      <c r="L81" s="1010"/>
      <c r="M81" s="1010"/>
      <c r="N81" s="1010"/>
      <c r="O81" s="1012"/>
      <c r="P81" s="1012"/>
      <c r="Q81" s="1012"/>
      <c r="R81" s="1012"/>
      <c r="S81" s="1010"/>
      <c r="T81" s="1010"/>
      <c r="U81" s="1011"/>
      <c r="V81" s="1010"/>
      <c r="W81" s="1010"/>
      <c r="X81" s="1010"/>
      <c r="Y81" s="1010"/>
      <c r="Z81" s="1429"/>
      <c r="AA81" s="1429"/>
      <c r="AB81" s="1429"/>
      <c r="AC81" s="1010"/>
      <c r="AD81" s="1010"/>
      <c r="AE81" s="1010"/>
      <c r="AF81" s="1010"/>
      <c r="AG81" s="1010"/>
      <c r="AH81" s="1010"/>
      <c r="AI81" s="1010"/>
      <c r="AJ81" s="1010"/>
      <c r="AK81" s="1010"/>
      <c r="AL81" s="1010"/>
      <c r="AM81" s="1010"/>
      <c r="AN81" s="1010"/>
      <c r="AO81" s="1010"/>
      <c r="AP81" s="1010"/>
      <c r="AQ81" s="1010"/>
      <c r="AR81" s="1010"/>
      <c r="AS81" s="1010"/>
      <c r="AT81" s="1010"/>
      <c r="AU81" s="1010"/>
      <c r="AV81" s="1010"/>
      <c r="AW81" s="1010"/>
      <c r="AX81" s="1010"/>
      <c r="AY81" s="1010"/>
      <c r="AZ81" s="1010"/>
      <c r="BA81" s="1010"/>
      <c r="BB81" s="1010"/>
      <c r="BC81" s="1010"/>
      <c r="BD81" s="1010"/>
    </row>
    <row r="92" spans="1:56">
      <c r="A92" s="920"/>
    </row>
    <row r="93" spans="1:56">
      <c r="A93" s="920"/>
    </row>
    <row r="94" spans="1:56">
      <c r="A94" s="920"/>
    </row>
    <row r="95" spans="1:56">
      <c r="A95" s="920"/>
    </row>
    <row r="96" spans="1:56">
      <c r="A96" s="920"/>
    </row>
    <row r="97" spans="1:1">
      <c r="A97" s="920"/>
    </row>
    <row r="98" spans="1:1">
      <c r="A98" s="920"/>
    </row>
    <row r="99" spans="1:1">
      <c r="A99" s="920"/>
    </row>
    <row r="100" spans="1:1">
      <c r="A100" s="920"/>
    </row>
    <row r="101" spans="1:1">
      <c r="A101" s="920"/>
    </row>
  </sheetData>
  <mergeCells count="52">
    <mergeCell ref="A5:A7"/>
    <mergeCell ref="B5:B7"/>
    <mergeCell ref="N5:N7"/>
    <mergeCell ref="R6:R7"/>
    <mergeCell ref="V6:V7"/>
    <mergeCell ref="O5:P5"/>
    <mergeCell ref="O6:O7"/>
    <mergeCell ref="M6:M7"/>
    <mergeCell ref="P6:P7"/>
    <mergeCell ref="R5:BD5"/>
    <mergeCell ref="AY6:AZ6"/>
    <mergeCell ref="BC6:BD6"/>
    <mergeCell ref="S6:T6"/>
    <mergeCell ref="AT6:AT7"/>
    <mergeCell ref="AX6:AX7"/>
    <mergeCell ref="BB6:BB7"/>
    <mergeCell ref="AQ6:AR6"/>
    <mergeCell ref="AU6:AV6"/>
    <mergeCell ref="U6:U7"/>
    <mergeCell ref="Y6:Y7"/>
    <mergeCell ref="AD6:AD7"/>
    <mergeCell ref="AH6:AH7"/>
    <mergeCell ref="AL6:AL7"/>
    <mergeCell ref="AE6:AF6"/>
    <mergeCell ref="AI6:AJ6"/>
    <mergeCell ref="AP6:AP7"/>
    <mergeCell ref="W6:X6"/>
    <mergeCell ref="AA6:AB6"/>
    <mergeCell ref="AC6:AC7"/>
    <mergeCell ref="Z6:Z7"/>
    <mergeCell ref="AM6:AN6"/>
    <mergeCell ref="H6:H7"/>
    <mergeCell ref="I6:I7"/>
    <mergeCell ref="J6:J7"/>
    <mergeCell ref="K6:K7"/>
    <mergeCell ref="L6:L7"/>
    <mergeCell ref="A2:X2"/>
    <mergeCell ref="A3:X3"/>
    <mergeCell ref="BA6:BA7"/>
    <mergeCell ref="BE6:BE7"/>
    <mergeCell ref="Q6:Q7"/>
    <mergeCell ref="AG6:AG7"/>
    <mergeCell ref="AK6:AK7"/>
    <mergeCell ref="AO6:AO7"/>
    <mergeCell ref="AS6:AS7"/>
    <mergeCell ref="AW6:AW7"/>
    <mergeCell ref="C5:C7"/>
    <mergeCell ref="D5:M5"/>
    <mergeCell ref="D6:D7"/>
    <mergeCell ref="E6:E7"/>
    <mergeCell ref="F6:F7"/>
    <mergeCell ref="G6:G7"/>
  </mergeCells>
  <printOptions horizontalCentered="1"/>
  <pageMargins left="7.874015748031496E-2" right="0" top="0.39370078740157483" bottom="0.35433070866141736" header="0.19685039370078741" footer="0.19685039370078741"/>
  <pageSetup paperSize="9" scale="70" fitToWidth="0" fitToHeight="0" orientation="portrait" r:id="rId1"/>
  <headerFooter>
    <oddFooter>&amp;R&amp;P/&amp;N</oddFooter>
  </headerFooter>
  <colBreaks count="3" manualBreakCount="3">
    <brk id="20" max="76" man="1"/>
    <brk id="32" max="76" man="1"/>
    <brk id="45" max="7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VS53"/>
  <sheetViews>
    <sheetView zoomScaleNormal="100" workbookViewId="0">
      <pane xSplit="2" ySplit="9" topLeftCell="C30" activePane="bottomRight" state="frozen"/>
      <selection pane="topRight"/>
      <selection pane="bottomLeft"/>
      <selection pane="bottomRight" activeCell="F9" sqref="F9"/>
    </sheetView>
  </sheetViews>
  <sheetFormatPr defaultRowHeight="13.8" outlineLevelRow="2" outlineLevelCol="1"/>
  <cols>
    <col min="1" max="1" width="5.44140625" style="685" customWidth="1"/>
    <col min="2" max="2" width="42.33203125" style="453" customWidth="1"/>
    <col min="3" max="3" width="10.44140625" style="456" customWidth="1"/>
    <col min="4" max="4" width="9.6640625" style="487" customWidth="1"/>
    <col min="5" max="5" width="9" style="487" customWidth="1"/>
    <col min="6" max="6" width="9.44140625" style="1452" customWidth="1"/>
    <col min="7" max="8" width="7.6640625" style="487" customWidth="1"/>
    <col min="9" max="9" width="9" style="487" customWidth="1"/>
    <col min="10" max="10" width="7.6640625" style="487" customWidth="1"/>
    <col min="11" max="11" width="9.6640625" style="487" customWidth="1"/>
    <col min="12" max="12" width="9.33203125" style="487" customWidth="1"/>
    <col min="13" max="13" width="8" style="487" customWidth="1"/>
    <col min="14" max="14" width="40.44140625" style="685" customWidth="1" outlineLevel="1"/>
    <col min="15" max="15" width="17" style="450" hidden="1" customWidth="1"/>
    <col min="16" max="17" width="9.109375" style="450"/>
    <col min="18" max="18" width="9.109375" style="574"/>
    <col min="19" max="238" width="9.109375" style="450"/>
    <col min="239" max="239" width="5.44140625" style="450" customWidth="1"/>
    <col min="240" max="240" width="40.44140625" style="450" customWidth="1"/>
    <col min="241" max="255" width="0" style="450" hidden="1" customWidth="1"/>
    <col min="256" max="257" width="9.6640625" style="450" customWidth="1"/>
    <col min="258" max="258" width="8.6640625" style="450" customWidth="1"/>
    <col min="259" max="259" width="8.44140625" style="450" customWidth="1"/>
    <col min="260" max="260" width="9" style="450" customWidth="1"/>
    <col min="261" max="261" width="8.44140625" style="450" customWidth="1"/>
    <col min="262" max="262" width="9.33203125" style="450" customWidth="1"/>
    <col min="263" max="263" width="8.33203125" style="450" customWidth="1"/>
    <col min="264" max="264" width="9" style="450" customWidth="1"/>
    <col min="265" max="265" width="8.44140625" style="450" customWidth="1"/>
    <col min="266" max="266" width="7.44140625" style="450" bestFit="1" customWidth="1"/>
    <col min="267" max="267" width="20.33203125" style="450" customWidth="1"/>
    <col min="268" max="268" width="10.44140625" style="450" bestFit="1" customWidth="1"/>
    <col min="269" max="494" width="9.109375" style="450"/>
    <col min="495" max="495" width="5.44140625" style="450" customWidth="1"/>
    <col min="496" max="496" width="40.44140625" style="450" customWidth="1"/>
    <col min="497" max="511" width="0" style="450" hidden="1" customWidth="1"/>
    <col min="512" max="513" width="9.6640625" style="450" customWidth="1"/>
    <col min="514" max="514" width="8.6640625" style="450" customWidth="1"/>
    <col min="515" max="515" width="8.44140625" style="450" customWidth="1"/>
    <col min="516" max="516" width="9" style="450" customWidth="1"/>
    <col min="517" max="517" width="8.44140625" style="450" customWidth="1"/>
    <col min="518" max="518" width="9.33203125" style="450" customWidth="1"/>
    <col min="519" max="519" width="8.33203125" style="450" customWidth="1"/>
    <col min="520" max="520" width="9" style="450" customWidth="1"/>
    <col min="521" max="521" width="8.44140625" style="450" customWidth="1"/>
    <col min="522" max="522" width="7.44140625" style="450" bestFit="1" customWidth="1"/>
    <col min="523" max="523" width="20.33203125" style="450" customWidth="1"/>
    <col min="524" max="524" width="10.44140625" style="450" bestFit="1" customWidth="1"/>
    <col min="525" max="750" width="9.109375" style="450"/>
    <col min="751" max="751" width="5.44140625" style="450" customWidth="1"/>
    <col min="752" max="752" width="40.44140625" style="450" customWidth="1"/>
    <col min="753" max="767" width="0" style="450" hidden="1" customWidth="1"/>
    <col min="768" max="769" width="9.6640625" style="450" customWidth="1"/>
    <col min="770" max="770" width="8.6640625" style="450" customWidth="1"/>
    <col min="771" max="771" width="8.44140625" style="450" customWidth="1"/>
    <col min="772" max="772" width="9" style="450" customWidth="1"/>
    <col min="773" max="773" width="8.44140625" style="450" customWidth="1"/>
    <col min="774" max="774" width="9.33203125" style="450" customWidth="1"/>
    <col min="775" max="775" width="8.33203125" style="450" customWidth="1"/>
    <col min="776" max="776" width="9" style="450" customWidth="1"/>
    <col min="777" max="777" width="8.44140625" style="450" customWidth="1"/>
    <col min="778" max="778" width="7.44140625" style="450" bestFit="1" customWidth="1"/>
    <col min="779" max="779" width="20.33203125" style="450" customWidth="1"/>
    <col min="780" max="780" width="10.44140625" style="450" bestFit="1" customWidth="1"/>
    <col min="781" max="1006" width="9.109375" style="450"/>
    <col min="1007" max="1007" width="5.44140625" style="450" customWidth="1"/>
    <col min="1008" max="1008" width="40.44140625" style="450" customWidth="1"/>
    <col min="1009" max="1023" width="0" style="450" hidden="1" customWidth="1"/>
    <col min="1024" max="1025" width="9.6640625" style="450" customWidth="1"/>
    <col min="1026" max="1026" width="8.6640625" style="450" customWidth="1"/>
    <col min="1027" max="1027" width="8.44140625" style="450" customWidth="1"/>
    <col min="1028" max="1028" width="9" style="450" customWidth="1"/>
    <col min="1029" max="1029" width="8.44140625" style="450" customWidth="1"/>
    <col min="1030" max="1030" width="9.33203125" style="450" customWidth="1"/>
    <col min="1031" max="1031" width="8.33203125" style="450" customWidth="1"/>
    <col min="1032" max="1032" width="9" style="450" customWidth="1"/>
    <col min="1033" max="1033" width="8.44140625" style="450" customWidth="1"/>
    <col min="1034" max="1034" width="7.44140625" style="450" bestFit="1" customWidth="1"/>
    <col min="1035" max="1035" width="20.33203125" style="450" customWidth="1"/>
    <col min="1036" max="1036" width="10.44140625" style="450" bestFit="1" customWidth="1"/>
    <col min="1037" max="1262" width="9.109375" style="450"/>
    <col min="1263" max="1263" width="5.44140625" style="450" customWidth="1"/>
    <col min="1264" max="1264" width="40.44140625" style="450" customWidth="1"/>
    <col min="1265" max="1279" width="0" style="450" hidden="1" customWidth="1"/>
    <col min="1280" max="1281" width="9.6640625" style="450" customWidth="1"/>
    <col min="1282" max="1282" width="8.6640625" style="450" customWidth="1"/>
    <col min="1283" max="1283" width="8.44140625" style="450" customWidth="1"/>
    <col min="1284" max="1284" width="9" style="450" customWidth="1"/>
    <col min="1285" max="1285" width="8.44140625" style="450" customWidth="1"/>
    <col min="1286" max="1286" width="9.33203125" style="450" customWidth="1"/>
    <col min="1287" max="1287" width="8.33203125" style="450" customWidth="1"/>
    <col min="1288" max="1288" width="9" style="450" customWidth="1"/>
    <col min="1289" max="1289" width="8.44140625" style="450" customWidth="1"/>
    <col min="1290" max="1290" width="7.44140625" style="450" bestFit="1" customWidth="1"/>
    <col min="1291" max="1291" width="20.33203125" style="450" customWidth="1"/>
    <col min="1292" max="1292" width="10.44140625" style="450" bestFit="1" customWidth="1"/>
    <col min="1293" max="1518" width="9.109375" style="450"/>
    <col min="1519" max="1519" width="5.44140625" style="450" customWidth="1"/>
    <col min="1520" max="1520" width="40.44140625" style="450" customWidth="1"/>
    <col min="1521" max="1535" width="0" style="450" hidden="1" customWidth="1"/>
    <col min="1536" max="1537" width="9.6640625" style="450" customWidth="1"/>
    <col min="1538" max="1538" width="8.6640625" style="450" customWidth="1"/>
    <col min="1539" max="1539" width="8.44140625" style="450" customWidth="1"/>
    <col min="1540" max="1540" width="9" style="450" customWidth="1"/>
    <col min="1541" max="1541" width="8.44140625" style="450" customWidth="1"/>
    <col min="1542" max="1542" width="9.33203125" style="450" customWidth="1"/>
    <col min="1543" max="1543" width="8.33203125" style="450" customWidth="1"/>
    <col min="1544" max="1544" width="9" style="450" customWidth="1"/>
    <col min="1545" max="1545" width="8.44140625" style="450" customWidth="1"/>
    <col min="1546" max="1546" width="7.44140625" style="450" bestFit="1" customWidth="1"/>
    <col min="1547" max="1547" width="20.33203125" style="450" customWidth="1"/>
    <col min="1548" max="1548" width="10.44140625" style="450" bestFit="1" customWidth="1"/>
    <col min="1549" max="1774" width="9.109375" style="450"/>
    <col min="1775" max="1775" width="5.44140625" style="450" customWidth="1"/>
    <col min="1776" max="1776" width="40.44140625" style="450" customWidth="1"/>
    <col min="1777" max="1791" width="0" style="450" hidden="1" customWidth="1"/>
    <col min="1792" max="1793" width="9.6640625" style="450" customWidth="1"/>
    <col min="1794" max="1794" width="8.6640625" style="450" customWidth="1"/>
    <col min="1795" max="1795" width="8.44140625" style="450" customWidth="1"/>
    <col min="1796" max="1796" width="9" style="450" customWidth="1"/>
    <col min="1797" max="1797" width="8.44140625" style="450" customWidth="1"/>
    <col min="1798" max="1798" width="9.33203125" style="450" customWidth="1"/>
    <col min="1799" max="1799" width="8.33203125" style="450" customWidth="1"/>
    <col min="1800" max="1800" width="9" style="450" customWidth="1"/>
    <col min="1801" max="1801" width="8.44140625" style="450" customWidth="1"/>
    <col min="1802" max="1802" width="7.44140625" style="450" bestFit="1" customWidth="1"/>
    <col min="1803" max="1803" width="20.33203125" style="450" customWidth="1"/>
    <col min="1804" max="1804" width="10.44140625" style="450" bestFit="1" customWidth="1"/>
    <col min="1805" max="2030" width="9.109375" style="450"/>
    <col min="2031" max="2031" width="5.44140625" style="450" customWidth="1"/>
    <col min="2032" max="2032" width="40.44140625" style="450" customWidth="1"/>
    <col min="2033" max="2047" width="0" style="450" hidden="1" customWidth="1"/>
    <col min="2048" max="2049" width="9.6640625" style="450" customWidth="1"/>
    <col min="2050" max="2050" width="8.6640625" style="450" customWidth="1"/>
    <col min="2051" max="2051" width="8.44140625" style="450" customWidth="1"/>
    <col min="2052" max="2052" width="9" style="450" customWidth="1"/>
    <col min="2053" max="2053" width="8.44140625" style="450" customWidth="1"/>
    <col min="2054" max="2054" width="9.33203125" style="450" customWidth="1"/>
    <col min="2055" max="2055" width="8.33203125" style="450" customWidth="1"/>
    <col min="2056" max="2056" width="9" style="450" customWidth="1"/>
    <col min="2057" max="2057" width="8.44140625" style="450" customWidth="1"/>
    <col min="2058" max="2058" width="7.44140625" style="450" bestFit="1" customWidth="1"/>
    <col min="2059" max="2059" width="20.33203125" style="450" customWidth="1"/>
    <col min="2060" max="2060" width="10.44140625" style="450" bestFit="1" customWidth="1"/>
    <col min="2061" max="2286" width="9.109375" style="450"/>
    <col min="2287" max="2287" width="5.44140625" style="450" customWidth="1"/>
    <col min="2288" max="2288" width="40.44140625" style="450" customWidth="1"/>
    <col min="2289" max="2303" width="0" style="450" hidden="1" customWidth="1"/>
    <col min="2304" max="2305" width="9.6640625" style="450" customWidth="1"/>
    <col min="2306" max="2306" width="8.6640625" style="450" customWidth="1"/>
    <col min="2307" max="2307" width="8.44140625" style="450" customWidth="1"/>
    <col min="2308" max="2308" width="9" style="450" customWidth="1"/>
    <col min="2309" max="2309" width="8.44140625" style="450" customWidth="1"/>
    <col min="2310" max="2310" width="9.33203125" style="450" customWidth="1"/>
    <col min="2311" max="2311" width="8.33203125" style="450" customWidth="1"/>
    <col min="2312" max="2312" width="9" style="450" customWidth="1"/>
    <col min="2313" max="2313" width="8.44140625" style="450" customWidth="1"/>
    <col min="2314" max="2314" width="7.44140625" style="450" bestFit="1" customWidth="1"/>
    <col min="2315" max="2315" width="20.33203125" style="450" customWidth="1"/>
    <col min="2316" max="2316" width="10.44140625" style="450" bestFit="1" customWidth="1"/>
    <col min="2317" max="2542" width="9.109375" style="450"/>
    <col min="2543" max="2543" width="5.44140625" style="450" customWidth="1"/>
    <col min="2544" max="2544" width="40.44140625" style="450" customWidth="1"/>
    <col min="2545" max="2559" width="0" style="450" hidden="1" customWidth="1"/>
    <col min="2560" max="2561" width="9.6640625" style="450" customWidth="1"/>
    <col min="2562" max="2562" width="8.6640625" style="450" customWidth="1"/>
    <col min="2563" max="2563" width="8.44140625" style="450" customWidth="1"/>
    <col min="2564" max="2564" width="9" style="450" customWidth="1"/>
    <col min="2565" max="2565" width="8.44140625" style="450" customWidth="1"/>
    <col min="2566" max="2566" width="9.33203125" style="450" customWidth="1"/>
    <col min="2567" max="2567" width="8.33203125" style="450" customWidth="1"/>
    <col min="2568" max="2568" width="9" style="450" customWidth="1"/>
    <col min="2569" max="2569" width="8.44140625" style="450" customWidth="1"/>
    <col min="2570" max="2570" width="7.44140625" style="450" bestFit="1" customWidth="1"/>
    <col min="2571" max="2571" width="20.33203125" style="450" customWidth="1"/>
    <col min="2572" max="2572" width="10.44140625" style="450" bestFit="1" customWidth="1"/>
    <col min="2573" max="2798" width="9.109375" style="450"/>
    <col min="2799" max="2799" width="5.44140625" style="450" customWidth="1"/>
    <col min="2800" max="2800" width="40.44140625" style="450" customWidth="1"/>
    <col min="2801" max="2815" width="0" style="450" hidden="1" customWidth="1"/>
    <col min="2816" max="2817" width="9.6640625" style="450" customWidth="1"/>
    <col min="2818" max="2818" width="8.6640625" style="450" customWidth="1"/>
    <col min="2819" max="2819" width="8.44140625" style="450" customWidth="1"/>
    <col min="2820" max="2820" width="9" style="450" customWidth="1"/>
    <col min="2821" max="2821" width="8.44140625" style="450" customWidth="1"/>
    <col min="2822" max="2822" width="9.33203125" style="450" customWidth="1"/>
    <col min="2823" max="2823" width="8.33203125" style="450" customWidth="1"/>
    <col min="2824" max="2824" width="9" style="450" customWidth="1"/>
    <col min="2825" max="2825" width="8.44140625" style="450" customWidth="1"/>
    <col min="2826" max="2826" width="7.44140625" style="450" bestFit="1" customWidth="1"/>
    <col min="2827" max="2827" width="20.33203125" style="450" customWidth="1"/>
    <col min="2828" max="2828" width="10.44140625" style="450" bestFit="1" customWidth="1"/>
    <col min="2829" max="3054" width="9.109375" style="450"/>
    <col min="3055" max="3055" width="5.44140625" style="450" customWidth="1"/>
    <col min="3056" max="3056" width="40.44140625" style="450" customWidth="1"/>
    <col min="3057" max="3071" width="0" style="450" hidden="1" customWidth="1"/>
    <col min="3072" max="3073" width="9.6640625" style="450" customWidth="1"/>
    <col min="3074" max="3074" width="8.6640625" style="450" customWidth="1"/>
    <col min="3075" max="3075" width="8.44140625" style="450" customWidth="1"/>
    <col min="3076" max="3076" width="9" style="450" customWidth="1"/>
    <col min="3077" max="3077" width="8.44140625" style="450" customWidth="1"/>
    <col min="3078" max="3078" width="9.33203125" style="450" customWidth="1"/>
    <col min="3079" max="3079" width="8.33203125" style="450" customWidth="1"/>
    <col min="3080" max="3080" width="9" style="450" customWidth="1"/>
    <col min="3081" max="3081" width="8.44140625" style="450" customWidth="1"/>
    <col min="3082" max="3082" width="7.44140625" style="450" bestFit="1" customWidth="1"/>
    <col min="3083" max="3083" width="20.33203125" style="450" customWidth="1"/>
    <col min="3084" max="3084" width="10.44140625" style="450" bestFit="1" customWidth="1"/>
    <col min="3085" max="3310" width="9.109375" style="450"/>
    <col min="3311" max="3311" width="5.44140625" style="450" customWidth="1"/>
    <col min="3312" max="3312" width="40.44140625" style="450" customWidth="1"/>
    <col min="3313" max="3327" width="0" style="450" hidden="1" customWidth="1"/>
    <col min="3328" max="3329" width="9.6640625" style="450" customWidth="1"/>
    <col min="3330" max="3330" width="8.6640625" style="450" customWidth="1"/>
    <col min="3331" max="3331" width="8.44140625" style="450" customWidth="1"/>
    <col min="3332" max="3332" width="9" style="450" customWidth="1"/>
    <col min="3333" max="3333" width="8.44140625" style="450" customWidth="1"/>
    <col min="3334" max="3334" width="9.33203125" style="450" customWidth="1"/>
    <col min="3335" max="3335" width="8.33203125" style="450" customWidth="1"/>
    <col min="3336" max="3336" width="9" style="450" customWidth="1"/>
    <col min="3337" max="3337" width="8.44140625" style="450" customWidth="1"/>
    <col min="3338" max="3338" width="7.44140625" style="450" bestFit="1" customWidth="1"/>
    <col min="3339" max="3339" width="20.33203125" style="450" customWidth="1"/>
    <col min="3340" max="3340" width="10.44140625" style="450" bestFit="1" customWidth="1"/>
    <col min="3341" max="3566" width="9.109375" style="450"/>
    <col min="3567" max="3567" width="5.44140625" style="450" customWidth="1"/>
    <col min="3568" max="3568" width="40.44140625" style="450" customWidth="1"/>
    <col min="3569" max="3583" width="0" style="450" hidden="1" customWidth="1"/>
    <col min="3584" max="3585" width="9.6640625" style="450" customWidth="1"/>
    <col min="3586" max="3586" width="8.6640625" style="450" customWidth="1"/>
    <col min="3587" max="3587" width="8.44140625" style="450" customWidth="1"/>
    <col min="3588" max="3588" width="9" style="450" customWidth="1"/>
    <col min="3589" max="3589" width="8.44140625" style="450" customWidth="1"/>
    <col min="3590" max="3590" width="9.33203125" style="450" customWidth="1"/>
    <col min="3591" max="3591" width="8.33203125" style="450" customWidth="1"/>
    <col min="3592" max="3592" width="9" style="450" customWidth="1"/>
    <col min="3593" max="3593" width="8.44140625" style="450" customWidth="1"/>
    <col min="3594" max="3594" width="7.44140625" style="450" bestFit="1" customWidth="1"/>
    <col min="3595" max="3595" width="20.33203125" style="450" customWidth="1"/>
    <col min="3596" max="3596" width="10.44140625" style="450" bestFit="1" customWidth="1"/>
    <col min="3597" max="3822" width="9.109375" style="450"/>
    <col min="3823" max="3823" width="5.44140625" style="450" customWidth="1"/>
    <col min="3824" max="3824" width="40.44140625" style="450" customWidth="1"/>
    <col min="3825" max="3839" width="0" style="450" hidden="1" customWidth="1"/>
    <col min="3840" max="3841" width="9.6640625" style="450" customWidth="1"/>
    <col min="3842" max="3842" width="8.6640625" style="450" customWidth="1"/>
    <col min="3843" max="3843" width="8.44140625" style="450" customWidth="1"/>
    <col min="3844" max="3844" width="9" style="450" customWidth="1"/>
    <col min="3845" max="3845" width="8.44140625" style="450" customWidth="1"/>
    <col min="3846" max="3846" width="9.33203125" style="450" customWidth="1"/>
    <col min="3847" max="3847" width="8.33203125" style="450" customWidth="1"/>
    <col min="3848" max="3848" width="9" style="450" customWidth="1"/>
    <col min="3849" max="3849" width="8.44140625" style="450" customWidth="1"/>
    <col min="3850" max="3850" width="7.44140625" style="450" bestFit="1" customWidth="1"/>
    <col min="3851" max="3851" width="20.33203125" style="450" customWidth="1"/>
    <col min="3852" max="3852" width="10.44140625" style="450" bestFit="1" customWidth="1"/>
    <col min="3853" max="4078" width="9.109375" style="450"/>
    <col min="4079" max="4079" width="5.44140625" style="450" customWidth="1"/>
    <col min="4080" max="4080" width="40.44140625" style="450" customWidth="1"/>
    <col min="4081" max="4095" width="0" style="450" hidden="1" customWidth="1"/>
    <col min="4096" max="4097" width="9.6640625" style="450" customWidth="1"/>
    <col min="4098" max="4098" width="8.6640625" style="450" customWidth="1"/>
    <col min="4099" max="4099" width="8.44140625" style="450" customWidth="1"/>
    <col min="4100" max="4100" width="9" style="450" customWidth="1"/>
    <col min="4101" max="4101" width="8.44140625" style="450" customWidth="1"/>
    <col min="4102" max="4102" width="9.33203125" style="450" customWidth="1"/>
    <col min="4103" max="4103" width="8.33203125" style="450" customWidth="1"/>
    <col min="4104" max="4104" width="9" style="450" customWidth="1"/>
    <col min="4105" max="4105" width="8.44140625" style="450" customWidth="1"/>
    <col min="4106" max="4106" width="7.44140625" style="450" bestFit="1" customWidth="1"/>
    <col min="4107" max="4107" width="20.33203125" style="450" customWidth="1"/>
    <col min="4108" max="4108" width="10.44140625" style="450" bestFit="1" customWidth="1"/>
    <col min="4109" max="4334" width="9.109375" style="450"/>
    <col min="4335" max="4335" width="5.44140625" style="450" customWidth="1"/>
    <col min="4336" max="4336" width="40.44140625" style="450" customWidth="1"/>
    <col min="4337" max="4351" width="0" style="450" hidden="1" customWidth="1"/>
    <col min="4352" max="4353" width="9.6640625" style="450" customWidth="1"/>
    <col min="4354" max="4354" width="8.6640625" style="450" customWidth="1"/>
    <col min="4355" max="4355" width="8.44140625" style="450" customWidth="1"/>
    <col min="4356" max="4356" width="9" style="450" customWidth="1"/>
    <col min="4357" max="4357" width="8.44140625" style="450" customWidth="1"/>
    <col min="4358" max="4358" width="9.33203125" style="450" customWidth="1"/>
    <col min="4359" max="4359" width="8.33203125" style="450" customWidth="1"/>
    <col min="4360" max="4360" width="9" style="450" customWidth="1"/>
    <col min="4361" max="4361" width="8.44140625" style="450" customWidth="1"/>
    <col min="4362" max="4362" width="7.44140625" style="450" bestFit="1" customWidth="1"/>
    <col min="4363" max="4363" width="20.33203125" style="450" customWidth="1"/>
    <col min="4364" max="4364" width="10.44140625" style="450" bestFit="1" customWidth="1"/>
    <col min="4365" max="4590" width="9.109375" style="450"/>
    <col min="4591" max="4591" width="5.44140625" style="450" customWidth="1"/>
    <col min="4592" max="4592" width="40.44140625" style="450" customWidth="1"/>
    <col min="4593" max="4607" width="0" style="450" hidden="1" customWidth="1"/>
    <col min="4608" max="4609" width="9.6640625" style="450" customWidth="1"/>
    <col min="4610" max="4610" width="8.6640625" style="450" customWidth="1"/>
    <col min="4611" max="4611" width="8.44140625" style="450" customWidth="1"/>
    <col min="4612" max="4612" width="9" style="450" customWidth="1"/>
    <col min="4613" max="4613" width="8.44140625" style="450" customWidth="1"/>
    <col min="4614" max="4614" width="9.33203125" style="450" customWidth="1"/>
    <col min="4615" max="4615" width="8.33203125" style="450" customWidth="1"/>
    <col min="4616" max="4616" width="9" style="450" customWidth="1"/>
    <col min="4617" max="4617" width="8.44140625" style="450" customWidth="1"/>
    <col min="4618" max="4618" width="7.44140625" style="450" bestFit="1" customWidth="1"/>
    <col min="4619" max="4619" width="20.33203125" style="450" customWidth="1"/>
    <col min="4620" max="4620" width="10.44140625" style="450" bestFit="1" customWidth="1"/>
    <col min="4621" max="4846" width="9.109375" style="450"/>
    <col min="4847" max="4847" width="5.44140625" style="450" customWidth="1"/>
    <col min="4848" max="4848" width="40.44140625" style="450" customWidth="1"/>
    <col min="4849" max="4863" width="0" style="450" hidden="1" customWidth="1"/>
    <col min="4864" max="4865" width="9.6640625" style="450" customWidth="1"/>
    <col min="4866" max="4866" width="8.6640625" style="450" customWidth="1"/>
    <col min="4867" max="4867" width="8.44140625" style="450" customWidth="1"/>
    <col min="4868" max="4868" width="9" style="450" customWidth="1"/>
    <col min="4869" max="4869" width="8.44140625" style="450" customWidth="1"/>
    <col min="4870" max="4870" width="9.33203125" style="450" customWidth="1"/>
    <col min="4871" max="4871" width="8.33203125" style="450" customWidth="1"/>
    <col min="4872" max="4872" width="9" style="450" customWidth="1"/>
    <col min="4873" max="4873" width="8.44140625" style="450" customWidth="1"/>
    <col min="4874" max="4874" width="7.44140625" style="450" bestFit="1" customWidth="1"/>
    <col min="4875" max="4875" width="20.33203125" style="450" customWidth="1"/>
    <col min="4876" max="4876" width="10.44140625" style="450" bestFit="1" customWidth="1"/>
    <col min="4877" max="5102" width="9.109375" style="450"/>
    <col min="5103" max="5103" width="5.44140625" style="450" customWidth="1"/>
    <col min="5104" max="5104" width="40.44140625" style="450" customWidth="1"/>
    <col min="5105" max="5119" width="0" style="450" hidden="1" customWidth="1"/>
    <col min="5120" max="5121" width="9.6640625" style="450" customWidth="1"/>
    <col min="5122" max="5122" width="8.6640625" style="450" customWidth="1"/>
    <col min="5123" max="5123" width="8.44140625" style="450" customWidth="1"/>
    <col min="5124" max="5124" width="9" style="450" customWidth="1"/>
    <col min="5125" max="5125" width="8.44140625" style="450" customWidth="1"/>
    <col min="5126" max="5126" width="9.33203125" style="450" customWidth="1"/>
    <col min="5127" max="5127" width="8.33203125" style="450" customWidth="1"/>
    <col min="5128" max="5128" width="9" style="450" customWidth="1"/>
    <col min="5129" max="5129" width="8.44140625" style="450" customWidth="1"/>
    <col min="5130" max="5130" width="7.44140625" style="450" bestFit="1" customWidth="1"/>
    <col min="5131" max="5131" width="20.33203125" style="450" customWidth="1"/>
    <col min="5132" max="5132" width="10.44140625" style="450" bestFit="1" customWidth="1"/>
    <col min="5133" max="5358" width="9.109375" style="450"/>
    <col min="5359" max="5359" width="5.44140625" style="450" customWidth="1"/>
    <col min="5360" max="5360" width="40.44140625" style="450" customWidth="1"/>
    <col min="5361" max="5375" width="0" style="450" hidden="1" customWidth="1"/>
    <col min="5376" max="5377" width="9.6640625" style="450" customWidth="1"/>
    <col min="5378" max="5378" width="8.6640625" style="450" customWidth="1"/>
    <col min="5379" max="5379" width="8.44140625" style="450" customWidth="1"/>
    <col min="5380" max="5380" width="9" style="450" customWidth="1"/>
    <col min="5381" max="5381" width="8.44140625" style="450" customWidth="1"/>
    <col min="5382" max="5382" width="9.33203125" style="450" customWidth="1"/>
    <col min="5383" max="5383" width="8.33203125" style="450" customWidth="1"/>
    <col min="5384" max="5384" width="9" style="450" customWidth="1"/>
    <col min="5385" max="5385" width="8.44140625" style="450" customWidth="1"/>
    <col min="5386" max="5386" width="7.44140625" style="450" bestFit="1" customWidth="1"/>
    <col min="5387" max="5387" width="20.33203125" style="450" customWidth="1"/>
    <col min="5388" max="5388" width="10.44140625" style="450" bestFit="1" customWidth="1"/>
    <col min="5389" max="5614" width="9.109375" style="450"/>
    <col min="5615" max="5615" width="5.44140625" style="450" customWidth="1"/>
    <col min="5616" max="5616" width="40.44140625" style="450" customWidth="1"/>
    <col min="5617" max="5631" width="0" style="450" hidden="1" customWidth="1"/>
    <col min="5632" max="5633" width="9.6640625" style="450" customWidth="1"/>
    <col min="5634" max="5634" width="8.6640625" style="450" customWidth="1"/>
    <col min="5635" max="5635" width="8.44140625" style="450" customWidth="1"/>
    <col min="5636" max="5636" width="9" style="450" customWidth="1"/>
    <col min="5637" max="5637" width="8.44140625" style="450" customWidth="1"/>
    <col min="5638" max="5638" width="9.33203125" style="450" customWidth="1"/>
    <col min="5639" max="5639" width="8.33203125" style="450" customWidth="1"/>
    <col min="5640" max="5640" width="9" style="450" customWidth="1"/>
    <col min="5641" max="5641" width="8.44140625" style="450" customWidth="1"/>
    <col min="5642" max="5642" width="7.44140625" style="450" bestFit="1" customWidth="1"/>
    <col min="5643" max="5643" width="20.33203125" style="450" customWidth="1"/>
    <col min="5644" max="5644" width="10.44140625" style="450" bestFit="1" customWidth="1"/>
    <col min="5645" max="5870" width="9.109375" style="450"/>
    <col min="5871" max="5871" width="5.44140625" style="450" customWidth="1"/>
    <col min="5872" max="5872" width="40.44140625" style="450" customWidth="1"/>
    <col min="5873" max="5887" width="0" style="450" hidden="1" customWidth="1"/>
    <col min="5888" max="5889" width="9.6640625" style="450" customWidth="1"/>
    <col min="5890" max="5890" width="8.6640625" style="450" customWidth="1"/>
    <col min="5891" max="5891" width="8.44140625" style="450" customWidth="1"/>
    <col min="5892" max="5892" width="9" style="450" customWidth="1"/>
    <col min="5893" max="5893" width="8.44140625" style="450" customWidth="1"/>
    <col min="5894" max="5894" width="9.33203125" style="450" customWidth="1"/>
    <col min="5895" max="5895" width="8.33203125" style="450" customWidth="1"/>
    <col min="5896" max="5896" width="9" style="450" customWidth="1"/>
    <col min="5897" max="5897" width="8.44140625" style="450" customWidth="1"/>
    <col min="5898" max="5898" width="7.44140625" style="450" bestFit="1" customWidth="1"/>
    <col min="5899" max="5899" width="20.33203125" style="450" customWidth="1"/>
    <col min="5900" max="5900" width="10.44140625" style="450" bestFit="1" customWidth="1"/>
    <col min="5901" max="6126" width="9.109375" style="450"/>
    <col min="6127" max="6127" width="5.44140625" style="450" customWidth="1"/>
    <col min="6128" max="6128" width="40.44140625" style="450" customWidth="1"/>
    <col min="6129" max="6143" width="0" style="450" hidden="1" customWidth="1"/>
    <col min="6144" max="6145" width="9.6640625" style="450" customWidth="1"/>
    <col min="6146" max="6146" width="8.6640625" style="450" customWidth="1"/>
    <col min="6147" max="6147" width="8.44140625" style="450" customWidth="1"/>
    <col min="6148" max="6148" width="9" style="450" customWidth="1"/>
    <col min="6149" max="6149" width="8.44140625" style="450" customWidth="1"/>
    <col min="6150" max="6150" width="9.33203125" style="450" customWidth="1"/>
    <col min="6151" max="6151" width="8.33203125" style="450" customWidth="1"/>
    <col min="6152" max="6152" width="9" style="450" customWidth="1"/>
    <col min="6153" max="6153" width="8.44140625" style="450" customWidth="1"/>
    <col min="6154" max="6154" width="7.44140625" style="450" bestFit="1" customWidth="1"/>
    <col min="6155" max="6155" width="20.33203125" style="450" customWidth="1"/>
    <col min="6156" max="6156" width="10.44140625" style="450" bestFit="1" customWidth="1"/>
    <col min="6157" max="6382" width="9.109375" style="450"/>
    <col min="6383" max="6383" width="5.44140625" style="450" customWidth="1"/>
    <col min="6384" max="6384" width="40.44140625" style="450" customWidth="1"/>
    <col min="6385" max="6399" width="0" style="450" hidden="1" customWidth="1"/>
    <col min="6400" max="6401" width="9.6640625" style="450" customWidth="1"/>
    <col min="6402" max="6402" width="8.6640625" style="450" customWidth="1"/>
    <col min="6403" max="6403" width="8.44140625" style="450" customWidth="1"/>
    <col min="6404" max="6404" width="9" style="450" customWidth="1"/>
    <col min="6405" max="6405" width="8.44140625" style="450" customWidth="1"/>
    <col min="6406" max="6406" width="9.33203125" style="450" customWidth="1"/>
    <col min="6407" max="6407" width="8.33203125" style="450" customWidth="1"/>
    <col min="6408" max="6408" width="9" style="450" customWidth="1"/>
    <col min="6409" max="6409" width="8.44140625" style="450" customWidth="1"/>
    <col min="6410" max="6410" width="7.44140625" style="450" bestFit="1" customWidth="1"/>
    <col min="6411" max="6411" width="20.33203125" style="450" customWidth="1"/>
    <col min="6412" max="6412" width="10.44140625" style="450" bestFit="1" customWidth="1"/>
    <col min="6413" max="6638" width="9.109375" style="450"/>
    <col min="6639" max="6639" width="5.44140625" style="450" customWidth="1"/>
    <col min="6640" max="6640" width="40.44140625" style="450" customWidth="1"/>
    <col min="6641" max="6655" width="0" style="450" hidden="1" customWidth="1"/>
    <col min="6656" max="6657" width="9.6640625" style="450" customWidth="1"/>
    <col min="6658" max="6658" width="8.6640625" style="450" customWidth="1"/>
    <col min="6659" max="6659" width="8.44140625" style="450" customWidth="1"/>
    <col min="6660" max="6660" width="9" style="450" customWidth="1"/>
    <col min="6661" max="6661" width="8.44140625" style="450" customWidth="1"/>
    <col min="6662" max="6662" width="9.33203125" style="450" customWidth="1"/>
    <col min="6663" max="6663" width="8.33203125" style="450" customWidth="1"/>
    <col min="6664" max="6664" width="9" style="450" customWidth="1"/>
    <col min="6665" max="6665" width="8.44140625" style="450" customWidth="1"/>
    <col min="6666" max="6666" width="7.44140625" style="450" bestFit="1" customWidth="1"/>
    <col min="6667" max="6667" width="20.33203125" style="450" customWidth="1"/>
    <col min="6668" max="6668" width="10.44140625" style="450" bestFit="1" customWidth="1"/>
    <col min="6669" max="6894" width="9.109375" style="450"/>
    <col min="6895" max="6895" width="5.44140625" style="450" customWidth="1"/>
    <col min="6896" max="6896" width="40.44140625" style="450" customWidth="1"/>
    <col min="6897" max="6911" width="0" style="450" hidden="1" customWidth="1"/>
    <col min="6912" max="6913" width="9.6640625" style="450" customWidth="1"/>
    <col min="6914" max="6914" width="8.6640625" style="450" customWidth="1"/>
    <col min="6915" max="6915" width="8.44140625" style="450" customWidth="1"/>
    <col min="6916" max="6916" width="9" style="450" customWidth="1"/>
    <col min="6917" max="6917" width="8.44140625" style="450" customWidth="1"/>
    <col min="6918" max="6918" width="9.33203125" style="450" customWidth="1"/>
    <col min="6919" max="6919" width="8.33203125" style="450" customWidth="1"/>
    <col min="6920" max="6920" width="9" style="450" customWidth="1"/>
    <col min="6921" max="6921" width="8.44140625" style="450" customWidth="1"/>
    <col min="6922" max="6922" width="7.44140625" style="450" bestFit="1" customWidth="1"/>
    <col min="6923" max="6923" width="20.33203125" style="450" customWidth="1"/>
    <col min="6924" max="6924" width="10.44140625" style="450" bestFit="1" customWidth="1"/>
    <col min="6925" max="7150" width="9.109375" style="450"/>
    <col min="7151" max="7151" width="5.44140625" style="450" customWidth="1"/>
    <col min="7152" max="7152" width="40.44140625" style="450" customWidth="1"/>
    <col min="7153" max="7167" width="0" style="450" hidden="1" customWidth="1"/>
    <col min="7168" max="7169" width="9.6640625" style="450" customWidth="1"/>
    <col min="7170" max="7170" width="8.6640625" style="450" customWidth="1"/>
    <col min="7171" max="7171" width="8.44140625" style="450" customWidth="1"/>
    <col min="7172" max="7172" width="9" style="450" customWidth="1"/>
    <col min="7173" max="7173" width="8.44140625" style="450" customWidth="1"/>
    <col min="7174" max="7174" width="9.33203125" style="450" customWidth="1"/>
    <col min="7175" max="7175" width="8.33203125" style="450" customWidth="1"/>
    <col min="7176" max="7176" width="9" style="450" customWidth="1"/>
    <col min="7177" max="7177" width="8.44140625" style="450" customWidth="1"/>
    <col min="7178" max="7178" width="7.44140625" style="450" bestFit="1" customWidth="1"/>
    <col min="7179" max="7179" width="20.33203125" style="450" customWidth="1"/>
    <col min="7180" max="7180" width="10.44140625" style="450" bestFit="1" customWidth="1"/>
    <col min="7181" max="7406" width="9.109375" style="450"/>
    <col min="7407" max="7407" width="5.44140625" style="450" customWidth="1"/>
    <col min="7408" max="7408" width="40.44140625" style="450" customWidth="1"/>
    <col min="7409" max="7423" width="0" style="450" hidden="1" customWidth="1"/>
    <col min="7424" max="7425" width="9.6640625" style="450" customWidth="1"/>
    <col min="7426" max="7426" width="8.6640625" style="450" customWidth="1"/>
    <col min="7427" max="7427" width="8.44140625" style="450" customWidth="1"/>
    <col min="7428" max="7428" width="9" style="450" customWidth="1"/>
    <col min="7429" max="7429" width="8.44140625" style="450" customWidth="1"/>
    <col min="7430" max="7430" width="9.33203125" style="450" customWidth="1"/>
    <col min="7431" max="7431" width="8.33203125" style="450" customWidth="1"/>
    <col min="7432" max="7432" width="9" style="450" customWidth="1"/>
    <col min="7433" max="7433" width="8.44140625" style="450" customWidth="1"/>
    <col min="7434" max="7434" width="7.44140625" style="450" bestFit="1" customWidth="1"/>
    <col min="7435" max="7435" width="20.33203125" style="450" customWidth="1"/>
    <col min="7436" max="7436" width="10.44140625" style="450" bestFit="1" customWidth="1"/>
    <col min="7437" max="7662" width="9.109375" style="450"/>
    <col min="7663" max="7663" width="5.44140625" style="450" customWidth="1"/>
    <col min="7664" max="7664" width="40.44140625" style="450" customWidth="1"/>
    <col min="7665" max="7679" width="0" style="450" hidden="1" customWidth="1"/>
    <col min="7680" max="7681" width="9.6640625" style="450" customWidth="1"/>
    <col min="7682" max="7682" width="8.6640625" style="450" customWidth="1"/>
    <col min="7683" max="7683" width="8.44140625" style="450" customWidth="1"/>
    <col min="7684" max="7684" width="9" style="450" customWidth="1"/>
    <col min="7685" max="7685" width="8.44140625" style="450" customWidth="1"/>
    <col min="7686" max="7686" width="9.33203125" style="450" customWidth="1"/>
    <col min="7687" max="7687" width="8.33203125" style="450" customWidth="1"/>
    <col min="7688" max="7688" width="9" style="450" customWidth="1"/>
    <col min="7689" max="7689" width="8.44140625" style="450" customWidth="1"/>
    <col min="7690" max="7690" width="7.44140625" style="450" bestFit="1" customWidth="1"/>
    <col min="7691" max="7691" width="20.33203125" style="450" customWidth="1"/>
    <col min="7692" max="7692" width="10.44140625" style="450" bestFit="1" customWidth="1"/>
    <col min="7693" max="7918" width="9.109375" style="450"/>
    <col min="7919" max="7919" width="5.44140625" style="450" customWidth="1"/>
    <col min="7920" max="7920" width="40.44140625" style="450" customWidth="1"/>
    <col min="7921" max="7935" width="0" style="450" hidden="1" customWidth="1"/>
    <col min="7936" max="7937" width="9.6640625" style="450" customWidth="1"/>
    <col min="7938" max="7938" width="8.6640625" style="450" customWidth="1"/>
    <col min="7939" max="7939" width="8.44140625" style="450" customWidth="1"/>
    <col min="7940" max="7940" width="9" style="450" customWidth="1"/>
    <col min="7941" max="7941" width="8.44140625" style="450" customWidth="1"/>
    <col min="7942" max="7942" width="9.33203125" style="450" customWidth="1"/>
    <col min="7943" max="7943" width="8.33203125" style="450" customWidth="1"/>
    <col min="7944" max="7944" width="9" style="450" customWidth="1"/>
    <col min="7945" max="7945" width="8.44140625" style="450" customWidth="1"/>
    <col min="7946" max="7946" width="7.44140625" style="450" bestFit="1" customWidth="1"/>
    <col min="7947" max="7947" width="20.33203125" style="450" customWidth="1"/>
    <col min="7948" max="7948" width="10.44140625" style="450" bestFit="1" customWidth="1"/>
    <col min="7949" max="8174" width="9.109375" style="450"/>
    <col min="8175" max="8175" width="5.44140625" style="450" customWidth="1"/>
    <col min="8176" max="8176" width="40.44140625" style="450" customWidth="1"/>
    <col min="8177" max="8191" width="0" style="450" hidden="1" customWidth="1"/>
    <col min="8192" max="8193" width="9.6640625" style="450" customWidth="1"/>
    <col min="8194" max="8194" width="8.6640625" style="450" customWidth="1"/>
    <col min="8195" max="8195" width="8.44140625" style="450" customWidth="1"/>
    <col min="8196" max="8196" width="9" style="450" customWidth="1"/>
    <col min="8197" max="8197" width="8.44140625" style="450" customWidth="1"/>
    <col min="8198" max="8198" width="9.33203125" style="450" customWidth="1"/>
    <col min="8199" max="8199" width="8.33203125" style="450" customWidth="1"/>
    <col min="8200" max="8200" width="9" style="450" customWidth="1"/>
    <col min="8201" max="8201" width="8.44140625" style="450" customWidth="1"/>
    <col min="8202" max="8202" width="7.44140625" style="450" bestFit="1" customWidth="1"/>
    <col min="8203" max="8203" width="20.33203125" style="450" customWidth="1"/>
    <col min="8204" max="8204" width="10.44140625" style="450" bestFit="1" customWidth="1"/>
    <col min="8205" max="8430" width="9.109375" style="450"/>
    <col min="8431" max="8431" width="5.44140625" style="450" customWidth="1"/>
    <col min="8432" max="8432" width="40.44140625" style="450" customWidth="1"/>
    <col min="8433" max="8447" width="0" style="450" hidden="1" customWidth="1"/>
    <col min="8448" max="8449" width="9.6640625" style="450" customWidth="1"/>
    <col min="8450" max="8450" width="8.6640625" style="450" customWidth="1"/>
    <col min="8451" max="8451" width="8.44140625" style="450" customWidth="1"/>
    <col min="8452" max="8452" width="9" style="450" customWidth="1"/>
    <col min="8453" max="8453" width="8.44140625" style="450" customWidth="1"/>
    <col min="8454" max="8454" width="9.33203125" style="450" customWidth="1"/>
    <col min="8455" max="8455" width="8.33203125" style="450" customWidth="1"/>
    <col min="8456" max="8456" width="9" style="450" customWidth="1"/>
    <col min="8457" max="8457" width="8.44140625" style="450" customWidth="1"/>
    <col min="8458" max="8458" width="7.44140625" style="450" bestFit="1" customWidth="1"/>
    <col min="8459" max="8459" width="20.33203125" style="450" customWidth="1"/>
    <col min="8460" max="8460" width="10.44140625" style="450" bestFit="1" customWidth="1"/>
    <col min="8461" max="8686" width="9.109375" style="450"/>
    <col min="8687" max="8687" width="5.44140625" style="450" customWidth="1"/>
    <col min="8688" max="8688" width="40.44140625" style="450" customWidth="1"/>
    <col min="8689" max="8703" width="0" style="450" hidden="1" customWidth="1"/>
    <col min="8704" max="8705" width="9.6640625" style="450" customWidth="1"/>
    <col min="8706" max="8706" width="8.6640625" style="450" customWidth="1"/>
    <col min="8707" max="8707" width="8.44140625" style="450" customWidth="1"/>
    <col min="8708" max="8708" width="9" style="450" customWidth="1"/>
    <col min="8709" max="8709" width="8.44140625" style="450" customWidth="1"/>
    <col min="8710" max="8710" width="9.33203125" style="450" customWidth="1"/>
    <col min="8711" max="8711" width="8.33203125" style="450" customWidth="1"/>
    <col min="8712" max="8712" width="9" style="450" customWidth="1"/>
    <col min="8713" max="8713" width="8.44140625" style="450" customWidth="1"/>
    <col min="8714" max="8714" width="7.44140625" style="450" bestFit="1" customWidth="1"/>
    <col min="8715" max="8715" width="20.33203125" style="450" customWidth="1"/>
    <col min="8716" max="8716" width="10.44140625" style="450" bestFit="1" customWidth="1"/>
    <col min="8717" max="8942" width="9.109375" style="450"/>
    <col min="8943" max="8943" width="5.44140625" style="450" customWidth="1"/>
    <col min="8944" max="8944" width="40.44140625" style="450" customWidth="1"/>
    <col min="8945" max="8959" width="0" style="450" hidden="1" customWidth="1"/>
    <col min="8960" max="8961" width="9.6640625" style="450" customWidth="1"/>
    <col min="8962" max="8962" width="8.6640625" style="450" customWidth="1"/>
    <col min="8963" max="8963" width="8.44140625" style="450" customWidth="1"/>
    <col min="8964" max="8964" width="9" style="450" customWidth="1"/>
    <col min="8965" max="8965" width="8.44140625" style="450" customWidth="1"/>
    <col min="8966" max="8966" width="9.33203125" style="450" customWidth="1"/>
    <col min="8967" max="8967" width="8.33203125" style="450" customWidth="1"/>
    <col min="8968" max="8968" width="9" style="450" customWidth="1"/>
    <col min="8969" max="8969" width="8.44140625" style="450" customWidth="1"/>
    <col min="8970" max="8970" width="7.44140625" style="450" bestFit="1" customWidth="1"/>
    <col min="8971" max="8971" width="20.33203125" style="450" customWidth="1"/>
    <col min="8972" max="8972" width="10.44140625" style="450" bestFit="1" customWidth="1"/>
    <col min="8973" max="9198" width="9.109375" style="450"/>
    <col min="9199" max="9199" width="5.44140625" style="450" customWidth="1"/>
    <col min="9200" max="9200" width="40.44140625" style="450" customWidth="1"/>
    <col min="9201" max="9215" width="0" style="450" hidden="1" customWidth="1"/>
    <col min="9216" max="9217" width="9.6640625" style="450" customWidth="1"/>
    <col min="9218" max="9218" width="8.6640625" style="450" customWidth="1"/>
    <col min="9219" max="9219" width="8.44140625" style="450" customWidth="1"/>
    <col min="9220" max="9220" width="9" style="450" customWidth="1"/>
    <col min="9221" max="9221" width="8.44140625" style="450" customWidth="1"/>
    <col min="9222" max="9222" width="9.33203125" style="450" customWidth="1"/>
    <col min="9223" max="9223" width="8.33203125" style="450" customWidth="1"/>
    <col min="9224" max="9224" width="9" style="450" customWidth="1"/>
    <col min="9225" max="9225" width="8.44140625" style="450" customWidth="1"/>
    <col min="9226" max="9226" width="7.44140625" style="450" bestFit="1" customWidth="1"/>
    <col min="9227" max="9227" width="20.33203125" style="450" customWidth="1"/>
    <col min="9228" max="9228" width="10.44140625" style="450" bestFit="1" customWidth="1"/>
    <col min="9229" max="9454" width="9.109375" style="450"/>
    <col min="9455" max="9455" width="5.44140625" style="450" customWidth="1"/>
    <col min="9456" max="9456" width="40.44140625" style="450" customWidth="1"/>
    <col min="9457" max="9471" width="0" style="450" hidden="1" customWidth="1"/>
    <col min="9472" max="9473" width="9.6640625" style="450" customWidth="1"/>
    <col min="9474" max="9474" width="8.6640625" style="450" customWidth="1"/>
    <col min="9475" max="9475" width="8.44140625" style="450" customWidth="1"/>
    <col min="9476" max="9476" width="9" style="450" customWidth="1"/>
    <col min="9477" max="9477" width="8.44140625" style="450" customWidth="1"/>
    <col min="9478" max="9478" width="9.33203125" style="450" customWidth="1"/>
    <col min="9479" max="9479" width="8.33203125" style="450" customWidth="1"/>
    <col min="9480" max="9480" width="9" style="450" customWidth="1"/>
    <col min="9481" max="9481" width="8.44140625" style="450" customWidth="1"/>
    <col min="9482" max="9482" width="7.44140625" style="450" bestFit="1" customWidth="1"/>
    <col min="9483" max="9483" width="20.33203125" style="450" customWidth="1"/>
    <col min="9484" max="9484" width="10.44140625" style="450" bestFit="1" customWidth="1"/>
    <col min="9485" max="9710" width="9.109375" style="450"/>
    <col min="9711" max="9711" width="5.44140625" style="450" customWidth="1"/>
    <col min="9712" max="9712" width="40.44140625" style="450" customWidth="1"/>
    <col min="9713" max="9727" width="0" style="450" hidden="1" customWidth="1"/>
    <col min="9728" max="9729" width="9.6640625" style="450" customWidth="1"/>
    <col min="9730" max="9730" width="8.6640625" style="450" customWidth="1"/>
    <col min="9731" max="9731" width="8.44140625" style="450" customWidth="1"/>
    <col min="9732" max="9732" width="9" style="450" customWidth="1"/>
    <col min="9733" max="9733" width="8.44140625" style="450" customWidth="1"/>
    <col min="9734" max="9734" width="9.33203125" style="450" customWidth="1"/>
    <col min="9735" max="9735" width="8.33203125" style="450" customWidth="1"/>
    <col min="9736" max="9736" width="9" style="450" customWidth="1"/>
    <col min="9737" max="9737" width="8.44140625" style="450" customWidth="1"/>
    <col min="9738" max="9738" width="7.44140625" style="450" bestFit="1" customWidth="1"/>
    <col min="9739" max="9739" width="20.33203125" style="450" customWidth="1"/>
    <col min="9740" max="9740" width="10.44140625" style="450" bestFit="1" customWidth="1"/>
    <col min="9741" max="9966" width="9.109375" style="450"/>
    <col min="9967" max="9967" width="5.44140625" style="450" customWidth="1"/>
    <col min="9968" max="9968" width="40.44140625" style="450" customWidth="1"/>
    <col min="9969" max="9983" width="0" style="450" hidden="1" customWidth="1"/>
    <col min="9984" max="9985" width="9.6640625" style="450" customWidth="1"/>
    <col min="9986" max="9986" width="8.6640625" style="450" customWidth="1"/>
    <col min="9987" max="9987" width="8.44140625" style="450" customWidth="1"/>
    <col min="9988" max="9988" width="9" style="450" customWidth="1"/>
    <col min="9989" max="9989" width="8.44140625" style="450" customWidth="1"/>
    <col min="9990" max="9990" width="9.33203125" style="450" customWidth="1"/>
    <col min="9991" max="9991" width="8.33203125" style="450" customWidth="1"/>
    <col min="9992" max="9992" width="9" style="450" customWidth="1"/>
    <col min="9993" max="9993" width="8.44140625" style="450" customWidth="1"/>
    <col min="9994" max="9994" width="7.44140625" style="450" bestFit="1" customWidth="1"/>
    <col min="9995" max="9995" width="20.33203125" style="450" customWidth="1"/>
    <col min="9996" max="9996" width="10.44140625" style="450" bestFit="1" customWidth="1"/>
    <col min="9997" max="10222" width="9.109375" style="450"/>
    <col min="10223" max="10223" width="5.44140625" style="450" customWidth="1"/>
    <col min="10224" max="10224" width="40.44140625" style="450" customWidth="1"/>
    <col min="10225" max="10239" width="0" style="450" hidden="1" customWidth="1"/>
    <col min="10240" max="10241" width="9.6640625" style="450" customWidth="1"/>
    <col min="10242" max="10242" width="8.6640625" style="450" customWidth="1"/>
    <col min="10243" max="10243" width="8.44140625" style="450" customWidth="1"/>
    <col min="10244" max="10244" width="9" style="450" customWidth="1"/>
    <col min="10245" max="10245" width="8.44140625" style="450" customWidth="1"/>
    <col min="10246" max="10246" width="9.33203125" style="450" customWidth="1"/>
    <col min="10247" max="10247" width="8.33203125" style="450" customWidth="1"/>
    <col min="10248" max="10248" width="9" style="450" customWidth="1"/>
    <col min="10249" max="10249" width="8.44140625" style="450" customWidth="1"/>
    <col min="10250" max="10250" width="7.44140625" style="450" bestFit="1" customWidth="1"/>
    <col min="10251" max="10251" width="20.33203125" style="450" customWidth="1"/>
    <col min="10252" max="10252" width="10.44140625" style="450" bestFit="1" customWidth="1"/>
    <col min="10253" max="10478" width="9.109375" style="450"/>
    <col min="10479" max="10479" width="5.44140625" style="450" customWidth="1"/>
    <col min="10480" max="10480" width="40.44140625" style="450" customWidth="1"/>
    <col min="10481" max="10495" width="0" style="450" hidden="1" customWidth="1"/>
    <col min="10496" max="10497" width="9.6640625" style="450" customWidth="1"/>
    <col min="10498" max="10498" width="8.6640625" style="450" customWidth="1"/>
    <col min="10499" max="10499" width="8.44140625" style="450" customWidth="1"/>
    <col min="10500" max="10500" width="9" style="450" customWidth="1"/>
    <col min="10501" max="10501" width="8.44140625" style="450" customWidth="1"/>
    <col min="10502" max="10502" width="9.33203125" style="450" customWidth="1"/>
    <col min="10503" max="10503" width="8.33203125" style="450" customWidth="1"/>
    <col min="10504" max="10504" width="9" style="450" customWidth="1"/>
    <col min="10505" max="10505" width="8.44140625" style="450" customWidth="1"/>
    <col min="10506" max="10506" width="7.44140625" style="450" bestFit="1" customWidth="1"/>
    <col min="10507" max="10507" width="20.33203125" style="450" customWidth="1"/>
    <col min="10508" max="10508" width="10.44140625" style="450" bestFit="1" customWidth="1"/>
    <col min="10509" max="10734" width="9.109375" style="450"/>
    <col min="10735" max="10735" width="5.44140625" style="450" customWidth="1"/>
    <col min="10736" max="10736" width="40.44140625" style="450" customWidth="1"/>
    <col min="10737" max="10751" width="0" style="450" hidden="1" customWidth="1"/>
    <col min="10752" max="10753" width="9.6640625" style="450" customWidth="1"/>
    <col min="10754" max="10754" width="8.6640625" style="450" customWidth="1"/>
    <col min="10755" max="10755" width="8.44140625" style="450" customWidth="1"/>
    <col min="10756" max="10756" width="9" style="450" customWidth="1"/>
    <col min="10757" max="10757" width="8.44140625" style="450" customWidth="1"/>
    <col min="10758" max="10758" width="9.33203125" style="450" customWidth="1"/>
    <col min="10759" max="10759" width="8.33203125" style="450" customWidth="1"/>
    <col min="10760" max="10760" width="9" style="450" customWidth="1"/>
    <col min="10761" max="10761" width="8.44140625" style="450" customWidth="1"/>
    <col min="10762" max="10762" width="7.44140625" style="450" bestFit="1" customWidth="1"/>
    <col min="10763" max="10763" width="20.33203125" style="450" customWidth="1"/>
    <col min="10764" max="10764" width="10.44140625" style="450" bestFit="1" customWidth="1"/>
    <col min="10765" max="10990" width="9.109375" style="450"/>
    <col min="10991" max="10991" width="5.44140625" style="450" customWidth="1"/>
    <col min="10992" max="10992" width="40.44140625" style="450" customWidth="1"/>
    <col min="10993" max="11007" width="0" style="450" hidden="1" customWidth="1"/>
    <col min="11008" max="11009" width="9.6640625" style="450" customWidth="1"/>
    <col min="11010" max="11010" width="8.6640625" style="450" customWidth="1"/>
    <col min="11011" max="11011" width="8.44140625" style="450" customWidth="1"/>
    <col min="11012" max="11012" width="9" style="450" customWidth="1"/>
    <col min="11013" max="11013" width="8.44140625" style="450" customWidth="1"/>
    <col min="11014" max="11014" width="9.33203125" style="450" customWidth="1"/>
    <col min="11015" max="11015" width="8.33203125" style="450" customWidth="1"/>
    <col min="11016" max="11016" width="9" style="450" customWidth="1"/>
    <col min="11017" max="11017" width="8.44140625" style="450" customWidth="1"/>
    <col min="11018" max="11018" width="7.44140625" style="450" bestFit="1" customWidth="1"/>
    <col min="11019" max="11019" width="20.33203125" style="450" customWidth="1"/>
    <col min="11020" max="11020" width="10.44140625" style="450" bestFit="1" customWidth="1"/>
    <col min="11021" max="11246" width="9.109375" style="450"/>
    <col min="11247" max="11247" width="5.44140625" style="450" customWidth="1"/>
    <col min="11248" max="11248" width="40.44140625" style="450" customWidth="1"/>
    <col min="11249" max="11263" width="0" style="450" hidden="1" customWidth="1"/>
    <col min="11264" max="11265" width="9.6640625" style="450" customWidth="1"/>
    <col min="11266" max="11266" width="8.6640625" style="450" customWidth="1"/>
    <col min="11267" max="11267" width="8.44140625" style="450" customWidth="1"/>
    <col min="11268" max="11268" width="9" style="450" customWidth="1"/>
    <col min="11269" max="11269" width="8.44140625" style="450" customWidth="1"/>
    <col min="11270" max="11270" width="9.33203125" style="450" customWidth="1"/>
    <col min="11271" max="11271" width="8.33203125" style="450" customWidth="1"/>
    <col min="11272" max="11272" width="9" style="450" customWidth="1"/>
    <col min="11273" max="11273" width="8.44140625" style="450" customWidth="1"/>
    <col min="11274" max="11274" width="7.44140625" style="450" bestFit="1" customWidth="1"/>
    <col min="11275" max="11275" width="20.33203125" style="450" customWidth="1"/>
    <col min="11276" max="11276" width="10.44140625" style="450" bestFit="1" customWidth="1"/>
    <col min="11277" max="11502" width="9.109375" style="450"/>
    <col min="11503" max="11503" width="5.44140625" style="450" customWidth="1"/>
    <col min="11504" max="11504" width="40.44140625" style="450" customWidth="1"/>
    <col min="11505" max="11519" width="0" style="450" hidden="1" customWidth="1"/>
    <col min="11520" max="11521" width="9.6640625" style="450" customWidth="1"/>
    <col min="11522" max="11522" width="8.6640625" style="450" customWidth="1"/>
    <col min="11523" max="11523" width="8.44140625" style="450" customWidth="1"/>
    <col min="11524" max="11524" width="9" style="450" customWidth="1"/>
    <col min="11525" max="11525" width="8.44140625" style="450" customWidth="1"/>
    <col min="11526" max="11526" width="9.33203125" style="450" customWidth="1"/>
    <col min="11527" max="11527" width="8.33203125" style="450" customWidth="1"/>
    <col min="11528" max="11528" width="9" style="450" customWidth="1"/>
    <col min="11529" max="11529" width="8.44140625" style="450" customWidth="1"/>
    <col min="11530" max="11530" width="7.44140625" style="450" bestFit="1" customWidth="1"/>
    <col min="11531" max="11531" width="20.33203125" style="450" customWidth="1"/>
    <col min="11532" max="11532" width="10.44140625" style="450" bestFit="1" customWidth="1"/>
    <col min="11533" max="11758" width="9.109375" style="450"/>
    <col min="11759" max="11759" width="5.44140625" style="450" customWidth="1"/>
    <col min="11760" max="11760" width="40.44140625" style="450" customWidth="1"/>
    <col min="11761" max="11775" width="0" style="450" hidden="1" customWidth="1"/>
    <col min="11776" max="11777" width="9.6640625" style="450" customWidth="1"/>
    <col min="11778" max="11778" width="8.6640625" style="450" customWidth="1"/>
    <col min="11779" max="11779" width="8.44140625" style="450" customWidth="1"/>
    <col min="11780" max="11780" width="9" style="450" customWidth="1"/>
    <col min="11781" max="11781" width="8.44140625" style="450" customWidth="1"/>
    <col min="11782" max="11782" width="9.33203125" style="450" customWidth="1"/>
    <col min="11783" max="11783" width="8.33203125" style="450" customWidth="1"/>
    <col min="11784" max="11784" width="9" style="450" customWidth="1"/>
    <col min="11785" max="11785" width="8.44140625" style="450" customWidth="1"/>
    <col min="11786" max="11786" width="7.44140625" style="450" bestFit="1" customWidth="1"/>
    <col min="11787" max="11787" width="20.33203125" style="450" customWidth="1"/>
    <col min="11788" max="11788" width="10.44140625" style="450" bestFit="1" customWidth="1"/>
    <col min="11789" max="12014" width="9.109375" style="450"/>
    <col min="12015" max="12015" width="5.44140625" style="450" customWidth="1"/>
    <col min="12016" max="12016" width="40.44140625" style="450" customWidth="1"/>
    <col min="12017" max="12031" width="0" style="450" hidden="1" customWidth="1"/>
    <col min="12032" max="12033" width="9.6640625" style="450" customWidth="1"/>
    <col min="12034" max="12034" width="8.6640625" style="450" customWidth="1"/>
    <col min="12035" max="12035" width="8.44140625" style="450" customWidth="1"/>
    <col min="12036" max="12036" width="9" style="450" customWidth="1"/>
    <col min="12037" max="12037" width="8.44140625" style="450" customWidth="1"/>
    <col min="12038" max="12038" width="9.33203125" style="450" customWidth="1"/>
    <col min="12039" max="12039" width="8.33203125" style="450" customWidth="1"/>
    <col min="12040" max="12040" width="9" style="450" customWidth="1"/>
    <col min="12041" max="12041" width="8.44140625" style="450" customWidth="1"/>
    <col min="12042" max="12042" width="7.44140625" style="450" bestFit="1" customWidth="1"/>
    <col min="12043" max="12043" width="20.33203125" style="450" customWidth="1"/>
    <col min="12044" max="12044" width="10.44140625" style="450" bestFit="1" customWidth="1"/>
    <col min="12045" max="12270" width="9.109375" style="450"/>
    <col min="12271" max="12271" width="5.44140625" style="450" customWidth="1"/>
    <col min="12272" max="12272" width="40.44140625" style="450" customWidth="1"/>
    <col min="12273" max="12287" width="0" style="450" hidden="1" customWidth="1"/>
    <col min="12288" max="12289" width="9.6640625" style="450" customWidth="1"/>
    <col min="12290" max="12290" width="8.6640625" style="450" customWidth="1"/>
    <col min="12291" max="12291" width="8.44140625" style="450" customWidth="1"/>
    <col min="12292" max="12292" width="9" style="450" customWidth="1"/>
    <col min="12293" max="12293" width="8.44140625" style="450" customWidth="1"/>
    <col min="12294" max="12294" width="9.33203125" style="450" customWidth="1"/>
    <col min="12295" max="12295" width="8.33203125" style="450" customWidth="1"/>
    <col min="12296" max="12296" width="9" style="450" customWidth="1"/>
    <col min="12297" max="12297" width="8.44140625" style="450" customWidth="1"/>
    <col min="12298" max="12298" width="7.44140625" style="450" bestFit="1" customWidth="1"/>
    <col min="12299" max="12299" width="20.33203125" style="450" customWidth="1"/>
    <col min="12300" max="12300" width="10.44140625" style="450" bestFit="1" customWidth="1"/>
    <col min="12301" max="12526" width="9.109375" style="450"/>
    <col min="12527" max="12527" width="5.44140625" style="450" customWidth="1"/>
    <col min="12528" max="12528" width="40.44140625" style="450" customWidth="1"/>
    <col min="12529" max="12543" width="0" style="450" hidden="1" customWidth="1"/>
    <col min="12544" max="12545" width="9.6640625" style="450" customWidth="1"/>
    <col min="12546" max="12546" width="8.6640625" style="450" customWidth="1"/>
    <col min="12547" max="12547" width="8.44140625" style="450" customWidth="1"/>
    <col min="12548" max="12548" width="9" style="450" customWidth="1"/>
    <col min="12549" max="12549" width="8.44140625" style="450" customWidth="1"/>
    <col min="12550" max="12550" width="9.33203125" style="450" customWidth="1"/>
    <col min="12551" max="12551" width="8.33203125" style="450" customWidth="1"/>
    <col min="12552" max="12552" width="9" style="450" customWidth="1"/>
    <col min="12553" max="12553" width="8.44140625" style="450" customWidth="1"/>
    <col min="12554" max="12554" width="7.44140625" style="450" bestFit="1" customWidth="1"/>
    <col min="12555" max="12555" width="20.33203125" style="450" customWidth="1"/>
    <col min="12556" max="12556" width="10.44140625" style="450" bestFit="1" customWidth="1"/>
    <col min="12557" max="12782" width="9.109375" style="450"/>
    <col min="12783" max="12783" width="5.44140625" style="450" customWidth="1"/>
    <col min="12784" max="12784" width="40.44140625" style="450" customWidth="1"/>
    <col min="12785" max="12799" width="0" style="450" hidden="1" customWidth="1"/>
    <col min="12800" max="12801" width="9.6640625" style="450" customWidth="1"/>
    <col min="12802" max="12802" width="8.6640625" style="450" customWidth="1"/>
    <col min="12803" max="12803" width="8.44140625" style="450" customWidth="1"/>
    <col min="12804" max="12804" width="9" style="450" customWidth="1"/>
    <col min="12805" max="12805" width="8.44140625" style="450" customWidth="1"/>
    <col min="12806" max="12806" width="9.33203125" style="450" customWidth="1"/>
    <col min="12807" max="12807" width="8.33203125" style="450" customWidth="1"/>
    <col min="12808" max="12808" width="9" style="450" customWidth="1"/>
    <col min="12809" max="12809" width="8.44140625" style="450" customWidth="1"/>
    <col min="12810" max="12810" width="7.44140625" style="450" bestFit="1" customWidth="1"/>
    <col min="12811" max="12811" width="20.33203125" style="450" customWidth="1"/>
    <col min="12812" max="12812" width="10.44140625" style="450" bestFit="1" customWidth="1"/>
    <col min="12813" max="13038" width="9.109375" style="450"/>
    <col min="13039" max="13039" width="5.44140625" style="450" customWidth="1"/>
    <col min="13040" max="13040" width="40.44140625" style="450" customWidth="1"/>
    <col min="13041" max="13055" width="0" style="450" hidden="1" customWidth="1"/>
    <col min="13056" max="13057" width="9.6640625" style="450" customWidth="1"/>
    <col min="13058" max="13058" width="8.6640625" style="450" customWidth="1"/>
    <col min="13059" max="13059" width="8.44140625" style="450" customWidth="1"/>
    <col min="13060" max="13060" width="9" style="450" customWidth="1"/>
    <col min="13061" max="13061" width="8.44140625" style="450" customWidth="1"/>
    <col min="13062" max="13062" width="9.33203125" style="450" customWidth="1"/>
    <col min="13063" max="13063" width="8.33203125" style="450" customWidth="1"/>
    <col min="13064" max="13064" width="9" style="450" customWidth="1"/>
    <col min="13065" max="13065" width="8.44140625" style="450" customWidth="1"/>
    <col min="13066" max="13066" width="7.44140625" style="450" bestFit="1" customWidth="1"/>
    <col min="13067" max="13067" width="20.33203125" style="450" customWidth="1"/>
    <col min="13068" max="13068" width="10.44140625" style="450" bestFit="1" customWidth="1"/>
    <col min="13069" max="13294" width="9.109375" style="450"/>
    <col min="13295" max="13295" width="5.44140625" style="450" customWidth="1"/>
    <col min="13296" max="13296" width="40.44140625" style="450" customWidth="1"/>
    <col min="13297" max="13311" width="0" style="450" hidden="1" customWidth="1"/>
    <col min="13312" max="13313" width="9.6640625" style="450" customWidth="1"/>
    <col min="13314" max="13314" width="8.6640625" style="450" customWidth="1"/>
    <col min="13315" max="13315" width="8.44140625" style="450" customWidth="1"/>
    <col min="13316" max="13316" width="9" style="450" customWidth="1"/>
    <col min="13317" max="13317" width="8.44140625" style="450" customWidth="1"/>
    <col min="13318" max="13318" width="9.33203125" style="450" customWidth="1"/>
    <col min="13319" max="13319" width="8.33203125" style="450" customWidth="1"/>
    <col min="13320" max="13320" width="9" style="450" customWidth="1"/>
    <col min="13321" max="13321" width="8.44140625" style="450" customWidth="1"/>
    <col min="13322" max="13322" width="7.44140625" style="450" bestFit="1" customWidth="1"/>
    <col min="13323" max="13323" width="20.33203125" style="450" customWidth="1"/>
    <col min="13324" max="13324" width="10.44140625" style="450" bestFit="1" customWidth="1"/>
    <col min="13325" max="13550" width="9.109375" style="450"/>
    <col min="13551" max="13551" width="5.44140625" style="450" customWidth="1"/>
    <col min="13552" max="13552" width="40.44140625" style="450" customWidth="1"/>
    <col min="13553" max="13567" width="0" style="450" hidden="1" customWidth="1"/>
    <col min="13568" max="13569" width="9.6640625" style="450" customWidth="1"/>
    <col min="13570" max="13570" width="8.6640625" style="450" customWidth="1"/>
    <col min="13571" max="13571" width="8.44140625" style="450" customWidth="1"/>
    <col min="13572" max="13572" width="9" style="450" customWidth="1"/>
    <col min="13573" max="13573" width="8.44140625" style="450" customWidth="1"/>
    <col min="13574" max="13574" width="9.33203125" style="450" customWidth="1"/>
    <col min="13575" max="13575" width="8.33203125" style="450" customWidth="1"/>
    <col min="13576" max="13576" width="9" style="450" customWidth="1"/>
    <col min="13577" max="13577" width="8.44140625" style="450" customWidth="1"/>
    <col min="13578" max="13578" width="7.44140625" style="450" bestFit="1" customWidth="1"/>
    <col min="13579" max="13579" width="20.33203125" style="450" customWidth="1"/>
    <col min="13580" max="13580" width="10.44140625" style="450" bestFit="1" customWidth="1"/>
    <col min="13581" max="13806" width="9.109375" style="450"/>
    <col min="13807" max="13807" width="5.44140625" style="450" customWidth="1"/>
    <col min="13808" max="13808" width="40.44140625" style="450" customWidth="1"/>
    <col min="13809" max="13823" width="0" style="450" hidden="1" customWidth="1"/>
    <col min="13824" max="13825" width="9.6640625" style="450" customWidth="1"/>
    <col min="13826" max="13826" width="8.6640625" style="450" customWidth="1"/>
    <col min="13827" max="13827" width="8.44140625" style="450" customWidth="1"/>
    <col min="13828" max="13828" width="9" style="450" customWidth="1"/>
    <col min="13829" max="13829" width="8.44140625" style="450" customWidth="1"/>
    <col min="13830" max="13830" width="9.33203125" style="450" customWidth="1"/>
    <col min="13831" max="13831" width="8.33203125" style="450" customWidth="1"/>
    <col min="13832" max="13832" width="9" style="450" customWidth="1"/>
    <col min="13833" max="13833" width="8.44140625" style="450" customWidth="1"/>
    <col min="13834" max="13834" width="7.44140625" style="450" bestFit="1" customWidth="1"/>
    <col min="13835" max="13835" width="20.33203125" style="450" customWidth="1"/>
    <col min="13836" max="13836" width="10.44140625" style="450" bestFit="1" customWidth="1"/>
    <col min="13837" max="14062" width="9.109375" style="450"/>
    <col min="14063" max="14063" width="5.44140625" style="450" customWidth="1"/>
    <col min="14064" max="14064" width="40.44140625" style="450" customWidth="1"/>
    <col min="14065" max="14079" width="0" style="450" hidden="1" customWidth="1"/>
    <col min="14080" max="14081" width="9.6640625" style="450" customWidth="1"/>
    <col min="14082" max="14082" width="8.6640625" style="450" customWidth="1"/>
    <col min="14083" max="14083" width="8.44140625" style="450" customWidth="1"/>
    <col min="14084" max="14084" width="9" style="450" customWidth="1"/>
    <col min="14085" max="14085" width="8.44140625" style="450" customWidth="1"/>
    <col min="14086" max="14086" width="9.33203125" style="450" customWidth="1"/>
    <col min="14087" max="14087" width="8.33203125" style="450" customWidth="1"/>
    <col min="14088" max="14088" width="9" style="450" customWidth="1"/>
    <col min="14089" max="14089" width="8.44140625" style="450" customWidth="1"/>
    <col min="14090" max="14090" width="7.44140625" style="450" bestFit="1" customWidth="1"/>
    <col min="14091" max="14091" width="20.33203125" style="450" customWidth="1"/>
    <col min="14092" max="14092" width="10.44140625" style="450" bestFit="1" customWidth="1"/>
    <col min="14093" max="14318" width="9.109375" style="450"/>
    <col min="14319" max="14319" width="5.44140625" style="450" customWidth="1"/>
    <col min="14320" max="14320" width="40.44140625" style="450" customWidth="1"/>
    <col min="14321" max="14335" width="0" style="450" hidden="1" customWidth="1"/>
    <col min="14336" max="14337" width="9.6640625" style="450" customWidth="1"/>
    <col min="14338" max="14338" width="8.6640625" style="450" customWidth="1"/>
    <col min="14339" max="14339" width="8.44140625" style="450" customWidth="1"/>
    <col min="14340" max="14340" width="9" style="450" customWidth="1"/>
    <col min="14341" max="14341" width="8.44140625" style="450" customWidth="1"/>
    <col min="14342" max="14342" width="9.33203125" style="450" customWidth="1"/>
    <col min="14343" max="14343" width="8.33203125" style="450" customWidth="1"/>
    <col min="14344" max="14344" width="9" style="450" customWidth="1"/>
    <col min="14345" max="14345" width="8.44140625" style="450" customWidth="1"/>
    <col min="14346" max="14346" width="7.44140625" style="450" bestFit="1" customWidth="1"/>
    <col min="14347" max="14347" width="20.33203125" style="450" customWidth="1"/>
    <col min="14348" max="14348" width="10.44140625" style="450" bestFit="1" customWidth="1"/>
    <col min="14349" max="14574" width="9.109375" style="450"/>
    <col min="14575" max="14575" width="5.44140625" style="450" customWidth="1"/>
    <col min="14576" max="14576" width="40.44140625" style="450" customWidth="1"/>
    <col min="14577" max="14591" width="0" style="450" hidden="1" customWidth="1"/>
    <col min="14592" max="14593" width="9.6640625" style="450" customWidth="1"/>
    <col min="14594" max="14594" width="8.6640625" style="450" customWidth="1"/>
    <col min="14595" max="14595" width="8.44140625" style="450" customWidth="1"/>
    <col min="14596" max="14596" width="9" style="450" customWidth="1"/>
    <col min="14597" max="14597" width="8.44140625" style="450" customWidth="1"/>
    <col min="14598" max="14598" width="9.33203125" style="450" customWidth="1"/>
    <col min="14599" max="14599" width="8.33203125" style="450" customWidth="1"/>
    <col min="14600" max="14600" width="9" style="450" customWidth="1"/>
    <col min="14601" max="14601" width="8.44140625" style="450" customWidth="1"/>
    <col min="14602" max="14602" width="7.44140625" style="450" bestFit="1" customWidth="1"/>
    <col min="14603" max="14603" width="20.33203125" style="450" customWidth="1"/>
    <col min="14604" max="14604" width="10.44140625" style="450" bestFit="1" customWidth="1"/>
    <col min="14605" max="14830" width="9.109375" style="450"/>
    <col min="14831" max="14831" width="5.44140625" style="450" customWidth="1"/>
    <col min="14832" max="14832" width="40.44140625" style="450" customWidth="1"/>
    <col min="14833" max="14847" width="0" style="450" hidden="1" customWidth="1"/>
    <col min="14848" max="14849" width="9.6640625" style="450" customWidth="1"/>
    <col min="14850" max="14850" width="8.6640625" style="450" customWidth="1"/>
    <col min="14851" max="14851" width="8.44140625" style="450" customWidth="1"/>
    <col min="14852" max="14852" width="9" style="450" customWidth="1"/>
    <col min="14853" max="14853" width="8.44140625" style="450" customWidth="1"/>
    <col min="14854" max="14854" width="9.33203125" style="450" customWidth="1"/>
    <col min="14855" max="14855" width="8.33203125" style="450" customWidth="1"/>
    <col min="14856" max="14856" width="9" style="450" customWidth="1"/>
    <col min="14857" max="14857" width="8.44140625" style="450" customWidth="1"/>
    <col min="14858" max="14858" width="7.44140625" style="450" bestFit="1" customWidth="1"/>
    <col min="14859" max="14859" width="20.33203125" style="450" customWidth="1"/>
    <col min="14860" max="14860" width="10.44140625" style="450" bestFit="1" customWidth="1"/>
    <col min="14861" max="15086" width="9.109375" style="450"/>
    <col min="15087" max="15087" width="5.44140625" style="450" customWidth="1"/>
    <col min="15088" max="15088" width="40.44140625" style="450" customWidth="1"/>
    <col min="15089" max="15103" width="0" style="450" hidden="1" customWidth="1"/>
    <col min="15104" max="15105" width="9.6640625" style="450" customWidth="1"/>
    <col min="15106" max="15106" width="8.6640625" style="450" customWidth="1"/>
    <col min="15107" max="15107" width="8.44140625" style="450" customWidth="1"/>
    <col min="15108" max="15108" width="9" style="450" customWidth="1"/>
    <col min="15109" max="15109" width="8.44140625" style="450" customWidth="1"/>
    <col min="15110" max="15110" width="9.33203125" style="450" customWidth="1"/>
    <col min="15111" max="15111" width="8.33203125" style="450" customWidth="1"/>
    <col min="15112" max="15112" width="9" style="450" customWidth="1"/>
    <col min="15113" max="15113" width="8.44140625" style="450" customWidth="1"/>
    <col min="15114" max="15114" width="7.44140625" style="450" bestFit="1" customWidth="1"/>
    <col min="15115" max="15115" width="20.33203125" style="450" customWidth="1"/>
    <col min="15116" max="15116" width="10.44140625" style="450" bestFit="1" customWidth="1"/>
    <col min="15117" max="15342" width="9.109375" style="450"/>
    <col min="15343" max="15343" width="5.44140625" style="450" customWidth="1"/>
    <col min="15344" max="15344" width="40.44140625" style="450" customWidth="1"/>
    <col min="15345" max="15359" width="0" style="450" hidden="1" customWidth="1"/>
    <col min="15360" max="15361" width="9.6640625" style="450" customWidth="1"/>
    <col min="15362" max="15362" width="8.6640625" style="450" customWidth="1"/>
    <col min="15363" max="15363" width="8.44140625" style="450" customWidth="1"/>
    <col min="15364" max="15364" width="9" style="450" customWidth="1"/>
    <col min="15365" max="15365" width="8.44140625" style="450" customWidth="1"/>
    <col min="15366" max="15366" width="9.33203125" style="450" customWidth="1"/>
    <col min="15367" max="15367" width="8.33203125" style="450" customWidth="1"/>
    <col min="15368" max="15368" width="9" style="450" customWidth="1"/>
    <col min="15369" max="15369" width="8.44140625" style="450" customWidth="1"/>
    <col min="15370" max="15370" width="7.44140625" style="450" bestFit="1" customWidth="1"/>
    <col min="15371" max="15371" width="20.33203125" style="450" customWidth="1"/>
    <col min="15372" max="15372" width="10.44140625" style="450" bestFit="1" customWidth="1"/>
    <col min="15373" max="15598" width="9.109375" style="450"/>
    <col min="15599" max="15599" width="5.44140625" style="450" customWidth="1"/>
    <col min="15600" max="15600" width="40.44140625" style="450" customWidth="1"/>
    <col min="15601" max="15615" width="0" style="450" hidden="1" customWidth="1"/>
    <col min="15616" max="15617" width="9.6640625" style="450" customWidth="1"/>
    <col min="15618" max="15618" width="8.6640625" style="450" customWidth="1"/>
    <col min="15619" max="15619" width="8.44140625" style="450" customWidth="1"/>
    <col min="15620" max="15620" width="9" style="450" customWidth="1"/>
    <col min="15621" max="15621" width="8.44140625" style="450" customWidth="1"/>
    <col min="15622" max="15622" width="9.33203125" style="450" customWidth="1"/>
    <col min="15623" max="15623" width="8.33203125" style="450" customWidth="1"/>
    <col min="15624" max="15624" width="9" style="450" customWidth="1"/>
    <col min="15625" max="15625" width="8.44140625" style="450" customWidth="1"/>
    <col min="15626" max="15626" width="7.44140625" style="450" bestFit="1" customWidth="1"/>
    <col min="15627" max="15627" width="20.33203125" style="450" customWidth="1"/>
    <col min="15628" max="15628" width="10.44140625" style="450" bestFit="1" customWidth="1"/>
    <col min="15629" max="15854" width="9.109375" style="450"/>
    <col min="15855" max="15855" width="5.44140625" style="450" customWidth="1"/>
    <col min="15856" max="15856" width="40.44140625" style="450" customWidth="1"/>
    <col min="15857" max="15871" width="0" style="450" hidden="1" customWidth="1"/>
    <col min="15872" max="15873" width="9.6640625" style="450" customWidth="1"/>
    <col min="15874" max="15874" width="8.6640625" style="450" customWidth="1"/>
    <col min="15875" max="15875" width="8.44140625" style="450" customWidth="1"/>
    <col min="15876" max="15876" width="9" style="450" customWidth="1"/>
    <col min="15877" max="15877" width="8.44140625" style="450" customWidth="1"/>
    <col min="15878" max="15878" width="9.33203125" style="450" customWidth="1"/>
    <col min="15879" max="15879" width="8.33203125" style="450" customWidth="1"/>
    <col min="15880" max="15880" width="9" style="450" customWidth="1"/>
    <col min="15881" max="15881" width="8.44140625" style="450" customWidth="1"/>
    <col min="15882" max="15882" width="7.44140625" style="450" bestFit="1" customWidth="1"/>
    <col min="15883" max="15883" width="20.33203125" style="450" customWidth="1"/>
    <col min="15884" max="15884" width="10.44140625" style="450" bestFit="1" customWidth="1"/>
    <col min="15885" max="16110" width="9.109375" style="450"/>
    <col min="16111" max="16111" width="5.44140625" style="450" customWidth="1"/>
    <col min="16112" max="16112" width="40.44140625" style="450" customWidth="1"/>
    <col min="16113" max="16127" width="0" style="450" hidden="1" customWidth="1"/>
    <col min="16128" max="16129" width="9.6640625" style="450" customWidth="1"/>
    <col min="16130" max="16130" width="8.6640625" style="450" customWidth="1"/>
    <col min="16131" max="16131" width="8.44140625" style="450" customWidth="1"/>
    <col min="16132" max="16132" width="9" style="450" customWidth="1"/>
    <col min="16133" max="16133" width="8.44140625" style="450" customWidth="1"/>
    <col min="16134" max="16134" width="9.33203125" style="450" customWidth="1"/>
    <col min="16135" max="16135" width="8.33203125" style="450" customWidth="1"/>
    <col min="16136" max="16136" width="9" style="450" customWidth="1"/>
    <col min="16137" max="16137" width="8.44140625" style="450" customWidth="1"/>
    <col min="16138" max="16138" width="7.44140625" style="450" bestFit="1" customWidth="1"/>
    <col min="16139" max="16139" width="20.33203125" style="450" customWidth="1"/>
    <col min="16140" max="16140" width="10.44140625" style="450" bestFit="1" customWidth="1"/>
    <col min="16141" max="16384" width="9.109375" style="450"/>
  </cols>
  <sheetData>
    <row r="1" spans="1:18" hidden="1" outlineLevel="1">
      <c r="B1" s="450"/>
      <c r="C1" s="451"/>
      <c r="D1" s="452"/>
      <c r="E1" s="452"/>
      <c r="F1" s="1437"/>
      <c r="G1" s="452"/>
      <c r="H1" s="452"/>
      <c r="I1" s="452"/>
      <c r="J1" s="452"/>
      <c r="K1" s="452"/>
      <c r="L1" s="452"/>
      <c r="M1" s="452"/>
    </row>
    <row r="2" spans="1:18" ht="13.5" hidden="1" customHeight="1" outlineLevel="1">
      <c r="C2" s="454"/>
      <c r="D2" s="455"/>
      <c r="E2" s="455"/>
      <c r="F2" s="1438"/>
      <c r="G2" s="455"/>
      <c r="H2" s="455"/>
      <c r="I2" s="455"/>
      <c r="J2" s="455"/>
      <c r="K2" s="455"/>
      <c r="L2" s="455"/>
      <c r="M2" s="455"/>
    </row>
    <row r="3" spans="1:18" ht="22.5" customHeight="1" collapsed="1">
      <c r="A3" s="1590" t="s">
        <v>2467</v>
      </c>
      <c r="B3" s="1590"/>
      <c r="D3" s="456"/>
      <c r="E3" s="456"/>
      <c r="F3" s="1439"/>
      <c r="G3" s="456"/>
      <c r="H3" s="456"/>
      <c r="I3" s="456"/>
      <c r="J3" s="456"/>
      <c r="K3" s="456"/>
      <c r="L3" s="456"/>
      <c r="M3" s="456"/>
    </row>
    <row r="4" spans="1:18" ht="16.5" customHeight="1">
      <c r="A4" s="1591" t="s">
        <v>2477</v>
      </c>
      <c r="B4" s="1591"/>
      <c r="C4" s="1591"/>
      <c r="D4" s="1591"/>
      <c r="E4" s="1591"/>
      <c r="F4" s="1591"/>
      <c r="G4" s="1591"/>
      <c r="H4" s="1591"/>
      <c r="I4" s="1591"/>
      <c r="J4" s="1591"/>
      <c r="K4" s="1591"/>
      <c r="L4" s="1591"/>
      <c r="M4" s="1591"/>
      <c r="N4" s="1591"/>
    </row>
    <row r="5" spans="1:18" ht="16.5" customHeight="1">
      <c r="A5" s="1602" t="s">
        <v>1832</v>
      </c>
      <c r="B5" s="1602"/>
      <c r="C5" s="1602"/>
      <c r="D5" s="1602"/>
      <c r="E5" s="1602"/>
      <c r="F5" s="1602"/>
      <c r="G5" s="1602"/>
      <c r="H5" s="1602"/>
      <c r="I5" s="1602"/>
      <c r="J5" s="1602"/>
      <c r="K5" s="1602"/>
      <c r="L5" s="1602"/>
      <c r="M5" s="1602"/>
      <c r="N5" s="1602"/>
    </row>
    <row r="6" spans="1:18" ht="14.25" customHeight="1">
      <c r="A6" s="682"/>
      <c r="B6" s="682"/>
      <c r="C6" s="682"/>
      <c r="D6" s="682"/>
      <c r="E6" s="682"/>
      <c r="F6" s="1440"/>
      <c r="G6" s="682"/>
      <c r="H6" s="682"/>
      <c r="I6" s="682"/>
      <c r="J6" s="682"/>
      <c r="K6" s="682"/>
      <c r="L6" s="1592" t="s">
        <v>0</v>
      </c>
      <c r="M6" s="1592"/>
      <c r="N6" s="683"/>
    </row>
    <row r="7" spans="1:18" s="457" customFormat="1" ht="20.25" customHeight="1">
      <c r="A7" s="1593" t="s">
        <v>1</v>
      </c>
      <c r="B7" s="1593" t="s">
        <v>660</v>
      </c>
      <c r="C7" s="1594" t="s">
        <v>661</v>
      </c>
      <c r="D7" s="1595" t="s">
        <v>662</v>
      </c>
      <c r="E7" s="1595"/>
      <c r="F7" s="1595"/>
      <c r="G7" s="1595"/>
      <c r="H7" s="1595"/>
      <c r="I7" s="1595"/>
      <c r="J7" s="1595"/>
      <c r="K7" s="1595"/>
      <c r="L7" s="1595"/>
      <c r="M7" s="1595"/>
      <c r="N7" s="1596" t="s">
        <v>663</v>
      </c>
      <c r="R7" s="575"/>
    </row>
    <row r="8" spans="1:18" s="458" customFormat="1" ht="31.5" customHeight="1">
      <c r="A8" s="1593"/>
      <c r="B8" s="1593"/>
      <c r="C8" s="1594"/>
      <c r="D8" s="684" t="s">
        <v>4</v>
      </c>
      <c r="E8" s="684" t="s">
        <v>5</v>
      </c>
      <c r="F8" s="1441" t="s">
        <v>664</v>
      </c>
      <c r="G8" s="684" t="s">
        <v>7</v>
      </c>
      <c r="H8" s="684" t="s">
        <v>8</v>
      </c>
      <c r="I8" s="684" t="s">
        <v>9</v>
      </c>
      <c r="J8" s="684" t="s">
        <v>665</v>
      </c>
      <c r="K8" s="684" t="s">
        <v>11</v>
      </c>
      <c r="L8" s="684" t="s">
        <v>12</v>
      </c>
      <c r="M8" s="684" t="s">
        <v>13</v>
      </c>
      <c r="N8" s="1596"/>
      <c r="R8" s="576"/>
    </row>
    <row r="9" spans="1:18" ht="24.75" customHeight="1">
      <c r="A9" s="459"/>
      <c r="B9" s="460" t="s">
        <v>690</v>
      </c>
      <c r="C9" s="461">
        <f t="shared" ref="C9:M9" si="0">C10+C22</f>
        <v>281871</v>
      </c>
      <c r="D9" s="461">
        <f t="shared" si="0"/>
        <v>92480</v>
      </c>
      <c r="E9" s="461">
        <f t="shared" si="0"/>
        <v>24474</v>
      </c>
      <c r="F9" s="1442">
        <f t="shared" si="0"/>
        <v>23441</v>
      </c>
      <c r="G9" s="461">
        <f t="shared" si="0"/>
        <v>16516</v>
      </c>
      <c r="H9" s="461">
        <f t="shared" si="0"/>
        <v>19902</v>
      </c>
      <c r="I9" s="461">
        <f t="shared" si="0"/>
        <v>15983</v>
      </c>
      <c r="J9" s="461">
        <f t="shared" si="0"/>
        <v>14295</v>
      </c>
      <c r="K9" s="461">
        <f t="shared" si="0"/>
        <v>15844</v>
      </c>
      <c r="L9" s="461">
        <f t="shared" si="0"/>
        <v>43754</v>
      </c>
      <c r="M9" s="461">
        <f t="shared" si="0"/>
        <v>15182</v>
      </c>
      <c r="N9" s="462"/>
      <c r="O9" s="1234">
        <f>C9+'Bieu 09a_TT_TUBSMT huyen'!C8</f>
        <v>341082</v>
      </c>
    </row>
    <row r="10" spans="1:18" s="458" customFormat="1" ht="26.25" customHeight="1">
      <c r="A10" s="463" t="s">
        <v>14</v>
      </c>
      <c r="B10" s="464" t="s">
        <v>666</v>
      </c>
      <c r="C10" s="465">
        <f>C11+C18+C20+C21</f>
        <v>217209</v>
      </c>
      <c r="D10" s="465">
        <f t="shared" ref="D10:M10" si="1">D11+D18+D20+D21</f>
        <v>79450</v>
      </c>
      <c r="E10" s="465">
        <f t="shared" si="1"/>
        <v>18450</v>
      </c>
      <c r="F10" s="1443">
        <f t="shared" si="1"/>
        <v>18950</v>
      </c>
      <c r="G10" s="465">
        <f t="shared" si="1"/>
        <v>10450</v>
      </c>
      <c r="H10" s="465">
        <f t="shared" si="1"/>
        <v>11150</v>
      </c>
      <c r="I10" s="465">
        <f t="shared" si="1"/>
        <v>8950</v>
      </c>
      <c r="J10" s="465">
        <f t="shared" si="1"/>
        <v>9750</v>
      </c>
      <c r="K10" s="465">
        <f t="shared" si="1"/>
        <v>12050</v>
      </c>
      <c r="L10" s="465">
        <f t="shared" si="1"/>
        <v>38359</v>
      </c>
      <c r="M10" s="465">
        <f t="shared" si="1"/>
        <v>9650</v>
      </c>
      <c r="N10" s="465"/>
      <c r="O10" s="466"/>
      <c r="R10" s="576"/>
    </row>
    <row r="11" spans="1:18" s="458" customFormat="1" ht="21.75" customHeight="1">
      <c r="A11" s="463" t="s">
        <v>18</v>
      </c>
      <c r="B11" s="464" t="s">
        <v>667</v>
      </c>
      <c r="C11" s="465">
        <f>SUM(C12:C17)</f>
        <v>158209</v>
      </c>
      <c r="D11" s="465">
        <f t="shared" ref="D11:M11" si="2">SUM(D12:D17)</f>
        <v>72350</v>
      </c>
      <c r="E11" s="465">
        <f t="shared" si="2"/>
        <v>12350</v>
      </c>
      <c r="F11" s="1443">
        <f t="shared" si="2"/>
        <v>12850</v>
      </c>
      <c r="G11" s="465">
        <f t="shared" si="2"/>
        <v>4350</v>
      </c>
      <c r="H11" s="465">
        <f t="shared" si="2"/>
        <v>5550</v>
      </c>
      <c r="I11" s="465">
        <f t="shared" si="2"/>
        <v>3350</v>
      </c>
      <c r="J11" s="465">
        <f t="shared" si="2"/>
        <v>3950</v>
      </c>
      <c r="K11" s="465">
        <f t="shared" si="2"/>
        <v>6850</v>
      </c>
      <c r="L11" s="465">
        <f t="shared" si="2"/>
        <v>32559</v>
      </c>
      <c r="M11" s="465">
        <f t="shared" si="2"/>
        <v>4050</v>
      </c>
      <c r="N11" s="467"/>
      <c r="R11" s="576"/>
    </row>
    <row r="12" spans="1:18" s="1385" customFormat="1" ht="27" customHeight="1">
      <c r="A12" s="1376" t="s">
        <v>23</v>
      </c>
      <c r="B12" s="1377" t="s">
        <v>691</v>
      </c>
      <c r="C12" s="1378">
        <f t="shared" ref="C12" si="3">SUM(D12:M12)</f>
        <v>56709</v>
      </c>
      <c r="D12" s="1383">
        <v>30000</v>
      </c>
      <c r="E12" s="1383"/>
      <c r="F12" s="1383"/>
      <c r="G12" s="1383"/>
      <c r="H12" s="1383"/>
      <c r="I12" s="1383"/>
      <c r="J12" s="1383"/>
      <c r="K12" s="1383"/>
      <c r="L12" s="1383">
        <v>26709</v>
      </c>
      <c r="M12" s="1383"/>
      <c r="N12" s="1384"/>
      <c r="R12" s="1386"/>
    </row>
    <row r="13" spans="1:18" s="1385" customFormat="1" ht="29.25" customHeight="1">
      <c r="A13" s="1376" t="s">
        <v>23</v>
      </c>
      <c r="B13" s="1377" t="s">
        <v>692</v>
      </c>
      <c r="C13" s="1378">
        <f>SUM(D13:M13)</f>
        <v>28000</v>
      </c>
      <c r="D13" s="1379">
        <v>4000</v>
      </c>
      <c r="E13" s="1379">
        <v>4000</v>
      </c>
      <c r="F13" s="1379">
        <v>2000</v>
      </c>
      <c r="G13" s="1379">
        <v>3000</v>
      </c>
      <c r="H13" s="1379">
        <v>2700</v>
      </c>
      <c r="I13" s="1379">
        <v>2000</v>
      </c>
      <c r="J13" s="1379">
        <v>2600</v>
      </c>
      <c r="K13" s="1379">
        <v>3000</v>
      </c>
      <c r="L13" s="1379">
        <v>2000</v>
      </c>
      <c r="M13" s="1379">
        <v>2700</v>
      </c>
      <c r="N13" s="1384"/>
      <c r="O13" s="1387">
        <f>O9-C9</f>
        <v>59211</v>
      </c>
      <c r="R13" s="1386"/>
    </row>
    <row r="14" spans="1:18" s="1385" customFormat="1" ht="23.25" customHeight="1">
      <c r="A14" s="1376" t="s">
        <v>23</v>
      </c>
      <c r="B14" s="1377" t="s">
        <v>669</v>
      </c>
      <c r="C14" s="1378">
        <f>SUM(D14:M14)</f>
        <v>21000</v>
      </c>
      <c r="D14" s="1379">
        <v>7000</v>
      </c>
      <c r="E14" s="1379">
        <v>7000</v>
      </c>
      <c r="F14" s="1379">
        <v>7000</v>
      </c>
      <c r="G14" s="1379"/>
      <c r="H14" s="1379"/>
      <c r="I14" s="1379"/>
      <c r="J14" s="1379"/>
      <c r="K14" s="1379"/>
      <c r="L14" s="1379"/>
      <c r="M14" s="1379"/>
      <c r="N14" s="1384"/>
      <c r="R14" s="1386"/>
    </row>
    <row r="15" spans="1:18" s="1385" customFormat="1" ht="25.5" customHeight="1">
      <c r="A15" s="1376" t="s">
        <v>23</v>
      </c>
      <c r="B15" s="1377" t="s">
        <v>668</v>
      </c>
      <c r="C15" s="1378">
        <f t="shared" ref="C15:C21" si="4">SUM(D15:M15)</f>
        <v>30000</v>
      </c>
      <c r="D15" s="1383">
        <v>30000</v>
      </c>
      <c r="E15" s="1383"/>
      <c r="F15" s="1383"/>
      <c r="G15" s="1383"/>
      <c r="H15" s="1383"/>
      <c r="I15" s="1383"/>
      <c r="J15" s="1383"/>
      <c r="K15" s="1383"/>
      <c r="L15" s="1383"/>
      <c r="M15" s="1383"/>
      <c r="N15" s="1384"/>
      <c r="R15" s="1386"/>
    </row>
    <row r="16" spans="1:18" s="1385" customFormat="1" ht="28.5" customHeight="1">
      <c r="A16" s="1376" t="s">
        <v>23</v>
      </c>
      <c r="B16" s="1377" t="s">
        <v>670</v>
      </c>
      <c r="C16" s="1378">
        <f t="shared" si="4"/>
        <v>7500</v>
      </c>
      <c r="D16" s="1379"/>
      <c r="E16" s="1379"/>
      <c r="F16" s="1379">
        <v>2500</v>
      </c>
      <c r="G16" s="1379"/>
      <c r="H16" s="1379"/>
      <c r="I16" s="1379"/>
      <c r="J16" s="1379"/>
      <c r="K16" s="1379">
        <v>2500</v>
      </c>
      <c r="L16" s="1379">
        <v>2500</v>
      </c>
      <c r="M16" s="1379"/>
      <c r="N16" s="1384"/>
      <c r="R16" s="1386"/>
    </row>
    <row r="17" spans="1:16139" s="471" customFormat="1" ht="28.5" customHeight="1">
      <c r="A17" s="468" t="s">
        <v>23</v>
      </c>
      <c r="B17" s="469" t="s">
        <v>2472</v>
      </c>
      <c r="C17" s="470">
        <f t="shared" si="4"/>
        <v>15000</v>
      </c>
      <c r="D17" s="472">
        <v>1350</v>
      </c>
      <c r="E17" s="472">
        <v>1350</v>
      </c>
      <c r="F17" s="1379">
        <v>1350</v>
      </c>
      <c r="G17" s="472">
        <v>1350</v>
      </c>
      <c r="H17" s="472">
        <v>2850</v>
      </c>
      <c r="I17" s="472">
        <v>1350</v>
      </c>
      <c r="J17" s="472">
        <v>1350</v>
      </c>
      <c r="K17" s="472">
        <v>1350</v>
      </c>
      <c r="L17" s="472">
        <v>1350</v>
      </c>
      <c r="M17" s="472">
        <v>1350</v>
      </c>
      <c r="N17" s="467"/>
      <c r="R17" s="577"/>
    </row>
    <row r="18" spans="1:16139" s="471" customFormat="1" ht="21.75" customHeight="1">
      <c r="A18" s="463" t="s">
        <v>26</v>
      </c>
      <c r="B18" s="464" t="s">
        <v>671</v>
      </c>
      <c r="C18" s="473">
        <f>C19</f>
        <v>0</v>
      </c>
      <c r="D18" s="473">
        <f t="shared" ref="D18:M18" si="5">D19</f>
        <v>0</v>
      </c>
      <c r="E18" s="473">
        <f t="shared" si="5"/>
        <v>0</v>
      </c>
      <c r="F18" s="1417">
        <f t="shared" si="5"/>
        <v>0</v>
      </c>
      <c r="G18" s="473">
        <f t="shared" si="5"/>
        <v>0</v>
      </c>
      <c r="H18" s="473">
        <f t="shared" si="5"/>
        <v>0</v>
      </c>
      <c r="I18" s="473">
        <f t="shared" si="5"/>
        <v>0</v>
      </c>
      <c r="J18" s="473">
        <f t="shared" si="5"/>
        <v>0</v>
      </c>
      <c r="K18" s="473">
        <f t="shared" si="5"/>
        <v>0</v>
      </c>
      <c r="L18" s="473">
        <f t="shared" si="5"/>
        <v>0</v>
      </c>
      <c r="M18" s="473">
        <f t="shared" si="5"/>
        <v>0</v>
      </c>
      <c r="N18" s="467"/>
      <c r="R18" s="577"/>
    </row>
    <row r="19" spans="1:16139" s="1381" customFormat="1" ht="35.25" customHeight="1">
      <c r="A19" s="1376" t="s">
        <v>23</v>
      </c>
      <c r="B19" s="1377" t="s">
        <v>693</v>
      </c>
      <c r="C19" s="1378">
        <f t="shared" si="4"/>
        <v>0</v>
      </c>
      <c r="D19" s="1379"/>
      <c r="E19" s="1379"/>
      <c r="F19" s="1379"/>
      <c r="G19" s="1379"/>
      <c r="H19" s="1379"/>
      <c r="I19" s="1379"/>
      <c r="J19" s="1379"/>
      <c r="K19" s="1379"/>
      <c r="L19" s="1379"/>
      <c r="M19" s="1379"/>
      <c r="N19" s="1380"/>
      <c r="R19" s="1382"/>
    </row>
    <row r="20" spans="1:16139" s="458" customFormat="1" ht="69.75" customHeight="1">
      <c r="A20" s="463" t="s">
        <v>59</v>
      </c>
      <c r="B20" s="464" t="s">
        <v>1441</v>
      </c>
      <c r="C20" s="465">
        <f t="shared" si="4"/>
        <v>20000</v>
      </c>
      <c r="D20" s="473">
        <f>'Bieu 3a_10% tien dat '!F10</f>
        <v>3800</v>
      </c>
      <c r="E20" s="473">
        <f>'Bieu 3a_10% tien dat '!G10</f>
        <v>1800</v>
      </c>
      <c r="F20" s="1417">
        <f>'Bieu 3a_10% tien dat '!H10</f>
        <v>1800</v>
      </c>
      <c r="G20" s="473">
        <f>'Bieu 3a_10% tien dat '!I10</f>
        <v>1800</v>
      </c>
      <c r="H20" s="473">
        <f>'Bieu 3a_10% tien dat '!J10</f>
        <v>1800</v>
      </c>
      <c r="I20" s="473">
        <f>'Bieu 3a_10% tien dat '!K10</f>
        <v>1800</v>
      </c>
      <c r="J20" s="473">
        <f>'Bieu 3a_10% tien dat '!L10</f>
        <v>1800</v>
      </c>
      <c r="K20" s="473">
        <f>'Bieu 3a_10% tien dat '!M10</f>
        <v>1800</v>
      </c>
      <c r="L20" s="473">
        <f>'Bieu 3a_10% tien dat '!N10</f>
        <v>1800</v>
      </c>
      <c r="M20" s="473">
        <f>'Bieu 3a_10% tien dat '!O10</f>
        <v>1800</v>
      </c>
      <c r="N20" s="467"/>
      <c r="R20" s="576"/>
    </row>
    <row r="21" spans="1:16139" s="458" customFormat="1" ht="104.25" customHeight="1">
      <c r="A21" s="463" t="s">
        <v>73</v>
      </c>
      <c r="B21" s="474" t="s">
        <v>2518</v>
      </c>
      <c r="C21" s="465">
        <f t="shared" si="4"/>
        <v>39000</v>
      </c>
      <c r="D21" s="473">
        <f>'Bieu 3a_10% tien dat '!F28</f>
        <v>3300</v>
      </c>
      <c r="E21" s="473">
        <f>'Bieu 3a_10% tien dat '!G28</f>
        <v>4300</v>
      </c>
      <c r="F21" s="1417">
        <f>'Bieu 3a_10% tien dat '!H28</f>
        <v>4300</v>
      </c>
      <c r="G21" s="473">
        <f>'Bieu 3a_10% tien dat '!I28</f>
        <v>4300</v>
      </c>
      <c r="H21" s="473">
        <f>'Bieu 3a_10% tien dat '!J28</f>
        <v>3800</v>
      </c>
      <c r="I21" s="473">
        <f>'Bieu 3a_10% tien dat '!K28</f>
        <v>3800</v>
      </c>
      <c r="J21" s="473">
        <f>'Bieu 3a_10% tien dat '!L28</f>
        <v>4000</v>
      </c>
      <c r="K21" s="473">
        <f>'Bieu 3a_10% tien dat '!M28</f>
        <v>3400</v>
      </c>
      <c r="L21" s="473">
        <f>'Bieu 3a_10% tien dat '!N28</f>
        <v>4000</v>
      </c>
      <c r="M21" s="473">
        <f>'Bieu 3a_10% tien dat '!O28</f>
        <v>3800</v>
      </c>
      <c r="N21" s="666"/>
      <c r="O21" s="458" t="s">
        <v>2517</v>
      </c>
      <c r="R21" s="576"/>
    </row>
    <row r="22" spans="1:16139" s="471" customFormat="1" ht="20.25" customHeight="1">
      <c r="A22" s="475" t="s">
        <v>69</v>
      </c>
      <c r="B22" s="476" t="s">
        <v>672</v>
      </c>
      <c r="C22" s="477">
        <f>C30+C36+C37+C38+C39+C40+C41+C45+C46+C47+C48+C50</f>
        <v>64662</v>
      </c>
      <c r="D22" s="477">
        <f t="shared" ref="D22:M22" si="6">D30+D36+D37+D38+D39+D40+D41+D45+D46+D47+D48+D50</f>
        <v>13030</v>
      </c>
      <c r="E22" s="477">
        <f t="shared" si="6"/>
        <v>6024</v>
      </c>
      <c r="F22" s="1444">
        <f t="shared" si="6"/>
        <v>4491</v>
      </c>
      <c r="G22" s="477">
        <f t="shared" si="6"/>
        <v>6066</v>
      </c>
      <c r="H22" s="477">
        <f t="shared" si="6"/>
        <v>8752</v>
      </c>
      <c r="I22" s="477">
        <f t="shared" si="6"/>
        <v>7033</v>
      </c>
      <c r="J22" s="477">
        <f t="shared" si="6"/>
        <v>4545</v>
      </c>
      <c r="K22" s="477">
        <f t="shared" si="6"/>
        <v>3794</v>
      </c>
      <c r="L22" s="477">
        <f t="shared" si="6"/>
        <v>5395</v>
      </c>
      <c r="M22" s="477">
        <f t="shared" si="6"/>
        <v>5532</v>
      </c>
      <c r="N22" s="478"/>
      <c r="O22" s="1224">
        <f>C22+'Bieu 09a_TT_TUBSMT huyen'!C8</f>
        <v>123873</v>
      </c>
      <c r="R22" s="577"/>
    </row>
    <row r="23" spans="1:16139" s="483" customFormat="1" ht="20.25" hidden="1" customHeight="1" outlineLevel="1">
      <c r="A23" s="479"/>
      <c r="B23" s="480" t="s">
        <v>673</v>
      </c>
      <c r="C23" s="481">
        <f>SUM(D23:M23)</f>
        <v>10000</v>
      </c>
      <c r="D23" s="481">
        <f>D48</f>
        <v>1500</v>
      </c>
      <c r="E23" s="481">
        <f t="shared" ref="E23:M23" si="7">E48</f>
        <v>1000</v>
      </c>
      <c r="F23" s="1445">
        <f t="shared" si="7"/>
        <v>1000</v>
      </c>
      <c r="G23" s="481">
        <f t="shared" si="7"/>
        <v>1000</v>
      </c>
      <c r="H23" s="481">
        <f t="shared" si="7"/>
        <v>1000</v>
      </c>
      <c r="I23" s="481">
        <f t="shared" si="7"/>
        <v>1000</v>
      </c>
      <c r="J23" s="481">
        <f t="shared" si="7"/>
        <v>500</v>
      </c>
      <c r="K23" s="481">
        <f t="shared" si="7"/>
        <v>1000</v>
      </c>
      <c r="L23" s="481">
        <f t="shared" si="7"/>
        <v>1000</v>
      </c>
      <c r="M23" s="481">
        <f t="shared" si="7"/>
        <v>1000</v>
      </c>
      <c r="N23" s="482"/>
      <c r="R23" s="578"/>
    </row>
    <row r="24" spans="1:16139" s="483" customFormat="1" ht="20.25" hidden="1" customHeight="1" outlineLevel="1">
      <c r="A24" s="479"/>
      <c r="B24" s="480" t="s">
        <v>1988</v>
      </c>
      <c r="C24" s="481">
        <f>SUM(D24:M24)</f>
        <v>1600</v>
      </c>
      <c r="D24" s="481">
        <f>D46</f>
        <v>300</v>
      </c>
      <c r="E24" s="481">
        <f t="shared" ref="E24:M24" si="8">E46</f>
        <v>300</v>
      </c>
      <c r="F24" s="1445">
        <f t="shared" si="8"/>
        <v>100</v>
      </c>
      <c r="G24" s="481">
        <f t="shared" si="8"/>
        <v>100</v>
      </c>
      <c r="H24" s="481">
        <f t="shared" si="8"/>
        <v>100</v>
      </c>
      <c r="I24" s="481">
        <f t="shared" si="8"/>
        <v>100</v>
      </c>
      <c r="J24" s="481">
        <f t="shared" si="8"/>
        <v>100</v>
      </c>
      <c r="K24" s="481">
        <f t="shared" si="8"/>
        <v>100</v>
      </c>
      <c r="L24" s="481">
        <f t="shared" si="8"/>
        <v>300</v>
      </c>
      <c r="M24" s="481">
        <f t="shared" si="8"/>
        <v>100</v>
      </c>
      <c r="N24" s="482"/>
      <c r="R24" s="578"/>
    </row>
    <row r="25" spans="1:16139" s="483" customFormat="1" ht="20.25" hidden="1" customHeight="1" outlineLevel="1">
      <c r="A25" s="479"/>
      <c r="B25" s="480" t="s">
        <v>1989</v>
      </c>
      <c r="C25" s="481">
        <f>SUM(D25:M25)</f>
        <v>53062</v>
      </c>
      <c r="D25" s="481">
        <f>D22-D24-D23</f>
        <v>11230</v>
      </c>
      <c r="E25" s="481">
        <f t="shared" ref="E25:M25" si="9">E22-E24-E23</f>
        <v>4724</v>
      </c>
      <c r="F25" s="1445">
        <f t="shared" si="9"/>
        <v>3391</v>
      </c>
      <c r="G25" s="481">
        <f t="shared" si="9"/>
        <v>4966</v>
      </c>
      <c r="H25" s="481">
        <f t="shared" si="9"/>
        <v>7652</v>
      </c>
      <c r="I25" s="481">
        <f t="shared" si="9"/>
        <v>5933</v>
      </c>
      <c r="J25" s="481">
        <f t="shared" si="9"/>
        <v>3945</v>
      </c>
      <c r="K25" s="481">
        <f t="shared" si="9"/>
        <v>2694</v>
      </c>
      <c r="L25" s="481">
        <f t="shared" si="9"/>
        <v>4095</v>
      </c>
      <c r="M25" s="481">
        <f t="shared" si="9"/>
        <v>4432</v>
      </c>
      <c r="N25" s="481"/>
      <c r="R25" s="578"/>
    </row>
    <row r="26" spans="1:16139" s="483" customFormat="1" ht="20.25" hidden="1" customHeight="1" outlineLevel="2">
      <c r="A26" s="479"/>
      <c r="B26" s="480" t="s">
        <v>727</v>
      </c>
      <c r="C26" s="481">
        <f t="shared" ref="C26:C29" si="10">SUM(D26:M26)</f>
        <v>20408</v>
      </c>
      <c r="D26" s="481">
        <f>D30+D38+D40+D50</f>
        <v>5616</v>
      </c>
      <c r="E26" s="481">
        <f t="shared" ref="E26:M26" si="11">E30+E38+E40+E50</f>
        <v>895</v>
      </c>
      <c r="F26" s="1445">
        <f t="shared" si="11"/>
        <v>578</v>
      </c>
      <c r="G26" s="481">
        <f t="shared" si="11"/>
        <v>2477</v>
      </c>
      <c r="H26" s="481">
        <f t="shared" si="11"/>
        <v>3872</v>
      </c>
      <c r="I26" s="481">
        <f t="shared" si="11"/>
        <v>2832</v>
      </c>
      <c r="J26" s="481">
        <f t="shared" si="11"/>
        <v>2596</v>
      </c>
      <c r="K26" s="481">
        <f t="shared" si="11"/>
        <v>462</v>
      </c>
      <c r="L26" s="481">
        <f t="shared" si="11"/>
        <v>538</v>
      </c>
      <c r="M26" s="481">
        <f t="shared" si="11"/>
        <v>542</v>
      </c>
      <c r="N26" s="481"/>
      <c r="R26" s="578"/>
    </row>
    <row r="27" spans="1:16139" s="483" customFormat="1" ht="20.25" hidden="1" customHeight="1" outlineLevel="2">
      <c r="A27" s="479"/>
      <c r="B27" s="480" t="s">
        <v>751</v>
      </c>
      <c r="C27" s="481">
        <f t="shared" si="10"/>
        <v>7000</v>
      </c>
      <c r="D27" s="481">
        <f>D39</f>
        <v>274</v>
      </c>
      <c r="E27" s="481">
        <f t="shared" ref="E27:M27" si="12">E39</f>
        <v>907</v>
      </c>
      <c r="F27" s="1445">
        <f t="shared" si="12"/>
        <v>594</v>
      </c>
      <c r="G27" s="481">
        <f t="shared" si="12"/>
        <v>287</v>
      </c>
      <c r="H27" s="481">
        <f t="shared" si="12"/>
        <v>854</v>
      </c>
      <c r="I27" s="481">
        <f t="shared" si="12"/>
        <v>940</v>
      </c>
      <c r="J27" s="481">
        <f t="shared" si="12"/>
        <v>366</v>
      </c>
      <c r="K27" s="481">
        <f t="shared" si="12"/>
        <v>551</v>
      </c>
      <c r="L27" s="481">
        <f t="shared" si="12"/>
        <v>1131</v>
      </c>
      <c r="M27" s="481">
        <f t="shared" si="12"/>
        <v>1096</v>
      </c>
      <c r="N27" s="481"/>
      <c r="R27" s="578"/>
    </row>
    <row r="28" spans="1:16139" s="483" customFormat="1" ht="20.25" hidden="1" customHeight="1" outlineLevel="2">
      <c r="A28" s="479"/>
      <c r="B28" s="480" t="s">
        <v>755</v>
      </c>
      <c r="C28" s="481">
        <f t="shared" si="10"/>
        <v>14940</v>
      </c>
      <c r="D28" s="481">
        <f>D36+D41+D45+D47</f>
        <v>2985</v>
      </c>
      <c r="E28" s="481">
        <f t="shared" ref="E28:M28" si="13">E36+E41+E45+E47</f>
        <v>1637</v>
      </c>
      <c r="F28" s="1445">
        <f t="shared" si="13"/>
        <v>1386</v>
      </c>
      <c r="G28" s="481">
        <f t="shared" si="13"/>
        <v>1273</v>
      </c>
      <c r="H28" s="481">
        <f t="shared" si="13"/>
        <v>1656</v>
      </c>
      <c r="I28" s="481">
        <f t="shared" si="13"/>
        <v>1287</v>
      </c>
      <c r="J28" s="481">
        <f t="shared" si="13"/>
        <v>696</v>
      </c>
      <c r="K28" s="481">
        <f t="shared" si="13"/>
        <v>1012</v>
      </c>
      <c r="L28" s="481">
        <f t="shared" si="13"/>
        <v>1388</v>
      </c>
      <c r="M28" s="481">
        <f t="shared" si="13"/>
        <v>1620</v>
      </c>
      <c r="N28" s="481"/>
      <c r="R28" s="578"/>
    </row>
    <row r="29" spans="1:16139" s="483" customFormat="1" ht="20.25" hidden="1" customHeight="1" outlineLevel="2">
      <c r="A29" s="479"/>
      <c r="B29" s="480" t="s">
        <v>761</v>
      </c>
      <c r="C29" s="481">
        <f t="shared" si="10"/>
        <v>10714</v>
      </c>
      <c r="D29" s="481">
        <f>D37</f>
        <v>2355</v>
      </c>
      <c r="E29" s="481">
        <f t="shared" ref="E29:M29" si="14">E37</f>
        <v>1285</v>
      </c>
      <c r="F29" s="1445">
        <f t="shared" si="14"/>
        <v>833</v>
      </c>
      <c r="G29" s="481">
        <f t="shared" si="14"/>
        <v>929</v>
      </c>
      <c r="H29" s="481">
        <f t="shared" si="14"/>
        <v>1270</v>
      </c>
      <c r="I29" s="481">
        <f t="shared" si="14"/>
        <v>874</v>
      </c>
      <c r="J29" s="481">
        <f t="shared" si="14"/>
        <v>287</v>
      </c>
      <c r="K29" s="481">
        <f t="shared" si="14"/>
        <v>669</v>
      </c>
      <c r="L29" s="481">
        <f t="shared" si="14"/>
        <v>1038</v>
      </c>
      <c r="M29" s="481">
        <f t="shared" si="14"/>
        <v>1174</v>
      </c>
      <c r="N29" s="481"/>
      <c r="R29" s="578"/>
    </row>
    <row r="30" spans="1:16139" s="546" customFormat="1" ht="110.4" collapsed="1">
      <c r="A30" s="543">
        <v>1</v>
      </c>
      <c r="B30" s="485" t="s">
        <v>1440</v>
      </c>
      <c r="C30" s="544">
        <f t="shared" ref="C30:C35" si="15">SUM(D30:M30)</f>
        <v>8000</v>
      </c>
      <c r="D30" s="544"/>
      <c r="E30" s="544"/>
      <c r="F30" s="1446"/>
      <c r="G30" s="544">
        <v>2000</v>
      </c>
      <c r="H30" s="544">
        <v>2000</v>
      </c>
      <c r="I30" s="544">
        <v>2000</v>
      </c>
      <c r="J30" s="544">
        <v>2000</v>
      </c>
      <c r="K30" s="544">
        <v>0</v>
      </c>
      <c r="L30" s="544"/>
      <c r="M30" s="544"/>
      <c r="N30" s="467" t="s">
        <v>2542</v>
      </c>
      <c r="O30" s="682"/>
      <c r="P30" s="545"/>
      <c r="Q30" s="545"/>
      <c r="R30" s="579"/>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c r="IT30" s="545"/>
      <c r="IU30" s="545"/>
      <c r="IV30" s="545"/>
      <c r="IW30" s="545"/>
      <c r="IX30" s="545"/>
      <c r="IY30" s="545"/>
      <c r="IZ30" s="545"/>
      <c r="JA30" s="545"/>
      <c r="JB30" s="545"/>
      <c r="JC30" s="545"/>
      <c r="JD30" s="545"/>
      <c r="JE30" s="545"/>
      <c r="JF30" s="545"/>
      <c r="JG30" s="545"/>
      <c r="JH30" s="545"/>
      <c r="JI30" s="545"/>
      <c r="JJ30" s="545"/>
      <c r="JK30" s="545"/>
      <c r="JL30" s="545"/>
      <c r="JM30" s="545"/>
      <c r="JN30" s="545"/>
      <c r="JO30" s="545"/>
      <c r="JP30" s="545"/>
      <c r="JQ30" s="545"/>
      <c r="JR30" s="545"/>
      <c r="JS30" s="545"/>
      <c r="JT30" s="545"/>
      <c r="JU30" s="545"/>
      <c r="JV30" s="545"/>
      <c r="JW30" s="545"/>
      <c r="JX30" s="545"/>
      <c r="JY30" s="545"/>
      <c r="JZ30" s="545"/>
      <c r="KA30" s="545"/>
      <c r="KB30" s="545"/>
      <c r="KC30" s="545"/>
      <c r="KD30" s="545"/>
      <c r="KE30" s="545"/>
      <c r="KF30" s="545"/>
      <c r="KG30" s="545"/>
      <c r="KH30" s="545"/>
      <c r="KI30" s="545"/>
      <c r="KJ30" s="545"/>
      <c r="KK30" s="545"/>
      <c r="KL30" s="545"/>
      <c r="KM30" s="545"/>
      <c r="KN30" s="545"/>
      <c r="KO30" s="545"/>
      <c r="KP30" s="545"/>
      <c r="KQ30" s="545"/>
      <c r="KR30" s="545"/>
      <c r="KS30" s="545"/>
      <c r="KT30" s="545"/>
      <c r="KU30" s="545"/>
      <c r="KV30" s="545"/>
      <c r="KW30" s="545"/>
      <c r="KX30" s="545"/>
      <c r="KY30" s="545"/>
      <c r="KZ30" s="545"/>
      <c r="LA30" s="545"/>
      <c r="LB30" s="545"/>
      <c r="LC30" s="545"/>
      <c r="LD30" s="545"/>
      <c r="LE30" s="545"/>
      <c r="LF30" s="545"/>
      <c r="LG30" s="545"/>
      <c r="LH30" s="545"/>
      <c r="LI30" s="545"/>
      <c r="LJ30" s="545"/>
      <c r="LK30" s="545"/>
      <c r="LL30" s="545"/>
      <c r="LM30" s="545"/>
      <c r="LN30" s="545"/>
      <c r="LO30" s="545"/>
      <c r="LP30" s="545"/>
      <c r="LQ30" s="545"/>
      <c r="LR30" s="545"/>
      <c r="LS30" s="545"/>
      <c r="LT30" s="545"/>
      <c r="LU30" s="545"/>
      <c r="LV30" s="545"/>
      <c r="LW30" s="545"/>
      <c r="LX30" s="545"/>
      <c r="LY30" s="545"/>
      <c r="LZ30" s="545"/>
      <c r="MA30" s="545"/>
      <c r="MB30" s="545"/>
      <c r="MC30" s="545"/>
      <c r="MD30" s="545"/>
      <c r="ME30" s="545"/>
      <c r="MF30" s="545"/>
      <c r="MG30" s="545"/>
      <c r="MH30" s="545"/>
      <c r="MI30" s="545"/>
      <c r="MJ30" s="545"/>
      <c r="MK30" s="545"/>
      <c r="ML30" s="545"/>
      <c r="MM30" s="545"/>
      <c r="MN30" s="545"/>
      <c r="MO30" s="545"/>
      <c r="MP30" s="545"/>
      <c r="MQ30" s="545"/>
      <c r="MR30" s="545"/>
      <c r="MS30" s="545"/>
      <c r="MT30" s="545"/>
      <c r="MU30" s="545"/>
      <c r="MV30" s="545"/>
      <c r="MW30" s="545"/>
      <c r="MX30" s="545"/>
      <c r="MY30" s="545"/>
      <c r="MZ30" s="545"/>
      <c r="NA30" s="545"/>
      <c r="NB30" s="545"/>
      <c r="NC30" s="545"/>
      <c r="ND30" s="545"/>
      <c r="NE30" s="545"/>
      <c r="NF30" s="545"/>
      <c r="NG30" s="545"/>
      <c r="NH30" s="545"/>
      <c r="NI30" s="545"/>
      <c r="NJ30" s="545"/>
      <c r="NK30" s="545"/>
      <c r="NL30" s="545"/>
      <c r="NM30" s="545"/>
      <c r="NN30" s="545"/>
      <c r="NO30" s="545"/>
      <c r="NP30" s="545"/>
      <c r="NQ30" s="545"/>
      <c r="NR30" s="545"/>
      <c r="NS30" s="545"/>
      <c r="NT30" s="545"/>
      <c r="NU30" s="545"/>
      <c r="NV30" s="545"/>
      <c r="NW30" s="545"/>
      <c r="NX30" s="545"/>
      <c r="NY30" s="545"/>
      <c r="NZ30" s="545"/>
      <c r="OA30" s="545"/>
      <c r="OB30" s="545"/>
      <c r="OC30" s="545"/>
      <c r="OD30" s="545"/>
      <c r="OE30" s="545"/>
      <c r="OF30" s="545"/>
      <c r="OG30" s="545"/>
      <c r="OH30" s="545"/>
      <c r="OI30" s="545"/>
      <c r="OJ30" s="545"/>
      <c r="OK30" s="545"/>
      <c r="OL30" s="545"/>
      <c r="OM30" s="545"/>
      <c r="ON30" s="545"/>
      <c r="OO30" s="545"/>
      <c r="OP30" s="545"/>
      <c r="OQ30" s="545"/>
      <c r="OR30" s="545"/>
      <c r="OS30" s="545"/>
      <c r="OT30" s="545"/>
      <c r="OU30" s="545"/>
      <c r="OV30" s="545"/>
      <c r="OW30" s="545"/>
      <c r="OX30" s="545"/>
      <c r="OY30" s="545"/>
      <c r="OZ30" s="545"/>
      <c r="PA30" s="545"/>
      <c r="PB30" s="545"/>
      <c r="PC30" s="545"/>
      <c r="PD30" s="545"/>
      <c r="PE30" s="545"/>
      <c r="PF30" s="545"/>
      <c r="PG30" s="545"/>
      <c r="PH30" s="545"/>
      <c r="PI30" s="545"/>
      <c r="PJ30" s="545"/>
      <c r="PK30" s="545"/>
      <c r="PL30" s="545"/>
      <c r="PM30" s="545"/>
      <c r="PN30" s="545"/>
      <c r="PO30" s="545"/>
      <c r="PP30" s="545"/>
      <c r="PQ30" s="545"/>
      <c r="PR30" s="545"/>
      <c r="PS30" s="545"/>
      <c r="PT30" s="545"/>
      <c r="PU30" s="545"/>
      <c r="PV30" s="545"/>
      <c r="PW30" s="545"/>
      <c r="PX30" s="545"/>
      <c r="PY30" s="545"/>
      <c r="PZ30" s="545"/>
      <c r="QA30" s="545"/>
      <c r="QB30" s="545"/>
      <c r="QC30" s="545"/>
      <c r="QD30" s="545"/>
      <c r="QE30" s="545"/>
      <c r="QF30" s="545"/>
      <c r="QG30" s="545"/>
      <c r="QH30" s="545"/>
      <c r="QI30" s="545"/>
      <c r="QJ30" s="545"/>
      <c r="QK30" s="545"/>
      <c r="QL30" s="545"/>
      <c r="QM30" s="545"/>
      <c r="QN30" s="545"/>
      <c r="QO30" s="545"/>
      <c r="QP30" s="545"/>
      <c r="QQ30" s="545"/>
      <c r="QR30" s="545"/>
      <c r="QS30" s="545"/>
      <c r="QT30" s="545"/>
      <c r="QU30" s="545"/>
      <c r="QV30" s="545"/>
      <c r="QW30" s="545"/>
      <c r="QX30" s="545"/>
      <c r="QY30" s="545"/>
      <c r="QZ30" s="545"/>
      <c r="RA30" s="545"/>
      <c r="RB30" s="545"/>
      <c r="RC30" s="545"/>
      <c r="RD30" s="545"/>
      <c r="RE30" s="545"/>
      <c r="RF30" s="545"/>
      <c r="RG30" s="545"/>
      <c r="RH30" s="545"/>
      <c r="RI30" s="545"/>
      <c r="RJ30" s="545"/>
      <c r="RK30" s="545"/>
      <c r="RL30" s="545"/>
      <c r="RM30" s="545"/>
      <c r="RN30" s="545"/>
      <c r="RO30" s="545"/>
      <c r="RP30" s="545"/>
      <c r="RQ30" s="545"/>
      <c r="RR30" s="545"/>
      <c r="RS30" s="545"/>
      <c r="RT30" s="545"/>
      <c r="RU30" s="545"/>
      <c r="RV30" s="545"/>
      <c r="RW30" s="545"/>
      <c r="RX30" s="545"/>
      <c r="RY30" s="545"/>
      <c r="RZ30" s="545"/>
      <c r="SA30" s="545"/>
      <c r="SB30" s="545"/>
      <c r="SC30" s="545"/>
      <c r="SD30" s="545"/>
      <c r="SE30" s="545"/>
      <c r="SF30" s="545"/>
      <c r="SG30" s="545"/>
      <c r="SH30" s="545"/>
      <c r="SI30" s="545"/>
      <c r="SJ30" s="545"/>
      <c r="SK30" s="545"/>
      <c r="SL30" s="545"/>
      <c r="SM30" s="545"/>
      <c r="SN30" s="545"/>
      <c r="SO30" s="545"/>
      <c r="SP30" s="545"/>
      <c r="SQ30" s="545"/>
      <c r="SR30" s="545"/>
      <c r="SS30" s="545"/>
      <c r="ST30" s="545"/>
      <c r="SU30" s="545"/>
      <c r="SV30" s="545"/>
      <c r="SW30" s="545"/>
      <c r="SX30" s="545"/>
      <c r="SY30" s="545"/>
      <c r="SZ30" s="545"/>
      <c r="TA30" s="545"/>
      <c r="TB30" s="545"/>
      <c r="TC30" s="545"/>
      <c r="TD30" s="545"/>
      <c r="TE30" s="545"/>
      <c r="TF30" s="545"/>
      <c r="TG30" s="545"/>
      <c r="TH30" s="545"/>
      <c r="TI30" s="545"/>
      <c r="TJ30" s="545"/>
      <c r="TK30" s="545"/>
      <c r="TL30" s="545"/>
      <c r="TM30" s="545"/>
      <c r="TN30" s="545"/>
      <c r="TO30" s="545"/>
      <c r="TP30" s="545"/>
      <c r="TQ30" s="545"/>
      <c r="TR30" s="545"/>
      <c r="TS30" s="545"/>
      <c r="TT30" s="545"/>
      <c r="TU30" s="545"/>
      <c r="TV30" s="545"/>
      <c r="TW30" s="545"/>
      <c r="TX30" s="545"/>
      <c r="TY30" s="545"/>
      <c r="TZ30" s="545"/>
      <c r="UA30" s="545"/>
      <c r="UB30" s="545"/>
      <c r="UC30" s="545"/>
      <c r="UD30" s="545"/>
      <c r="UE30" s="545"/>
      <c r="UF30" s="545"/>
      <c r="UG30" s="545"/>
      <c r="UH30" s="545"/>
      <c r="UI30" s="545"/>
      <c r="UJ30" s="545"/>
      <c r="UK30" s="545"/>
      <c r="UL30" s="545"/>
      <c r="UM30" s="545"/>
      <c r="UN30" s="545"/>
      <c r="UO30" s="545"/>
      <c r="UP30" s="545"/>
      <c r="UQ30" s="545"/>
      <c r="UR30" s="545"/>
      <c r="US30" s="545"/>
      <c r="UT30" s="545"/>
      <c r="UU30" s="545"/>
      <c r="UV30" s="545"/>
      <c r="UW30" s="545"/>
      <c r="UX30" s="545"/>
      <c r="UY30" s="545"/>
      <c r="UZ30" s="545"/>
      <c r="VA30" s="545"/>
      <c r="VB30" s="545"/>
      <c r="VC30" s="545"/>
      <c r="VD30" s="545"/>
      <c r="VE30" s="545"/>
      <c r="VF30" s="545"/>
      <c r="VG30" s="545"/>
      <c r="VH30" s="545"/>
      <c r="VI30" s="545"/>
      <c r="VJ30" s="545"/>
      <c r="VK30" s="545"/>
      <c r="VL30" s="545"/>
      <c r="VM30" s="545"/>
      <c r="VN30" s="545"/>
      <c r="VO30" s="545"/>
      <c r="VP30" s="545"/>
      <c r="VQ30" s="545"/>
      <c r="VR30" s="545"/>
      <c r="VS30" s="545"/>
      <c r="VT30" s="545"/>
      <c r="VU30" s="545"/>
      <c r="VV30" s="545"/>
      <c r="VW30" s="545"/>
      <c r="VX30" s="545"/>
      <c r="VY30" s="545"/>
      <c r="VZ30" s="545"/>
      <c r="WA30" s="545"/>
      <c r="WB30" s="545"/>
      <c r="WC30" s="545"/>
      <c r="WD30" s="545"/>
      <c r="WE30" s="545"/>
      <c r="WF30" s="545"/>
      <c r="WG30" s="545"/>
      <c r="WH30" s="545"/>
      <c r="WI30" s="545"/>
      <c r="WJ30" s="545"/>
      <c r="WK30" s="545"/>
      <c r="WL30" s="545"/>
      <c r="WM30" s="545"/>
      <c r="WN30" s="545"/>
      <c r="WO30" s="545"/>
      <c r="WP30" s="545"/>
      <c r="WQ30" s="545"/>
      <c r="WR30" s="545"/>
      <c r="WS30" s="545"/>
      <c r="WT30" s="545"/>
      <c r="WU30" s="545"/>
      <c r="WV30" s="545"/>
      <c r="WW30" s="545"/>
      <c r="WX30" s="545"/>
      <c r="WY30" s="545"/>
      <c r="WZ30" s="545"/>
      <c r="XA30" s="545"/>
      <c r="XB30" s="545"/>
      <c r="XC30" s="545"/>
      <c r="XD30" s="545"/>
      <c r="XE30" s="545"/>
      <c r="XF30" s="545"/>
      <c r="XG30" s="545"/>
      <c r="XH30" s="545"/>
      <c r="XI30" s="545"/>
      <c r="XJ30" s="545"/>
      <c r="XK30" s="545"/>
      <c r="XL30" s="545"/>
      <c r="XM30" s="545"/>
      <c r="XN30" s="545"/>
      <c r="XO30" s="545"/>
      <c r="XP30" s="545"/>
      <c r="XQ30" s="545"/>
      <c r="XR30" s="545"/>
      <c r="XS30" s="545"/>
      <c r="XT30" s="545"/>
      <c r="XU30" s="545"/>
      <c r="XV30" s="545"/>
      <c r="XW30" s="545"/>
      <c r="XX30" s="545"/>
      <c r="XY30" s="545"/>
      <c r="XZ30" s="545"/>
      <c r="YA30" s="545"/>
      <c r="YB30" s="545"/>
      <c r="YC30" s="545"/>
      <c r="YD30" s="545"/>
      <c r="YE30" s="545"/>
      <c r="YF30" s="545"/>
      <c r="YG30" s="545"/>
      <c r="YH30" s="545"/>
      <c r="YI30" s="545"/>
      <c r="YJ30" s="545"/>
      <c r="YK30" s="545"/>
      <c r="YL30" s="545"/>
      <c r="YM30" s="545"/>
      <c r="YN30" s="545"/>
      <c r="YO30" s="545"/>
      <c r="YP30" s="545"/>
      <c r="YQ30" s="545"/>
      <c r="YR30" s="545"/>
      <c r="YS30" s="545"/>
      <c r="YT30" s="545"/>
      <c r="YU30" s="545"/>
      <c r="YV30" s="545"/>
      <c r="YW30" s="545"/>
      <c r="YX30" s="545"/>
      <c r="YY30" s="545"/>
      <c r="YZ30" s="545"/>
      <c r="ZA30" s="545"/>
      <c r="ZB30" s="545"/>
      <c r="ZC30" s="545"/>
      <c r="ZD30" s="545"/>
      <c r="ZE30" s="545"/>
      <c r="ZF30" s="545"/>
      <c r="ZG30" s="545"/>
      <c r="ZH30" s="545"/>
      <c r="ZI30" s="545"/>
      <c r="ZJ30" s="545"/>
      <c r="ZK30" s="545"/>
      <c r="ZL30" s="545"/>
      <c r="ZM30" s="545"/>
      <c r="ZN30" s="545"/>
      <c r="ZO30" s="545"/>
      <c r="ZP30" s="545"/>
      <c r="ZQ30" s="545"/>
      <c r="ZR30" s="545"/>
      <c r="ZS30" s="545"/>
      <c r="ZT30" s="545"/>
      <c r="ZU30" s="545"/>
      <c r="ZV30" s="545"/>
      <c r="ZW30" s="545"/>
      <c r="ZX30" s="545"/>
      <c r="ZY30" s="545"/>
      <c r="ZZ30" s="545"/>
      <c r="AAA30" s="545"/>
      <c r="AAB30" s="545"/>
      <c r="AAC30" s="545"/>
      <c r="AAD30" s="545"/>
      <c r="AAE30" s="545"/>
      <c r="AAF30" s="545"/>
      <c r="AAG30" s="545"/>
      <c r="AAH30" s="545"/>
      <c r="AAI30" s="545"/>
      <c r="AAJ30" s="545"/>
      <c r="AAK30" s="545"/>
      <c r="AAL30" s="545"/>
      <c r="AAM30" s="545"/>
      <c r="AAN30" s="545"/>
      <c r="AAO30" s="545"/>
      <c r="AAP30" s="545"/>
      <c r="AAQ30" s="545"/>
      <c r="AAR30" s="545"/>
      <c r="AAS30" s="545"/>
      <c r="AAT30" s="545"/>
      <c r="AAU30" s="545"/>
      <c r="AAV30" s="545"/>
      <c r="AAW30" s="545"/>
      <c r="AAX30" s="545"/>
      <c r="AAY30" s="545"/>
      <c r="AAZ30" s="545"/>
      <c r="ABA30" s="545"/>
      <c r="ABB30" s="545"/>
      <c r="ABC30" s="545"/>
      <c r="ABD30" s="545"/>
      <c r="ABE30" s="545"/>
      <c r="ABF30" s="545"/>
      <c r="ABG30" s="545"/>
      <c r="ABH30" s="545"/>
      <c r="ABI30" s="545"/>
      <c r="ABJ30" s="545"/>
      <c r="ABK30" s="545"/>
      <c r="ABL30" s="545"/>
      <c r="ABM30" s="545"/>
      <c r="ABN30" s="545"/>
      <c r="ABO30" s="545"/>
      <c r="ABP30" s="545"/>
      <c r="ABQ30" s="545"/>
      <c r="ABR30" s="545"/>
      <c r="ABS30" s="545"/>
      <c r="ABT30" s="545"/>
      <c r="ABU30" s="545"/>
      <c r="ABV30" s="545"/>
      <c r="ABW30" s="545"/>
      <c r="ABX30" s="545"/>
      <c r="ABY30" s="545"/>
      <c r="ABZ30" s="545"/>
      <c r="ACA30" s="545"/>
      <c r="ACB30" s="545"/>
      <c r="ACC30" s="545"/>
      <c r="ACD30" s="545"/>
      <c r="ACE30" s="545"/>
      <c r="ACF30" s="545"/>
      <c r="ACG30" s="545"/>
      <c r="ACH30" s="545"/>
      <c r="ACI30" s="545"/>
      <c r="ACJ30" s="545"/>
      <c r="ACK30" s="545"/>
      <c r="ACL30" s="545"/>
      <c r="ACM30" s="545"/>
      <c r="ACN30" s="545"/>
      <c r="ACO30" s="545"/>
      <c r="ACP30" s="545"/>
      <c r="ACQ30" s="545"/>
      <c r="ACR30" s="545"/>
      <c r="ACS30" s="545"/>
      <c r="ACT30" s="545"/>
      <c r="ACU30" s="545"/>
      <c r="ACV30" s="545"/>
      <c r="ACW30" s="545"/>
      <c r="ACX30" s="545"/>
      <c r="ACY30" s="545"/>
      <c r="ACZ30" s="545"/>
      <c r="ADA30" s="545"/>
      <c r="ADB30" s="545"/>
      <c r="ADC30" s="545"/>
      <c r="ADD30" s="545"/>
      <c r="ADE30" s="545"/>
      <c r="ADF30" s="545"/>
      <c r="ADG30" s="545"/>
      <c r="ADH30" s="545"/>
      <c r="ADI30" s="545"/>
      <c r="ADJ30" s="545"/>
      <c r="ADK30" s="545"/>
      <c r="ADL30" s="545"/>
      <c r="ADM30" s="545"/>
      <c r="ADN30" s="545"/>
      <c r="ADO30" s="545"/>
      <c r="ADP30" s="545"/>
      <c r="ADQ30" s="545"/>
      <c r="ADR30" s="545"/>
      <c r="ADS30" s="545"/>
      <c r="ADT30" s="545"/>
      <c r="ADU30" s="545"/>
      <c r="ADV30" s="545"/>
      <c r="ADW30" s="545"/>
      <c r="ADX30" s="545"/>
      <c r="ADY30" s="545"/>
      <c r="ADZ30" s="545"/>
      <c r="AEA30" s="545"/>
      <c r="AEB30" s="545"/>
      <c r="AEC30" s="545"/>
      <c r="AED30" s="545"/>
      <c r="AEE30" s="545"/>
      <c r="AEF30" s="545"/>
      <c r="AEG30" s="545"/>
      <c r="AEH30" s="545"/>
      <c r="AEI30" s="545"/>
      <c r="AEJ30" s="545"/>
      <c r="AEK30" s="545"/>
      <c r="AEL30" s="545"/>
      <c r="AEM30" s="545"/>
      <c r="AEN30" s="545"/>
      <c r="AEO30" s="545"/>
      <c r="AEP30" s="545"/>
      <c r="AEQ30" s="545"/>
      <c r="AER30" s="545"/>
      <c r="AES30" s="545"/>
      <c r="AET30" s="545"/>
      <c r="AEU30" s="545"/>
      <c r="AEV30" s="545"/>
      <c r="AEW30" s="545"/>
      <c r="AEX30" s="545"/>
      <c r="AEY30" s="545"/>
      <c r="AEZ30" s="545"/>
      <c r="AFA30" s="545"/>
      <c r="AFB30" s="545"/>
      <c r="AFC30" s="545"/>
      <c r="AFD30" s="545"/>
      <c r="AFE30" s="545"/>
      <c r="AFF30" s="545"/>
      <c r="AFG30" s="545"/>
      <c r="AFH30" s="545"/>
      <c r="AFI30" s="545"/>
      <c r="AFJ30" s="545"/>
      <c r="AFK30" s="545"/>
      <c r="AFL30" s="545"/>
      <c r="AFM30" s="545"/>
      <c r="AFN30" s="545"/>
      <c r="AFO30" s="545"/>
      <c r="AFP30" s="545"/>
      <c r="AFQ30" s="545"/>
      <c r="AFR30" s="545"/>
      <c r="AFS30" s="545"/>
      <c r="AFT30" s="545"/>
      <c r="AFU30" s="545"/>
      <c r="AFV30" s="545"/>
      <c r="AFW30" s="545"/>
      <c r="AFX30" s="545"/>
      <c r="AFY30" s="545"/>
      <c r="AFZ30" s="545"/>
      <c r="AGA30" s="545"/>
      <c r="AGB30" s="545"/>
      <c r="AGC30" s="545"/>
      <c r="AGD30" s="545"/>
      <c r="AGE30" s="545"/>
      <c r="AGF30" s="545"/>
      <c r="AGG30" s="545"/>
      <c r="AGH30" s="545"/>
      <c r="AGI30" s="545"/>
      <c r="AGJ30" s="545"/>
      <c r="AGK30" s="545"/>
      <c r="AGL30" s="545"/>
      <c r="AGM30" s="545"/>
      <c r="AGN30" s="545"/>
      <c r="AGO30" s="545"/>
      <c r="AGP30" s="545"/>
      <c r="AGQ30" s="545"/>
      <c r="AGR30" s="545"/>
      <c r="AGS30" s="545"/>
      <c r="AGT30" s="545"/>
      <c r="AGU30" s="545"/>
      <c r="AGV30" s="545"/>
      <c r="AGW30" s="545"/>
      <c r="AGX30" s="545"/>
      <c r="AGY30" s="545"/>
      <c r="AGZ30" s="545"/>
      <c r="AHA30" s="545"/>
      <c r="AHB30" s="545"/>
      <c r="AHC30" s="545"/>
      <c r="AHD30" s="545"/>
      <c r="AHE30" s="545"/>
      <c r="AHF30" s="545"/>
      <c r="AHG30" s="545"/>
      <c r="AHH30" s="545"/>
      <c r="AHI30" s="545"/>
      <c r="AHJ30" s="545"/>
      <c r="AHK30" s="545"/>
      <c r="AHL30" s="545"/>
      <c r="AHM30" s="545"/>
      <c r="AHN30" s="545"/>
      <c r="AHO30" s="545"/>
      <c r="AHP30" s="545"/>
      <c r="AHQ30" s="545"/>
      <c r="AHR30" s="545"/>
      <c r="AHS30" s="545"/>
      <c r="AHT30" s="545"/>
      <c r="AHU30" s="545"/>
      <c r="AHV30" s="545"/>
      <c r="AHW30" s="545"/>
      <c r="AHX30" s="545"/>
      <c r="AHY30" s="545"/>
      <c r="AHZ30" s="545"/>
      <c r="AIA30" s="545"/>
      <c r="AIB30" s="545"/>
      <c r="AIC30" s="545"/>
      <c r="AID30" s="545"/>
      <c r="AIE30" s="545"/>
      <c r="AIF30" s="545"/>
      <c r="AIG30" s="545"/>
      <c r="AIH30" s="545"/>
      <c r="AII30" s="545"/>
      <c r="AIJ30" s="545"/>
      <c r="AIK30" s="545"/>
      <c r="AIL30" s="545"/>
      <c r="AIM30" s="545"/>
      <c r="AIN30" s="545"/>
      <c r="AIO30" s="545"/>
      <c r="AIP30" s="545"/>
      <c r="AIQ30" s="545"/>
      <c r="AIR30" s="545"/>
      <c r="AIS30" s="545"/>
      <c r="AIT30" s="545"/>
      <c r="AIU30" s="545"/>
      <c r="AIV30" s="545"/>
      <c r="AIW30" s="545"/>
      <c r="AIX30" s="545"/>
      <c r="AIY30" s="545"/>
      <c r="AIZ30" s="545"/>
      <c r="AJA30" s="545"/>
      <c r="AJB30" s="545"/>
      <c r="AJC30" s="545"/>
      <c r="AJD30" s="545"/>
      <c r="AJE30" s="545"/>
      <c r="AJF30" s="545"/>
      <c r="AJG30" s="545"/>
      <c r="AJH30" s="545"/>
      <c r="AJI30" s="545"/>
      <c r="AJJ30" s="545"/>
      <c r="AJK30" s="545"/>
      <c r="AJL30" s="545"/>
      <c r="AJM30" s="545"/>
      <c r="AJN30" s="545"/>
      <c r="AJO30" s="545"/>
      <c r="AJP30" s="545"/>
      <c r="AJQ30" s="545"/>
      <c r="AJR30" s="545"/>
      <c r="AJS30" s="545"/>
      <c r="AJT30" s="545"/>
      <c r="AJU30" s="545"/>
      <c r="AJV30" s="545"/>
      <c r="AJW30" s="545"/>
      <c r="AJX30" s="545"/>
      <c r="AJY30" s="545"/>
      <c r="AJZ30" s="545"/>
      <c r="AKA30" s="545"/>
      <c r="AKB30" s="545"/>
      <c r="AKC30" s="545"/>
      <c r="AKD30" s="545"/>
      <c r="AKE30" s="545"/>
      <c r="AKF30" s="545"/>
      <c r="AKG30" s="545"/>
      <c r="AKH30" s="545"/>
      <c r="AKI30" s="545"/>
      <c r="AKJ30" s="545"/>
      <c r="AKK30" s="545"/>
      <c r="AKL30" s="545"/>
      <c r="AKM30" s="545"/>
      <c r="AKN30" s="545"/>
      <c r="AKO30" s="545"/>
      <c r="AKP30" s="545"/>
      <c r="AKQ30" s="545"/>
      <c r="AKR30" s="545"/>
      <c r="AKS30" s="545"/>
      <c r="AKT30" s="545"/>
      <c r="AKU30" s="545"/>
      <c r="AKV30" s="545"/>
      <c r="AKW30" s="545"/>
      <c r="AKX30" s="545"/>
      <c r="AKY30" s="545"/>
      <c r="AKZ30" s="545"/>
      <c r="ALA30" s="545"/>
      <c r="ALB30" s="545"/>
      <c r="ALC30" s="545"/>
      <c r="ALD30" s="545"/>
      <c r="ALE30" s="545"/>
      <c r="ALF30" s="545"/>
      <c r="ALG30" s="545"/>
      <c r="ALH30" s="545"/>
      <c r="ALI30" s="545"/>
      <c r="ALJ30" s="545"/>
      <c r="ALK30" s="545"/>
      <c r="ALL30" s="545"/>
      <c r="ALM30" s="545"/>
      <c r="ALN30" s="545"/>
      <c r="ALO30" s="545"/>
      <c r="ALP30" s="545"/>
      <c r="ALQ30" s="545"/>
      <c r="ALR30" s="545"/>
      <c r="ALS30" s="545"/>
      <c r="ALT30" s="545"/>
      <c r="ALU30" s="545"/>
      <c r="ALV30" s="545"/>
      <c r="ALW30" s="545"/>
      <c r="ALX30" s="545"/>
      <c r="ALY30" s="545"/>
      <c r="ALZ30" s="545"/>
      <c r="AMA30" s="545"/>
      <c r="AMB30" s="545"/>
      <c r="AMC30" s="545"/>
      <c r="AMD30" s="545"/>
      <c r="AME30" s="545"/>
      <c r="AMF30" s="545"/>
      <c r="AMG30" s="545"/>
      <c r="AMH30" s="545"/>
      <c r="AMI30" s="545"/>
      <c r="AMJ30" s="545"/>
      <c r="AMK30" s="545"/>
      <c r="AML30" s="545"/>
      <c r="AMM30" s="545"/>
      <c r="AMN30" s="545"/>
      <c r="AMO30" s="545"/>
      <c r="AMP30" s="545"/>
      <c r="AMQ30" s="545"/>
      <c r="AMR30" s="545"/>
      <c r="AMS30" s="545"/>
      <c r="AMT30" s="545"/>
      <c r="AMU30" s="545"/>
      <c r="AMV30" s="545"/>
      <c r="AMW30" s="545"/>
      <c r="AMX30" s="545"/>
      <c r="AMY30" s="545"/>
      <c r="AMZ30" s="545"/>
      <c r="ANA30" s="545"/>
      <c r="ANB30" s="545"/>
      <c r="ANC30" s="545"/>
      <c r="AND30" s="545"/>
      <c r="ANE30" s="545"/>
      <c r="ANF30" s="545"/>
      <c r="ANG30" s="545"/>
      <c r="ANH30" s="545"/>
      <c r="ANI30" s="545"/>
      <c r="ANJ30" s="545"/>
      <c r="ANK30" s="545"/>
      <c r="ANL30" s="545"/>
      <c r="ANM30" s="545"/>
      <c r="ANN30" s="545"/>
      <c r="ANO30" s="545"/>
      <c r="ANP30" s="545"/>
      <c r="ANQ30" s="545"/>
      <c r="ANR30" s="545"/>
      <c r="ANS30" s="545"/>
      <c r="ANT30" s="545"/>
      <c r="ANU30" s="545"/>
      <c r="ANV30" s="545"/>
      <c r="ANW30" s="545"/>
      <c r="ANX30" s="545"/>
      <c r="ANY30" s="545"/>
      <c r="ANZ30" s="545"/>
      <c r="AOA30" s="545"/>
      <c r="AOB30" s="545"/>
      <c r="AOC30" s="545"/>
      <c r="AOD30" s="545"/>
      <c r="AOE30" s="545"/>
      <c r="AOF30" s="545"/>
      <c r="AOG30" s="545"/>
      <c r="AOH30" s="545"/>
      <c r="AOI30" s="545"/>
      <c r="AOJ30" s="545"/>
      <c r="AOK30" s="545"/>
      <c r="AOL30" s="545"/>
      <c r="AOM30" s="545"/>
      <c r="AON30" s="545"/>
      <c r="AOO30" s="545"/>
      <c r="AOP30" s="545"/>
      <c r="AOQ30" s="545"/>
      <c r="AOR30" s="545"/>
      <c r="AOS30" s="545"/>
      <c r="AOT30" s="545"/>
      <c r="AOU30" s="545"/>
      <c r="AOV30" s="545"/>
      <c r="AOW30" s="545"/>
      <c r="AOX30" s="545"/>
      <c r="AOY30" s="545"/>
      <c r="AOZ30" s="545"/>
      <c r="APA30" s="545"/>
      <c r="APB30" s="545"/>
      <c r="APC30" s="545"/>
      <c r="APD30" s="545"/>
      <c r="APE30" s="545"/>
      <c r="APF30" s="545"/>
      <c r="APG30" s="545"/>
      <c r="APH30" s="545"/>
      <c r="API30" s="545"/>
      <c r="APJ30" s="545"/>
      <c r="APK30" s="545"/>
      <c r="APL30" s="545"/>
      <c r="APM30" s="545"/>
      <c r="APN30" s="545"/>
      <c r="APO30" s="545"/>
      <c r="APP30" s="545"/>
      <c r="APQ30" s="545"/>
      <c r="APR30" s="545"/>
      <c r="APS30" s="545"/>
      <c r="APT30" s="545"/>
      <c r="APU30" s="545"/>
      <c r="APV30" s="545"/>
      <c r="APW30" s="545"/>
      <c r="APX30" s="545"/>
      <c r="APY30" s="545"/>
      <c r="APZ30" s="545"/>
      <c r="AQA30" s="545"/>
      <c r="AQB30" s="545"/>
      <c r="AQC30" s="545"/>
      <c r="AQD30" s="545"/>
      <c r="AQE30" s="545"/>
      <c r="AQF30" s="545"/>
      <c r="AQG30" s="545"/>
      <c r="AQH30" s="545"/>
      <c r="AQI30" s="545"/>
      <c r="AQJ30" s="545"/>
      <c r="AQK30" s="545"/>
      <c r="AQL30" s="545"/>
      <c r="AQM30" s="545"/>
      <c r="AQN30" s="545"/>
      <c r="AQO30" s="545"/>
      <c r="AQP30" s="545"/>
      <c r="AQQ30" s="545"/>
      <c r="AQR30" s="545"/>
      <c r="AQS30" s="545"/>
      <c r="AQT30" s="545"/>
      <c r="AQU30" s="545"/>
      <c r="AQV30" s="545"/>
      <c r="AQW30" s="545"/>
      <c r="AQX30" s="545"/>
      <c r="AQY30" s="545"/>
      <c r="AQZ30" s="545"/>
      <c r="ARA30" s="545"/>
      <c r="ARB30" s="545"/>
      <c r="ARC30" s="545"/>
      <c r="ARD30" s="545"/>
      <c r="ARE30" s="545"/>
      <c r="ARF30" s="545"/>
      <c r="ARG30" s="545"/>
      <c r="ARH30" s="545"/>
      <c r="ARI30" s="545"/>
      <c r="ARJ30" s="545"/>
      <c r="ARK30" s="545"/>
      <c r="ARL30" s="545"/>
      <c r="ARM30" s="545"/>
      <c r="ARN30" s="545"/>
      <c r="ARO30" s="545"/>
      <c r="ARP30" s="545"/>
      <c r="ARQ30" s="545"/>
      <c r="ARR30" s="545"/>
      <c r="ARS30" s="545"/>
      <c r="ART30" s="545"/>
      <c r="ARU30" s="545"/>
      <c r="ARV30" s="545"/>
      <c r="ARW30" s="545"/>
      <c r="ARX30" s="545"/>
      <c r="ARY30" s="545"/>
      <c r="ARZ30" s="545"/>
      <c r="ASA30" s="545"/>
      <c r="ASB30" s="545"/>
      <c r="ASC30" s="545"/>
      <c r="ASD30" s="545"/>
      <c r="ASE30" s="545"/>
      <c r="ASF30" s="545"/>
      <c r="ASG30" s="545"/>
      <c r="ASH30" s="545"/>
      <c r="ASI30" s="545"/>
      <c r="ASJ30" s="545"/>
      <c r="ASK30" s="545"/>
      <c r="ASL30" s="545"/>
      <c r="ASM30" s="545"/>
      <c r="ASN30" s="545"/>
      <c r="ASO30" s="545"/>
      <c r="ASP30" s="545"/>
      <c r="ASQ30" s="545"/>
      <c r="ASR30" s="545"/>
      <c r="ASS30" s="545"/>
      <c r="AST30" s="545"/>
      <c r="ASU30" s="545"/>
      <c r="ASV30" s="545"/>
      <c r="ASW30" s="545"/>
      <c r="ASX30" s="545"/>
      <c r="ASY30" s="545"/>
      <c r="ASZ30" s="545"/>
      <c r="ATA30" s="545"/>
      <c r="ATB30" s="545"/>
      <c r="ATC30" s="545"/>
      <c r="ATD30" s="545"/>
      <c r="ATE30" s="545"/>
      <c r="ATF30" s="545"/>
      <c r="ATG30" s="545"/>
      <c r="ATH30" s="545"/>
      <c r="ATI30" s="545"/>
      <c r="ATJ30" s="545"/>
      <c r="ATK30" s="545"/>
      <c r="ATL30" s="545"/>
      <c r="ATM30" s="545"/>
      <c r="ATN30" s="545"/>
      <c r="ATO30" s="545"/>
      <c r="ATP30" s="545"/>
      <c r="ATQ30" s="545"/>
      <c r="ATR30" s="545"/>
      <c r="ATS30" s="545"/>
      <c r="ATT30" s="545"/>
      <c r="ATU30" s="545"/>
      <c r="ATV30" s="545"/>
      <c r="ATW30" s="545"/>
      <c r="ATX30" s="545"/>
      <c r="ATY30" s="545"/>
      <c r="ATZ30" s="545"/>
      <c r="AUA30" s="545"/>
      <c r="AUB30" s="545"/>
      <c r="AUC30" s="545"/>
      <c r="AUD30" s="545"/>
      <c r="AUE30" s="545"/>
      <c r="AUF30" s="545"/>
      <c r="AUG30" s="545"/>
      <c r="AUH30" s="545"/>
      <c r="AUI30" s="545"/>
      <c r="AUJ30" s="545"/>
      <c r="AUK30" s="545"/>
      <c r="AUL30" s="545"/>
      <c r="AUM30" s="545"/>
      <c r="AUN30" s="545"/>
      <c r="AUO30" s="545"/>
      <c r="AUP30" s="545"/>
      <c r="AUQ30" s="545"/>
      <c r="AUR30" s="545"/>
      <c r="AUS30" s="545"/>
      <c r="AUT30" s="545"/>
      <c r="AUU30" s="545"/>
      <c r="AUV30" s="545"/>
      <c r="AUW30" s="545"/>
      <c r="AUX30" s="545"/>
      <c r="AUY30" s="545"/>
      <c r="AUZ30" s="545"/>
      <c r="AVA30" s="545"/>
      <c r="AVB30" s="545"/>
      <c r="AVC30" s="545"/>
      <c r="AVD30" s="545"/>
      <c r="AVE30" s="545"/>
      <c r="AVF30" s="545"/>
      <c r="AVG30" s="545"/>
      <c r="AVH30" s="545"/>
      <c r="AVI30" s="545"/>
      <c r="AVJ30" s="545"/>
      <c r="AVK30" s="545"/>
      <c r="AVL30" s="545"/>
      <c r="AVM30" s="545"/>
      <c r="AVN30" s="545"/>
      <c r="AVO30" s="545"/>
      <c r="AVP30" s="545"/>
      <c r="AVQ30" s="545"/>
      <c r="AVR30" s="545"/>
      <c r="AVS30" s="545"/>
      <c r="AVT30" s="545"/>
      <c r="AVU30" s="545"/>
      <c r="AVV30" s="545"/>
      <c r="AVW30" s="545"/>
      <c r="AVX30" s="545"/>
      <c r="AVY30" s="545"/>
      <c r="AVZ30" s="545"/>
      <c r="AWA30" s="545"/>
      <c r="AWB30" s="545"/>
      <c r="AWC30" s="545"/>
      <c r="AWD30" s="545"/>
      <c r="AWE30" s="545"/>
      <c r="AWF30" s="545"/>
      <c r="AWG30" s="545"/>
      <c r="AWH30" s="545"/>
      <c r="AWI30" s="545"/>
      <c r="AWJ30" s="545"/>
      <c r="AWK30" s="545"/>
      <c r="AWL30" s="545"/>
      <c r="AWM30" s="545"/>
      <c r="AWN30" s="545"/>
      <c r="AWO30" s="545"/>
      <c r="AWP30" s="545"/>
      <c r="AWQ30" s="545"/>
      <c r="AWR30" s="545"/>
      <c r="AWS30" s="545"/>
      <c r="AWT30" s="545"/>
      <c r="AWU30" s="545"/>
      <c r="AWV30" s="545"/>
      <c r="AWW30" s="545"/>
      <c r="AWX30" s="545"/>
      <c r="AWY30" s="545"/>
      <c r="AWZ30" s="545"/>
      <c r="AXA30" s="545"/>
      <c r="AXB30" s="545"/>
      <c r="AXC30" s="545"/>
      <c r="AXD30" s="545"/>
      <c r="AXE30" s="545"/>
      <c r="AXF30" s="545"/>
      <c r="AXG30" s="545"/>
      <c r="AXH30" s="545"/>
      <c r="AXI30" s="545"/>
      <c r="AXJ30" s="545"/>
      <c r="AXK30" s="545"/>
      <c r="AXL30" s="545"/>
      <c r="AXM30" s="545"/>
      <c r="AXN30" s="545"/>
      <c r="AXO30" s="545"/>
      <c r="AXP30" s="545"/>
      <c r="AXQ30" s="545"/>
      <c r="AXR30" s="545"/>
      <c r="AXS30" s="545"/>
      <c r="AXT30" s="545"/>
      <c r="AXU30" s="545"/>
      <c r="AXV30" s="545"/>
      <c r="AXW30" s="545"/>
      <c r="AXX30" s="545"/>
      <c r="AXY30" s="545"/>
      <c r="AXZ30" s="545"/>
      <c r="AYA30" s="545"/>
      <c r="AYB30" s="545"/>
      <c r="AYC30" s="545"/>
      <c r="AYD30" s="545"/>
      <c r="AYE30" s="545"/>
      <c r="AYF30" s="545"/>
      <c r="AYG30" s="545"/>
      <c r="AYH30" s="545"/>
      <c r="AYI30" s="545"/>
      <c r="AYJ30" s="545"/>
      <c r="AYK30" s="545"/>
      <c r="AYL30" s="545"/>
      <c r="AYM30" s="545"/>
      <c r="AYN30" s="545"/>
      <c r="AYO30" s="545"/>
      <c r="AYP30" s="545"/>
      <c r="AYQ30" s="545"/>
      <c r="AYR30" s="545"/>
      <c r="AYS30" s="545"/>
      <c r="AYT30" s="545"/>
      <c r="AYU30" s="545"/>
      <c r="AYV30" s="545"/>
      <c r="AYW30" s="545"/>
      <c r="AYX30" s="545"/>
      <c r="AYY30" s="545"/>
      <c r="AYZ30" s="545"/>
      <c r="AZA30" s="545"/>
      <c r="AZB30" s="545"/>
      <c r="AZC30" s="545"/>
      <c r="AZD30" s="545"/>
      <c r="AZE30" s="545"/>
      <c r="AZF30" s="545"/>
      <c r="AZG30" s="545"/>
      <c r="AZH30" s="545"/>
      <c r="AZI30" s="545"/>
      <c r="AZJ30" s="545"/>
      <c r="AZK30" s="545"/>
      <c r="AZL30" s="545"/>
      <c r="AZM30" s="545"/>
      <c r="AZN30" s="545"/>
      <c r="AZO30" s="545"/>
      <c r="AZP30" s="545"/>
      <c r="AZQ30" s="545"/>
      <c r="AZR30" s="545"/>
      <c r="AZS30" s="545"/>
      <c r="AZT30" s="545"/>
      <c r="AZU30" s="545"/>
      <c r="AZV30" s="545"/>
      <c r="AZW30" s="545"/>
      <c r="AZX30" s="545"/>
      <c r="AZY30" s="545"/>
      <c r="AZZ30" s="545"/>
      <c r="BAA30" s="545"/>
      <c r="BAB30" s="545"/>
      <c r="BAC30" s="545"/>
      <c r="BAD30" s="545"/>
      <c r="BAE30" s="545"/>
      <c r="BAF30" s="545"/>
      <c r="BAG30" s="545"/>
      <c r="BAH30" s="545"/>
      <c r="BAI30" s="545"/>
      <c r="BAJ30" s="545"/>
      <c r="BAK30" s="545"/>
      <c r="BAL30" s="545"/>
      <c r="BAM30" s="545"/>
      <c r="BAN30" s="545"/>
      <c r="BAO30" s="545"/>
      <c r="BAP30" s="545"/>
      <c r="BAQ30" s="545"/>
      <c r="BAR30" s="545"/>
      <c r="BAS30" s="545"/>
      <c r="BAT30" s="545"/>
      <c r="BAU30" s="545"/>
      <c r="BAV30" s="545"/>
      <c r="BAW30" s="545"/>
      <c r="BAX30" s="545"/>
      <c r="BAY30" s="545"/>
      <c r="BAZ30" s="545"/>
      <c r="BBA30" s="545"/>
      <c r="BBB30" s="545"/>
      <c r="BBC30" s="545"/>
      <c r="BBD30" s="545"/>
      <c r="BBE30" s="545"/>
      <c r="BBF30" s="545"/>
      <c r="BBG30" s="545"/>
      <c r="BBH30" s="545"/>
      <c r="BBI30" s="545"/>
      <c r="BBJ30" s="545"/>
      <c r="BBK30" s="545"/>
      <c r="BBL30" s="545"/>
      <c r="BBM30" s="545"/>
      <c r="BBN30" s="545"/>
      <c r="BBO30" s="545"/>
      <c r="BBP30" s="545"/>
      <c r="BBQ30" s="545"/>
      <c r="BBR30" s="545"/>
      <c r="BBS30" s="545"/>
      <c r="BBT30" s="545"/>
      <c r="BBU30" s="545"/>
      <c r="BBV30" s="545"/>
      <c r="BBW30" s="545"/>
      <c r="BBX30" s="545"/>
      <c r="BBY30" s="545"/>
      <c r="BBZ30" s="545"/>
      <c r="BCA30" s="545"/>
      <c r="BCB30" s="545"/>
      <c r="BCC30" s="545"/>
      <c r="BCD30" s="545"/>
      <c r="BCE30" s="545"/>
      <c r="BCF30" s="545"/>
      <c r="BCG30" s="545"/>
      <c r="BCH30" s="545"/>
      <c r="BCI30" s="545"/>
      <c r="BCJ30" s="545"/>
      <c r="BCK30" s="545"/>
      <c r="BCL30" s="545"/>
      <c r="BCM30" s="545"/>
      <c r="BCN30" s="545"/>
      <c r="BCO30" s="545"/>
      <c r="BCP30" s="545"/>
      <c r="BCQ30" s="545"/>
      <c r="BCR30" s="545"/>
      <c r="BCS30" s="545"/>
      <c r="BCT30" s="545"/>
      <c r="BCU30" s="545"/>
      <c r="BCV30" s="545"/>
      <c r="BCW30" s="545"/>
      <c r="BCX30" s="545"/>
      <c r="BCY30" s="545"/>
      <c r="BCZ30" s="545"/>
      <c r="BDA30" s="545"/>
      <c r="BDB30" s="545"/>
      <c r="BDC30" s="545"/>
      <c r="BDD30" s="545"/>
      <c r="BDE30" s="545"/>
      <c r="BDF30" s="545"/>
      <c r="BDG30" s="545"/>
      <c r="BDH30" s="545"/>
      <c r="BDI30" s="545"/>
      <c r="BDJ30" s="545"/>
      <c r="BDK30" s="545"/>
      <c r="BDL30" s="545"/>
      <c r="BDM30" s="545"/>
      <c r="BDN30" s="545"/>
      <c r="BDO30" s="545"/>
      <c r="BDP30" s="545"/>
      <c r="BDQ30" s="545"/>
      <c r="BDR30" s="545"/>
      <c r="BDS30" s="545"/>
      <c r="BDT30" s="545"/>
      <c r="BDU30" s="545"/>
      <c r="BDV30" s="545"/>
      <c r="BDW30" s="545"/>
      <c r="BDX30" s="545"/>
      <c r="BDY30" s="545"/>
      <c r="BDZ30" s="545"/>
      <c r="BEA30" s="545"/>
      <c r="BEB30" s="545"/>
      <c r="BEC30" s="545"/>
      <c r="BED30" s="545"/>
      <c r="BEE30" s="545"/>
      <c r="BEF30" s="545"/>
      <c r="BEG30" s="545"/>
      <c r="BEH30" s="545"/>
      <c r="BEI30" s="545"/>
      <c r="BEJ30" s="545"/>
      <c r="BEK30" s="545"/>
      <c r="BEL30" s="545"/>
      <c r="BEM30" s="545"/>
      <c r="BEN30" s="545"/>
      <c r="BEO30" s="545"/>
      <c r="BEP30" s="545"/>
      <c r="BEQ30" s="545"/>
      <c r="BER30" s="545"/>
      <c r="BES30" s="545"/>
      <c r="BET30" s="545"/>
      <c r="BEU30" s="545"/>
      <c r="BEV30" s="545"/>
      <c r="BEW30" s="545"/>
      <c r="BEX30" s="545"/>
      <c r="BEY30" s="545"/>
      <c r="BEZ30" s="545"/>
      <c r="BFA30" s="545"/>
      <c r="BFB30" s="545"/>
      <c r="BFC30" s="545"/>
      <c r="BFD30" s="545"/>
      <c r="BFE30" s="545"/>
      <c r="BFF30" s="545"/>
      <c r="BFG30" s="545"/>
      <c r="BFH30" s="545"/>
      <c r="BFI30" s="545"/>
      <c r="BFJ30" s="545"/>
      <c r="BFK30" s="545"/>
      <c r="BFL30" s="545"/>
      <c r="BFM30" s="545"/>
      <c r="BFN30" s="545"/>
      <c r="BFO30" s="545"/>
      <c r="BFP30" s="545"/>
      <c r="BFQ30" s="545"/>
      <c r="BFR30" s="545"/>
      <c r="BFS30" s="545"/>
      <c r="BFT30" s="545"/>
      <c r="BFU30" s="545"/>
      <c r="BFV30" s="545"/>
      <c r="BFW30" s="545"/>
      <c r="BFX30" s="545"/>
      <c r="BFY30" s="545"/>
      <c r="BFZ30" s="545"/>
      <c r="BGA30" s="545"/>
      <c r="BGB30" s="545"/>
      <c r="BGC30" s="545"/>
      <c r="BGD30" s="545"/>
      <c r="BGE30" s="545"/>
      <c r="BGF30" s="545"/>
      <c r="BGG30" s="545"/>
      <c r="BGH30" s="545"/>
      <c r="BGI30" s="545"/>
      <c r="BGJ30" s="545"/>
      <c r="BGK30" s="545"/>
      <c r="BGL30" s="545"/>
      <c r="BGM30" s="545"/>
      <c r="BGN30" s="545"/>
      <c r="BGO30" s="545"/>
      <c r="BGP30" s="545"/>
      <c r="BGQ30" s="545"/>
      <c r="BGR30" s="545"/>
      <c r="BGS30" s="545"/>
      <c r="BGT30" s="545"/>
      <c r="BGU30" s="545"/>
      <c r="BGV30" s="545"/>
      <c r="BGW30" s="545"/>
      <c r="BGX30" s="545"/>
      <c r="BGY30" s="545"/>
      <c r="BGZ30" s="545"/>
      <c r="BHA30" s="545"/>
      <c r="BHB30" s="545"/>
      <c r="BHC30" s="545"/>
      <c r="BHD30" s="545"/>
      <c r="BHE30" s="545"/>
      <c r="BHF30" s="545"/>
      <c r="BHG30" s="545"/>
      <c r="BHH30" s="545"/>
      <c r="BHI30" s="545"/>
      <c r="BHJ30" s="545"/>
      <c r="BHK30" s="545"/>
      <c r="BHL30" s="545"/>
      <c r="BHM30" s="545"/>
      <c r="BHN30" s="545"/>
      <c r="BHO30" s="545"/>
      <c r="BHP30" s="545"/>
      <c r="BHQ30" s="545"/>
      <c r="BHR30" s="545"/>
      <c r="BHS30" s="545"/>
      <c r="BHT30" s="545"/>
      <c r="BHU30" s="545"/>
      <c r="BHV30" s="545"/>
      <c r="BHW30" s="545"/>
      <c r="BHX30" s="545"/>
      <c r="BHY30" s="545"/>
      <c r="BHZ30" s="545"/>
      <c r="BIA30" s="545"/>
      <c r="BIB30" s="545"/>
      <c r="BIC30" s="545"/>
      <c r="BID30" s="545"/>
      <c r="BIE30" s="545"/>
      <c r="BIF30" s="545"/>
      <c r="BIG30" s="545"/>
      <c r="BIH30" s="545"/>
      <c r="BII30" s="545"/>
      <c r="BIJ30" s="545"/>
      <c r="BIK30" s="545"/>
      <c r="BIL30" s="545"/>
      <c r="BIM30" s="545"/>
      <c r="BIN30" s="545"/>
      <c r="BIO30" s="545"/>
      <c r="BIP30" s="545"/>
      <c r="BIQ30" s="545"/>
      <c r="BIR30" s="545"/>
      <c r="BIS30" s="545"/>
      <c r="BIT30" s="545"/>
      <c r="BIU30" s="545"/>
      <c r="BIV30" s="545"/>
      <c r="BIW30" s="545"/>
      <c r="BIX30" s="545"/>
      <c r="BIY30" s="545"/>
      <c r="BIZ30" s="545"/>
      <c r="BJA30" s="545"/>
      <c r="BJB30" s="545"/>
      <c r="BJC30" s="545"/>
      <c r="BJD30" s="545"/>
      <c r="BJE30" s="545"/>
      <c r="BJF30" s="545"/>
      <c r="BJG30" s="545"/>
      <c r="BJH30" s="545"/>
      <c r="BJI30" s="545"/>
      <c r="BJJ30" s="545"/>
      <c r="BJK30" s="545"/>
      <c r="BJL30" s="545"/>
      <c r="BJM30" s="545"/>
      <c r="BJN30" s="545"/>
      <c r="BJO30" s="545"/>
      <c r="BJP30" s="545"/>
      <c r="BJQ30" s="545"/>
      <c r="BJR30" s="545"/>
      <c r="BJS30" s="545"/>
      <c r="BJT30" s="545"/>
      <c r="BJU30" s="545"/>
      <c r="BJV30" s="545"/>
      <c r="BJW30" s="545"/>
      <c r="BJX30" s="545"/>
      <c r="BJY30" s="545"/>
      <c r="BJZ30" s="545"/>
      <c r="BKA30" s="545"/>
      <c r="BKB30" s="545"/>
      <c r="BKC30" s="545"/>
      <c r="BKD30" s="545"/>
      <c r="BKE30" s="545"/>
      <c r="BKF30" s="545"/>
      <c r="BKG30" s="545"/>
      <c r="BKH30" s="545"/>
      <c r="BKI30" s="545"/>
      <c r="BKJ30" s="545"/>
      <c r="BKK30" s="545"/>
      <c r="BKL30" s="545"/>
      <c r="BKM30" s="545"/>
      <c r="BKN30" s="545"/>
      <c r="BKO30" s="545"/>
      <c r="BKP30" s="545"/>
      <c r="BKQ30" s="545"/>
      <c r="BKR30" s="545"/>
      <c r="BKS30" s="545"/>
      <c r="BKT30" s="545"/>
      <c r="BKU30" s="545"/>
      <c r="BKV30" s="545"/>
      <c r="BKW30" s="545"/>
      <c r="BKX30" s="545"/>
      <c r="BKY30" s="545"/>
      <c r="BKZ30" s="545"/>
      <c r="BLA30" s="545"/>
      <c r="BLB30" s="545"/>
      <c r="BLC30" s="545"/>
      <c r="BLD30" s="545"/>
      <c r="BLE30" s="545"/>
      <c r="BLF30" s="545"/>
      <c r="BLG30" s="545"/>
      <c r="BLH30" s="545"/>
      <c r="BLI30" s="545"/>
      <c r="BLJ30" s="545"/>
      <c r="BLK30" s="545"/>
      <c r="BLL30" s="545"/>
      <c r="BLM30" s="545"/>
      <c r="BLN30" s="545"/>
      <c r="BLO30" s="545"/>
      <c r="BLP30" s="545"/>
      <c r="BLQ30" s="545"/>
      <c r="BLR30" s="545"/>
      <c r="BLS30" s="545"/>
      <c r="BLT30" s="545"/>
      <c r="BLU30" s="545"/>
      <c r="BLV30" s="545"/>
      <c r="BLW30" s="545"/>
      <c r="BLX30" s="545"/>
      <c r="BLY30" s="545"/>
      <c r="BLZ30" s="545"/>
      <c r="BMA30" s="545"/>
      <c r="BMB30" s="545"/>
      <c r="BMC30" s="545"/>
      <c r="BMD30" s="545"/>
      <c r="BME30" s="545"/>
      <c r="BMF30" s="545"/>
      <c r="BMG30" s="545"/>
      <c r="BMH30" s="545"/>
      <c r="BMI30" s="545"/>
      <c r="BMJ30" s="545"/>
      <c r="BMK30" s="545"/>
      <c r="BML30" s="545"/>
      <c r="BMM30" s="545"/>
      <c r="BMN30" s="545"/>
      <c r="BMO30" s="545"/>
      <c r="BMP30" s="545"/>
      <c r="BMQ30" s="545"/>
      <c r="BMR30" s="545"/>
      <c r="BMS30" s="545"/>
      <c r="BMT30" s="545"/>
      <c r="BMU30" s="545"/>
      <c r="BMV30" s="545"/>
      <c r="BMW30" s="545"/>
      <c r="BMX30" s="545"/>
      <c r="BMY30" s="545"/>
      <c r="BMZ30" s="545"/>
      <c r="BNA30" s="545"/>
      <c r="BNB30" s="545"/>
      <c r="BNC30" s="545"/>
      <c r="BND30" s="545"/>
      <c r="BNE30" s="545"/>
      <c r="BNF30" s="545"/>
      <c r="BNG30" s="545"/>
      <c r="BNH30" s="545"/>
      <c r="BNI30" s="545"/>
      <c r="BNJ30" s="545"/>
      <c r="BNK30" s="545"/>
      <c r="BNL30" s="545"/>
      <c r="BNM30" s="545"/>
      <c r="BNN30" s="545"/>
      <c r="BNO30" s="545"/>
      <c r="BNP30" s="545"/>
      <c r="BNQ30" s="545"/>
      <c r="BNR30" s="545"/>
      <c r="BNS30" s="545"/>
      <c r="BNT30" s="545"/>
      <c r="BNU30" s="545"/>
      <c r="BNV30" s="545"/>
      <c r="BNW30" s="545"/>
      <c r="BNX30" s="545"/>
      <c r="BNY30" s="545"/>
      <c r="BNZ30" s="545"/>
      <c r="BOA30" s="545"/>
      <c r="BOB30" s="545"/>
      <c r="BOC30" s="545"/>
      <c r="BOD30" s="545"/>
      <c r="BOE30" s="545"/>
      <c r="BOF30" s="545"/>
      <c r="BOG30" s="545"/>
      <c r="BOH30" s="545"/>
      <c r="BOI30" s="545"/>
      <c r="BOJ30" s="545"/>
      <c r="BOK30" s="545"/>
      <c r="BOL30" s="545"/>
      <c r="BOM30" s="545"/>
      <c r="BON30" s="545"/>
      <c r="BOO30" s="545"/>
      <c r="BOP30" s="545"/>
      <c r="BOQ30" s="545"/>
      <c r="BOR30" s="545"/>
      <c r="BOS30" s="545"/>
      <c r="BOT30" s="545"/>
      <c r="BOU30" s="545"/>
      <c r="BOV30" s="545"/>
      <c r="BOW30" s="545"/>
      <c r="BOX30" s="545"/>
      <c r="BOY30" s="545"/>
      <c r="BOZ30" s="545"/>
      <c r="BPA30" s="545"/>
      <c r="BPB30" s="545"/>
      <c r="BPC30" s="545"/>
      <c r="BPD30" s="545"/>
      <c r="BPE30" s="545"/>
      <c r="BPF30" s="545"/>
      <c r="BPG30" s="545"/>
      <c r="BPH30" s="545"/>
      <c r="BPI30" s="545"/>
      <c r="BPJ30" s="545"/>
      <c r="BPK30" s="545"/>
      <c r="BPL30" s="545"/>
      <c r="BPM30" s="545"/>
      <c r="BPN30" s="545"/>
      <c r="BPO30" s="545"/>
      <c r="BPP30" s="545"/>
      <c r="BPQ30" s="545"/>
      <c r="BPR30" s="545"/>
      <c r="BPS30" s="545"/>
      <c r="BPT30" s="545"/>
      <c r="BPU30" s="545"/>
      <c r="BPV30" s="545"/>
      <c r="BPW30" s="545"/>
      <c r="BPX30" s="545"/>
      <c r="BPY30" s="545"/>
      <c r="BPZ30" s="545"/>
      <c r="BQA30" s="545"/>
      <c r="BQB30" s="545"/>
      <c r="BQC30" s="545"/>
      <c r="BQD30" s="545"/>
      <c r="BQE30" s="545"/>
      <c r="BQF30" s="545"/>
      <c r="BQG30" s="545"/>
      <c r="BQH30" s="545"/>
      <c r="BQI30" s="545"/>
      <c r="BQJ30" s="545"/>
      <c r="BQK30" s="545"/>
      <c r="BQL30" s="545"/>
      <c r="BQM30" s="545"/>
      <c r="BQN30" s="545"/>
      <c r="BQO30" s="545"/>
      <c r="BQP30" s="545"/>
      <c r="BQQ30" s="545"/>
      <c r="BQR30" s="545"/>
      <c r="BQS30" s="545"/>
      <c r="BQT30" s="545"/>
      <c r="BQU30" s="545"/>
      <c r="BQV30" s="545"/>
      <c r="BQW30" s="545"/>
      <c r="BQX30" s="545"/>
      <c r="BQY30" s="545"/>
      <c r="BQZ30" s="545"/>
      <c r="BRA30" s="545"/>
      <c r="BRB30" s="545"/>
      <c r="BRC30" s="545"/>
      <c r="BRD30" s="545"/>
      <c r="BRE30" s="545"/>
      <c r="BRF30" s="545"/>
      <c r="BRG30" s="545"/>
      <c r="BRH30" s="545"/>
      <c r="BRI30" s="545"/>
      <c r="BRJ30" s="545"/>
      <c r="BRK30" s="545"/>
      <c r="BRL30" s="545"/>
      <c r="BRM30" s="545"/>
      <c r="BRN30" s="545"/>
      <c r="BRO30" s="545"/>
      <c r="BRP30" s="545"/>
      <c r="BRQ30" s="545"/>
      <c r="BRR30" s="545"/>
      <c r="BRS30" s="545"/>
      <c r="BRT30" s="545"/>
      <c r="BRU30" s="545"/>
      <c r="BRV30" s="545"/>
      <c r="BRW30" s="545"/>
      <c r="BRX30" s="545"/>
      <c r="BRY30" s="545"/>
      <c r="BRZ30" s="545"/>
      <c r="BSA30" s="545"/>
      <c r="BSB30" s="545"/>
      <c r="BSC30" s="545"/>
      <c r="BSD30" s="545"/>
      <c r="BSE30" s="545"/>
      <c r="BSF30" s="545"/>
      <c r="BSG30" s="545"/>
      <c r="BSH30" s="545"/>
      <c r="BSI30" s="545"/>
      <c r="BSJ30" s="545"/>
      <c r="BSK30" s="545"/>
      <c r="BSL30" s="545"/>
      <c r="BSM30" s="545"/>
      <c r="BSN30" s="545"/>
      <c r="BSO30" s="545"/>
      <c r="BSP30" s="545"/>
      <c r="BSQ30" s="545"/>
      <c r="BSR30" s="545"/>
      <c r="BSS30" s="545"/>
      <c r="BST30" s="545"/>
      <c r="BSU30" s="545"/>
      <c r="BSV30" s="545"/>
      <c r="BSW30" s="545"/>
      <c r="BSX30" s="545"/>
      <c r="BSY30" s="545"/>
      <c r="BSZ30" s="545"/>
      <c r="BTA30" s="545"/>
      <c r="BTB30" s="545"/>
      <c r="BTC30" s="545"/>
      <c r="BTD30" s="545"/>
      <c r="BTE30" s="545"/>
      <c r="BTF30" s="545"/>
      <c r="BTG30" s="545"/>
      <c r="BTH30" s="545"/>
      <c r="BTI30" s="545"/>
      <c r="BTJ30" s="545"/>
      <c r="BTK30" s="545"/>
      <c r="BTL30" s="545"/>
      <c r="BTM30" s="545"/>
      <c r="BTN30" s="545"/>
      <c r="BTO30" s="545"/>
      <c r="BTP30" s="545"/>
      <c r="BTQ30" s="545"/>
      <c r="BTR30" s="545"/>
      <c r="BTS30" s="545"/>
      <c r="BTT30" s="545"/>
      <c r="BTU30" s="545"/>
      <c r="BTV30" s="545"/>
      <c r="BTW30" s="545"/>
      <c r="BTX30" s="545"/>
      <c r="BTY30" s="545"/>
      <c r="BTZ30" s="545"/>
      <c r="BUA30" s="545"/>
      <c r="BUB30" s="545"/>
      <c r="BUC30" s="545"/>
      <c r="BUD30" s="545"/>
      <c r="BUE30" s="545"/>
      <c r="BUF30" s="545"/>
      <c r="BUG30" s="545"/>
      <c r="BUH30" s="545"/>
      <c r="BUI30" s="545"/>
      <c r="BUJ30" s="545"/>
      <c r="BUK30" s="545"/>
      <c r="BUL30" s="545"/>
      <c r="BUM30" s="545"/>
      <c r="BUN30" s="545"/>
      <c r="BUO30" s="545"/>
      <c r="BUP30" s="545"/>
      <c r="BUQ30" s="545"/>
      <c r="BUR30" s="545"/>
      <c r="BUS30" s="545"/>
      <c r="BUT30" s="545"/>
      <c r="BUU30" s="545"/>
      <c r="BUV30" s="545"/>
      <c r="BUW30" s="545"/>
      <c r="BUX30" s="545"/>
      <c r="BUY30" s="545"/>
      <c r="BUZ30" s="545"/>
      <c r="BVA30" s="545"/>
      <c r="BVB30" s="545"/>
      <c r="BVC30" s="545"/>
      <c r="BVD30" s="545"/>
      <c r="BVE30" s="545"/>
      <c r="BVF30" s="545"/>
      <c r="BVG30" s="545"/>
      <c r="BVH30" s="545"/>
      <c r="BVI30" s="545"/>
      <c r="BVJ30" s="545"/>
      <c r="BVK30" s="545"/>
      <c r="BVL30" s="545"/>
      <c r="BVM30" s="545"/>
      <c r="BVN30" s="545"/>
      <c r="BVO30" s="545"/>
      <c r="BVP30" s="545"/>
      <c r="BVQ30" s="545"/>
      <c r="BVR30" s="545"/>
      <c r="BVS30" s="545"/>
      <c r="BVT30" s="545"/>
      <c r="BVU30" s="545"/>
      <c r="BVV30" s="545"/>
      <c r="BVW30" s="545"/>
      <c r="BVX30" s="545"/>
      <c r="BVY30" s="545"/>
      <c r="BVZ30" s="545"/>
      <c r="BWA30" s="545"/>
      <c r="BWB30" s="545"/>
      <c r="BWC30" s="545"/>
      <c r="BWD30" s="545"/>
      <c r="BWE30" s="545"/>
      <c r="BWF30" s="545"/>
      <c r="BWG30" s="545"/>
      <c r="BWH30" s="545"/>
      <c r="BWI30" s="545"/>
      <c r="BWJ30" s="545"/>
      <c r="BWK30" s="545"/>
      <c r="BWL30" s="545"/>
      <c r="BWM30" s="545"/>
      <c r="BWN30" s="545"/>
      <c r="BWO30" s="545"/>
      <c r="BWP30" s="545"/>
      <c r="BWQ30" s="545"/>
      <c r="BWR30" s="545"/>
      <c r="BWS30" s="545"/>
      <c r="BWT30" s="545"/>
      <c r="BWU30" s="545"/>
      <c r="BWV30" s="545"/>
      <c r="BWW30" s="545"/>
      <c r="BWX30" s="545"/>
      <c r="BWY30" s="545"/>
      <c r="BWZ30" s="545"/>
      <c r="BXA30" s="545"/>
      <c r="BXB30" s="545"/>
      <c r="BXC30" s="545"/>
      <c r="BXD30" s="545"/>
      <c r="BXE30" s="545"/>
      <c r="BXF30" s="545"/>
      <c r="BXG30" s="545"/>
      <c r="BXH30" s="545"/>
      <c r="BXI30" s="545"/>
      <c r="BXJ30" s="545"/>
      <c r="BXK30" s="545"/>
      <c r="BXL30" s="545"/>
      <c r="BXM30" s="545"/>
      <c r="BXN30" s="545"/>
      <c r="BXO30" s="545"/>
      <c r="BXP30" s="545"/>
      <c r="BXQ30" s="545"/>
      <c r="BXR30" s="545"/>
      <c r="BXS30" s="545"/>
      <c r="BXT30" s="545"/>
      <c r="BXU30" s="545"/>
      <c r="BXV30" s="545"/>
      <c r="BXW30" s="545"/>
      <c r="BXX30" s="545"/>
      <c r="BXY30" s="545"/>
      <c r="BXZ30" s="545"/>
      <c r="BYA30" s="545"/>
      <c r="BYB30" s="545"/>
      <c r="BYC30" s="545"/>
      <c r="BYD30" s="545"/>
      <c r="BYE30" s="545"/>
      <c r="BYF30" s="545"/>
      <c r="BYG30" s="545"/>
      <c r="BYH30" s="545"/>
      <c r="BYI30" s="545"/>
      <c r="BYJ30" s="545"/>
      <c r="BYK30" s="545"/>
      <c r="BYL30" s="545"/>
      <c r="BYM30" s="545"/>
      <c r="BYN30" s="545"/>
      <c r="BYO30" s="545"/>
      <c r="BYP30" s="545"/>
      <c r="BYQ30" s="545"/>
      <c r="BYR30" s="545"/>
      <c r="BYS30" s="545"/>
      <c r="BYT30" s="545"/>
      <c r="BYU30" s="545"/>
      <c r="BYV30" s="545"/>
      <c r="BYW30" s="545"/>
      <c r="BYX30" s="545"/>
      <c r="BYY30" s="545"/>
      <c r="BYZ30" s="545"/>
      <c r="BZA30" s="545"/>
      <c r="BZB30" s="545"/>
      <c r="BZC30" s="545"/>
      <c r="BZD30" s="545"/>
      <c r="BZE30" s="545"/>
      <c r="BZF30" s="545"/>
      <c r="BZG30" s="545"/>
      <c r="BZH30" s="545"/>
      <c r="BZI30" s="545"/>
      <c r="BZJ30" s="545"/>
      <c r="BZK30" s="545"/>
      <c r="BZL30" s="545"/>
      <c r="BZM30" s="545"/>
      <c r="BZN30" s="545"/>
      <c r="BZO30" s="545"/>
      <c r="BZP30" s="545"/>
      <c r="BZQ30" s="545"/>
      <c r="BZR30" s="545"/>
      <c r="BZS30" s="545"/>
      <c r="BZT30" s="545"/>
      <c r="BZU30" s="545"/>
      <c r="BZV30" s="545"/>
      <c r="BZW30" s="545"/>
      <c r="BZX30" s="545"/>
      <c r="BZY30" s="545"/>
      <c r="BZZ30" s="545"/>
      <c r="CAA30" s="545"/>
      <c r="CAB30" s="545"/>
      <c r="CAC30" s="545"/>
      <c r="CAD30" s="545"/>
      <c r="CAE30" s="545"/>
      <c r="CAF30" s="545"/>
      <c r="CAG30" s="545"/>
      <c r="CAH30" s="545"/>
      <c r="CAI30" s="545"/>
      <c r="CAJ30" s="545"/>
      <c r="CAK30" s="545"/>
      <c r="CAL30" s="545"/>
      <c r="CAM30" s="545"/>
      <c r="CAN30" s="545"/>
      <c r="CAO30" s="545"/>
      <c r="CAP30" s="545"/>
      <c r="CAQ30" s="545"/>
      <c r="CAR30" s="545"/>
      <c r="CAS30" s="545"/>
      <c r="CAT30" s="545"/>
      <c r="CAU30" s="545"/>
      <c r="CAV30" s="545"/>
      <c r="CAW30" s="545"/>
      <c r="CAX30" s="545"/>
      <c r="CAY30" s="545"/>
      <c r="CAZ30" s="545"/>
      <c r="CBA30" s="545"/>
      <c r="CBB30" s="545"/>
      <c r="CBC30" s="545"/>
      <c r="CBD30" s="545"/>
      <c r="CBE30" s="545"/>
      <c r="CBF30" s="545"/>
      <c r="CBG30" s="545"/>
      <c r="CBH30" s="545"/>
      <c r="CBI30" s="545"/>
      <c r="CBJ30" s="545"/>
      <c r="CBK30" s="545"/>
      <c r="CBL30" s="545"/>
      <c r="CBM30" s="545"/>
      <c r="CBN30" s="545"/>
      <c r="CBO30" s="545"/>
      <c r="CBP30" s="545"/>
      <c r="CBQ30" s="545"/>
      <c r="CBR30" s="545"/>
      <c r="CBS30" s="545"/>
      <c r="CBT30" s="545"/>
      <c r="CBU30" s="545"/>
      <c r="CBV30" s="545"/>
      <c r="CBW30" s="545"/>
      <c r="CBX30" s="545"/>
      <c r="CBY30" s="545"/>
      <c r="CBZ30" s="545"/>
      <c r="CCA30" s="545"/>
      <c r="CCB30" s="545"/>
      <c r="CCC30" s="545"/>
      <c r="CCD30" s="545"/>
      <c r="CCE30" s="545"/>
      <c r="CCF30" s="545"/>
      <c r="CCG30" s="545"/>
      <c r="CCH30" s="545"/>
      <c r="CCI30" s="545"/>
      <c r="CCJ30" s="545"/>
      <c r="CCK30" s="545"/>
      <c r="CCL30" s="545"/>
      <c r="CCM30" s="545"/>
      <c r="CCN30" s="545"/>
      <c r="CCO30" s="545"/>
      <c r="CCP30" s="545"/>
      <c r="CCQ30" s="545"/>
      <c r="CCR30" s="545"/>
      <c r="CCS30" s="545"/>
      <c r="CCT30" s="545"/>
      <c r="CCU30" s="545"/>
      <c r="CCV30" s="545"/>
      <c r="CCW30" s="545"/>
      <c r="CCX30" s="545"/>
      <c r="CCY30" s="545"/>
      <c r="CCZ30" s="545"/>
      <c r="CDA30" s="545"/>
      <c r="CDB30" s="545"/>
      <c r="CDC30" s="545"/>
      <c r="CDD30" s="545"/>
      <c r="CDE30" s="545"/>
      <c r="CDF30" s="545"/>
      <c r="CDG30" s="545"/>
      <c r="CDH30" s="545"/>
      <c r="CDI30" s="545"/>
      <c r="CDJ30" s="545"/>
      <c r="CDK30" s="545"/>
      <c r="CDL30" s="545"/>
      <c r="CDM30" s="545"/>
      <c r="CDN30" s="545"/>
      <c r="CDO30" s="545"/>
      <c r="CDP30" s="545"/>
      <c r="CDQ30" s="545"/>
      <c r="CDR30" s="545"/>
      <c r="CDS30" s="545"/>
      <c r="CDT30" s="545"/>
      <c r="CDU30" s="545"/>
      <c r="CDV30" s="545"/>
      <c r="CDW30" s="545"/>
      <c r="CDX30" s="545"/>
      <c r="CDY30" s="545"/>
      <c r="CDZ30" s="545"/>
      <c r="CEA30" s="545"/>
      <c r="CEB30" s="545"/>
      <c r="CEC30" s="545"/>
      <c r="CED30" s="545"/>
      <c r="CEE30" s="545"/>
      <c r="CEF30" s="545"/>
      <c r="CEG30" s="545"/>
      <c r="CEH30" s="545"/>
      <c r="CEI30" s="545"/>
      <c r="CEJ30" s="545"/>
      <c r="CEK30" s="545"/>
      <c r="CEL30" s="545"/>
      <c r="CEM30" s="545"/>
      <c r="CEN30" s="545"/>
      <c r="CEO30" s="545"/>
      <c r="CEP30" s="545"/>
      <c r="CEQ30" s="545"/>
      <c r="CER30" s="545"/>
      <c r="CES30" s="545"/>
      <c r="CET30" s="545"/>
      <c r="CEU30" s="545"/>
      <c r="CEV30" s="545"/>
      <c r="CEW30" s="545"/>
      <c r="CEX30" s="545"/>
      <c r="CEY30" s="545"/>
      <c r="CEZ30" s="545"/>
      <c r="CFA30" s="545"/>
      <c r="CFB30" s="545"/>
      <c r="CFC30" s="545"/>
      <c r="CFD30" s="545"/>
      <c r="CFE30" s="545"/>
      <c r="CFF30" s="545"/>
      <c r="CFG30" s="545"/>
      <c r="CFH30" s="545"/>
      <c r="CFI30" s="545"/>
      <c r="CFJ30" s="545"/>
      <c r="CFK30" s="545"/>
      <c r="CFL30" s="545"/>
      <c r="CFM30" s="545"/>
      <c r="CFN30" s="545"/>
      <c r="CFO30" s="545"/>
      <c r="CFP30" s="545"/>
      <c r="CFQ30" s="545"/>
      <c r="CFR30" s="545"/>
      <c r="CFS30" s="545"/>
      <c r="CFT30" s="545"/>
      <c r="CFU30" s="545"/>
      <c r="CFV30" s="545"/>
      <c r="CFW30" s="545"/>
      <c r="CFX30" s="545"/>
      <c r="CFY30" s="545"/>
      <c r="CFZ30" s="545"/>
      <c r="CGA30" s="545"/>
      <c r="CGB30" s="545"/>
      <c r="CGC30" s="545"/>
      <c r="CGD30" s="545"/>
      <c r="CGE30" s="545"/>
      <c r="CGF30" s="545"/>
      <c r="CGG30" s="545"/>
      <c r="CGH30" s="545"/>
      <c r="CGI30" s="545"/>
      <c r="CGJ30" s="545"/>
      <c r="CGK30" s="545"/>
      <c r="CGL30" s="545"/>
      <c r="CGM30" s="545"/>
      <c r="CGN30" s="545"/>
      <c r="CGO30" s="545"/>
      <c r="CGP30" s="545"/>
      <c r="CGQ30" s="545"/>
      <c r="CGR30" s="545"/>
      <c r="CGS30" s="545"/>
      <c r="CGT30" s="545"/>
      <c r="CGU30" s="545"/>
      <c r="CGV30" s="545"/>
      <c r="CGW30" s="545"/>
      <c r="CGX30" s="545"/>
      <c r="CGY30" s="545"/>
      <c r="CGZ30" s="545"/>
      <c r="CHA30" s="545"/>
      <c r="CHB30" s="545"/>
      <c r="CHC30" s="545"/>
      <c r="CHD30" s="545"/>
      <c r="CHE30" s="545"/>
      <c r="CHF30" s="545"/>
      <c r="CHG30" s="545"/>
      <c r="CHH30" s="545"/>
      <c r="CHI30" s="545"/>
      <c r="CHJ30" s="545"/>
      <c r="CHK30" s="545"/>
      <c r="CHL30" s="545"/>
      <c r="CHM30" s="545"/>
      <c r="CHN30" s="545"/>
      <c r="CHO30" s="545"/>
      <c r="CHP30" s="545"/>
      <c r="CHQ30" s="545"/>
      <c r="CHR30" s="545"/>
      <c r="CHS30" s="545"/>
      <c r="CHT30" s="545"/>
      <c r="CHU30" s="545"/>
      <c r="CHV30" s="545"/>
      <c r="CHW30" s="545"/>
      <c r="CHX30" s="545"/>
      <c r="CHY30" s="545"/>
      <c r="CHZ30" s="545"/>
      <c r="CIA30" s="545"/>
      <c r="CIB30" s="545"/>
      <c r="CIC30" s="545"/>
      <c r="CID30" s="545"/>
      <c r="CIE30" s="545"/>
      <c r="CIF30" s="545"/>
      <c r="CIG30" s="545"/>
      <c r="CIH30" s="545"/>
      <c r="CII30" s="545"/>
      <c r="CIJ30" s="545"/>
      <c r="CIK30" s="545"/>
      <c r="CIL30" s="545"/>
      <c r="CIM30" s="545"/>
      <c r="CIN30" s="545"/>
      <c r="CIO30" s="545"/>
      <c r="CIP30" s="545"/>
      <c r="CIQ30" s="545"/>
      <c r="CIR30" s="545"/>
      <c r="CIS30" s="545"/>
      <c r="CIT30" s="545"/>
      <c r="CIU30" s="545"/>
      <c r="CIV30" s="545"/>
      <c r="CIW30" s="545"/>
      <c r="CIX30" s="545"/>
      <c r="CIY30" s="545"/>
      <c r="CIZ30" s="545"/>
      <c r="CJA30" s="545"/>
      <c r="CJB30" s="545"/>
      <c r="CJC30" s="545"/>
      <c r="CJD30" s="545"/>
      <c r="CJE30" s="545"/>
      <c r="CJF30" s="545"/>
      <c r="CJG30" s="545"/>
      <c r="CJH30" s="545"/>
      <c r="CJI30" s="545"/>
      <c r="CJJ30" s="545"/>
      <c r="CJK30" s="545"/>
      <c r="CJL30" s="545"/>
      <c r="CJM30" s="545"/>
      <c r="CJN30" s="545"/>
      <c r="CJO30" s="545"/>
      <c r="CJP30" s="545"/>
      <c r="CJQ30" s="545"/>
      <c r="CJR30" s="545"/>
      <c r="CJS30" s="545"/>
      <c r="CJT30" s="545"/>
      <c r="CJU30" s="545"/>
      <c r="CJV30" s="545"/>
      <c r="CJW30" s="545"/>
      <c r="CJX30" s="545"/>
      <c r="CJY30" s="545"/>
      <c r="CJZ30" s="545"/>
      <c r="CKA30" s="545"/>
      <c r="CKB30" s="545"/>
      <c r="CKC30" s="545"/>
      <c r="CKD30" s="545"/>
      <c r="CKE30" s="545"/>
      <c r="CKF30" s="545"/>
      <c r="CKG30" s="545"/>
      <c r="CKH30" s="545"/>
      <c r="CKI30" s="545"/>
      <c r="CKJ30" s="545"/>
      <c r="CKK30" s="545"/>
      <c r="CKL30" s="545"/>
      <c r="CKM30" s="545"/>
      <c r="CKN30" s="545"/>
      <c r="CKO30" s="545"/>
      <c r="CKP30" s="545"/>
      <c r="CKQ30" s="545"/>
      <c r="CKR30" s="545"/>
      <c r="CKS30" s="545"/>
      <c r="CKT30" s="545"/>
      <c r="CKU30" s="545"/>
      <c r="CKV30" s="545"/>
      <c r="CKW30" s="545"/>
      <c r="CKX30" s="545"/>
      <c r="CKY30" s="545"/>
      <c r="CKZ30" s="545"/>
      <c r="CLA30" s="545"/>
      <c r="CLB30" s="545"/>
      <c r="CLC30" s="545"/>
      <c r="CLD30" s="545"/>
      <c r="CLE30" s="545"/>
      <c r="CLF30" s="545"/>
      <c r="CLG30" s="545"/>
      <c r="CLH30" s="545"/>
      <c r="CLI30" s="545"/>
      <c r="CLJ30" s="545"/>
      <c r="CLK30" s="545"/>
      <c r="CLL30" s="545"/>
      <c r="CLM30" s="545"/>
      <c r="CLN30" s="545"/>
      <c r="CLO30" s="545"/>
      <c r="CLP30" s="545"/>
      <c r="CLQ30" s="545"/>
      <c r="CLR30" s="545"/>
      <c r="CLS30" s="545"/>
      <c r="CLT30" s="545"/>
      <c r="CLU30" s="545"/>
      <c r="CLV30" s="545"/>
      <c r="CLW30" s="545"/>
      <c r="CLX30" s="545"/>
      <c r="CLY30" s="545"/>
      <c r="CLZ30" s="545"/>
      <c r="CMA30" s="545"/>
      <c r="CMB30" s="545"/>
      <c r="CMC30" s="545"/>
      <c r="CMD30" s="545"/>
      <c r="CME30" s="545"/>
      <c r="CMF30" s="545"/>
      <c r="CMG30" s="545"/>
      <c r="CMH30" s="545"/>
      <c r="CMI30" s="545"/>
      <c r="CMJ30" s="545"/>
      <c r="CMK30" s="545"/>
      <c r="CML30" s="545"/>
      <c r="CMM30" s="545"/>
      <c r="CMN30" s="545"/>
      <c r="CMO30" s="545"/>
      <c r="CMP30" s="545"/>
      <c r="CMQ30" s="545"/>
      <c r="CMR30" s="545"/>
      <c r="CMS30" s="545"/>
      <c r="CMT30" s="545"/>
      <c r="CMU30" s="545"/>
      <c r="CMV30" s="545"/>
      <c r="CMW30" s="545"/>
      <c r="CMX30" s="545"/>
      <c r="CMY30" s="545"/>
      <c r="CMZ30" s="545"/>
      <c r="CNA30" s="545"/>
      <c r="CNB30" s="545"/>
      <c r="CNC30" s="545"/>
      <c r="CND30" s="545"/>
      <c r="CNE30" s="545"/>
      <c r="CNF30" s="545"/>
      <c r="CNG30" s="545"/>
      <c r="CNH30" s="545"/>
      <c r="CNI30" s="545"/>
      <c r="CNJ30" s="545"/>
      <c r="CNK30" s="545"/>
      <c r="CNL30" s="545"/>
      <c r="CNM30" s="545"/>
      <c r="CNN30" s="545"/>
      <c r="CNO30" s="545"/>
      <c r="CNP30" s="545"/>
      <c r="CNQ30" s="545"/>
      <c r="CNR30" s="545"/>
      <c r="CNS30" s="545"/>
      <c r="CNT30" s="545"/>
      <c r="CNU30" s="545"/>
      <c r="CNV30" s="545"/>
      <c r="CNW30" s="545"/>
      <c r="CNX30" s="545"/>
      <c r="CNY30" s="545"/>
      <c r="CNZ30" s="545"/>
      <c r="COA30" s="545"/>
      <c r="COB30" s="545"/>
      <c r="COC30" s="545"/>
      <c r="COD30" s="545"/>
      <c r="COE30" s="545"/>
      <c r="COF30" s="545"/>
      <c r="COG30" s="545"/>
      <c r="COH30" s="545"/>
      <c r="COI30" s="545"/>
      <c r="COJ30" s="545"/>
      <c r="COK30" s="545"/>
      <c r="COL30" s="545"/>
      <c r="COM30" s="545"/>
      <c r="CON30" s="545"/>
      <c r="COO30" s="545"/>
      <c r="COP30" s="545"/>
      <c r="COQ30" s="545"/>
      <c r="COR30" s="545"/>
      <c r="COS30" s="545"/>
      <c r="COT30" s="545"/>
      <c r="COU30" s="545"/>
      <c r="COV30" s="545"/>
      <c r="COW30" s="545"/>
      <c r="COX30" s="545"/>
      <c r="COY30" s="545"/>
      <c r="COZ30" s="545"/>
      <c r="CPA30" s="545"/>
      <c r="CPB30" s="545"/>
      <c r="CPC30" s="545"/>
      <c r="CPD30" s="545"/>
      <c r="CPE30" s="545"/>
      <c r="CPF30" s="545"/>
      <c r="CPG30" s="545"/>
      <c r="CPH30" s="545"/>
      <c r="CPI30" s="545"/>
      <c r="CPJ30" s="545"/>
      <c r="CPK30" s="545"/>
      <c r="CPL30" s="545"/>
      <c r="CPM30" s="545"/>
      <c r="CPN30" s="545"/>
      <c r="CPO30" s="545"/>
      <c r="CPP30" s="545"/>
      <c r="CPQ30" s="545"/>
      <c r="CPR30" s="545"/>
      <c r="CPS30" s="545"/>
      <c r="CPT30" s="545"/>
      <c r="CPU30" s="545"/>
      <c r="CPV30" s="545"/>
      <c r="CPW30" s="545"/>
      <c r="CPX30" s="545"/>
      <c r="CPY30" s="545"/>
      <c r="CPZ30" s="545"/>
      <c r="CQA30" s="545"/>
      <c r="CQB30" s="545"/>
      <c r="CQC30" s="545"/>
      <c r="CQD30" s="545"/>
      <c r="CQE30" s="545"/>
      <c r="CQF30" s="545"/>
      <c r="CQG30" s="545"/>
      <c r="CQH30" s="545"/>
      <c r="CQI30" s="545"/>
      <c r="CQJ30" s="545"/>
      <c r="CQK30" s="545"/>
      <c r="CQL30" s="545"/>
      <c r="CQM30" s="545"/>
      <c r="CQN30" s="545"/>
      <c r="CQO30" s="545"/>
      <c r="CQP30" s="545"/>
      <c r="CQQ30" s="545"/>
      <c r="CQR30" s="545"/>
      <c r="CQS30" s="545"/>
      <c r="CQT30" s="545"/>
      <c r="CQU30" s="545"/>
      <c r="CQV30" s="545"/>
      <c r="CQW30" s="545"/>
      <c r="CQX30" s="545"/>
      <c r="CQY30" s="545"/>
      <c r="CQZ30" s="545"/>
      <c r="CRA30" s="545"/>
      <c r="CRB30" s="545"/>
      <c r="CRC30" s="545"/>
      <c r="CRD30" s="545"/>
      <c r="CRE30" s="545"/>
      <c r="CRF30" s="545"/>
      <c r="CRG30" s="545"/>
      <c r="CRH30" s="545"/>
      <c r="CRI30" s="545"/>
      <c r="CRJ30" s="545"/>
      <c r="CRK30" s="545"/>
      <c r="CRL30" s="545"/>
      <c r="CRM30" s="545"/>
      <c r="CRN30" s="545"/>
      <c r="CRO30" s="545"/>
      <c r="CRP30" s="545"/>
      <c r="CRQ30" s="545"/>
      <c r="CRR30" s="545"/>
      <c r="CRS30" s="545"/>
      <c r="CRT30" s="545"/>
      <c r="CRU30" s="545"/>
      <c r="CRV30" s="545"/>
      <c r="CRW30" s="545"/>
      <c r="CRX30" s="545"/>
      <c r="CRY30" s="545"/>
      <c r="CRZ30" s="545"/>
      <c r="CSA30" s="545"/>
      <c r="CSB30" s="545"/>
      <c r="CSC30" s="545"/>
      <c r="CSD30" s="545"/>
      <c r="CSE30" s="545"/>
      <c r="CSF30" s="545"/>
      <c r="CSG30" s="545"/>
      <c r="CSH30" s="545"/>
      <c r="CSI30" s="545"/>
      <c r="CSJ30" s="545"/>
      <c r="CSK30" s="545"/>
      <c r="CSL30" s="545"/>
      <c r="CSM30" s="545"/>
      <c r="CSN30" s="545"/>
      <c r="CSO30" s="545"/>
      <c r="CSP30" s="545"/>
      <c r="CSQ30" s="545"/>
      <c r="CSR30" s="545"/>
      <c r="CSS30" s="545"/>
      <c r="CST30" s="545"/>
      <c r="CSU30" s="545"/>
      <c r="CSV30" s="545"/>
      <c r="CSW30" s="545"/>
      <c r="CSX30" s="545"/>
      <c r="CSY30" s="545"/>
      <c r="CSZ30" s="545"/>
      <c r="CTA30" s="545"/>
      <c r="CTB30" s="545"/>
      <c r="CTC30" s="545"/>
      <c r="CTD30" s="545"/>
      <c r="CTE30" s="545"/>
      <c r="CTF30" s="545"/>
      <c r="CTG30" s="545"/>
      <c r="CTH30" s="545"/>
      <c r="CTI30" s="545"/>
      <c r="CTJ30" s="545"/>
      <c r="CTK30" s="545"/>
      <c r="CTL30" s="545"/>
      <c r="CTM30" s="545"/>
      <c r="CTN30" s="545"/>
      <c r="CTO30" s="545"/>
      <c r="CTP30" s="545"/>
      <c r="CTQ30" s="545"/>
      <c r="CTR30" s="545"/>
      <c r="CTS30" s="545"/>
      <c r="CTT30" s="545"/>
      <c r="CTU30" s="545"/>
      <c r="CTV30" s="545"/>
      <c r="CTW30" s="545"/>
      <c r="CTX30" s="545"/>
      <c r="CTY30" s="545"/>
      <c r="CTZ30" s="545"/>
      <c r="CUA30" s="545"/>
      <c r="CUB30" s="545"/>
      <c r="CUC30" s="545"/>
      <c r="CUD30" s="545"/>
      <c r="CUE30" s="545"/>
      <c r="CUF30" s="545"/>
      <c r="CUG30" s="545"/>
      <c r="CUH30" s="545"/>
      <c r="CUI30" s="545"/>
      <c r="CUJ30" s="545"/>
      <c r="CUK30" s="545"/>
      <c r="CUL30" s="545"/>
      <c r="CUM30" s="545"/>
      <c r="CUN30" s="545"/>
      <c r="CUO30" s="545"/>
      <c r="CUP30" s="545"/>
      <c r="CUQ30" s="545"/>
      <c r="CUR30" s="545"/>
      <c r="CUS30" s="545"/>
      <c r="CUT30" s="545"/>
      <c r="CUU30" s="545"/>
      <c r="CUV30" s="545"/>
      <c r="CUW30" s="545"/>
      <c r="CUX30" s="545"/>
      <c r="CUY30" s="545"/>
      <c r="CUZ30" s="545"/>
      <c r="CVA30" s="545"/>
      <c r="CVB30" s="545"/>
      <c r="CVC30" s="545"/>
      <c r="CVD30" s="545"/>
      <c r="CVE30" s="545"/>
      <c r="CVF30" s="545"/>
      <c r="CVG30" s="545"/>
      <c r="CVH30" s="545"/>
      <c r="CVI30" s="545"/>
      <c r="CVJ30" s="545"/>
      <c r="CVK30" s="545"/>
      <c r="CVL30" s="545"/>
      <c r="CVM30" s="545"/>
      <c r="CVN30" s="545"/>
      <c r="CVO30" s="545"/>
      <c r="CVP30" s="545"/>
      <c r="CVQ30" s="545"/>
      <c r="CVR30" s="545"/>
      <c r="CVS30" s="545"/>
      <c r="CVT30" s="545"/>
      <c r="CVU30" s="545"/>
      <c r="CVV30" s="545"/>
      <c r="CVW30" s="545"/>
      <c r="CVX30" s="545"/>
      <c r="CVY30" s="545"/>
      <c r="CVZ30" s="545"/>
      <c r="CWA30" s="545"/>
      <c r="CWB30" s="545"/>
      <c r="CWC30" s="545"/>
      <c r="CWD30" s="545"/>
      <c r="CWE30" s="545"/>
      <c r="CWF30" s="545"/>
      <c r="CWG30" s="545"/>
      <c r="CWH30" s="545"/>
      <c r="CWI30" s="545"/>
      <c r="CWJ30" s="545"/>
      <c r="CWK30" s="545"/>
      <c r="CWL30" s="545"/>
      <c r="CWM30" s="545"/>
      <c r="CWN30" s="545"/>
      <c r="CWO30" s="545"/>
      <c r="CWP30" s="545"/>
      <c r="CWQ30" s="545"/>
      <c r="CWR30" s="545"/>
      <c r="CWS30" s="545"/>
      <c r="CWT30" s="545"/>
      <c r="CWU30" s="545"/>
      <c r="CWV30" s="545"/>
      <c r="CWW30" s="545"/>
      <c r="CWX30" s="545"/>
      <c r="CWY30" s="545"/>
      <c r="CWZ30" s="545"/>
      <c r="CXA30" s="545"/>
      <c r="CXB30" s="545"/>
      <c r="CXC30" s="545"/>
      <c r="CXD30" s="545"/>
      <c r="CXE30" s="545"/>
      <c r="CXF30" s="545"/>
      <c r="CXG30" s="545"/>
      <c r="CXH30" s="545"/>
      <c r="CXI30" s="545"/>
      <c r="CXJ30" s="545"/>
      <c r="CXK30" s="545"/>
      <c r="CXL30" s="545"/>
      <c r="CXM30" s="545"/>
      <c r="CXN30" s="545"/>
      <c r="CXO30" s="545"/>
      <c r="CXP30" s="545"/>
      <c r="CXQ30" s="545"/>
      <c r="CXR30" s="545"/>
      <c r="CXS30" s="545"/>
      <c r="CXT30" s="545"/>
      <c r="CXU30" s="545"/>
      <c r="CXV30" s="545"/>
      <c r="CXW30" s="545"/>
      <c r="CXX30" s="545"/>
      <c r="CXY30" s="545"/>
      <c r="CXZ30" s="545"/>
      <c r="CYA30" s="545"/>
      <c r="CYB30" s="545"/>
      <c r="CYC30" s="545"/>
      <c r="CYD30" s="545"/>
      <c r="CYE30" s="545"/>
      <c r="CYF30" s="545"/>
      <c r="CYG30" s="545"/>
      <c r="CYH30" s="545"/>
      <c r="CYI30" s="545"/>
      <c r="CYJ30" s="545"/>
      <c r="CYK30" s="545"/>
      <c r="CYL30" s="545"/>
      <c r="CYM30" s="545"/>
      <c r="CYN30" s="545"/>
      <c r="CYO30" s="545"/>
      <c r="CYP30" s="545"/>
      <c r="CYQ30" s="545"/>
      <c r="CYR30" s="545"/>
      <c r="CYS30" s="545"/>
      <c r="CYT30" s="545"/>
      <c r="CYU30" s="545"/>
      <c r="CYV30" s="545"/>
      <c r="CYW30" s="545"/>
      <c r="CYX30" s="545"/>
      <c r="CYY30" s="545"/>
      <c r="CYZ30" s="545"/>
      <c r="CZA30" s="545"/>
      <c r="CZB30" s="545"/>
      <c r="CZC30" s="545"/>
      <c r="CZD30" s="545"/>
      <c r="CZE30" s="545"/>
      <c r="CZF30" s="545"/>
      <c r="CZG30" s="545"/>
      <c r="CZH30" s="545"/>
      <c r="CZI30" s="545"/>
      <c r="CZJ30" s="545"/>
      <c r="CZK30" s="545"/>
      <c r="CZL30" s="545"/>
      <c r="CZM30" s="545"/>
      <c r="CZN30" s="545"/>
      <c r="CZO30" s="545"/>
      <c r="CZP30" s="545"/>
      <c r="CZQ30" s="545"/>
      <c r="CZR30" s="545"/>
      <c r="CZS30" s="545"/>
      <c r="CZT30" s="545"/>
      <c r="CZU30" s="545"/>
      <c r="CZV30" s="545"/>
      <c r="CZW30" s="545"/>
      <c r="CZX30" s="545"/>
      <c r="CZY30" s="545"/>
      <c r="CZZ30" s="545"/>
      <c r="DAA30" s="545"/>
      <c r="DAB30" s="545"/>
      <c r="DAC30" s="545"/>
      <c r="DAD30" s="545"/>
      <c r="DAE30" s="545"/>
      <c r="DAF30" s="545"/>
      <c r="DAG30" s="545"/>
      <c r="DAH30" s="545"/>
      <c r="DAI30" s="545"/>
      <c r="DAJ30" s="545"/>
      <c r="DAK30" s="545"/>
      <c r="DAL30" s="545"/>
      <c r="DAM30" s="545"/>
      <c r="DAN30" s="545"/>
      <c r="DAO30" s="545"/>
      <c r="DAP30" s="545"/>
      <c r="DAQ30" s="545"/>
      <c r="DAR30" s="545"/>
      <c r="DAS30" s="545"/>
      <c r="DAT30" s="545"/>
      <c r="DAU30" s="545"/>
      <c r="DAV30" s="545"/>
      <c r="DAW30" s="545"/>
      <c r="DAX30" s="545"/>
      <c r="DAY30" s="545"/>
      <c r="DAZ30" s="545"/>
      <c r="DBA30" s="545"/>
      <c r="DBB30" s="545"/>
      <c r="DBC30" s="545"/>
      <c r="DBD30" s="545"/>
      <c r="DBE30" s="545"/>
      <c r="DBF30" s="545"/>
      <c r="DBG30" s="545"/>
      <c r="DBH30" s="545"/>
      <c r="DBI30" s="545"/>
      <c r="DBJ30" s="545"/>
      <c r="DBK30" s="545"/>
      <c r="DBL30" s="545"/>
      <c r="DBM30" s="545"/>
      <c r="DBN30" s="545"/>
      <c r="DBO30" s="545"/>
      <c r="DBP30" s="545"/>
      <c r="DBQ30" s="545"/>
      <c r="DBR30" s="545"/>
      <c r="DBS30" s="545"/>
      <c r="DBT30" s="545"/>
      <c r="DBU30" s="545"/>
      <c r="DBV30" s="545"/>
      <c r="DBW30" s="545"/>
      <c r="DBX30" s="545"/>
      <c r="DBY30" s="545"/>
      <c r="DBZ30" s="545"/>
      <c r="DCA30" s="545"/>
      <c r="DCB30" s="545"/>
      <c r="DCC30" s="545"/>
      <c r="DCD30" s="545"/>
      <c r="DCE30" s="545"/>
      <c r="DCF30" s="545"/>
      <c r="DCG30" s="545"/>
      <c r="DCH30" s="545"/>
      <c r="DCI30" s="545"/>
      <c r="DCJ30" s="545"/>
      <c r="DCK30" s="545"/>
      <c r="DCL30" s="545"/>
      <c r="DCM30" s="545"/>
      <c r="DCN30" s="545"/>
      <c r="DCO30" s="545"/>
      <c r="DCP30" s="545"/>
      <c r="DCQ30" s="545"/>
      <c r="DCR30" s="545"/>
      <c r="DCS30" s="545"/>
      <c r="DCT30" s="545"/>
      <c r="DCU30" s="545"/>
      <c r="DCV30" s="545"/>
      <c r="DCW30" s="545"/>
      <c r="DCX30" s="545"/>
      <c r="DCY30" s="545"/>
      <c r="DCZ30" s="545"/>
      <c r="DDA30" s="545"/>
      <c r="DDB30" s="545"/>
      <c r="DDC30" s="545"/>
      <c r="DDD30" s="545"/>
      <c r="DDE30" s="545"/>
      <c r="DDF30" s="545"/>
      <c r="DDG30" s="545"/>
      <c r="DDH30" s="545"/>
      <c r="DDI30" s="545"/>
      <c r="DDJ30" s="545"/>
      <c r="DDK30" s="545"/>
      <c r="DDL30" s="545"/>
      <c r="DDM30" s="545"/>
      <c r="DDN30" s="545"/>
      <c r="DDO30" s="545"/>
      <c r="DDP30" s="545"/>
      <c r="DDQ30" s="545"/>
      <c r="DDR30" s="545"/>
      <c r="DDS30" s="545"/>
      <c r="DDT30" s="545"/>
      <c r="DDU30" s="545"/>
      <c r="DDV30" s="545"/>
      <c r="DDW30" s="545"/>
      <c r="DDX30" s="545"/>
      <c r="DDY30" s="545"/>
      <c r="DDZ30" s="545"/>
      <c r="DEA30" s="545"/>
      <c r="DEB30" s="545"/>
      <c r="DEC30" s="545"/>
      <c r="DED30" s="545"/>
      <c r="DEE30" s="545"/>
      <c r="DEF30" s="545"/>
      <c r="DEG30" s="545"/>
      <c r="DEH30" s="545"/>
      <c r="DEI30" s="545"/>
      <c r="DEJ30" s="545"/>
      <c r="DEK30" s="545"/>
      <c r="DEL30" s="545"/>
      <c r="DEM30" s="545"/>
      <c r="DEN30" s="545"/>
      <c r="DEO30" s="545"/>
      <c r="DEP30" s="545"/>
      <c r="DEQ30" s="545"/>
      <c r="DER30" s="545"/>
      <c r="DES30" s="545"/>
      <c r="DET30" s="545"/>
      <c r="DEU30" s="545"/>
      <c r="DEV30" s="545"/>
      <c r="DEW30" s="545"/>
      <c r="DEX30" s="545"/>
      <c r="DEY30" s="545"/>
      <c r="DEZ30" s="545"/>
      <c r="DFA30" s="545"/>
      <c r="DFB30" s="545"/>
      <c r="DFC30" s="545"/>
      <c r="DFD30" s="545"/>
      <c r="DFE30" s="545"/>
      <c r="DFF30" s="545"/>
      <c r="DFG30" s="545"/>
      <c r="DFH30" s="545"/>
      <c r="DFI30" s="545"/>
      <c r="DFJ30" s="545"/>
      <c r="DFK30" s="545"/>
      <c r="DFL30" s="545"/>
      <c r="DFM30" s="545"/>
      <c r="DFN30" s="545"/>
      <c r="DFO30" s="545"/>
      <c r="DFP30" s="545"/>
      <c r="DFQ30" s="545"/>
      <c r="DFR30" s="545"/>
      <c r="DFS30" s="545"/>
      <c r="DFT30" s="545"/>
      <c r="DFU30" s="545"/>
      <c r="DFV30" s="545"/>
      <c r="DFW30" s="545"/>
      <c r="DFX30" s="545"/>
      <c r="DFY30" s="545"/>
      <c r="DFZ30" s="545"/>
      <c r="DGA30" s="545"/>
      <c r="DGB30" s="545"/>
      <c r="DGC30" s="545"/>
      <c r="DGD30" s="545"/>
      <c r="DGE30" s="545"/>
      <c r="DGF30" s="545"/>
      <c r="DGG30" s="545"/>
      <c r="DGH30" s="545"/>
      <c r="DGI30" s="545"/>
      <c r="DGJ30" s="545"/>
      <c r="DGK30" s="545"/>
      <c r="DGL30" s="545"/>
      <c r="DGM30" s="545"/>
      <c r="DGN30" s="545"/>
      <c r="DGO30" s="545"/>
      <c r="DGP30" s="545"/>
      <c r="DGQ30" s="545"/>
      <c r="DGR30" s="545"/>
      <c r="DGS30" s="545"/>
      <c r="DGT30" s="545"/>
      <c r="DGU30" s="545"/>
      <c r="DGV30" s="545"/>
      <c r="DGW30" s="545"/>
      <c r="DGX30" s="545"/>
      <c r="DGY30" s="545"/>
      <c r="DGZ30" s="545"/>
      <c r="DHA30" s="545"/>
      <c r="DHB30" s="545"/>
      <c r="DHC30" s="545"/>
      <c r="DHD30" s="545"/>
      <c r="DHE30" s="545"/>
      <c r="DHF30" s="545"/>
      <c r="DHG30" s="545"/>
      <c r="DHH30" s="545"/>
      <c r="DHI30" s="545"/>
      <c r="DHJ30" s="545"/>
      <c r="DHK30" s="545"/>
      <c r="DHL30" s="545"/>
      <c r="DHM30" s="545"/>
      <c r="DHN30" s="545"/>
      <c r="DHO30" s="545"/>
      <c r="DHP30" s="545"/>
      <c r="DHQ30" s="545"/>
      <c r="DHR30" s="545"/>
      <c r="DHS30" s="545"/>
      <c r="DHT30" s="545"/>
      <c r="DHU30" s="545"/>
      <c r="DHV30" s="545"/>
      <c r="DHW30" s="545"/>
      <c r="DHX30" s="545"/>
      <c r="DHY30" s="545"/>
      <c r="DHZ30" s="545"/>
      <c r="DIA30" s="545"/>
      <c r="DIB30" s="545"/>
      <c r="DIC30" s="545"/>
      <c r="DID30" s="545"/>
      <c r="DIE30" s="545"/>
      <c r="DIF30" s="545"/>
      <c r="DIG30" s="545"/>
      <c r="DIH30" s="545"/>
      <c r="DII30" s="545"/>
      <c r="DIJ30" s="545"/>
      <c r="DIK30" s="545"/>
      <c r="DIL30" s="545"/>
      <c r="DIM30" s="545"/>
      <c r="DIN30" s="545"/>
      <c r="DIO30" s="545"/>
      <c r="DIP30" s="545"/>
      <c r="DIQ30" s="545"/>
      <c r="DIR30" s="545"/>
      <c r="DIS30" s="545"/>
      <c r="DIT30" s="545"/>
      <c r="DIU30" s="545"/>
      <c r="DIV30" s="545"/>
      <c r="DIW30" s="545"/>
      <c r="DIX30" s="545"/>
      <c r="DIY30" s="545"/>
      <c r="DIZ30" s="545"/>
      <c r="DJA30" s="545"/>
      <c r="DJB30" s="545"/>
      <c r="DJC30" s="545"/>
      <c r="DJD30" s="545"/>
      <c r="DJE30" s="545"/>
      <c r="DJF30" s="545"/>
      <c r="DJG30" s="545"/>
      <c r="DJH30" s="545"/>
      <c r="DJI30" s="545"/>
      <c r="DJJ30" s="545"/>
      <c r="DJK30" s="545"/>
      <c r="DJL30" s="545"/>
      <c r="DJM30" s="545"/>
      <c r="DJN30" s="545"/>
      <c r="DJO30" s="545"/>
      <c r="DJP30" s="545"/>
      <c r="DJQ30" s="545"/>
      <c r="DJR30" s="545"/>
      <c r="DJS30" s="545"/>
      <c r="DJT30" s="545"/>
      <c r="DJU30" s="545"/>
      <c r="DJV30" s="545"/>
      <c r="DJW30" s="545"/>
      <c r="DJX30" s="545"/>
      <c r="DJY30" s="545"/>
      <c r="DJZ30" s="545"/>
      <c r="DKA30" s="545"/>
      <c r="DKB30" s="545"/>
      <c r="DKC30" s="545"/>
      <c r="DKD30" s="545"/>
      <c r="DKE30" s="545"/>
      <c r="DKF30" s="545"/>
      <c r="DKG30" s="545"/>
      <c r="DKH30" s="545"/>
      <c r="DKI30" s="545"/>
      <c r="DKJ30" s="545"/>
      <c r="DKK30" s="545"/>
      <c r="DKL30" s="545"/>
      <c r="DKM30" s="545"/>
      <c r="DKN30" s="545"/>
      <c r="DKO30" s="545"/>
      <c r="DKP30" s="545"/>
      <c r="DKQ30" s="545"/>
      <c r="DKR30" s="545"/>
      <c r="DKS30" s="545"/>
      <c r="DKT30" s="545"/>
      <c r="DKU30" s="545"/>
      <c r="DKV30" s="545"/>
      <c r="DKW30" s="545"/>
      <c r="DKX30" s="545"/>
      <c r="DKY30" s="545"/>
      <c r="DKZ30" s="545"/>
      <c r="DLA30" s="545"/>
      <c r="DLB30" s="545"/>
      <c r="DLC30" s="545"/>
      <c r="DLD30" s="545"/>
      <c r="DLE30" s="545"/>
      <c r="DLF30" s="545"/>
      <c r="DLG30" s="545"/>
      <c r="DLH30" s="545"/>
      <c r="DLI30" s="545"/>
      <c r="DLJ30" s="545"/>
      <c r="DLK30" s="545"/>
      <c r="DLL30" s="545"/>
      <c r="DLM30" s="545"/>
      <c r="DLN30" s="545"/>
      <c r="DLO30" s="545"/>
      <c r="DLP30" s="545"/>
      <c r="DLQ30" s="545"/>
      <c r="DLR30" s="545"/>
      <c r="DLS30" s="545"/>
      <c r="DLT30" s="545"/>
      <c r="DLU30" s="545"/>
      <c r="DLV30" s="545"/>
      <c r="DLW30" s="545"/>
      <c r="DLX30" s="545"/>
      <c r="DLY30" s="545"/>
      <c r="DLZ30" s="545"/>
      <c r="DMA30" s="545"/>
      <c r="DMB30" s="545"/>
      <c r="DMC30" s="545"/>
      <c r="DMD30" s="545"/>
      <c r="DME30" s="545"/>
      <c r="DMF30" s="545"/>
      <c r="DMG30" s="545"/>
      <c r="DMH30" s="545"/>
      <c r="DMI30" s="545"/>
      <c r="DMJ30" s="545"/>
      <c r="DMK30" s="545"/>
      <c r="DML30" s="545"/>
      <c r="DMM30" s="545"/>
      <c r="DMN30" s="545"/>
      <c r="DMO30" s="545"/>
      <c r="DMP30" s="545"/>
      <c r="DMQ30" s="545"/>
      <c r="DMR30" s="545"/>
      <c r="DMS30" s="545"/>
      <c r="DMT30" s="545"/>
      <c r="DMU30" s="545"/>
      <c r="DMV30" s="545"/>
      <c r="DMW30" s="545"/>
      <c r="DMX30" s="545"/>
      <c r="DMY30" s="545"/>
      <c r="DMZ30" s="545"/>
      <c r="DNA30" s="545"/>
      <c r="DNB30" s="545"/>
      <c r="DNC30" s="545"/>
      <c r="DND30" s="545"/>
      <c r="DNE30" s="545"/>
      <c r="DNF30" s="545"/>
      <c r="DNG30" s="545"/>
      <c r="DNH30" s="545"/>
      <c r="DNI30" s="545"/>
      <c r="DNJ30" s="545"/>
      <c r="DNK30" s="545"/>
      <c r="DNL30" s="545"/>
      <c r="DNM30" s="545"/>
      <c r="DNN30" s="545"/>
      <c r="DNO30" s="545"/>
      <c r="DNP30" s="545"/>
      <c r="DNQ30" s="545"/>
      <c r="DNR30" s="545"/>
      <c r="DNS30" s="545"/>
      <c r="DNT30" s="545"/>
      <c r="DNU30" s="545"/>
      <c r="DNV30" s="545"/>
      <c r="DNW30" s="545"/>
      <c r="DNX30" s="545"/>
      <c r="DNY30" s="545"/>
      <c r="DNZ30" s="545"/>
      <c r="DOA30" s="545"/>
      <c r="DOB30" s="545"/>
      <c r="DOC30" s="545"/>
      <c r="DOD30" s="545"/>
      <c r="DOE30" s="545"/>
      <c r="DOF30" s="545"/>
      <c r="DOG30" s="545"/>
      <c r="DOH30" s="545"/>
      <c r="DOI30" s="545"/>
      <c r="DOJ30" s="545"/>
      <c r="DOK30" s="545"/>
      <c r="DOL30" s="545"/>
      <c r="DOM30" s="545"/>
      <c r="DON30" s="545"/>
      <c r="DOO30" s="545"/>
      <c r="DOP30" s="545"/>
      <c r="DOQ30" s="545"/>
      <c r="DOR30" s="545"/>
      <c r="DOS30" s="545"/>
      <c r="DOT30" s="545"/>
      <c r="DOU30" s="545"/>
      <c r="DOV30" s="545"/>
      <c r="DOW30" s="545"/>
      <c r="DOX30" s="545"/>
      <c r="DOY30" s="545"/>
      <c r="DOZ30" s="545"/>
      <c r="DPA30" s="545"/>
      <c r="DPB30" s="545"/>
      <c r="DPC30" s="545"/>
      <c r="DPD30" s="545"/>
      <c r="DPE30" s="545"/>
      <c r="DPF30" s="545"/>
      <c r="DPG30" s="545"/>
      <c r="DPH30" s="545"/>
      <c r="DPI30" s="545"/>
      <c r="DPJ30" s="545"/>
      <c r="DPK30" s="545"/>
      <c r="DPL30" s="545"/>
      <c r="DPM30" s="545"/>
      <c r="DPN30" s="545"/>
      <c r="DPO30" s="545"/>
      <c r="DPP30" s="545"/>
      <c r="DPQ30" s="545"/>
      <c r="DPR30" s="545"/>
      <c r="DPS30" s="545"/>
      <c r="DPT30" s="545"/>
      <c r="DPU30" s="545"/>
      <c r="DPV30" s="545"/>
      <c r="DPW30" s="545"/>
      <c r="DPX30" s="545"/>
      <c r="DPY30" s="545"/>
      <c r="DPZ30" s="545"/>
      <c r="DQA30" s="545"/>
      <c r="DQB30" s="545"/>
      <c r="DQC30" s="545"/>
      <c r="DQD30" s="545"/>
      <c r="DQE30" s="545"/>
      <c r="DQF30" s="545"/>
      <c r="DQG30" s="545"/>
      <c r="DQH30" s="545"/>
      <c r="DQI30" s="545"/>
      <c r="DQJ30" s="545"/>
      <c r="DQK30" s="545"/>
      <c r="DQL30" s="545"/>
      <c r="DQM30" s="545"/>
      <c r="DQN30" s="545"/>
      <c r="DQO30" s="545"/>
      <c r="DQP30" s="545"/>
      <c r="DQQ30" s="545"/>
      <c r="DQR30" s="545"/>
      <c r="DQS30" s="545"/>
      <c r="DQT30" s="545"/>
      <c r="DQU30" s="545"/>
      <c r="DQV30" s="545"/>
      <c r="DQW30" s="545"/>
      <c r="DQX30" s="545"/>
      <c r="DQY30" s="545"/>
      <c r="DQZ30" s="545"/>
      <c r="DRA30" s="545"/>
      <c r="DRB30" s="545"/>
      <c r="DRC30" s="545"/>
      <c r="DRD30" s="545"/>
      <c r="DRE30" s="545"/>
      <c r="DRF30" s="545"/>
      <c r="DRG30" s="545"/>
      <c r="DRH30" s="545"/>
      <c r="DRI30" s="545"/>
      <c r="DRJ30" s="545"/>
      <c r="DRK30" s="545"/>
      <c r="DRL30" s="545"/>
      <c r="DRM30" s="545"/>
      <c r="DRN30" s="545"/>
      <c r="DRO30" s="545"/>
      <c r="DRP30" s="545"/>
      <c r="DRQ30" s="545"/>
      <c r="DRR30" s="545"/>
      <c r="DRS30" s="545"/>
      <c r="DRT30" s="545"/>
      <c r="DRU30" s="545"/>
      <c r="DRV30" s="545"/>
      <c r="DRW30" s="545"/>
      <c r="DRX30" s="545"/>
      <c r="DRY30" s="545"/>
      <c r="DRZ30" s="545"/>
      <c r="DSA30" s="545"/>
      <c r="DSB30" s="545"/>
      <c r="DSC30" s="545"/>
      <c r="DSD30" s="545"/>
      <c r="DSE30" s="545"/>
      <c r="DSF30" s="545"/>
      <c r="DSG30" s="545"/>
      <c r="DSH30" s="545"/>
      <c r="DSI30" s="545"/>
      <c r="DSJ30" s="545"/>
      <c r="DSK30" s="545"/>
      <c r="DSL30" s="545"/>
      <c r="DSM30" s="545"/>
      <c r="DSN30" s="545"/>
      <c r="DSO30" s="545"/>
      <c r="DSP30" s="545"/>
      <c r="DSQ30" s="545"/>
      <c r="DSR30" s="545"/>
      <c r="DSS30" s="545"/>
      <c r="DST30" s="545"/>
      <c r="DSU30" s="545"/>
      <c r="DSV30" s="545"/>
      <c r="DSW30" s="545"/>
      <c r="DSX30" s="545"/>
      <c r="DSY30" s="545"/>
      <c r="DSZ30" s="545"/>
      <c r="DTA30" s="545"/>
      <c r="DTB30" s="545"/>
      <c r="DTC30" s="545"/>
      <c r="DTD30" s="545"/>
      <c r="DTE30" s="545"/>
      <c r="DTF30" s="545"/>
      <c r="DTG30" s="545"/>
      <c r="DTH30" s="545"/>
      <c r="DTI30" s="545"/>
      <c r="DTJ30" s="545"/>
      <c r="DTK30" s="545"/>
      <c r="DTL30" s="545"/>
      <c r="DTM30" s="545"/>
      <c r="DTN30" s="545"/>
      <c r="DTO30" s="545"/>
      <c r="DTP30" s="545"/>
      <c r="DTQ30" s="545"/>
      <c r="DTR30" s="545"/>
      <c r="DTS30" s="545"/>
      <c r="DTT30" s="545"/>
      <c r="DTU30" s="545"/>
      <c r="DTV30" s="545"/>
      <c r="DTW30" s="545"/>
      <c r="DTX30" s="545"/>
      <c r="DTY30" s="545"/>
      <c r="DTZ30" s="545"/>
      <c r="DUA30" s="545"/>
      <c r="DUB30" s="545"/>
      <c r="DUC30" s="545"/>
      <c r="DUD30" s="545"/>
      <c r="DUE30" s="545"/>
      <c r="DUF30" s="545"/>
      <c r="DUG30" s="545"/>
      <c r="DUH30" s="545"/>
      <c r="DUI30" s="545"/>
      <c r="DUJ30" s="545"/>
      <c r="DUK30" s="545"/>
      <c r="DUL30" s="545"/>
      <c r="DUM30" s="545"/>
      <c r="DUN30" s="545"/>
      <c r="DUO30" s="545"/>
      <c r="DUP30" s="545"/>
      <c r="DUQ30" s="545"/>
      <c r="DUR30" s="545"/>
      <c r="DUS30" s="545"/>
      <c r="DUT30" s="545"/>
      <c r="DUU30" s="545"/>
      <c r="DUV30" s="545"/>
      <c r="DUW30" s="545"/>
      <c r="DUX30" s="545"/>
      <c r="DUY30" s="545"/>
      <c r="DUZ30" s="545"/>
      <c r="DVA30" s="545"/>
      <c r="DVB30" s="545"/>
      <c r="DVC30" s="545"/>
      <c r="DVD30" s="545"/>
      <c r="DVE30" s="545"/>
      <c r="DVF30" s="545"/>
      <c r="DVG30" s="545"/>
      <c r="DVH30" s="545"/>
      <c r="DVI30" s="545"/>
      <c r="DVJ30" s="545"/>
      <c r="DVK30" s="545"/>
      <c r="DVL30" s="545"/>
      <c r="DVM30" s="545"/>
      <c r="DVN30" s="545"/>
      <c r="DVO30" s="545"/>
      <c r="DVP30" s="545"/>
      <c r="DVQ30" s="545"/>
      <c r="DVR30" s="545"/>
      <c r="DVS30" s="545"/>
      <c r="DVT30" s="545"/>
      <c r="DVU30" s="545"/>
      <c r="DVV30" s="545"/>
      <c r="DVW30" s="545"/>
      <c r="DVX30" s="545"/>
      <c r="DVY30" s="545"/>
      <c r="DVZ30" s="545"/>
      <c r="DWA30" s="545"/>
      <c r="DWB30" s="545"/>
      <c r="DWC30" s="545"/>
      <c r="DWD30" s="545"/>
      <c r="DWE30" s="545"/>
      <c r="DWF30" s="545"/>
      <c r="DWG30" s="545"/>
      <c r="DWH30" s="545"/>
      <c r="DWI30" s="545"/>
      <c r="DWJ30" s="545"/>
      <c r="DWK30" s="545"/>
      <c r="DWL30" s="545"/>
      <c r="DWM30" s="545"/>
      <c r="DWN30" s="545"/>
      <c r="DWO30" s="545"/>
      <c r="DWP30" s="545"/>
      <c r="DWQ30" s="545"/>
      <c r="DWR30" s="545"/>
      <c r="DWS30" s="545"/>
      <c r="DWT30" s="545"/>
      <c r="DWU30" s="545"/>
      <c r="DWV30" s="545"/>
      <c r="DWW30" s="545"/>
      <c r="DWX30" s="545"/>
      <c r="DWY30" s="545"/>
      <c r="DWZ30" s="545"/>
      <c r="DXA30" s="545"/>
      <c r="DXB30" s="545"/>
      <c r="DXC30" s="545"/>
      <c r="DXD30" s="545"/>
      <c r="DXE30" s="545"/>
      <c r="DXF30" s="545"/>
      <c r="DXG30" s="545"/>
      <c r="DXH30" s="545"/>
      <c r="DXI30" s="545"/>
      <c r="DXJ30" s="545"/>
      <c r="DXK30" s="545"/>
      <c r="DXL30" s="545"/>
      <c r="DXM30" s="545"/>
      <c r="DXN30" s="545"/>
      <c r="DXO30" s="545"/>
      <c r="DXP30" s="545"/>
      <c r="DXQ30" s="545"/>
      <c r="DXR30" s="545"/>
      <c r="DXS30" s="545"/>
      <c r="DXT30" s="545"/>
      <c r="DXU30" s="545"/>
      <c r="DXV30" s="545"/>
      <c r="DXW30" s="545"/>
      <c r="DXX30" s="545"/>
      <c r="DXY30" s="545"/>
      <c r="DXZ30" s="545"/>
      <c r="DYA30" s="545"/>
      <c r="DYB30" s="545"/>
      <c r="DYC30" s="545"/>
      <c r="DYD30" s="545"/>
      <c r="DYE30" s="545"/>
      <c r="DYF30" s="545"/>
      <c r="DYG30" s="545"/>
      <c r="DYH30" s="545"/>
      <c r="DYI30" s="545"/>
      <c r="DYJ30" s="545"/>
      <c r="DYK30" s="545"/>
      <c r="DYL30" s="545"/>
      <c r="DYM30" s="545"/>
      <c r="DYN30" s="545"/>
      <c r="DYO30" s="545"/>
      <c r="DYP30" s="545"/>
      <c r="DYQ30" s="545"/>
      <c r="DYR30" s="545"/>
      <c r="DYS30" s="545"/>
      <c r="DYT30" s="545"/>
      <c r="DYU30" s="545"/>
      <c r="DYV30" s="545"/>
      <c r="DYW30" s="545"/>
      <c r="DYX30" s="545"/>
      <c r="DYY30" s="545"/>
      <c r="DYZ30" s="545"/>
      <c r="DZA30" s="545"/>
      <c r="DZB30" s="545"/>
      <c r="DZC30" s="545"/>
      <c r="DZD30" s="545"/>
      <c r="DZE30" s="545"/>
      <c r="DZF30" s="545"/>
      <c r="DZG30" s="545"/>
      <c r="DZH30" s="545"/>
      <c r="DZI30" s="545"/>
      <c r="DZJ30" s="545"/>
      <c r="DZK30" s="545"/>
      <c r="DZL30" s="545"/>
      <c r="DZM30" s="545"/>
      <c r="DZN30" s="545"/>
      <c r="DZO30" s="545"/>
      <c r="DZP30" s="545"/>
      <c r="DZQ30" s="545"/>
      <c r="DZR30" s="545"/>
      <c r="DZS30" s="545"/>
      <c r="DZT30" s="545"/>
      <c r="DZU30" s="545"/>
      <c r="DZV30" s="545"/>
      <c r="DZW30" s="545"/>
      <c r="DZX30" s="545"/>
      <c r="DZY30" s="545"/>
      <c r="DZZ30" s="545"/>
      <c r="EAA30" s="545"/>
      <c r="EAB30" s="545"/>
      <c r="EAC30" s="545"/>
      <c r="EAD30" s="545"/>
      <c r="EAE30" s="545"/>
      <c r="EAF30" s="545"/>
      <c r="EAG30" s="545"/>
      <c r="EAH30" s="545"/>
      <c r="EAI30" s="545"/>
      <c r="EAJ30" s="545"/>
      <c r="EAK30" s="545"/>
      <c r="EAL30" s="545"/>
      <c r="EAM30" s="545"/>
      <c r="EAN30" s="545"/>
      <c r="EAO30" s="545"/>
      <c r="EAP30" s="545"/>
      <c r="EAQ30" s="545"/>
      <c r="EAR30" s="545"/>
      <c r="EAS30" s="545"/>
      <c r="EAT30" s="545"/>
      <c r="EAU30" s="545"/>
      <c r="EAV30" s="545"/>
      <c r="EAW30" s="545"/>
      <c r="EAX30" s="545"/>
      <c r="EAY30" s="545"/>
      <c r="EAZ30" s="545"/>
      <c r="EBA30" s="545"/>
      <c r="EBB30" s="545"/>
      <c r="EBC30" s="545"/>
      <c r="EBD30" s="545"/>
      <c r="EBE30" s="545"/>
      <c r="EBF30" s="545"/>
      <c r="EBG30" s="545"/>
      <c r="EBH30" s="545"/>
      <c r="EBI30" s="545"/>
      <c r="EBJ30" s="545"/>
      <c r="EBK30" s="545"/>
      <c r="EBL30" s="545"/>
      <c r="EBM30" s="545"/>
      <c r="EBN30" s="545"/>
      <c r="EBO30" s="545"/>
      <c r="EBP30" s="545"/>
      <c r="EBQ30" s="545"/>
      <c r="EBR30" s="545"/>
      <c r="EBS30" s="545"/>
      <c r="EBT30" s="545"/>
      <c r="EBU30" s="545"/>
      <c r="EBV30" s="545"/>
      <c r="EBW30" s="545"/>
      <c r="EBX30" s="545"/>
      <c r="EBY30" s="545"/>
      <c r="EBZ30" s="545"/>
      <c r="ECA30" s="545"/>
      <c r="ECB30" s="545"/>
      <c r="ECC30" s="545"/>
      <c r="ECD30" s="545"/>
      <c r="ECE30" s="545"/>
      <c r="ECF30" s="545"/>
      <c r="ECG30" s="545"/>
      <c r="ECH30" s="545"/>
      <c r="ECI30" s="545"/>
      <c r="ECJ30" s="545"/>
      <c r="ECK30" s="545"/>
      <c r="ECL30" s="545"/>
      <c r="ECM30" s="545"/>
      <c r="ECN30" s="545"/>
      <c r="ECO30" s="545"/>
      <c r="ECP30" s="545"/>
      <c r="ECQ30" s="545"/>
      <c r="ECR30" s="545"/>
      <c r="ECS30" s="545"/>
      <c r="ECT30" s="545"/>
      <c r="ECU30" s="545"/>
      <c r="ECV30" s="545"/>
      <c r="ECW30" s="545"/>
      <c r="ECX30" s="545"/>
      <c r="ECY30" s="545"/>
      <c r="ECZ30" s="545"/>
      <c r="EDA30" s="545"/>
      <c r="EDB30" s="545"/>
      <c r="EDC30" s="545"/>
      <c r="EDD30" s="545"/>
      <c r="EDE30" s="545"/>
      <c r="EDF30" s="545"/>
      <c r="EDG30" s="545"/>
      <c r="EDH30" s="545"/>
      <c r="EDI30" s="545"/>
      <c r="EDJ30" s="545"/>
      <c r="EDK30" s="545"/>
      <c r="EDL30" s="545"/>
      <c r="EDM30" s="545"/>
      <c r="EDN30" s="545"/>
      <c r="EDO30" s="545"/>
      <c r="EDP30" s="545"/>
      <c r="EDQ30" s="545"/>
      <c r="EDR30" s="545"/>
      <c r="EDS30" s="545"/>
      <c r="EDT30" s="545"/>
      <c r="EDU30" s="545"/>
      <c r="EDV30" s="545"/>
      <c r="EDW30" s="545"/>
      <c r="EDX30" s="545"/>
      <c r="EDY30" s="545"/>
      <c r="EDZ30" s="545"/>
      <c r="EEA30" s="545"/>
      <c r="EEB30" s="545"/>
      <c r="EEC30" s="545"/>
      <c r="EED30" s="545"/>
      <c r="EEE30" s="545"/>
      <c r="EEF30" s="545"/>
      <c r="EEG30" s="545"/>
      <c r="EEH30" s="545"/>
      <c r="EEI30" s="545"/>
      <c r="EEJ30" s="545"/>
      <c r="EEK30" s="545"/>
      <c r="EEL30" s="545"/>
      <c r="EEM30" s="545"/>
      <c r="EEN30" s="545"/>
      <c r="EEO30" s="545"/>
      <c r="EEP30" s="545"/>
      <c r="EEQ30" s="545"/>
      <c r="EER30" s="545"/>
      <c r="EES30" s="545"/>
      <c r="EET30" s="545"/>
      <c r="EEU30" s="545"/>
      <c r="EEV30" s="545"/>
      <c r="EEW30" s="545"/>
      <c r="EEX30" s="545"/>
      <c r="EEY30" s="545"/>
      <c r="EEZ30" s="545"/>
      <c r="EFA30" s="545"/>
      <c r="EFB30" s="545"/>
      <c r="EFC30" s="545"/>
      <c r="EFD30" s="545"/>
      <c r="EFE30" s="545"/>
      <c r="EFF30" s="545"/>
      <c r="EFG30" s="545"/>
      <c r="EFH30" s="545"/>
      <c r="EFI30" s="545"/>
      <c r="EFJ30" s="545"/>
      <c r="EFK30" s="545"/>
      <c r="EFL30" s="545"/>
      <c r="EFM30" s="545"/>
      <c r="EFN30" s="545"/>
      <c r="EFO30" s="545"/>
      <c r="EFP30" s="545"/>
      <c r="EFQ30" s="545"/>
      <c r="EFR30" s="545"/>
      <c r="EFS30" s="545"/>
      <c r="EFT30" s="545"/>
      <c r="EFU30" s="545"/>
      <c r="EFV30" s="545"/>
      <c r="EFW30" s="545"/>
      <c r="EFX30" s="545"/>
      <c r="EFY30" s="545"/>
      <c r="EFZ30" s="545"/>
      <c r="EGA30" s="545"/>
      <c r="EGB30" s="545"/>
      <c r="EGC30" s="545"/>
      <c r="EGD30" s="545"/>
      <c r="EGE30" s="545"/>
      <c r="EGF30" s="545"/>
      <c r="EGG30" s="545"/>
      <c r="EGH30" s="545"/>
      <c r="EGI30" s="545"/>
      <c r="EGJ30" s="545"/>
      <c r="EGK30" s="545"/>
      <c r="EGL30" s="545"/>
      <c r="EGM30" s="545"/>
      <c r="EGN30" s="545"/>
      <c r="EGO30" s="545"/>
      <c r="EGP30" s="545"/>
      <c r="EGQ30" s="545"/>
      <c r="EGR30" s="545"/>
      <c r="EGS30" s="545"/>
      <c r="EGT30" s="545"/>
      <c r="EGU30" s="545"/>
      <c r="EGV30" s="545"/>
      <c r="EGW30" s="545"/>
      <c r="EGX30" s="545"/>
      <c r="EGY30" s="545"/>
      <c r="EGZ30" s="545"/>
      <c r="EHA30" s="545"/>
      <c r="EHB30" s="545"/>
      <c r="EHC30" s="545"/>
      <c r="EHD30" s="545"/>
      <c r="EHE30" s="545"/>
      <c r="EHF30" s="545"/>
      <c r="EHG30" s="545"/>
      <c r="EHH30" s="545"/>
      <c r="EHI30" s="545"/>
      <c r="EHJ30" s="545"/>
      <c r="EHK30" s="545"/>
      <c r="EHL30" s="545"/>
      <c r="EHM30" s="545"/>
      <c r="EHN30" s="545"/>
      <c r="EHO30" s="545"/>
      <c r="EHP30" s="545"/>
      <c r="EHQ30" s="545"/>
      <c r="EHR30" s="545"/>
      <c r="EHS30" s="545"/>
      <c r="EHT30" s="545"/>
      <c r="EHU30" s="545"/>
      <c r="EHV30" s="545"/>
      <c r="EHW30" s="545"/>
      <c r="EHX30" s="545"/>
      <c r="EHY30" s="545"/>
      <c r="EHZ30" s="545"/>
      <c r="EIA30" s="545"/>
      <c r="EIB30" s="545"/>
      <c r="EIC30" s="545"/>
      <c r="EID30" s="545"/>
      <c r="EIE30" s="545"/>
      <c r="EIF30" s="545"/>
      <c r="EIG30" s="545"/>
      <c r="EIH30" s="545"/>
      <c r="EII30" s="545"/>
      <c r="EIJ30" s="545"/>
      <c r="EIK30" s="545"/>
      <c r="EIL30" s="545"/>
      <c r="EIM30" s="545"/>
      <c r="EIN30" s="545"/>
      <c r="EIO30" s="545"/>
      <c r="EIP30" s="545"/>
      <c r="EIQ30" s="545"/>
      <c r="EIR30" s="545"/>
      <c r="EIS30" s="545"/>
      <c r="EIT30" s="545"/>
      <c r="EIU30" s="545"/>
      <c r="EIV30" s="545"/>
      <c r="EIW30" s="545"/>
      <c r="EIX30" s="545"/>
      <c r="EIY30" s="545"/>
      <c r="EIZ30" s="545"/>
      <c r="EJA30" s="545"/>
      <c r="EJB30" s="545"/>
      <c r="EJC30" s="545"/>
      <c r="EJD30" s="545"/>
      <c r="EJE30" s="545"/>
      <c r="EJF30" s="545"/>
      <c r="EJG30" s="545"/>
      <c r="EJH30" s="545"/>
      <c r="EJI30" s="545"/>
      <c r="EJJ30" s="545"/>
      <c r="EJK30" s="545"/>
      <c r="EJL30" s="545"/>
      <c r="EJM30" s="545"/>
      <c r="EJN30" s="545"/>
      <c r="EJO30" s="545"/>
      <c r="EJP30" s="545"/>
      <c r="EJQ30" s="545"/>
      <c r="EJR30" s="545"/>
      <c r="EJS30" s="545"/>
      <c r="EJT30" s="545"/>
      <c r="EJU30" s="545"/>
      <c r="EJV30" s="545"/>
      <c r="EJW30" s="545"/>
      <c r="EJX30" s="545"/>
      <c r="EJY30" s="545"/>
      <c r="EJZ30" s="545"/>
      <c r="EKA30" s="545"/>
      <c r="EKB30" s="545"/>
      <c r="EKC30" s="545"/>
      <c r="EKD30" s="545"/>
      <c r="EKE30" s="545"/>
      <c r="EKF30" s="545"/>
      <c r="EKG30" s="545"/>
      <c r="EKH30" s="545"/>
      <c r="EKI30" s="545"/>
      <c r="EKJ30" s="545"/>
      <c r="EKK30" s="545"/>
      <c r="EKL30" s="545"/>
      <c r="EKM30" s="545"/>
      <c r="EKN30" s="545"/>
      <c r="EKO30" s="545"/>
      <c r="EKP30" s="545"/>
      <c r="EKQ30" s="545"/>
      <c r="EKR30" s="545"/>
      <c r="EKS30" s="545"/>
      <c r="EKT30" s="545"/>
      <c r="EKU30" s="545"/>
      <c r="EKV30" s="545"/>
      <c r="EKW30" s="545"/>
      <c r="EKX30" s="545"/>
      <c r="EKY30" s="545"/>
      <c r="EKZ30" s="545"/>
      <c r="ELA30" s="545"/>
      <c r="ELB30" s="545"/>
      <c r="ELC30" s="545"/>
      <c r="ELD30" s="545"/>
      <c r="ELE30" s="545"/>
      <c r="ELF30" s="545"/>
      <c r="ELG30" s="545"/>
      <c r="ELH30" s="545"/>
      <c r="ELI30" s="545"/>
      <c r="ELJ30" s="545"/>
      <c r="ELK30" s="545"/>
      <c r="ELL30" s="545"/>
      <c r="ELM30" s="545"/>
      <c r="ELN30" s="545"/>
      <c r="ELO30" s="545"/>
      <c r="ELP30" s="545"/>
      <c r="ELQ30" s="545"/>
      <c r="ELR30" s="545"/>
      <c r="ELS30" s="545"/>
      <c r="ELT30" s="545"/>
      <c r="ELU30" s="545"/>
      <c r="ELV30" s="545"/>
      <c r="ELW30" s="545"/>
      <c r="ELX30" s="545"/>
      <c r="ELY30" s="545"/>
      <c r="ELZ30" s="545"/>
      <c r="EMA30" s="545"/>
      <c r="EMB30" s="545"/>
      <c r="EMC30" s="545"/>
      <c r="EMD30" s="545"/>
      <c r="EME30" s="545"/>
      <c r="EMF30" s="545"/>
      <c r="EMG30" s="545"/>
      <c r="EMH30" s="545"/>
      <c r="EMI30" s="545"/>
      <c r="EMJ30" s="545"/>
      <c r="EMK30" s="545"/>
      <c r="EML30" s="545"/>
      <c r="EMM30" s="545"/>
      <c r="EMN30" s="545"/>
      <c r="EMO30" s="545"/>
      <c r="EMP30" s="545"/>
      <c r="EMQ30" s="545"/>
      <c r="EMR30" s="545"/>
      <c r="EMS30" s="545"/>
      <c r="EMT30" s="545"/>
      <c r="EMU30" s="545"/>
      <c r="EMV30" s="545"/>
      <c r="EMW30" s="545"/>
      <c r="EMX30" s="545"/>
      <c r="EMY30" s="545"/>
      <c r="EMZ30" s="545"/>
      <c r="ENA30" s="545"/>
      <c r="ENB30" s="545"/>
      <c r="ENC30" s="545"/>
      <c r="END30" s="545"/>
      <c r="ENE30" s="545"/>
      <c r="ENF30" s="545"/>
      <c r="ENG30" s="545"/>
      <c r="ENH30" s="545"/>
      <c r="ENI30" s="545"/>
      <c r="ENJ30" s="545"/>
      <c r="ENK30" s="545"/>
      <c r="ENL30" s="545"/>
      <c r="ENM30" s="545"/>
      <c r="ENN30" s="545"/>
      <c r="ENO30" s="545"/>
      <c r="ENP30" s="545"/>
      <c r="ENQ30" s="545"/>
      <c r="ENR30" s="545"/>
      <c r="ENS30" s="545"/>
      <c r="ENT30" s="545"/>
      <c r="ENU30" s="545"/>
      <c r="ENV30" s="545"/>
      <c r="ENW30" s="545"/>
      <c r="ENX30" s="545"/>
      <c r="ENY30" s="545"/>
      <c r="ENZ30" s="545"/>
      <c r="EOA30" s="545"/>
      <c r="EOB30" s="545"/>
      <c r="EOC30" s="545"/>
      <c r="EOD30" s="545"/>
      <c r="EOE30" s="545"/>
      <c r="EOF30" s="545"/>
      <c r="EOG30" s="545"/>
      <c r="EOH30" s="545"/>
      <c r="EOI30" s="545"/>
      <c r="EOJ30" s="545"/>
      <c r="EOK30" s="545"/>
      <c r="EOL30" s="545"/>
      <c r="EOM30" s="545"/>
      <c r="EON30" s="545"/>
      <c r="EOO30" s="545"/>
      <c r="EOP30" s="545"/>
      <c r="EOQ30" s="545"/>
      <c r="EOR30" s="545"/>
      <c r="EOS30" s="545"/>
      <c r="EOT30" s="545"/>
      <c r="EOU30" s="545"/>
      <c r="EOV30" s="545"/>
      <c r="EOW30" s="545"/>
      <c r="EOX30" s="545"/>
      <c r="EOY30" s="545"/>
      <c r="EOZ30" s="545"/>
      <c r="EPA30" s="545"/>
      <c r="EPB30" s="545"/>
      <c r="EPC30" s="545"/>
      <c r="EPD30" s="545"/>
      <c r="EPE30" s="545"/>
      <c r="EPF30" s="545"/>
      <c r="EPG30" s="545"/>
      <c r="EPH30" s="545"/>
      <c r="EPI30" s="545"/>
      <c r="EPJ30" s="545"/>
      <c r="EPK30" s="545"/>
      <c r="EPL30" s="545"/>
      <c r="EPM30" s="545"/>
      <c r="EPN30" s="545"/>
      <c r="EPO30" s="545"/>
      <c r="EPP30" s="545"/>
      <c r="EPQ30" s="545"/>
      <c r="EPR30" s="545"/>
      <c r="EPS30" s="545"/>
      <c r="EPT30" s="545"/>
      <c r="EPU30" s="545"/>
      <c r="EPV30" s="545"/>
      <c r="EPW30" s="545"/>
      <c r="EPX30" s="545"/>
      <c r="EPY30" s="545"/>
      <c r="EPZ30" s="545"/>
      <c r="EQA30" s="545"/>
      <c r="EQB30" s="545"/>
      <c r="EQC30" s="545"/>
      <c r="EQD30" s="545"/>
      <c r="EQE30" s="545"/>
      <c r="EQF30" s="545"/>
      <c r="EQG30" s="545"/>
      <c r="EQH30" s="545"/>
      <c r="EQI30" s="545"/>
      <c r="EQJ30" s="545"/>
      <c r="EQK30" s="545"/>
      <c r="EQL30" s="545"/>
      <c r="EQM30" s="545"/>
      <c r="EQN30" s="545"/>
      <c r="EQO30" s="545"/>
      <c r="EQP30" s="545"/>
      <c r="EQQ30" s="545"/>
      <c r="EQR30" s="545"/>
      <c r="EQS30" s="545"/>
      <c r="EQT30" s="545"/>
      <c r="EQU30" s="545"/>
      <c r="EQV30" s="545"/>
      <c r="EQW30" s="545"/>
      <c r="EQX30" s="545"/>
      <c r="EQY30" s="545"/>
      <c r="EQZ30" s="545"/>
      <c r="ERA30" s="545"/>
      <c r="ERB30" s="545"/>
      <c r="ERC30" s="545"/>
      <c r="ERD30" s="545"/>
      <c r="ERE30" s="545"/>
      <c r="ERF30" s="545"/>
      <c r="ERG30" s="545"/>
      <c r="ERH30" s="545"/>
      <c r="ERI30" s="545"/>
      <c r="ERJ30" s="545"/>
      <c r="ERK30" s="545"/>
      <c r="ERL30" s="545"/>
      <c r="ERM30" s="545"/>
      <c r="ERN30" s="545"/>
      <c r="ERO30" s="545"/>
      <c r="ERP30" s="545"/>
      <c r="ERQ30" s="545"/>
      <c r="ERR30" s="545"/>
      <c r="ERS30" s="545"/>
      <c r="ERT30" s="545"/>
      <c r="ERU30" s="545"/>
      <c r="ERV30" s="545"/>
      <c r="ERW30" s="545"/>
      <c r="ERX30" s="545"/>
      <c r="ERY30" s="545"/>
      <c r="ERZ30" s="545"/>
      <c r="ESA30" s="545"/>
      <c r="ESB30" s="545"/>
      <c r="ESC30" s="545"/>
      <c r="ESD30" s="545"/>
      <c r="ESE30" s="545"/>
      <c r="ESF30" s="545"/>
      <c r="ESG30" s="545"/>
      <c r="ESH30" s="545"/>
      <c r="ESI30" s="545"/>
      <c r="ESJ30" s="545"/>
      <c r="ESK30" s="545"/>
      <c r="ESL30" s="545"/>
      <c r="ESM30" s="545"/>
      <c r="ESN30" s="545"/>
      <c r="ESO30" s="545"/>
      <c r="ESP30" s="545"/>
      <c r="ESQ30" s="545"/>
      <c r="ESR30" s="545"/>
      <c r="ESS30" s="545"/>
      <c r="EST30" s="545"/>
      <c r="ESU30" s="545"/>
      <c r="ESV30" s="545"/>
      <c r="ESW30" s="545"/>
      <c r="ESX30" s="545"/>
      <c r="ESY30" s="545"/>
      <c r="ESZ30" s="545"/>
      <c r="ETA30" s="545"/>
      <c r="ETB30" s="545"/>
      <c r="ETC30" s="545"/>
      <c r="ETD30" s="545"/>
      <c r="ETE30" s="545"/>
      <c r="ETF30" s="545"/>
      <c r="ETG30" s="545"/>
      <c r="ETH30" s="545"/>
      <c r="ETI30" s="545"/>
      <c r="ETJ30" s="545"/>
      <c r="ETK30" s="545"/>
      <c r="ETL30" s="545"/>
      <c r="ETM30" s="545"/>
      <c r="ETN30" s="545"/>
      <c r="ETO30" s="545"/>
      <c r="ETP30" s="545"/>
      <c r="ETQ30" s="545"/>
      <c r="ETR30" s="545"/>
      <c r="ETS30" s="545"/>
      <c r="ETT30" s="545"/>
      <c r="ETU30" s="545"/>
      <c r="ETV30" s="545"/>
      <c r="ETW30" s="545"/>
      <c r="ETX30" s="545"/>
      <c r="ETY30" s="545"/>
      <c r="ETZ30" s="545"/>
      <c r="EUA30" s="545"/>
      <c r="EUB30" s="545"/>
      <c r="EUC30" s="545"/>
      <c r="EUD30" s="545"/>
      <c r="EUE30" s="545"/>
      <c r="EUF30" s="545"/>
      <c r="EUG30" s="545"/>
      <c r="EUH30" s="545"/>
      <c r="EUI30" s="545"/>
      <c r="EUJ30" s="545"/>
      <c r="EUK30" s="545"/>
      <c r="EUL30" s="545"/>
      <c r="EUM30" s="545"/>
      <c r="EUN30" s="545"/>
      <c r="EUO30" s="545"/>
      <c r="EUP30" s="545"/>
      <c r="EUQ30" s="545"/>
      <c r="EUR30" s="545"/>
      <c r="EUS30" s="545"/>
      <c r="EUT30" s="545"/>
      <c r="EUU30" s="545"/>
      <c r="EUV30" s="545"/>
      <c r="EUW30" s="545"/>
      <c r="EUX30" s="545"/>
      <c r="EUY30" s="545"/>
      <c r="EUZ30" s="545"/>
      <c r="EVA30" s="545"/>
      <c r="EVB30" s="545"/>
      <c r="EVC30" s="545"/>
      <c r="EVD30" s="545"/>
      <c r="EVE30" s="545"/>
      <c r="EVF30" s="545"/>
      <c r="EVG30" s="545"/>
      <c r="EVH30" s="545"/>
      <c r="EVI30" s="545"/>
      <c r="EVJ30" s="545"/>
      <c r="EVK30" s="545"/>
      <c r="EVL30" s="545"/>
      <c r="EVM30" s="545"/>
      <c r="EVN30" s="545"/>
      <c r="EVO30" s="545"/>
      <c r="EVP30" s="545"/>
      <c r="EVQ30" s="545"/>
      <c r="EVR30" s="545"/>
      <c r="EVS30" s="545"/>
      <c r="EVT30" s="545"/>
      <c r="EVU30" s="545"/>
      <c r="EVV30" s="545"/>
      <c r="EVW30" s="545"/>
      <c r="EVX30" s="545"/>
      <c r="EVY30" s="545"/>
      <c r="EVZ30" s="545"/>
      <c r="EWA30" s="545"/>
      <c r="EWB30" s="545"/>
      <c r="EWC30" s="545"/>
      <c r="EWD30" s="545"/>
      <c r="EWE30" s="545"/>
      <c r="EWF30" s="545"/>
      <c r="EWG30" s="545"/>
      <c r="EWH30" s="545"/>
      <c r="EWI30" s="545"/>
      <c r="EWJ30" s="545"/>
      <c r="EWK30" s="545"/>
      <c r="EWL30" s="545"/>
      <c r="EWM30" s="545"/>
      <c r="EWN30" s="545"/>
      <c r="EWO30" s="545"/>
      <c r="EWP30" s="545"/>
      <c r="EWQ30" s="545"/>
      <c r="EWR30" s="545"/>
      <c r="EWS30" s="545"/>
      <c r="EWT30" s="545"/>
      <c r="EWU30" s="545"/>
      <c r="EWV30" s="545"/>
      <c r="EWW30" s="545"/>
      <c r="EWX30" s="545"/>
      <c r="EWY30" s="545"/>
      <c r="EWZ30" s="545"/>
      <c r="EXA30" s="545"/>
      <c r="EXB30" s="545"/>
      <c r="EXC30" s="545"/>
      <c r="EXD30" s="545"/>
      <c r="EXE30" s="545"/>
      <c r="EXF30" s="545"/>
      <c r="EXG30" s="545"/>
      <c r="EXH30" s="545"/>
      <c r="EXI30" s="545"/>
      <c r="EXJ30" s="545"/>
      <c r="EXK30" s="545"/>
      <c r="EXL30" s="545"/>
      <c r="EXM30" s="545"/>
      <c r="EXN30" s="545"/>
      <c r="EXO30" s="545"/>
      <c r="EXP30" s="545"/>
      <c r="EXQ30" s="545"/>
      <c r="EXR30" s="545"/>
      <c r="EXS30" s="545"/>
      <c r="EXT30" s="545"/>
      <c r="EXU30" s="545"/>
      <c r="EXV30" s="545"/>
      <c r="EXW30" s="545"/>
      <c r="EXX30" s="545"/>
      <c r="EXY30" s="545"/>
      <c r="EXZ30" s="545"/>
      <c r="EYA30" s="545"/>
      <c r="EYB30" s="545"/>
      <c r="EYC30" s="545"/>
      <c r="EYD30" s="545"/>
      <c r="EYE30" s="545"/>
      <c r="EYF30" s="545"/>
      <c r="EYG30" s="545"/>
      <c r="EYH30" s="545"/>
      <c r="EYI30" s="545"/>
      <c r="EYJ30" s="545"/>
      <c r="EYK30" s="545"/>
      <c r="EYL30" s="545"/>
      <c r="EYM30" s="545"/>
      <c r="EYN30" s="545"/>
      <c r="EYO30" s="545"/>
      <c r="EYP30" s="545"/>
      <c r="EYQ30" s="545"/>
      <c r="EYR30" s="545"/>
      <c r="EYS30" s="545"/>
      <c r="EYT30" s="545"/>
      <c r="EYU30" s="545"/>
      <c r="EYV30" s="545"/>
      <c r="EYW30" s="545"/>
      <c r="EYX30" s="545"/>
      <c r="EYY30" s="545"/>
      <c r="EYZ30" s="545"/>
      <c r="EZA30" s="545"/>
      <c r="EZB30" s="545"/>
      <c r="EZC30" s="545"/>
      <c r="EZD30" s="545"/>
      <c r="EZE30" s="545"/>
      <c r="EZF30" s="545"/>
      <c r="EZG30" s="545"/>
      <c r="EZH30" s="545"/>
      <c r="EZI30" s="545"/>
      <c r="EZJ30" s="545"/>
      <c r="EZK30" s="545"/>
      <c r="EZL30" s="545"/>
      <c r="EZM30" s="545"/>
      <c r="EZN30" s="545"/>
      <c r="EZO30" s="545"/>
      <c r="EZP30" s="545"/>
      <c r="EZQ30" s="545"/>
      <c r="EZR30" s="545"/>
      <c r="EZS30" s="545"/>
      <c r="EZT30" s="545"/>
      <c r="EZU30" s="545"/>
      <c r="EZV30" s="545"/>
      <c r="EZW30" s="545"/>
      <c r="EZX30" s="545"/>
      <c r="EZY30" s="545"/>
      <c r="EZZ30" s="545"/>
      <c r="FAA30" s="545"/>
      <c r="FAB30" s="545"/>
      <c r="FAC30" s="545"/>
      <c r="FAD30" s="545"/>
      <c r="FAE30" s="545"/>
      <c r="FAF30" s="545"/>
      <c r="FAG30" s="545"/>
      <c r="FAH30" s="545"/>
      <c r="FAI30" s="545"/>
      <c r="FAJ30" s="545"/>
      <c r="FAK30" s="545"/>
      <c r="FAL30" s="545"/>
      <c r="FAM30" s="545"/>
      <c r="FAN30" s="545"/>
      <c r="FAO30" s="545"/>
      <c r="FAP30" s="545"/>
      <c r="FAQ30" s="545"/>
      <c r="FAR30" s="545"/>
      <c r="FAS30" s="545"/>
      <c r="FAT30" s="545"/>
      <c r="FAU30" s="545"/>
      <c r="FAV30" s="545"/>
      <c r="FAW30" s="545"/>
      <c r="FAX30" s="545"/>
      <c r="FAY30" s="545"/>
      <c r="FAZ30" s="545"/>
      <c r="FBA30" s="545"/>
      <c r="FBB30" s="545"/>
      <c r="FBC30" s="545"/>
      <c r="FBD30" s="545"/>
      <c r="FBE30" s="545"/>
      <c r="FBF30" s="545"/>
      <c r="FBG30" s="545"/>
      <c r="FBH30" s="545"/>
      <c r="FBI30" s="545"/>
      <c r="FBJ30" s="545"/>
      <c r="FBK30" s="545"/>
      <c r="FBL30" s="545"/>
      <c r="FBM30" s="545"/>
      <c r="FBN30" s="545"/>
      <c r="FBO30" s="545"/>
      <c r="FBP30" s="545"/>
      <c r="FBQ30" s="545"/>
      <c r="FBR30" s="545"/>
      <c r="FBS30" s="545"/>
      <c r="FBT30" s="545"/>
      <c r="FBU30" s="545"/>
      <c r="FBV30" s="545"/>
      <c r="FBW30" s="545"/>
      <c r="FBX30" s="545"/>
      <c r="FBY30" s="545"/>
      <c r="FBZ30" s="545"/>
      <c r="FCA30" s="545"/>
      <c r="FCB30" s="545"/>
      <c r="FCC30" s="545"/>
      <c r="FCD30" s="545"/>
      <c r="FCE30" s="545"/>
      <c r="FCF30" s="545"/>
      <c r="FCG30" s="545"/>
      <c r="FCH30" s="545"/>
      <c r="FCI30" s="545"/>
      <c r="FCJ30" s="545"/>
      <c r="FCK30" s="545"/>
      <c r="FCL30" s="545"/>
      <c r="FCM30" s="545"/>
      <c r="FCN30" s="545"/>
      <c r="FCO30" s="545"/>
      <c r="FCP30" s="545"/>
      <c r="FCQ30" s="545"/>
      <c r="FCR30" s="545"/>
      <c r="FCS30" s="545"/>
      <c r="FCT30" s="545"/>
      <c r="FCU30" s="545"/>
      <c r="FCV30" s="545"/>
      <c r="FCW30" s="545"/>
      <c r="FCX30" s="545"/>
      <c r="FCY30" s="545"/>
      <c r="FCZ30" s="545"/>
      <c r="FDA30" s="545"/>
      <c r="FDB30" s="545"/>
      <c r="FDC30" s="545"/>
      <c r="FDD30" s="545"/>
      <c r="FDE30" s="545"/>
      <c r="FDF30" s="545"/>
      <c r="FDG30" s="545"/>
      <c r="FDH30" s="545"/>
      <c r="FDI30" s="545"/>
      <c r="FDJ30" s="545"/>
      <c r="FDK30" s="545"/>
      <c r="FDL30" s="545"/>
      <c r="FDM30" s="545"/>
      <c r="FDN30" s="545"/>
      <c r="FDO30" s="545"/>
      <c r="FDP30" s="545"/>
      <c r="FDQ30" s="545"/>
      <c r="FDR30" s="545"/>
      <c r="FDS30" s="545"/>
      <c r="FDT30" s="545"/>
      <c r="FDU30" s="545"/>
      <c r="FDV30" s="545"/>
      <c r="FDW30" s="545"/>
      <c r="FDX30" s="545"/>
      <c r="FDY30" s="545"/>
      <c r="FDZ30" s="545"/>
      <c r="FEA30" s="545"/>
      <c r="FEB30" s="545"/>
      <c r="FEC30" s="545"/>
      <c r="FED30" s="545"/>
      <c r="FEE30" s="545"/>
      <c r="FEF30" s="545"/>
      <c r="FEG30" s="545"/>
      <c r="FEH30" s="545"/>
      <c r="FEI30" s="545"/>
      <c r="FEJ30" s="545"/>
      <c r="FEK30" s="545"/>
      <c r="FEL30" s="545"/>
      <c r="FEM30" s="545"/>
      <c r="FEN30" s="545"/>
      <c r="FEO30" s="545"/>
      <c r="FEP30" s="545"/>
      <c r="FEQ30" s="545"/>
      <c r="FER30" s="545"/>
      <c r="FES30" s="545"/>
      <c r="FET30" s="545"/>
      <c r="FEU30" s="545"/>
      <c r="FEV30" s="545"/>
      <c r="FEW30" s="545"/>
      <c r="FEX30" s="545"/>
      <c r="FEY30" s="545"/>
      <c r="FEZ30" s="545"/>
      <c r="FFA30" s="545"/>
      <c r="FFB30" s="545"/>
      <c r="FFC30" s="545"/>
      <c r="FFD30" s="545"/>
      <c r="FFE30" s="545"/>
      <c r="FFF30" s="545"/>
      <c r="FFG30" s="545"/>
      <c r="FFH30" s="545"/>
      <c r="FFI30" s="545"/>
      <c r="FFJ30" s="545"/>
      <c r="FFK30" s="545"/>
      <c r="FFL30" s="545"/>
      <c r="FFM30" s="545"/>
      <c r="FFN30" s="545"/>
      <c r="FFO30" s="545"/>
      <c r="FFP30" s="545"/>
      <c r="FFQ30" s="545"/>
      <c r="FFR30" s="545"/>
      <c r="FFS30" s="545"/>
      <c r="FFT30" s="545"/>
      <c r="FFU30" s="545"/>
      <c r="FFV30" s="545"/>
      <c r="FFW30" s="545"/>
      <c r="FFX30" s="545"/>
      <c r="FFY30" s="545"/>
      <c r="FFZ30" s="545"/>
      <c r="FGA30" s="545"/>
      <c r="FGB30" s="545"/>
      <c r="FGC30" s="545"/>
      <c r="FGD30" s="545"/>
      <c r="FGE30" s="545"/>
      <c r="FGF30" s="545"/>
      <c r="FGG30" s="545"/>
      <c r="FGH30" s="545"/>
      <c r="FGI30" s="545"/>
      <c r="FGJ30" s="545"/>
      <c r="FGK30" s="545"/>
      <c r="FGL30" s="545"/>
      <c r="FGM30" s="545"/>
      <c r="FGN30" s="545"/>
      <c r="FGO30" s="545"/>
      <c r="FGP30" s="545"/>
      <c r="FGQ30" s="545"/>
      <c r="FGR30" s="545"/>
      <c r="FGS30" s="545"/>
      <c r="FGT30" s="545"/>
      <c r="FGU30" s="545"/>
      <c r="FGV30" s="545"/>
      <c r="FGW30" s="545"/>
      <c r="FGX30" s="545"/>
      <c r="FGY30" s="545"/>
      <c r="FGZ30" s="545"/>
      <c r="FHA30" s="545"/>
      <c r="FHB30" s="545"/>
      <c r="FHC30" s="545"/>
      <c r="FHD30" s="545"/>
      <c r="FHE30" s="545"/>
      <c r="FHF30" s="545"/>
      <c r="FHG30" s="545"/>
      <c r="FHH30" s="545"/>
      <c r="FHI30" s="545"/>
      <c r="FHJ30" s="545"/>
      <c r="FHK30" s="545"/>
      <c r="FHL30" s="545"/>
      <c r="FHM30" s="545"/>
      <c r="FHN30" s="545"/>
      <c r="FHO30" s="545"/>
      <c r="FHP30" s="545"/>
      <c r="FHQ30" s="545"/>
      <c r="FHR30" s="545"/>
      <c r="FHS30" s="545"/>
      <c r="FHT30" s="545"/>
      <c r="FHU30" s="545"/>
      <c r="FHV30" s="545"/>
      <c r="FHW30" s="545"/>
      <c r="FHX30" s="545"/>
      <c r="FHY30" s="545"/>
      <c r="FHZ30" s="545"/>
      <c r="FIA30" s="545"/>
      <c r="FIB30" s="545"/>
      <c r="FIC30" s="545"/>
      <c r="FID30" s="545"/>
      <c r="FIE30" s="545"/>
      <c r="FIF30" s="545"/>
      <c r="FIG30" s="545"/>
      <c r="FIH30" s="545"/>
      <c r="FII30" s="545"/>
      <c r="FIJ30" s="545"/>
      <c r="FIK30" s="545"/>
      <c r="FIL30" s="545"/>
      <c r="FIM30" s="545"/>
      <c r="FIN30" s="545"/>
      <c r="FIO30" s="545"/>
      <c r="FIP30" s="545"/>
      <c r="FIQ30" s="545"/>
      <c r="FIR30" s="545"/>
      <c r="FIS30" s="545"/>
      <c r="FIT30" s="545"/>
      <c r="FIU30" s="545"/>
      <c r="FIV30" s="545"/>
      <c r="FIW30" s="545"/>
      <c r="FIX30" s="545"/>
      <c r="FIY30" s="545"/>
      <c r="FIZ30" s="545"/>
      <c r="FJA30" s="545"/>
      <c r="FJB30" s="545"/>
      <c r="FJC30" s="545"/>
      <c r="FJD30" s="545"/>
      <c r="FJE30" s="545"/>
      <c r="FJF30" s="545"/>
      <c r="FJG30" s="545"/>
      <c r="FJH30" s="545"/>
      <c r="FJI30" s="545"/>
      <c r="FJJ30" s="545"/>
      <c r="FJK30" s="545"/>
      <c r="FJL30" s="545"/>
      <c r="FJM30" s="545"/>
      <c r="FJN30" s="545"/>
      <c r="FJO30" s="545"/>
      <c r="FJP30" s="545"/>
      <c r="FJQ30" s="545"/>
      <c r="FJR30" s="545"/>
      <c r="FJS30" s="545"/>
      <c r="FJT30" s="545"/>
      <c r="FJU30" s="545"/>
      <c r="FJV30" s="545"/>
      <c r="FJW30" s="545"/>
      <c r="FJX30" s="545"/>
      <c r="FJY30" s="545"/>
      <c r="FJZ30" s="545"/>
      <c r="FKA30" s="545"/>
      <c r="FKB30" s="545"/>
      <c r="FKC30" s="545"/>
      <c r="FKD30" s="545"/>
      <c r="FKE30" s="545"/>
      <c r="FKF30" s="545"/>
      <c r="FKG30" s="545"/>
      <c r="FKH30" s="545"/>
      <c r="FKI30" s="545"/>
      <c r="FKJ30" s="545"/>
      <c r="FKK30" s="545"/>
      <c r="FKL30" s="545"/>
      <c r="FKM30" s="545"/>
      <c r="FKN30" s="545"/>
      <c r="FKO30" s="545"/>
      <c r="FKP30" s="545"/>
      <c r="FKQ30" s="545"/>
      <c r="FKR30" s="545"/>
      <c r="FKS30" s="545"/>
      <c r="FKT30" s="545"/>
      <c r="FKU30" s="545"/>
      <c r="FKV30" s="545"/>
      <c r="FKW30" s="545"/>
      <c r="FKX30" s="545"/>
      <c r="FKY30" s="545"/>
      <c r="FKZ30" s="545"/>
      <c r="FLA30" s="545"/>
      <c r="FLB30" s="545"/>
      <c r="FLC30" s="545"/>
      <c r="FLD30" s="545"/>
      <c r="FLE30" s="545"/>
      <c r="FLF30" s="545"/>
      <c r="FLG30" s="545"/>
      <c r="FLH30" s="545"/>
      <c r="FLI30" s="545"/>
      <c r="FLJ30" s="545"/>
      <c r="FLK30" s="545"/>
      <c r="FLL30" s="545"/>
      <c r="FLM30" s="545"/>
      <c r="FLN30" s="545"/>
      <c r="FLO30" s="545"/>
      <c r="FLP30" s="545"/>
      <c r="FLQ30" s="545"/>
      <c r="FLR30" s="545"/>
      <c r="FLS30" s="545"/>
      <c r="FLT30" s="545"/>
      <c r="FLU30" s="545"/>
      <c r="FLV30" s="545"/>
      <c r="FLW30" s="545"/>
      <c r="FLX30" s="545"/>
      <c r="FLY30" s="545"/>
      <c r="FLZ30" s="545"/>
      <c r="FMA30" s="545"/>
      <c r="FMB30" s="545"/>
      <c r="FMC30" s="545"/>
      <c r="FMD30" s="545"/>
      <c r="FME30" s="545"/>
      <c r="FMF30" s="545"/>
      <c r="FMG30" s="545"/>
      <c r="FMH30" s="545"/>
      <c r="FMI30" s="545"/>
      <c r="FMJ30" s="545"/>
      <c r="FMK30" s="545"/>
      <c r="FML30" s="545"/>
      <c r="FMM30" s="545"/>
      <c r="FMN30" s="545"/>
      <c r="FMO30" s="545"/>
      <c r="FMP30" s="545"/>
      <c r="FMQ30" s="545"/>
      <c r="FMR30" s="545"/>
      <c r="FMS30" s="545"/>
      <c r="FMT30" s="545"/>
      <c r="FMU30" s="545"/>
      <c r="FMV30" s="545"/>
      <c r="FMW30" s="545"/>
      <c r="FMX30" s="545"/>
      <c r="FMY30" s="545"/>
      <c r="FMZ30" s="545"/>
      <c r="FNA30" s="545"/>
      <c r="FNB30" s="545"/>
      <c r="FNC30" s="545"/>
      <c r="FND30" s="545"/>
      <c r="FNE30" s="545"/>
      <c r="FNF30" s="545"/>
      <c r="FNG30" s="545"/>
      <c r="FNH30" s="545"/>
      <c r="FNI30" s="545"/>
      <c r="FNJ30" s="545"/>
      <c r="FNK30" s="545"/>
      <c r="FNL30" s="545"/>
      <c r="FNM30" s="545"/>
      <c r="FNN30" s="545"/>
      <c r="FNO30" s="545"/>
      <c r="FNP30" s="545"/>
      <c r="FNQ30" s="545"/>
      <c r="FNR30" s="545"/>
      <c r="FNS30" s="545"/>
      <c r="FNT30" s="545"/>
      <c r="FNU30" s="545"/>
      <c r="FNV30" s="545"/>
      <c r="FNW30" s="545"/>
      <c r="FNX30" s="545"/>
      <c r="FNY30" s="545"/>
      <c r="FNZ30" s="545"/>
      <c r="FOA30" s="545"/>
      <c r="FOB30" s="545"/>
      <c r="FOC30" s="545"/>
      <c r="FOD30" s="545"/>
      <c r="FOE30" s="545"/>
      <c r="FOF30" s="545"/>
      <c r="FOG30" s="545"/>
      <c r="FOH30" s="545"/>
      <c r="FOI30" s="545"/>
      <c r="FOJ30" s="545"/>
      <c r="FOK30" s="545"/>
      <c r="FOL30" s="545"/>
      <c r="FOM30" s="545"/>
      <c r="FON30" s="545"/>
      <c r="FOO30" s="545"/>
      <c r="FOP30" s="545"/>
      <c r="FOQ30" s="545"/>
      <c r="FOR30" s="545"/>
      <c r="FOS30" s="545"/>
      <c r="FOT30" s="545"/>
      <c r="FOU30" s="545"/>
      <c r="FOV30" s="545"/>
      <c r="FOW30" s="545"/>
      <c r="FOX30" s="545"/>
      <c r="FOY30" s="545"/>
      <c r="FOZ30" s="545"/>
      <c r="FPA30" s="545"/>
      <c r="FPB30" s="545"/>
      <c r="FPC30" s="545"/>
      <c r="FPD30" s="545"/>
      <c r="FPE30" s="545"/>
      <c r="FPF30" s="545"/>
      <c r="FPG30" s="545"/>
      <c r="FPH30" s="545"/>
      <c r="FPI30" s="545"/>
      <c r="FPJ30" s="545"/>
      <c r="FPK30" s="545"/>
      <c r="FPL30" s="545"/>
      <c r="FPM30" s="545"/>
      <c r="FPN30" s="545"/>
      <c r="FPO30" s="545"/>
      <c r="FPP30" s="545"/>
      <c r="FPQ30" s="545"/>
      <c r="FPR30" s="545"/>
      <c r="FPS30" s="545"/>
      <c r="FPT30" s="545"/>
      <c r="FPU30" s="545"/>
      <c r="FPV30" s="545"/>
      <c r="FPW30" s="545"/>
      <c r="FPX30" s="545"/>
      <c r="FPY30" s="545"/>
      <c r="FPZ30" s="545"/>
      <c r="FQA30" s="545"/>
      <c r="FQB30" s="545"/>
      <c r="FQC30" s="545"/>
      <c r="FQD30" s="545"/>
      <c r="FQE30" s="545"/>
      <c r="FQF30" s="545"/>
      <c r="FQG30" s="545"/>
      <c r="FQH30" s="545"/>
      <c r="FQI30" s="545"/>
      <c r="FQJ30" s="545"/>
      <c r="FQK30" s="545"/>
      <c r="FQL30" s="545"/>
      <c r="FQM30" s="545"/>
      <c r="FQN30" s="545"/>
      <c r="FQO30" s="545"/>
      <c r="FQP30" s="545"/>
      <c r="FQQ30" s="545"/>
      <c r="FQR30" s="545"/>
      <c r="FQS30" s="545"/>
      <c r="FQT30" s="545"/>
      <c r="FQU30" s="545"/>
      <c r="FQV30" s="545"/>
      <c r="FQW30" s="545"/>
      <c r="FQX30" s="545"/>
      <c r="FQY30" s="545"/>
      <c r="FQZ30" s="545"/>
      <c r="FRA30" s="545"/>
      <c r="FRB30" s="545"/>
      <c r="FRC30" s="545"/>
      <c r="FRD30" s="545"/>
      <c r="FRE30" s="545"/>
      <c r="FRF30" s="545"/>
      <c r="FRG30" s="545"/>
      <c r="FRH30" s="545"/>
      <c r="FRI30" s="545"/>
      <c r="FRJ30" s="545"/>
      <c r="FRK30" s="545"/>
      <c r="FRL30" s="545"/>
      <c r="FRM30" s="545"/>
      <c r="FRN30" s="545"/>
      <c r="FRO30" s="545"/>
      <c r="FRP30" s="545"/>
      <c r="FRQ30" s="545"/>
      <c r="FRR30" s="545"/>
      <c r="FRS30" s="545"/>
      <c r="FRT30" s="545"/>
      <c r="FRU30" s="545"/>
      <c r="FRV30" s="545"/>
      <c r="FRW30" s="545"/>
      <c r="FRX30" s="545"/>
      <c r="FRY30" s="545"/>
      <c r="FRZ30" s="545"/>
      <c r="FSA30" s="545"/>
      <c r="FSB30" s="545"/>
      <c r="FSC30" s="545"/>
      <c r="FSD30" s="545"/>
      <c r="FSE30" s="545"/>
      <c r="FSF30" s="545"/>
      <c r="FSG30" s="545"/>
      <c r="FSH30" s="545"/>
      <c r="FSI30" s="545"/>
      <c r="FSJ30" s="545"/>
      <c r="FSK30" s="545"/>
      <c r="FSL30" s="545"/>
      <c r="FSM30" s="545"/>
      <c r="FSN30" s="545"/>
      <c r="FSO30" s="545"/>
      <c r="FSP30" s="545"/>
      <c r="FSQ30" s="545"/>
      <c r="FSR30" s="545"/>
      <c r="FSS30" s="545"/>
      <c r="FST30" s="545"/>
      <c r="FSU30" s="545"/>
      <c r="FSV30" s="545"/>
      <c r="FSW30" s="545"/>
      <c r="FSX30" s="545"/>
      <c r="FSY30" s="545"/>
      <c r="FSZ30" s="545"/>
      <c r="FTA30" s="545"/>
      <c r="FTB30" s="545"/>
      <c r="FTC30" s="545"/>
      <c r="FTD30" s="545"/>
      <c r="FTE30" s="545"/>
      <c r="FTF30" s="545"/>
      <c r="FTG30" s="545"/>
      <c r="FTH30" s="545"/>
      <c r="FTI30" s="545"/>
      <c r="FTJ30" s="545"/>
      <c r="FTK30" s="545"/>
      <c r="FTL30" s="545"/>
      <c r="FTM30" s="545"/>
      <c r="FTN30" s="545"/>
      <c r="FTO30" s="545"/>
      <c r="FTP30" s="545"/>
      <c r="FTQ30" s="545"/>
      <c r="FTR30" s="545"/>
      <c r="FTS30" s="545"/>
      <c r="FTT30" s="545"/>
      <c r="FTU30" s="545"/>
      <c r="FTV30" s="545"/>
      <c r="FTW30" s="545"/>
      <c r="FTX30" s="545"/>
      <c r="FTY30" s="545"/>
      <c r="FTZ30" s="545"/>
      <c r="FUA30" s="545"/>
      <c r="FUB30" s="545"/>
      <c r="FUC30" s="545"/>
      <c r="FUD30" s="545"/>
      <c r="FUE30" s="545"/>
      <c r="FUF30" s="545"/>
      <c r="FUG30" s="545"/>
      <c r="FUH30" s="545"/>
      <c r="FUI30" s="545"/>
      <c r="FUJ30" s="545"/>
      <c r="FUK30" s="545"/>
      <c r="FUL30" s="545"/>
      <c r="FUM30" s="545"/>
      <c r="FUN30" s="545"/>
      <c r="FUO30" s="545"/>
      <c r="FUP30" s="545"/>
      <c r="FUQ30" s="545"/>
      <c r="FUR30" s="545"/>
      <c r="FUS30" s="545"/>
      <c r="FUT30" s="545"/>
      <c r="FUU30" s="545"/>
      <c r="FUV30" s="545"/>
      <c r="FUW30" s="545"/>
      <c r="FUX30" s="545"/>
      <c r="FUY30" s="545"/>
      <c r="FUZ30" s="545"/>
      <c r="FVA30" s="545"/>
      <c r="FVB30" s="545"/>
      <c r="FVC30" s="545"/>
      <c r="FVD30" s="545"/>
      <c r="FVE30" s="545"/>
      <c r="FVF30" s="545"/>
      <c r="FVG30" s="545"/>
      <c r="FVH30" s="545"/>
      <c r="FVI30" s="545"/>
      <c r="FVJ30" s="545"/>
      <c r="FVK30" s="545"/>
      <c r="FVL30" s="545"/>
      <c r="FVM30" s="545"/>
      <c r="FVN30" s="545"/>
      <c r="FVO30" s="545"/>
      <c r="FVP30" s="545"/>
      <c r="FVQ30" s="545"/>
      <c r="FVR30" s="545"/>
      <c r="FVS30" s="545"/>
      <c r="FVT30" s="545"/>
      <c r="FVU30" s="545"/>
      <c r="FVV30" s="545"/>
      <c r="FVW30" s="545"/>
      <c r="FVX30" s="545"/>
      <c r="FVY30" s="545"/>
      <c r="FVZ30" s="545"/>
      <c r="FWA30" s="545"/>
      <c r="FWB30" s="545"/>
      <c r="FWC30" s="545"/>
      <c r="FWD30" s="545"/>
      <c r="FWE30" s="545"/>
      <c r="FWF30" s="545"/>
      <c r="FWG30" s="545"/>
      <c r="FWH30" s="545"/>
      <c r="FWI30" s="545"/>
      <c r="FWJ30" s="545"/>
      <c r="FWK30" s="545"/>
      <c r="FWL30" s="545"/>
      <c r="FWM30" s="545"/>
      <c r="FWN30" s="545"/>
      <c r="FWO30" s="545"/>
      <c r="FWP30" s="545"/>
      <c r="FWQ30" s="545"/>
      <c r="FWR30" s="545"/>
      <c r="FWS30" s="545"/>
      <c r="FWT30" s="545"/>
      <c r="FWU30" s="545"/>
      <c r="FWV30" s="545"/>
      <c r="FWW30" s="545"/>
      <c r="FWX30" s="545"/>
      <c r="FWY30" s="545"/>
      <c r="FWZ30" s="545"/>
      <c r="FXA30" s="545"/>
      <c r="FXB30" s="545"/>
      <c r="FXC30" s="545"/>
      <c r="FXD30" s="545"/>
      <c r="FXE30" s="545"/>
      <c r="FXF30" s="545"/>
      <c r="FXG30" s="545"/>
      <c r="FXH30" s="545"/>
      <c r="FXI30" s="545"/>
      <c r="FXJ30" s="545"/>
      <c r="FXK30" s="545"/>
      <c r="FXL30" s="545"/>
      <c r="FXM30" s="545"/>
      <c r="FXN30" s="545"/>
      <c r="FXO30" s="545"/>
      <c r="FXP30" s="545"/>
      <c r="FXQ30" s="545"/>
      <c r="FXR30" s="545"/>
      <c r="FXS30" s="545"/>
      <c r="FXT30" s="545"/>
      <c r="FXU30" s="545"/>
      <c r="FXV30" s="545"/>
      <c r="FXW30" s="545"/>
      <c r="FXX30" s="545"/>
      <c r="FXY30" s="545"/>
      <c r="FXZ30" s="545"/>
      <c r="FYA30" s="545"/>
      <c r="FYB30" s="545"/>
      <c r="FYC30" s="545"/>
      <c r="FYD30" s="545"/>
      <c r="FYE30" s="545"/>
      <c r="FYF30" s="545"/>
      <c r="FYG30" s="545"/>
      <c r="FYH30" s="545"/>
      <c r="FYI30" s="545"/>
      <c r="FYJ30" s="545"/>
      <c r="FYK30" s="545"/>
      <c r="FYL30" s="545"/>
      <c r="FYM30" s="545"/>
      <c r="FYN30" s="545"/>
      <c r="FYO30" s="545"/>
      <c r="FYP30" s="545"/>
      <c r="FYQ30" s="545"/>
      <c r="FYR30" s="545"/>
      <c r="FYS30" s="545"/>
      <c r="FYT30" s="545"/>
      <c r="FYU30" s="545"/>
      <c r="FYV30" s="545"/>
      <c r="FYW30" s="545"/>
      <c r="FYX30" s="545"/>
      <c r="FYY30" s="545"/>
      <c r="FYZ30" s="545"/>
      <c r="FZA30" s="545"/>
      <c r="FZB30" s="545"/>
      <c r="FZC30" s="545"/>
      <c r="FZD30" s="545"/>
      <c r="FZE30" s="545"/>
      <c r="FZF30" s="545"/>
      <c r="FZG30" s="545"/>
      <c r="FZH30" s="545"/>
      <c r="FZI30" s="545"/>
      <c r="FZJ30" s="545"/>
      <c r="FZK30" s="545"/>
      <c r="FZL30" s="545"/>
      <c r="FZM30" s="545"/>
      <c r="FZN30" s="545"/>
      <c r="FZO30" s="545"/>
      <c r="FZP30" s="545"/>
      <c r="FZQ30" s="545"/>
      <c r="FZR30" s="545"/>
      <c r="FZS30" s="545"/>
      <c r="FZT30" s="545"/>
      <c r="FZU30" s="545"/>
      <c r="FZV30" s="545"/>
      <c r="FZW30" s="545"/>
      <c r="FZX30" s="545"/>
      <c r="FZY30" s="545"/>
      <c r="FZZ30" s="545"/>
      <c r="GAA30" s="545"/>
      <c r="GAB30" s="545"/>
      <c r="GAC30" s="545"/>
      <c r="GAD30" s="545"/>
      <c r="GAE30" s="545"/>
      <c r="GAF30" s="545"/>
      <c r="GAG30" s="545"/>
      <c r="GAH30" s="545"/>
      <c r="GAI30" s="545"/>
      <c r="GAJ30" s="545"/>
      <c r="GAK30" s="545"/>
      <c r="GAL30" s="545"/>
      <c r="GAM30" s="545"/>
      <c r="GAN30" s="545"/>
      <c r="GAO30" s="545"/>
      <c r="GAP30" s="545"/>
      <c r="GAQ30" s="545"/>
      <c r="GAR30" s="545"/>
      <c r="GAS30" s="545"/>
      <c r="GAT30" s="545"/>
      <c r="GAU30" s="545"/>
      <c r="GAV30" s="545"/>
      <c r="GAW30" s="545"/>
      <c r="GAX30" s="545"/>
      <c r="GAY30" s="545"/>
      <c r="GAZ30" s="545"/>
      <c r="GBA30" s="545"/>
      <c r="GBB30" s="545"/>
      <c r="GBC30" s="545"/>
      <c r="GBD30" s="545"/>
      <c r="GBE30" s="545"/>
      <c r="GBF30" s="545"/>
      <c r="GBG30" s="545"/>
      <c r="GBH30" s="545"/>
      <c r="GBI30" s="545"/>
      <c r="GBJ30" s="545"/>
      <c r="GBK30" s="545"/>
      <c r="GBL30" s="545"/>
      <c r="GBM30" s="545"/>
      <c r="GBN30" s="545"/>
      <c r="GBO30" s="545"/>
      <c r="GBP30" s="545"/>
      <c r="GBQ30" s="545"/>
      <c r="GBR30" s="545"/>
      <c r="GBS30" s="545"/>
      <c r="GBT30" s="545"/>
      <c r="GBU30" s="545"/>
      <c r="GBV30" s="545"/>
      <c r="GBW30" s="545"/>
      <c r="GBX30" s="545"/>
      <c r="GBY30" s="545"/>
      <c r="GBZ30" s="545"/>
      <c r="GCA30" s="545"/>
      <c r="GCB30" s="545"/>
      <c r="GCC30" s="545"/>
      <c r="GCD30" s="545"/>
      <c r="GCE30" s="545"/>
      <c r="GCF30" s="545"/>
      <c r="GCG30" s="545"/>
      <c r="GCH30" s="545"/>
      <c r="GCI30" s="545"/>
      <c r="GCJ30" s="545"/>
      <c r="GCK30" s="545"/>
      <c r="GCL30" s="545"/>
      <c r="GCM30" s="545"/>
      <c r="GCN30" s="545"/>
      <c r="GCO30" s="545"/>
      <c r="GCP30" s="545"/>
      <c r="GCQ30" s="545"/>
      <c r="GCR30" s="545"/>
      <c r="GCS30" s="545"/>
      <c r="GCT30" s="545"/>
      <c r="GCU30" s="545"/>
      <c r="GCV30" s="545"/>
      <c r="GCW30" s="545"/>
      <c r="GCX30" s="545"/>
      <c r="GCY30" s="545"/>
      <c r="GCZ30" s="545"/>
      <c r="GDA30" s="545"/>
      <c r="GDB30" s="545"/>
      <c r="GDC30" s="545"/>
      <c r="GDD30" s="545"/>
      <c r="GDE30" s="545"/>
      <c r="GDF30" s="545"/>
      <c r="GDG30" s="545"/>
      <c r="GDH30" s="545"/>
      <c r="GDI30" s="545"/>
      <c r="GDJ30" s="545"/>
      <c r="GDK30" s="545"/>
      <c r="GDL30" s="545"/>
      <c r="GDM30" s="545"/>
      <c r="GDN30" s="545"/>
      <c r="GDO30" s="545"/>
      <c r="GDP30" s="545"/>
      <c r="GDQ30" s="545"/>
      <c r="GDR30" s="545"/>
      <c r="GDS30" s="545"/>
      <c r="GDT30" s="545"/>
      <c r="GDU30" s="545"/>
      <c r="GDV30" s="545"/>
      <c r="GDW30" s="545"/>
      <c r="GDX30" s="545"/>
      <c r="GDY30" s="545"/>
      <c r="GDZ30" s="545"/>
      <c r="GEA30" s="545"/>
      <c r="GEB30" s="545"/>
      <c r="GEC30" s="545"/>
      <c r="GED30" s="545"/>
      <c r="GEE30" s="545"/>
      <c r="GEF30" s="545"/>
      <c r="GEG30" s="545"/>
      <c r="GEH30" s="545"/>
      <c r="GEI30" s="545"/>
      <c r="GEJ30" s="545"/>
      <c r="GEK30" s="545"/>
      <c r="GEL30" s="545"/>
      <c r="GEM30" s="545"/>
      <c r="GEN30" s="545"/>
      <c r="GEO30" s="545"/>
      <c r="GEP30" s="545"/>
      <c r="GEQ30" s="545"/>
      <c r="GER30" s="545"/>
      <c r="GES30" s="545"/>
      <c r="GET30" s="545"/>
      <c r="GEU30" s="545"/>
      <c r="GEV30" s="545"/>
      <c r="GEW30" s="545"/>
      <c r="GEX30" s="545"/>
      <c r="GEY30" s="545"/>
      <c r="GEZ30" s="545"/>
      <c r="GFA30" s="545"/>
      <c r="GFB30" s="545"/>
      <c r="GFC30" s="545"/>
      <c r="GFD30" s="545"/>
      <c r="GFE30" s="545"/>
      <c r="GFF30" s="545"/>
      <c r="GFG30" s="545"/>
      <c r="GFH30" s="545"/>
      <c r="GFI30" s="545"/>
      <c r="GFJ30" s="545"/>
      <c r="GFK30" s="545"/>
      <c r="GFL30" s="545"/>
      <c r="GFM30" s="545"/>
      <c r="GFN30" s="545"/>
      <c r="GFO30" s="545"/>
      <c r="GFP30" s="545"/>
      <c r="GFQ30" s="545"/>
      <c r="GFR30" s="545"/>
      <c r="GFS30" s="545"/>
      <c r="GFT30" s="545"/>
      <c r="GFU30" s="545"/>
      <c r="GFV30" s="545"/>
      <c r="GFW30" s="545"/>
      <c r="GFX30" s="545"/>
      <c r="GFY30" s="545"/>
      <c r="GFZ30" s="545"/>
      <c r="GGA30" s="545"/>
      <c r="GGB30" s="545"/>
      <c r="GGC30" s="545"/>
      <c r="GGD30" s="545"/>
      <c r="GGE30" s="545"/>
      <c r="GGF30" s="545"/>
      <c r="GGG30" s="545"/>
      <c r="GGH30" s="545"/>
      <c r="GGI30" s="545"/>
      <c r="GGJ30" s="545"/>
      <c r="GGK30" s="545"/>
      <c r="GGL30" s="545"/>
      <c r="GGM30" s="545"/>
      <c r="GGN30" s="545"/>
      <c r="GGO30" s="545"/>
      <c r="GGP30" s="545"/>
      <c r="GGQ30" s="545"/>
      <c r="GGR30" s="545"/>
      <c r="GGS30" s="545"/>
      <c r="GGT30" s="545"/>
      <c r="GGU30" s="545"/>
      <c r="GGV30" s="545"/>
      <c r="GGW30" s="545"/>
      <c r="GGX30" s="545"/>
      <c r="GGY30" s="545"/>
      <c r="GGZ30" s="545"/>
      <c r="GHA30" s="545"/>
      <c r="GHB30" s="545"/>
      <c r="GHC30" s="545"/>
      <c r="GHD30" s="545"/>
      <c r="GHE30" s="545"/>
      <c r="GHF30" s="545"/>
      <c r="GHG30" s="545"/>
      <c r="GHH30" s="545"/>
      <c r="GHI30" s="545"/>
      <c r="GHJ30" s="545"/>
      <c r="GHK30" s="545"/>
      <c r="GHL30" s="545"/>
      <c r="GHM30" s="545"/>
      <c r="GHN30" s="545"/>
      <c r="GHO30" s="545"/>
      <c r="GHP30" s="545"/>
      <c r="GHQ30" s="545"/>
      <c r="GHR30" s="545"/>
      <c r="GHS30" s="545"/>
      <c r="GHT30" s="545"/>
      <c r="GHU30" s="545"/>
      <c r="GHV30" s="545"/>
      <c r="GHW30" s="545"/>
      <c r="GHX30" s="545"/>
      <c r="GHY30" s="545"/>
      <c r="GHZ30" s="545"/>
      <c r="GIA30" s="545"/>
      <c r="GIB30" s="545"/>
      <c r="GIC30" s="545"/>
      <c r="GID30" s="545"/>
      <c r="GIE30" s="545"/>
      <c r="GIF30" s="545"/>
      <c r="GIG30" s="545"/>
      <c r="GIH30" s="545"/>
      <c r="GII30" s="545"/>
      <c r="GIJ30" s="545"/>
      <c r="GIK30" s="545"/>
      <c r="GIL30" s="545"/>
      <c r="GIM30" s="545"/>
      <c r="GIN30" s="545"/>
      <c r="GIO30" s="545"/>
      <c r="GIP30" s="545"/>
      <c r="GIQ30" s="545"/>
      <c r="GIR30" s="545"/>
      <c r="GIS30" s="545"/>
      <c r="GIT30" s="545"/>
      <c r="GIU30" s="545"/>
      <c r="GIV30" s="545"/>
      <c r="GIW30" s="545"/>
      <c r="GIX30" s="545"/>
      <c r="GIY30" s="545"/>
      <c r="GIZ30" s="545"/>
      <c r="GJA30" s="545"/>
      <c r="GJB30" s="545"/>
      <c r="GJC30" s="545"/>
      <c r="GJD30" s="545"/>
      <c r="GJE30" s="545"/>
      <c r="GJF30" s="545"/>
      <c r="GJG30" s="545"/>
      <c r="GJH30" s="545"/>
      <c r="GJI30" s="545"/>
      <c r="GJJ30" s="545"/>
      <c r="GJK30" s="545"/>
      <c r="GJL30" s="545"/>
      <c r="GJM30" s="545"/>
      <c r="GJN30" s="545"/>
      <c r="GJO30" s="545"/>
      <c r="GJP30" s="545"/>
      <c r="GJQ30" s="545"/>
      <c r="GJR30" s="545"/>
      <c r="GJS30" s="545"/>
      <c r="GJT30" s="545"/>
      <c r="GJU30" s="545"/>
      <c r="GJV30" s="545"/>
      <c r="GJW30" s="545"/>
      <c r="GJX30" s="545"/>
      <c r="GJY30" s="545"/>
      <c r="GJZ30" s="545"/>
      <c r="GKA30" s="545"/>
      <c r="GKB30" s="545"/>
      <c r="GKC30" s="545"/>
      <c r="GKD30" s="545"/>
      <c r="GKE30" s="545"/>
      <c r="GKF30" s="545"/>
      <c r="GKG30" s="545"/>
      <c r="GKH30" s="545"/>
      <c r="GKI30" s="545"/>
      <c r="GKJ30" s="545"/>
      <c r="GKK30" s="545"/>
      <c r="GKL30" s="545"/>
      <c r="GKM30" s="545"/>
      <c r="GKN30" s="545"/>
      <c r="GKO30" s="545"/>
      <c r="GKP30" s="545"/>
      <c r="GKQ30" s="545"/>
      <c r="GKR30" s="545"/>
      <c r="GKS30" s="545"/>
      <c r="GKT30" s="545"/>
      <c r="GKU30" s="545"/>
      <c r="GKV30" s="545"/>
      <c r="GKW30" s="545"/>
      <c r="GKX30" s="545"/>
      <c r="GKY30" s="545"/>
      <c r="GKZ30" s="545"/>
      <c r="GLA30" s="545"/>
      <c r="GLB30" s="545"/>
      <c r="GLC30" s="545"/>
      <c r="GLD30" s="545"/>
      <c r="GLE30" s="545"/>
      <c r="GLF30" s="545"/>
      <c r="GLG30" s="545"/>
      <c r="GLH30" s="545"/>
      <c r="GLI30" s="545"/>
      <c r="GLJ30" s="545"/>
      <c r="GLK30" s="545"/>
      <c r="GLL30" s="545"/>
      <c r="GLM30" s="545"/>
      <c r="GLN30" s="545"/>
      <c r="GLO30" s="545"/>
      <c r="GLP30" s="545"/>
      <c r="GLQ30" s="545"/>
      <c r="GLR30" s="545"/>
      <c r="GLS30" s="545"/>
      <c r="GLT30" s="545"/>
      <c r="GLU30" s="545"/>
      <c r="GLV30" s="545"/>
      <c r="GLW30" s="545"/>
      <c r="GLX30" s="545"/>
      <c r="GLY30" s="545"/>
      <c r="GLZ30" s="545"/>
      <c r="GMA30" s="545"/>
      <c r="GMB30" s="545"/>
      <c r="GMC30" s="545"/>
      <c r="GMD30" s="545"/>
      <c r="GME30" s="545"/>
      <c r="GMF30" s="545"/>
      <c r="GMG30" s="545"/>
      <c r="GMH30" s="545"/>
      <c r="GMI30" s="545"/>
      <c r="GMJ30" s="545"/>
      <c r="GMK30" s="545"/>
      <c r="GML30" s="545"/>
      <c r="GMM30" s="545"/>
      <c r="GMN30" s="545"/>
      <c r="GMO30" s="545"/>
      <c r="GMP30" s="545"/>
      <c r="GMQ30" s="545"/>
      <c r="GMR30" s="545"/>
      <c r="GMS30" s="545"/>
      <c r="GMT30" s="545"/>
      <c r="GMU30" s="545"/>
      <c r="GMV30" s="545"/>
      <c r="GMW30" s="545"/>
      <c r="GMX30" s="545"/>
      <c r="GMY30" s="545"/>
      <c r="GMZ30" s="545"/>
      <c r="GNA30" s="545"/>
      <c r="GNB30" s="545"/>
      <c r="GNC30" s="545"/>
      <c r="GND30" s="545"/>
      <c r="GNE30" s="545"/>
      <c r="GNF30" s="545"/>
      <c r="GNG30" s="545"/>
      <c r="GNH30" s="545"/>
      <c r="GNI30" s="545"/>
      <c r="GNJ30" s="545"/>
      <c r="GNK30" s="545"/>
      <c r="GNL30" s="545"/>
      <c r="GNM30" s="545"/>
      <c r="GNN30" s="545"/>
      <c r="GNO30" s="545"/>
      <c r="GNP30" s="545"/>
      <c r="GNQ30" s="545"/>
      <c r="GNR30" s="545"/>
      <c r="GNS30" s="545"/>
      <c r="GNT30" s="545"/>
      <c r="GNU30" s="545"/>
      <c r="GNV30" s="545"/>
      <c r="GNW30" s="545"/>
      <c r="GNX30" s="545"/>
      <c r="GNY30" s="545"/>
      <c r="GNZ30" s="545"/>
      <c r="GOA30" s="545"/>
      <c r="GOB30" s="545"/>
      <c r="GOC30" s="545"/>
      <c r="GOD30" s="545"/>
      <c r="GOE30" s="545"/>
      <c r="GOF30" s="545"/>
      <c r="GOG30" s="545"/>
      <c r="GOH30" s="545"/>
      <c r="GOI30" s="545"/>
      <c r="GOJ30" s="545"/>
      <c r="GOK30" s="545"/>
      <c r="GOL30" s="545"/>
      <c r="GOM30" s="545"/>
      <c r="GON30" s="545"/>
      <c r="GOO30" s="545"/>
      <c r="GOP30" s="545"/>
      <c r="GOQ30" s="545"/>
      <c r="GOR30" s="545"/>
      <c r="GOS30" s="545"/>
      <c r="GOT30" s="545"/>
      <c r="GOU30" s="545"/>
      <c r="GOV30" s="545"/>
      <c r="GOW30" s="545"/>
      <c r="GOX30" s="545"/>
      <c r="GOY30" s="545"/>
      <c r="GOZ30" s="545"/>
      <c r="GPA30" s="545"/>
      <c r="GPB30" s="545"/>
      <c r="GPC30" s="545"/>
      <c r="GPD30" s="545"/>
      <c r="GPE30" s="545"/>
      <c r="GPF30" s="545"/>
      <c r="GPG30" s="545"/>
      <c r="GPH30" s="545"/>
      <c r="GPI30" s="545"/>
      <c r="GPJ30" s="545"/>
      <c r="GPK30" s="545"/>
      <c r="GPL30" s="545"/>
      <c r="GPM30" s="545"/>
      <c r="GPN30" s="545"/>
      <c r="GPO30" s="545"/>
      <c r="GPP30" s="545"/>
      <c r="GPQ30" s="545"/>
      <c r="GPR30" s="545"/>
      <c r="GPS30" s="545"/>
      <c r="GPT30" s="545"/>
      <c r="GPU30" s="545"/>
      <c r="GPV30" s="545"/>
      <c r="GPW30" s="545"/>
      <c r="GPX30" s="545"/>
      <c r="GPY30" s="545"/>
      <c r="GPZ30" s="545"/>
      <c r="GQA30" s="545"/>
      <c r="GQB30" s="545"/>
      <c r="GQC30" s="545"/>
      <c r="GQD30" s="545"/>
      <c r="GQE30" s="545"/>
      <c r="GQF30" s="545"/>
      <c r="GQG30" s="545"/>
      <c r="GQH30" s="545"/>
      <c r="GQI30" s="545"/>
      <c r="GQJ30" s="545"/>
      <c r="GQK30" s="545"/>
      <c r="GQL30" s="545"/>
      <c r="GQM30" s="545"/>
      <c r="GQN30" s="545"/>
      <c r="GQO30" s="545"/>
      <c r="GQP30" s="545"/>
      <c r="GQQ30" s="545"/>
      <c r="GQR30" s="545"/>
      <c r="GQS30" s="545"/>
      <c r="GQT30" s="545"/>
      <c r="GQU30" s="545"/>
      <c r="GQV30" s="545"/>
      <c r="GQW30" s="545"/>
      <c r="GQX30" s="545"/>
      <c r="GQY30" s="545"/>
      <c r="GQZ30" s="545"/>
      <c r="GRA30" s="545"/>
      <c r="GRB30" s="545"/>
      <c r="GRC30" s="545"/>
      <c r="GRD30" s="545"/>
      <c r="GRE30" s="545"/>
      <c r="GRF30" s="545"/>
      <c r="GRG30" s="545"/>
      <c r="GRH30" s="545"/>
      <c r="GRI30" s="545"/>
      <c r="GRJ30" s="545"/>
      <c r="GRK30" s="545"/>
      <c r="GRL30" s="545"/>
      <c r="GRM30" s="545"/>
      <c r="GRN30" s="545"/>
      <c r="GRO30" s="545"/>
      <c r="GRP30" s="545"/>
      <c r="GRQ30" s="545"/>
      <c r="GRR30" s="545"/>
      <c r="GRS30" s="545"/>
      <c r="GRT30" s="545"/>
      <c r="GRU30" s="545"/>
      <c r="GRV30" s="545"/>
      <c r="GRW30" s="545"/>
      <c r="GRX30" s="545"/>
      <c r="GRY30" s="545"/>
      <c r="GRZ30" s="545"/>
      <c r="GSA30" s="545"/>
      <c r="GSB30" s="545"/>
      <c r="GSC30" s="545"/>
      <c r="GSD30" s="545"/>
      <c r="GSE30" s="545"/>
      <c r="GSF30" s="545"/>
      <c r="GSG30" s="545"/>
      <c r="GSH30" s="545"/>
      <c r="GSI30" s="545"/>
      <c r="GSJ30" s="545"/>
      <c r="GSK30" s="545"/>
      <c r="GSL30" s="545"/>
      <c r="GSM30" s="545"/>
      <c r="GSN30" s="545"/>
      <c r="GSO30" s="545"/>
      <c r="GSP30" s="545"/>
      <c r="GSQ30" s="545"/>
      <c r="GSR30" s="545"/>
      <c r="GSS30" s="545"/>
      <c r="GST30" s="545"/>
      <c r="GSU30" s="545"/>
      <c r="GSV30" s="545"/>
      <c r="GSW30" s="545"/>
      <c r="GSX30" s="545"/>
      <c r="GSY30" s="545"/>
      <c r="GSZ30" s="545"/>
      <c r="GTA30" s="545"/>
      <c r="GTB30" s="545"/>
      <c r="GTC30" s="545"/>
      <c r="GTD30" s="545"/>
      <c r="GTE30" s="545"/>
      <c r="GTF30" s="545"/>
      <c r="GTG30" s="545"/>
      <c r="GTH30" s="545"/>
      <c r="GTI30" s="545"/>
      <c r="GTJ30" s="545"/>
      <c r="GTK30" s="545"/>
      <c r="GTL30" s="545"/>
      <c r="GTM30" s="545"/>
      <c r="GTN30" s="545"/>
      <c r="GTO30" s="545"/>
      <c r="GTP30" s="545"/>
      <c r="GTQ30" s="545"/>
      <c r="GTR30" s="545"/>
      <c r="GTS30" s="545"/>
      <c r="GTT30" s="545"/>
      <c r="GTU30" s="545"/>
      <c r="GTV30" s="545"/>
      <c r="GTW30" s="545"/>
      <c r="GTX30" s="545"/>
      <c r="GTY30" s="545"/>
      <c r="GTZ30" s="545"/>
      <c r="GUA30" s="545"/>
      <c r="GUB30" s="545"/>
      <c r="GUC30" s="545"/>
      <c r="GUD30" s="545"/>
      <c r="GUE30" s="545"/>
      <c r="GUF30" s="545"/>
      <c r="GUG30" s="545"/>
      <c r="GUH30" s="545"/>
      <c r="GUI30" s="545"/>
      <c r="GUJ30" s="545"/>
      <c r="GUK30" s="545"/>
      <c r="GUL30" s="545"/>
      <c r="GUM30" s="545"/>
      <c r="GUN30" s="545"/>
      <c r="GUO30" s="545"/>
      <c r="GUP30" s="545"/>
      <c r="GUQ30" s="545"/>
      <c r="GUR30" s="545"/>
      <c r="GUS30" s="545"/>
      <c r="GUT30" s="545"/>
      <c r="GUU30" s="545"/>
      <c r="GUV30" s="545"/>
      <c r="GUW30" s="545"/>
      <c r="GUX30" s="545"/>
      <c r="GUY30" s="545"/>
      <c r="GUZ30" s="545"/>
      <c r="GVA30" s="545"/>
      <c r="GVB30" s="545"/>
      <c r="GVC30" s="545"/>
      <c r="GVD30" s="545"/>
      <c r="GVE30" s="545"/>
      <c r="GVF30" s="545"/>
      <c r="GVG30" s="545"/>
      <c r="GVH30" s="545"/>
      <c r="GVI30" s="545"/>
      <c r="GVJ30" s="545"/>
      <c r="GVK30" s="545"/>
      <c r="GVL30" s="545"/>
      <c r="GVM30" s="545"/>
      <c r="GVN30" s="545"/>
      <c r="GVO30" s="545"/>
      <c r="GVP30" s="545"/>
      <c r="GVQ30" s="545"/>
      <c r="GVR30" s="545"/>
      <c r="GVS30" s="545"/>
      <c r="GVT30" s="545"/>
      <c r="GVU30" s="545"/>
      <c r="GVV30" s="545"/>
      <c r="GVW30" s="545"/>
      <c r="GVX30" s="545"/>
      <c r="GVY30" s="545"/>
      <c r="GVZ30" s="545"/>
      <c r="GWA30" s="545"/>
      <c r="GWB30" s="545"/>
      <c r="GWC30" s="545"/>
      <c r="GWD30" s="545"/>
      <c r="GWE30" s="545"/>
      <c r="GWF30" s="545"/>
      <c r="GWG30" s="545"/>
      <c r="GWH30" s="545"/>
      <c r="GWI30" s="545"/>
      <c r="GWJ30" s="545"/>
      <c r="GWK30" s="545"/>
      <c r="GWL30" s="545"/>
      <c r="GWM30" s="545"/>
      <c r="GWN30" s="545"/>
      <c r="GWO30" s="545"/>
      <c r="GWP30" s="545"/>
      <c r="GWQ30" s="545"/>
      <c r="GWR30" s="545"/>
      <c r="GWS30" s="545"/>
      <c r="GWT30" s="545"/>
      <c r="GWU30" s="545"/>
      <c r="GWV30" s="545"/>
      <c r="GWW30" s="545"/>
      <c r="GWX30" s="545"/>
      <c r="GWY30" s="545"/>
      <c r="GWZ30" s="545"/>
      <c r="GXA30" s="545"/>
      <c r="GXB30" s="545"/>
      <c r="GXC30" s="545"/>
      <c r="GXD30" s="545"/>
      <c r="GXE30" s="545"/>
      <c r="GXF30" s="545"/>
      <c r="GXG30" s="545"/>
      <c r="GXH30" s="545"/>
      <c r="GXI30" s="545"/>
      <c r="GXJ30" s="545"/>
      <c r="GXK30" s="545"/>
      <c r="GXL30" s="545"/>
      <c r="GXM30" s="545"/>
      <c r="GXN30" s="545"/>
      <c r="GXO30" s="545"/>
      <c r="GXP30" s="545"/>
      <c r="GXQ30" s="545"/>
      <c r="GXR30" s="545"/>
      <c r="GXS30" s="545"/>
      <c r="GXT30" s="545"/>
      <c r="GXU30" s="545"/>
      <c r="GXV30" s="545"/>
      <c r="GXW30" s="545"/>
      <c r="GXX30" s="545"/>
      <c r="GXY30" s="545"/>
      <c r="GXZ30" s="545"/>
      <c r="GYA30" s="545"/>
      <c r="GYB30" s="545"/>
      <c r="GYC30" s="545"/>
      <c r="GYD30" s="545"/>
      <c r="GYE30" s="545"/>
      <c r="GYF30" s="545"/>
      <c r="GYG30" s="545"/>
      <c r="GYH30" s="545"/>
      <c r="GYI30" s="545"/>
      <c r="GYJ30" s="545"/>
      <c r="GYK30" s="545"/>
      <c r="GYL30" s="545"/>
      <c r="GYM30" s="545"/>
      <c r="GYN30" s="545"/>
      <c r="GYO30" s="545"/>
      <c r="GYP30" s="545"/>
      <c r="GYQ30" s="545"/>
      <c r="GYR30" s="545"/>
      <c r="GYS30" s="545"/>
      <c r="GYT30" s="545"/>
      <c r="GYU30" s="545"/>
      <c r="GYV30" s="545"/>
      <c r="GYW30" s="545"/>
      <c r="GYX30" s="545"/>
      <c r="GYY30" s="545"/>
      <c r="GYZ30" s="545"/>
      <c r="GZA30" s="545"/>
      <c r="GZB30" s="545"/>
      <c r="GZC30" s="545"/>
      <c r="GZD30" s="545"/>
      <c r="GZE30" s="545"/>
      <c r="GZF30" s="545"/>
      <c r="GZG30" s="545"/>
      <c r="GZH30" s="545"/>
      <c r="GZI30" s="545"/>
      <c r="GZJ30" s="545"/>
      <c r="GZK30" s="545"/>
      <c r="GZL30" s="545"/>
      <c r="GZM30" s="545"/>
      <c r="GZN30" s="545"/>
      <c r="GZO30" s="545"/>
      <c r="GZP30" s="545"/>
      <c r="GZQ30" s="545"/>
      <c r="GZR30" s="545"/>
      <c r="GZS30" s="545"/>
      <c r="GZT30" s="545"/>
      <c r="GZU30" s="545"/>
      <c r="GZV30" s="545"/>
      <c r="GZW30" s="545"/>
      <c r="GZX30" s="545"/>
      <c r="GZY30" s="545"/>
      <c r="GZZ30" s="545"/>
      <c r="HAA30" s="545"/>
      <c r="HAB30" s="545"/>
      <c r="HAC30" s="545"/>
      <c r="HAD30" s="545"/>
      <c r="HAE30" s="545"/>
      <c r="HAF30" s="545"/>
      <c r="HAG30" s="545"/>
      <c r="HAH30" s="545"/>
      <c r="HAI30" s="545"/>
      <c r="HAJ30" s="545"/>
      <c r="HAK30" s="545"/>
      <c r="HAL30" s="545"/>
      <c r="HAM30" s="545"/>
      <c r="HAN30" s="545"/>
      <c r="HAO30" s="545"/>
      <c r="HAP30" s="545"/>
      <c r="HAQ30" s="545"/>
      <c r="HAR30" s="545"/>
      <c r="HAS30" s="545"/>
      <c r="HAT30" s="545"/>
      <c r="HAU30" s="545"/>
      <c r="HAV30" s="545"/>
      <c r="HAW30" s="545"/>
      <c r="HAX30" s="545"/>
      <c r="HAY30" s="545"/>
      <c r="HAZ30" s="545"/>
      <c r="HBA30" s="545"/>
      <c r="HBB30" s="545"/>
      <c r="HBC30" s="545"/>
      <c r="HBD30" s="545"/>
      <c r="HBE30" s="545"/>
      <c r="HBF30" s="545"/>
      <c r="HBG30" s="545"/>
      <c r="HBH30" s="545"/>
      <c r="HBI30" s="545"/>
      <c r="HBJ30" s="545"/>
      <c r="HBK30" s="545"/>
      <c r="HBL30" s="545"/>
      <c r="HBM30" s="545"/>
      <c r="HBN30" s="545"/>
      <c r="HBO30" s="545"/>
      <c r="HBP30" s="545"/>
      <c r="HBQ30" s="545"/>
      <c r="HBR30" s="545"/>
      <c r="HBS30" s="545"/>
      <c r="HBT30" s="545"/>
      <c r="HBU30" s="545"/>
      <c r="HBV30" s="545"/>
      <c r="HBW30" s="545"/>
      <c r="HBX30" s="545"/>
      <c r="HBY30" s="545"/>
      <c r="HBZ30" s="545"/>
      <c r="HCA30" s="545"/>
      <c r="HCB30" s="545"/>
      <c r="HCC30" s="545"/>
      <c r="HCD30" s="545"/>
      <c r="HCE30" s="545"/>
      <c r="HCF30" s="545"/>
      <c r="HCG30" s="545"/>
      <c r="HCH30" s="545"/>
      <c r="HCI30" s="545"/>
      <c r="HCJ30" s="545"/>
      <c r="HCK30" s="545"/>
      <c r="HCL30" s="545"/>
      <c r="HCM30" s="545"/>
      <c r="HCN30" s="545"/>
      <c r="HCO30" s="545"/>
      <c r="HCP30" s="545"/>
      <c r="HCQ30" s="545"/>
      <c r="HCR30" s="545"/>
      <c r="HCS30" s="545"/>
      <c r="HCT30" s="545"/>
      <c r="HCU30" s="545"/>
      <c r="HCV30" s="545"/>
      <c r="HCW30" s="545"/>
      <c r="HCX30" s="545"/>
      <c r="HCY30" s="545"/>
      <c r="HCZ30" s="545"/>
      <c r="HDA30" s="545"/>
      <c r="HDB30" s="545"/>
      <c r="HDC30" s="545"/>
      <c r="HDD30" s="545"/>
      <c r="HDE30" s="545"/>
      <c r="HDF30" s="545"/>
      <c r="HDG30" s="545"/>
      <c r="HDH30" s="545"/>
      <c r="HDI30" s="545"/>
      <c r="HDJ30" s="545"/>
      <c r="HDK30" s="545"/>
      <c r="HDL30" s="545"/>
      <c r="HDM30" s="545"/>
      <c r="HDN30" s="545"/>
      <c r="HDO30" s="545"/>
      <c r="HDP30" s="545"/>
      <c r="HDQ30" s="545"/>
      <c r="HDR30" s="545"/>
      <c r="HDS30" s="545"/>
      <c r="HDT30" s="545"/>
      <c r="HDU30" s="545"/>
      <c r="HDV30" s="545"/>
      <c r="HDW30" s="545"/>
      <c r="HDX30" s="545"/>
      <c r="HDY30" s="545"/>
      <c r="HDZ30" s="545"/>
      <c r="HEA30" s="545"/>
      <c r="HEB30" s="545"/>
      <c r="HEC30" s="545"/>
      <c r="HED30" s="545"/>
      <c r="HEE30" s="545"/>
      <c r="HEF30" s="545"/>
      <c r="HEG30" s="545"/>
      <c r="HEH30" s="545"/>
      <c r="HEI30" s="545"/>
      <c r="HEJ30" s="545"/>
      <c r="HEK30" s="545"/>
      <c r="HEL30" s="545"/>
      <c r="HEM30" s="545"/>
      <c r="HEN30" s="545"/>
      <c r="HEO30" s="545"/>
      <c r="HEP30" s="545"/>
      <c r="HEQ30" s="545"/>
      <c r="HER30" s="545"/>
      <c r="HES30" s="545"/>
      <c r="HET30" s="545"/>
      <c r="HEU30" s="545"/>
      <c r="HEV30" s="545"/>
      <c r="HEW30" s="545"/>
      <c r="HEX30" s="545"/>
      <c r="HEY30" s="545"/>
      <c r="HEZ30" s="545"/>
      <c r="HFA30" s="545"/>
      <c r="HFB30" s="545"/>
      <c r="HFC30" s="545"/>
      <c r="HFD30" s="545"/>
      <c r="HFE30" s="545"/>
      <c r="HFF30" s="545"/>
      <c r="HFG30" s="545"/>
      <c r="HFH30" s="545"/>
      <c r="HFI30" s="545"/>
      <c r="HFJ30" s="545"/>
      <c r="HFK30" s="545"/>
      <c r="HFL30" s="545"/>
      <c r="HFM30" s="545"/>
      <c r="HFN30" s="545"/>
      <c r="HFO30" s="545"/>
      <c r="HFP30" s="545"/>
      <c r="HFQ30" s="545"/>
      <c r="HFR30" s="545"/>
      <c r="HFS30" s="545"/>
      <c r="HFT30" s="545"/>
      <c r="HFU30" s="545"/>
      <c r="HFV30" s="545"/>
      <c r="HFW30" s="545"/>
      <c r="HFX30" s="545"/>
      <c r="HFY30" s="545"/>
      <c r="HFZ30" s="545"/>
      <c r="HGA30" s="545"/>
      <c r="HGB30" s="545"/>
      <c r="HGC30" s="545"/>
      <c r="HGD30" s="545"/>
      <c r="HGE30" s="545"/>
      <c r="HGF30" s="545"/>
      <c r="HGG30" s="545"/>
      <c r="HGH30" s="545"/>
      <c r="HGI30" s="545"/>
      <c r="HGJ30" s="545"/>
      <c r="HGK30" s="545"/>
      <c r="HGL30" s="545"/>
      <c r="HGM30" s="545"/>
      <c r="HGN30" s="545"/>
      <c r="HGO30" s="545"/>
      <c r="HGP30" s="545"/>
      <c r="HGQ30" s="545"/>
      <c r="HGR30" s="545"/>
      <c r="HGS30" s="545"/>
      <c r="HGT30" s="545"/>
      <c r="HGU30" s="545"/>
      <c r="HGV30" s="545"/>
      <c r="HGW30" s="545"/>
      <c r="HGX30" s="545"/>
      <c r="HGY30" s="545"/>
      <c r="HGZ30" s="545"/>
      <c r="HHA30" s="545"/>
      <c r="HHB30" s="545"/>
      <c r="HHC30" s="545"/>
      <c r="HHD30" s="545"/>
      <c r="HHE30" s="545"/>
      <c r="HHF30" s="545"/>
      <c r="HHG30" s="545"/>
      <c r="HHH30" s="545"/>
      <c r="HHI30" s="545"/>
      <c r="HHJ30" s="545"/>
      <c r="HHK30" s="545"/>
      <c r="HHL30" s="545"/>
      <c r="HHM30" s="545"/>
      <c r="HHN30" s="545"/>
      <c r="HHO30" s="545"/>
      <c r="HHP30" s="545"/>
      <c r="HHQ30" s="545"/>
      <c r="HHR30" s="545"/>
      <c r="HHS30" s="545"/>
      <c r="HHT30" s="545"/>
      <c r="HHU30" s="545"/>
      <c r="HHV30" s="545"/>
      <c r="HHW30" s="545"/>
      <c r="HHX30" s="545"/>
      <c r="HHY30" s="545"/>
      <c r="HHZ30" s="545"/>
      <c r="HIA30" s="545"/>
      <c r="HIB30" s="545"/>
      <c r="HIC30" s="545"/>
      <c r="HID30" s="545"/>
      <c r="HIE30" s="545"/>
      <c r="HIF30" s="545"/>
      <c r="HIG30" s="545"/>
      <c r="HIH30" s="545"/>
      <c r="HII30" s="545"/>
      <c r="HIJ30" s="545"/>
      <c r="HIK30" s="545"/>
      <c r="HIL30" s="545"/>
      <c r="HIM30" s="545"/>
      <c r="HIN30" s="545"/>
      <c r="HIO30" s="545"/>
      <c r="HIP30" s="545"/>
      <c r="HIQ30" s="545"/>
      <c r="HIR30" s="545"/>
      <c r="HIS30" s="545"/>
      <c r="HIT30" s="545"/>
      <c r="HIU30" s="545"/>
      <c r="HIV30" s="545"/>
      <c r="HIW30" s="545"/>
      <c r="HIX30" s="545"/>
      <c r="HIY30" s="545"/>
      <c r="HIZ30" s="545"/>
      <c r="HJA30" s="545"/>
      <c r="HJB30" s="545"/>
      <c r="HJC30" s="545"/>
      <c r="HJD30" s="545"/>
      <c r="HJE30" s="545"/>
      <c r="HJF30" s="545"/>
      <c r="HJG30" s="545"/>
      <c r="HJH30" s="545"/>
      <c r="HJI30" s="545"/>
      <c r="HJJ30" s="545"/>
      <c r="HJK30" s="545"/>
      <c r="HJL30" s="545"/>
      <c r="HJM30" s="545"/>
      <c r="HJN30" s="545"/>
      <c r="HJO30" s="545"/>
      <c r="HJP30" s="545"/>
      <c r="HJQ30" s="545"/>
      <c r="HJR30" s="545"/>
      <c r="HJS30" s="545"/>
      <c r="HJT30" s="545"/>
      <c r="HJU30" s="545"/>
      <c r="HJV30" s="545"/>
      <c r="HJW30" s="545"/>
      <c r="HJX30" s="545"/>
      <c r="HJY30" s="545"/>
      <c r="HJZ30" s="545"/>
      <c r="HKA30" s="545"/>
      <c r="HKB30" s="545"/>
      <c r="HKC30" s="545"/>
      <c r="HKD30" s="545"/>
      <c r="HKE30" s="545"/>
      <c r="HKF30" s="545"/>
      <c r="HKG30" s="545"/>
      <c r="HKH30" s="545"/>
      <c r="HKI30" s="545"/>
      <c r="HKJ30" s="545"/>
      <c r="HKK30" s="545"/>
      <c r="HKL30" s="545"/>
      <c r="HKM30" s="545"/>
      <c r="HKN30" s="545"/>
      <c r="HKO30" s="545"/>
      <c r="HKP30" s="545"/>
      <c r="HKQ30" s="545"/>
      <c r="HKR30" s="545"/>
      <c r="HKS30" s="545"/>
      <c r="HKT30" s="545"/>
      <c r="HKU30" s="545"/>
      <c r="HKV30" s="545"/>
      <c r="HKW30" s="545"/>
      <c r="HKX30" s="545"/>
      <c r="HKY30" s="545"/>
      <c r="HKZ30" s="545"/>
      <c r="HLA30" s="545"/>
      <c r="HLB30" s="545"/>
      <c r="HLC30" s="545"/>
      <c r="HLD30" s="545"/>
      <c r="HLE30" s="545"/>
      <c r="HLF30" s="545"/>
      <c r="HLG30" s="545"/>
      <c r="HLH30" s="545"/>
      <c r="HLI30" s="545"/>
      <c r="HLJ30" s="545"/>
      <c r="HLK30" s="545"/>
      <c r="HLL30" s="545"/>
      <c r="HLM30" s="545"/>
      <c r="HLN30" s="545"/>
      <c r="HLO30" s="545"/>
      <c r="HLP30" s="545"/>
      <c r="HLQ30" s="545"/>
      <c r="HLR30" s="545"/>
      <c r="HLS30" s="545"/>
      <c r="HLT30" s="545"/>
      <c r="HLU30" s="545"/>
      <c r="HLV30" s="545"/>
      <c r="HLW30" s="545"/>
      <c r="HLX30" s="545"/>
      <c r="HLY30" s="545"/>
      <c r="HLZ30" s="545"/>
      <c r="HMA30" s="545"/>
      <c r="HMB30" s="545"/>
      <c r="HMC30" s="545"/>
      <c r="HMD30" s="545"/>
      <c r="HME30" s="545"/>
      <c r="HMF30" s="545"/>
      <c r="HMG30" s="545"/>
      <c r="HMH30" s="545"/>
      <c r="HMI30" s="545"/>
      <c r="HMJ30" s="545"/>
      <c r="HMK30" s="545"/>
      <c r="HML30" s="545"/>
      <c r="HMM30" s="545"/>
      <c r="HMN30" s="545"/>
      <c r="HMO30" s="545"/>
      <c r="HMP30" s="545"/>
      <c r="HMQ30" s="545"/>
      <c r="HMR30" s="545"/>
      <c r="HMS30" s="545"/>
      <c r="HMT30" s="545"/>
      <c r="HMU30" s="545"/>
      <c r="HMV30" s="545"/>
      <c r="HMW30" s="545"/>
      <c r="HMX30" s="545"/>
      <c r="HMY30" s="545"/>
      <c r="HMZ30" s="545"/>
      <c r="HNA30" s="545"/>
      <c r="HNB30" s="545"/>
      <c r="HNC30" s="545"/>
      <c r="HND30" s="545"/>
      <c r="HNE30" s="545"/>
      <c r="HNF30" s="545"/>
      <c r="HNG30" s="545"/>
      <c r="HNH30" s="545"/>
      <c r="HNI30" s="545"/>
      <c r="HNJ30" s="545"/>
      <c r="HNK30" s="545"/>
      <c r="HNL30" s="545"/>
      <c r="HNM30" s="545"/>
      <c r="HNN30" s="545"/>
      <c r="HNO30" s="545"/>
      <c r="HNP30" s="545"/>
      <c r="HNQ30" s="545"/>
      <c r="HNR30" s="545"/>
      <c r="HNS30" s="545"/>
      <c r="HNT30" s="545"/>
      <c r="HNU30" s="545"/>
      <c r="HNV30" s="545"/>
      <c r="HNW30" s="545"/>
      <c r="HNX30" s="545"/>
      <c r="HNY30" s="545"/>
      <c r="HNZ30" s="545"/>
      <c r="HOA30" s="545"/>
      <c r="HOB30" s="545"/>
      <c r="HOC30" s="545"/>
      <c r="HOD30" s="545"/>
      <c r="HOE30" s="545"/>
      <c r="HOF30" s="545"/>
      <c r="HOG30" s="545"/>
      <c r="HOH30" s="545"/>
      <c r="HOI30" s="545"/>
      <c r="HOJ30" s="545"/>
      <c r="HOK30" s="545"/>
      <c r="HOL30" s="545"/>
      <c r="HOM30" s="545"/>
      <c r="HON30" s="545"/>
      <c r="HOO30" s="545"/>
      <c r="HOP30" s="545"/>
      <c r="HOQ30" s="545"/>
      <c r="HOR30" s="545"/>
      <c r="HOS30" s="545"/>
      <c r="HOT30" s="545"/>
      <c r="HOU30" s="545"/>
      <c r="HOV30" s="545"/>
      <c r="HOW30" s="545"/>
      <c r="HOX30" s="545"/>
      <c r="HOY30" s="545"/>
      <c r="HOZ30" s="545"/>
      <c r="HPA30" s="545"/>
      <c r="HPB30" s="545"/>
      <c r="HPC30" s="545"/>
      <c r="HPD30" s="545"/>
      <c r="HPE30" s="545"/>
      <c r="HPF30" s="545"/>
      <c r="HPG30" s="545"/>
      <c r="HPH30" s="545"/>
      <c r="HPI30" s="545"/>
      <c r="HPJ30" s="545"/>
      <c r="HPK30" s="545"/>
      <c r="HPL30" s="545"/>
      <c r="HPM30" s="545"/>
      <c r="HPN30" s="545"/>
      <c r="HPO30" s="545"/>
      <c r="HPP30" s="545"/>
      <c r="HPQ30" s="545"/>
      <c r="HPR30" s="545"/>
      <c r="HPS30" s="545"/>
      <c r="HPT30" s="545"/>
      <c r="HPU30" s="545"/>
      <c r="HPV30" s="545"/>
      <c r="HPW30" s="545"/>
      <c r="HPX30" s="545"/>
      <c r="HPY30" s="545"/>
      <c r="HPZ30" s="545"/>
      <c r="HQA30" s="545"/>
      <c r="HQB30" s="545"/>
      <c r="HQC30" s="545"/>
      <c r="HQD30" s="545"/>
      <c r="HQE30" s="545"/>
      <c r="HQF30" s="545"/>
      <c r="HQG30" s="545"/>
      <c r="HQH30" s="545"/>
      <c r="HQI30" s="545"/>
      <c r="HQJ30" s="545"/>
      <c r="HQK30" s="545"/>
      <c r="HQL30" s="545"/>
      <c r="HQM30" s="545"/>
      <c r="HQN30" s="545"/>
      <c r="HQO30" s="545"/>
      <c r="HQP30" s="545"/>
      <c r="HQQ30" s="545"/>
      <c r="HQR30" s="545"/>
      <c r="HQS30" s="545"/>
      <c r="HQT30" s="545"/>
      <c r="HQU30" s="545"/>
      <c r="HQV30" s="545"/>
      <c r="HQW30" s="545"/>
      <c r="HQX30" s="545"/>
      <c r="HQY30" s="545"/>
      <c r="HQZ30" s="545"/>
      <c r="HRA30" s="545"/>
      <c r="HRB30" s="545"/>
      <c r="HRC30" s="545"/>
      <c r="HRD30" s="545"/>
      <c r="HRE30" s="545"/>
      <c r="HRF30" s="545"/>
      <c r="HRG30" s="545"/>
      <c r="HRH30" s="545"/>
      <c r="HRI30" s="545"/>
      <c r="HRJ30" s="545"/>
      <c r="HRK30" s="545"/>
      <c r="HRL30" s="545"/>
      <c r="HRM30" s="545"/>
      <c r="HRN30" s="545"/>
      <c r="HRO30" s="545"/>
      <c r="HRP30" s="545"/>
      <c r="HRQ30" s="545"/>
      <c r="HRR30" s="545"/>
      <c r="HRS30" s="545"/>
      <c r="HRT30" s="545"/>
      <c r="HRU30" s="545"/>
      <c r="HRV30" s="545"/>
      <c r="HRW30" s="545"/>
      <c r="HRX30" s="545"/>
      <c r="HRY30" s="545"/>
      <c r="HRZ30" s="545"/>
      <c r="HSA30" s="545"/>
      <c r="HSB30" s="545"/>
      <c r="HSC30" s="545"/>
      <c r="HSD30" s="545"/>
      <c r="HSE30" s="545"/>
      <c r="HSF30" s="545"/>
      <c r="HSG30" s="545"/>
      <c r="HSH30" s="545"/>
      <c r="HSI30" s="545"/>
      <c r="HSJ30" s="545"/>
      <c r="HSK30" s="545"/>
      <c r="HSL30" s="545"/>
      <c r="HSM30" s="545"/>
      <c r="HSN30" s="545"/>
      <c r="HSO30" s="545"/>
      <c r="HSP30" s="545"/>
      <c r="HSQ30" s="545"/>
      <c r="HSR30" s="545"/>
      <c r="HSS30" s="545"/>
      <c r="HST30" s="545"/>
      <c r="HSU30" s="545"/>
      <c r="HSV30" s="545"/>
      <c r="HSW30" s="545"/>
      <c r="HSX30" s="545"/>
      <c r="HSY30" s="545"/>
      <c r="HSZ30" s="545"/>
      <c r="HTA30" s="545"/>
      <c r="HTB30" s="545"/>
      <c r="HTC30" s="545"/>
      <c r="HTD30" s="545"/>
      <c r="HTE30" s="545"/>
      <c r="HTF30" s="545"/>
      <c r="HTG30" s="545"/>
      <c r="HTH30" s="545"/>
      <c r="HTI30" s="545"/>
      <c r="HTJ30" s="545"/>
      <c r="HTK30" s="545"/>
      <c r="HTL30" s="545"/>
      <c r="HTM30" s="545"/>
      <c r="HTN30" s="545"/>
      <c r="HTO30" s="545"/>
      <c r="HTP30" s="545"/>
      <c r="HTQ30" s="545"/>
      <c r="HTR30" s="545"/>
      <c r="HTS30" s="545"/>
      <c r="HTT30" s="545"/>
      <c r="HTU30" s="545"/>
      <c r="HTV30" s="545"/>
      <c r="HTW30" s="545"/>
      <c r="HTX30" s="545"/>
      <c r="HTY30" s="545"/>
      <c r="HTZ30" s="545"/>
      <c r="HUA30" s="545"/>
      <c r="HUB30" s="545"/>
      <c r="HUC30" s="545"/>
      <c r="HUD30" s="545"/>
      <c r="HUE30" s="545"/>
      <c r="HUF30" s="545"/>
      <c r="HUG30" s="545"/>
      <c r="HUH30" s="545"/>
      <c r="HUI30" s="545"/>
      <c r="HUJ30" s="545"/>
      <c r="HUK30" s="545"/>
      <c r="HUL30" s="545"/>
      <c r="HUM30" s="545"/>
      <c r="HUN30" s="545"/>
      <c r="HUO30" s="545"/>
      <c r="HUP30" s="545"/>
      <c r="HUQ30" s="545"/>
      <c r="HUR30" s="545"/>
      <c r="HUS30" s="545"/>
      <c r="HUT30" s="545"/>
      <c r="HUU30" s="545"/>
      <c r="HUV30" s="545"/>
      <c r="HUW30" s="545"/>
      <c r="HUX30" s="545"/>
      <c r="HUY30" s="545"/>
      <c r="HUZ30" s="545"/>
      <c r="HVA30" s="545"/>
      <c r="HVB30" s="545"/>
      <c r="HVC30" s="545"/>
      <c r="HVD30" s="545"/>
      <c r="HVE30" s="545"/>
      <c r="HVF30" s="545"/>
      <c r="HVG30" s="545"/>
      <c r="HVH30" s="545"/>
      <c r="HVI30" s="545"/>
      <c r="HVJ30" s="545"/>
      <c r="HVK30" s="545"/>
      <c r="HVL30" s="545"/>
      <c r="HVM30" s="545"/>
      <c r="HVN30" s="545"/>
      <c r="HVO30" s="545"/>
      <c r="HVP30" s="545"/>
      <c r="HVQ30" s="545"/>
      <c r="HVR30" s="545"/>
      <c r="HVS30" s="545"/>
      <c r="HVT30" s="545"/>
      <c r="HVU30" s="545"/>
      <c r="HVV30" s="545"/>
      <c r="HVW30" s="545"/>
      <c r="HVX30" s="545"/>
      <c r="HVY30" s="545"/>
      <c r="HVZ30" s="545"/>
      <c r="HWA30" s="545"/>
      <c r="HWB30" s="545"/>
      <c r="HWC30" s="545"/>
      <c r="HWD30" s="545"/>
      <c r="HWE30" s="545"/>
      <c r="HWF30" s="545"/>
      <c r="HWG30" s="545"/>
      <c r="HWH30" s="545"/>
      <c r="HWI30" s="545"/>
      <c r="HWJ30" s="545"/>
      <c r="HWK30" s="545"/>
      <c r="HWL30" s="545"/>
      <c r="HWM30" s="545"/>
      <c r="HWN30" s="545"/>
      <c r="HWO30" s="545"/>
      <c r="HWP30" s="545"/>
      <c r="HWQ30" s="545"/>
      <c r="HWR30" s="545"/>
      <c r="HWS30" s="545"/>
      <c r="HWT30" s="545"/>
      <c r="HWU30" s="545"/>
      <c r="HWV30" s="545"/>
      <c r="HWW30" s="545"/>
      <c r="HWX30" s="545"/>
      <c r="HWY30" s="545"/>
      <c r="HWZ30" s="545"/>
      <c r="HXA30" s="545"/>
      <c r="HXB30" s="545"/>
      <c r="HXC30" s="545"/>
      <c r="HXD30" s="545"/>
      <c r="HXE30" s="545"/>
      <c r="HXF30" s="545"/>
      <c r="HXG30" s="545"/>
      <c r="HXH30" s="545"/>
      <c r="HXI30" s="545"/>
      <c r="HXJ30" s="545"/>
      <c r="HXK30" s="545"/>
      <c r="HXL30" s="545"/>
      <c r="HXM30" s="545"/>
      <c r="HXN30" s="545"/>
      <c r="HXO30" s="545"/>
      <c r="HXP30" s="545"/>
      <c r="HXQ30" s="545"/>
      <c r="HXR30" s="545"/>
      <c r="HXS30" s="545"/>
      <c r="HXT30" s="545"/>
      <c r="HXU30" s="545"/>
      <c r="HXV30" s="545"/>
      <c r="HXW30" s="545"/>
      <c r="HXX30" s="545"/>
      <c r="HXY30" s="545"/>
      <c r="HXZ30" s="545"/>
      <c r="HYA30" s="545"/>
      <c r="HYB30" s="545"/>
      <c r="HYC30" s="545"/>
      <c r="HYD30" s="545"/>
      <c r="HYE30" s="545"/>
      <c r="HYF30" s="545"/>
      <c r="HYG30" s="545"/>
      <c r="HYH30" s="545"/>
      <c r="HYI30" s="545"/>
      <c r="HYJ30" s="545"/>
      <c r="HYK30" s="545"/>
      <c r="HYL30" s="545"/>
      <c r="HYM30" s="545"/>
      <c r="HYN30" s="545"/>
      <c r="HYO30" s="545"/>
      <c r="HYP30" s="545"/>
      <c r="HYQ30" s="545"/>
      <c r="HYR30" s="545"/>
      <c r="HYS30" s="545"/>
      <c r="HYT30" s="545"/>
      <c r="HYU30" s="545"/>
      <c r="HYV30" s="545"/>
      <c r="HYW30" s="545"/>
      <c r="HYX30" s="545"/>
      <c r="HYY30" s="545"/>
      <c r="HYZ30" s="545"/>
      <c r="HZA30" s="545"/>
      <c r="HZB30" s="545"/>
      <c r="HZC30" s="545"/>
      <c r="HZD30" s="545"/>
      <c r="HZE30" s="545"/>
      <c r="HZF30" s="545"/>
      <c r="HZG30" s="545"/>
      <c r="HZH30" s="545"/>
      <c r="HZI30" s="545"/>
      <c r="HZJ30" s="545"/>
      <c r="HZK30" s="545"/>
      <c r="HZL30" s="545"/>
      <c r="HZM30" s="545"/>
      <c r="HZN30" s="545"/>
      <c r="HZO30" s="545"/>
      <c r="HZP30" s="545"/>
      <c r="HZQ30" s="545"/>
      <c r="HZR30" s="545"/>
      <c r="HZS30" s="545"/>
      <c r="HZT30" s="545"/>
      <c r="HZU30" s="545"/>
      <c r="HZV30" s="545"/>
      <c r="HZW30" s="545"/>
      <c r="HZX30" s="545"/>
      <c r="HZY30" s="545"/>
      <c r="HZZ30" s="545"/>
      <c r="IAA30" s="545"/>
      <c r="IAB30" s="545"/>
      <c r="IAC30" s="545"/>
      <c r="IAD30" s="545"/>
      <c r="IAE30" s="545"/>
      <c r="IAF30" s="545"/>
      <c r="IAG30" s="545"/>
      <c r="IAH30" s="545"/>
      <c r="IAI30" s="545"/>
      <c r="IAJ30" s="545"/>
      <c r="IAK30" s="545"/>
      <c r="IAL30" s="545"/>
      <c r="IAM30" s="545"/>
      <c r="IAN30" s="545"/>
      <c r="IAO30" s="545"/>
      <c r="IAP30" s="545"/>
      <c r="IAQ30" s="545"/>
      <c r="IAR30" s="545"/>
      <c r="IAS30" s="545"/>
      <c r="IAT30" s="545"/>
      <c r="IAU30" s="545"/>
      <c r="IAV30" s="545"/>
      <c r="IAW30" s="545"/>
      <c r="IAX30" s="545"/>
      <c r="IAY30" s="545"/>
      <c r="IAZ30" s="545"/>
      <c r="IBA30" s="545"/>
      <c r="IBB30" s="545"/>
      <c r="IBC30" s="545"/>
      <c r="IBD30" s="545"/>
      <c r="IBE30" s="545"/>
      <c r="IBF30" s="545"/>
      <c r="IBG30" s="545"/>
      <c r="IBH30" s="545"/>
      <c r="IBI30" s="545"/>
      <c r="IBJ30" s="545"/>
      <c r="IBK30" s="545"/>
      <c r="IBL30" s="545"/>
      <c r="IBM30" s="545"/>
      <c r="IBN30" s="545"/>
      <c r="IBO30" s="545"/>
      <c r="IBP30" s="545"/>
      <c r="IBQ30" s="545"/>
      <c r="IBR30" s="545"/>
      <c r="IBS30" s="545"/>
      <c r="IBT30" s="545"/>
      <c r="IBU30" s="545"/>
      <c r="IBV30" s="545"/>
      <c r="IBW30" s="545"/>
      <c r="IBX30" s="545"/>
      <c r="IBY30" s="545"/>
      <c r="IBZ30" s="545"/>
      <c r="ICA30" s="545"/>
      <c r="ICB30" s="545"/>
      <c r="ICC30" s="545"/>
      <c r="ICD30" s="545"/>
      <c r="ICE30" s="545"/>
      <c r="ICF30" s="545"/>
      <c r="ICG30" s="545"/>
      <c r="ICH30" s="545"/>
      <c r="ICI30" s="545"/>
      <c r="ICJ30" s="545"/>
      <c r="ICK30" s="545"/>
      <c r="ICL30" s="545"/>
      <c r="ICM30" s="545"/>
      <c r="ICN30" s="545"/>
      <c r="ICO30" s="545"/>
      <c r="ICP30" s="545"/>
      <c r="ICQ30" s="545"/>
      <c r="ICR30" s="545"/>
      <c r="ICS30" s="545"/>
      <c r="ICT30" s="545"/>
      <c r="ICU30" s="545"/>
      <c r="ICV30" s="545"/>
      <c r="ICW30" s="545"/>
      <c r="ICX30" s="545"/>
      <c r="ICY30" s="545"/>
      <c r="ICZ30" s="545"/>
      <c r="IDA30" s="545"/>
      <c r="IDB30" s="545"/>
      <c r="IDC30" s="545"/>
      <c r="IDD30" s="545"/>
      <c r="IDE30" s="545"/>
      <c r="IDF30" s="545"/>
      <c r="IDG30" s="545"/>
      <c r="IDH30" s="545"/>
      <c r="IDI30" s="545"/>
      <c r="IDJ30" s="545"/>
      <c r="IDK30" s="545"/>
      <c r="IDL30" s="545"/>
      <c r="IDM30" s="545"/>
      <c r="IDN30" s="545"/>
      <c r="IDO30" s="545"/>
      <c r="IDP30" s="545"/>
      <c r="IDQ30" s="545"/>
      <c r="IDR30" s="545"/>
      <c r="IDS30" s="545"/>
      <c r="IDT30" s="545"/>
      <c r="IDU30" s="545"/>
      <c r="IDV30" s="545"/>
      <c r="IDW30" s="545"/>
      <c r="IDX30" s="545"/>
      <c r="IDY30" s="545"/>
      <c r="IDZ30" s="545"/>
      <c r="IEA30" s="545"/>
      <c r="IEB30" s="545"/>
      <c r="IEC30" s="545"/>
      <c r="IED30" s="545"/>
      <c r="IEE30" s="545"/>
      <c r="IEF30" s="545"/>
      <c r="IEG30" s="545"/>
      <c r="IEH30" s="545"/>
      <c r="IEI30" s="545"/>
      <c r="IEJ30" s="545"/>
      <c r="IEK30" s="545"/>
      <c r="IEL30" s="545"/>
      <c r="IEM30" s="545"/>
      <c r="IEN30" s="545"/>
      <c r="IEO30" s="545"/>
      <c r="IEP30" s="545"/>
      <c r="IEQ30" s="545"/>
      <c r="IER30" s="545"/>
      <c r="IES30" s="545"/>
      <c r="IET30" s="545"/>
      <c r="IEU30" s="545"/>
      <c r="IEV30" s="545"/>
      <c r="IEW30" s="545"/>
      <c r="IEX30" s="545"/>
      <c r="IEY30" s="545"/>
      <c r="IEZ30" s="545"/>
      <c r="IFA30" s="545"/>
      <c r="IFB30" s="545"/>
      <c r="IFC30" s="545"/>
      <c r="IFD30" s="545"/>
      <c r="IFE30" s="545"/>
      <c r="IFF30" s="545"/>
      <c r="IFG30" s="545"/>
      <c r="IFH30" s="545"/>
      <c r="IFI30" s="545"/>
      <c r="IFJ30" s="545"/>
      <c r="IFK30" s="545"/>
      <c r="IFL30" s="545"/>
      <c r="IFM30" s="545"/>
      <c r="IFN30" s="545"/>
      <c r="IFO30" s="545"/>
      <c r="IFP30" s="545"/>
      <c r="IFQ30" s="545"/>
      <c r="IFR30" s="545"/>
      <c r="IFS30" s="545"/>
      <c r="IFT30" s="545"/>
      <c r="IFU30" s="545"/>
      <c r="IFV30" s="545"/>
      <c r="IFW30" s="545"/>
      <c r="IFX30" s="545"/>
      <c r="IFY30" s="545"/>
      <c r="IFZ30" s="545"/>
      <c r="IGA30" s="545"/>
      <c r="IGB30" s="545"/>
      <c r="IGC30" s="545"/>
      <c r="IGD30" s="545"/>
      <c r="IGE30" s="545"/>
      <c r="IGF30" s="545"/>
      <c r="IGG30" s="545"/>
      <c r="IGH30" s="545"/>
      <c r="IGI30" s="545"/>
      <c r="IGJ30" s="545"/>
      <c r="IGK30" s="545"/>
      <c r="IGL30" s="545"/>
      <c r="IGM30" s="545"/>
      <c r="IGN30" s="545"/>
      <c r="IGO30" s="545"/>
      <c r="IGP30" s="545"/>
      <c r="IGQ30" s="545"/>
      <c r="IGR30" s="545"/>
      <c r="IGS30" s="545"/>
      <c r="IGT30" s="545"/>
      <c r="IGU30" s="545"/>
      <c r="IGV30" s="545"/>
      <c r="IGW30" s="545"/>
      <c r="IGX30" s="545"/>
      <c r="IGY30" s="545"/>
      <c r="IGZ30" s="545"/>
      <c r="IHA30" s="545"/>
      <c r="IHB30" s="545"/>
      <c r="IHC30" s="545"/>
      <c r="IHD30" s="545"/>
      <c r="IHE30" s="545"/>
      <c r="IHF30" s="545"/>
      <c r="IHG30" s="545"/>
      <c r="IHH30" s="545"/>
      <c r="IHI30" s="545"/>
      <c r="IHJ30" s="545"/>
      <c r="IHK30" s="545"/>
      <c r="IHL30" s="545"/>
      <c r="IHM30" s="545"/>
      <c r="IHN30" s="545"/>
      <c r="IHO30" s="545"/>
      <c r="IHP30" s="545"/>
      <c r="IHQ30" s="545"/>
      <c r="IHR30" s="545"/>
      <c r="IHS30" s="545"/>
      <c r="IHT30" s="545"/>
      <c r="IHU30" s="545"/>
      <c r="IHV30" s="545"/>
      <c r="IHW30" s="545"/>
      <c r="IHX30" s="545"/>
      <c r="IHY30" s="545"/>
      <c r="IHZ30" s="545"/>
      <c r="IIA30" s="545"/>
      <c r="IIB30" s="545"/>
      <c r="IIC30" s="545"/>
      <c r="IID30" s="545"/>
      <c r="IIE30" s="545"/>
      <c r="IIF30" s="545"/>
      <c r="IIG30" s="545"/>
      <c r="IIH30" s="545"/>
      <c r="III30" s="545"/>
      <c r="IIJ30" s="545"/>
      <c r="IIK30" s="545"/>
      <c r="IIL30" s="545"/>
      <c r="IIM30" s="545"/>
      <c r="IIN30" s="545"/>
      <c r="IIO30" s="545"/>
      <c r="IIP30" s="545"/>
      <c r="IIQ30" s="545"/>
      <c r="IIR30" s="545"/>
      <c r="IIS30" s="545"/>
      <c r="IIT30" s="545"/>
      <c r="IIU30" s="545"/>
      <c r="IIV30" s="545"/>
      <c r="IIW30" s="545"/>
      <c r="IIX30" s="545"/>
      <c r="IIY30" s="545"/>
      <c r="IIZ30" s="545"/>
      <c r="IJA30" s="545"/>
      <c r="IJB30" s="545"/>
      <c r="IJC30" s="545"/>
      <c r="IJD30" s="545"/>
      <c r="IJE30" s="545"/>
      <c r="IJF30" s="545"/>
      <c r="IJG30" s="545"/>
      <c r="IJH30" s="545"/>
      <c r="IJI30" s="545"/>
      <c r="IJJ30" s="545"/>
      <c r="IJK30" s="545"/>
      <c r="IJL30" s="545"/>
      <c r="IJM30" s="545"/>
      <c r="IJN30" s="545"/>
      <c r="IJO30" s="545"/>
      <c r="IJP30" s="545"/>
      <c r="IJQ30" s="545"/>
      <c r="IJR30" s="545"/>
      <c r="IJS30" s="545"/>
      <c r="IJT30" s="545"/>
      <c r="IJU30" s="545"/>
      <c r="IJV30" s="545"/>
      <c r="IJW30" s="545"/>
      <c r="IJX30" s="545"/>
      <c r="IJY30" s="545"/>
      <c r="IJZ30" s="545"/>
      <c r="IKA30" s="545"/>
      <c r="IKB30" s="545"/>
      <c r="IKC30" s="545"/>
      <c r="IKD30" s="545"/>
      <c r="IKE30" s="545"/>
      <c r="IKF30" s="545"/>
      <c r="IKG30" s="545"/>
      <c r="IKH30" s="545"/>
      <c r="IKI30" s="545"/>
      <c r="IKJ30" s="545"/>
      <c r="IKK30" s="545"/>
      <c r="IKL30" s="545"/>
      <c r="IKM30" s="545"/>
      <c r="IKN30" s="545"/>
      <c r="IKO30" s="545"/>
      <c r="IKP30" s="545"/>
      <c r="IKQ30" s="545"/>
      <c r="IKR30" s="545"/>
      <c r="IKS30" s="545"/>
      <c r="IKT30" s="545"/>
      <c r="IKU30" s="545"/>
      <c r="IKV30" s="545"/>
      <c r="IKW30" s="545"/>
      <c r="IKX30" s="545"/>
      <c r="IKY30" s="545"/>
      <c r="IKZ30" s="545"/>
      <c r="ILA30" s="545"/>
      <c r="ILB30" s="545"/>
      <c r="ILC30" s="545"/>
      <c r="ILD30" s="545"/>
      <c r="ILE30" s="545"/>
      <c r="ILF30" s="545"/>
      <c r="ILG30" s="545"/>
      <c r="ILH30" s="545"/>
      <c r="ILI30" s="545"/>
      <c r="ILJ30" s="545"/>
      <c r="ILK30" s="545"/>
      <c r="ILL30" s="545"/>
      <c r="ILM30" s="545"/>
      <c r="ILN30" s="545"/>
      <c r="ILO30" s="545"/>
      <c r="ILP30" s="545"/>
      <c r="ILQ30" s="545"/>
      <c r="ILR30" s="545"/>
      <c r="ILS30" s="545"/>
      <c r="ILT30" s="545"/>
      <c r="ILU30" s="545"/>
      <c r="ILV30" s="545"/>
      <c r="ILW30" s="545"/>
      <c r="ILX30" s="545"/>
      <c r="ILY30" s="545"/>
      <c r="ILZ30" s="545"/>
      <c r="IMA30" s="545"/>
      <c r="IMB30" s="545"/>
      <c r="IMC30" s="545"/>
      <c r="IMD30" s="545"/>
      <c r="IME30" s="545"/>
      <c r="IMF30" s="545"/>
      <c r="IMG30" s="545"/>
      <c r="IMH30" s="545"/>
      <c r="IMI30" s="545"/>
      <c r="IMJ30" s="545"/>
      <c r="IMK30" s="545"/>
      <c r="IML30" s="545"/>
      <c r="IMM30" s="545"/>
      <c r="IMN30" s="545"/>
      <c r="IMO30" s="545"/>
      <c r="IMP30" s="545"/>
      <c r="IMQ30" s="545"/>
      <c r="IMR30" s="545"/>
      <c r="IMS30" s="545"/>
      <c r="IMT30" s="545"/>
      <c r="IMU30" s="545"/>
      <c r="IMV30" s="545"/>
      <c r="IMW30" s="545"/>
      <c r="IMX30" s="545"/>
      <c r="IMY30" s="545"/>
      <c r="IMZ30" s="545"/>
      <c r="INA30" s="545"/>
      <c r="INB30" s="545"/>
      <c r="INC30" s="545"/>
      <c r="IND30" s="545"/>
      <c r="INE30" s="545"/>
      <c r="INF30" s="545"/>
      <c r="ING30" s="545"/>
      <c r="INH30" s="545"/>
      <c r="INI30" s="545"/>
      <c r="INJ30" s="545"/>
      <c r="INK30" s="545"/>
      <c r="INL30" s="545"/>
      <c r="INM30" s="545"/>
      <c r="INN30" s="545"/>
      <c r="INO30" s="545"/>
      <c r="INP30" s="545"/>
      <c r="INQ30" s="545"/>
      <c r="INR30" s="545"/>
      <c r="INS30" s="545"/>
      <c r="INT30" s="545"/>
      <c r="INU30" s="545"/>
      <c r="INV30" s="545"/>
      <c r="INW30" s="545"/>
      <c r="INX30" s="545"/>
      <c r="INY30" s="545"/>
      <c r="INZ30" s="545"/>
      <c r="IOA30" s="545"/>
      <c r="IOB30" s="545"/>
      <c r="IOC30" s="545"/>
      <c r="IOD30" s="545"/>
      <c r="IOE30" s="545"/>
      <c r="IOF30" s="545"/>
      <c r="IOG30" s="545"/>
      <c r="IOH30" s="545"/>
      <c r="IOI30" s="545"/>
      <c r="IOJ30" s="545"/>
      <c r="IOK30" s="545"/>
      <c r="IOL30" s="545"/>
      <c r="IOM30" s="545"/>
      <c r="ION30" s="545"/>
      <c r="IOO30" s="545"/>
      <c r="IOP30" s="545"/>
      <c r="IOQ30" s="545"/>
      <c r="IOR30" s="545"/>
      <c r="IOS30" s="545"/>
      <c r="IOT30" s="545"/>
      <c r="IOU30" s="545"/>
      <c r="IOV30" s="545"/>
      <c r="IOW30" s="545"/>
      <c r="IOX30" s="545"/>
      <c r="IOY30" s="545"/>
      <c r="IOZ30" s="545"/>
      <c r="IPA30" s="545"/>
      <c r="IPB30" s="545"/>
      <c r="IPC30" s="545"/>
      <c r="IPD30" s="545"/>
      <c r="IPE30" s="545"/>
      <c r="IPF30" s="545"/>
      <c r="IPG30" s="545"/>
      <c r="IPH30" s="545"/>
      <c r="IPI30" s="545"/>
      <c r="IPJ30" s="545"/>
      <c r="IPK30" s="545"/>
      <c r="IPL30" s="545"/>
      <c r="IPM30" s="545"/>
      <c r="IPN30" s="545"/>
      <c r="IPO30" s="545"/>
      <c r="IPP30" s="545"/>
      <c r="IPQ30" s="545"/>
      <c r="IPR30" s="545"/>
      <c r="IPS30" s="545"/>
      <c r="IPT30" s="545"/>
      <c r="IPU30" s="545"/>
      <c r="IPV30" s="545"/>
      <c r="IPW30" s="545"/>
      <c r="IPX30" s="545"/>
      <c r="IPY30" s="545"/>
      <c r="IPZ30" s="545"/>
      <c r="IQA30" s="545"/>
      <c r="IQB30" s="545"/>
      <c r="IQC30" s="545"/>
      <c r="IQD30" s="545"/>
      <c r="IQE30" s="545"/>
      <c r="IQF30" s="545"/>
      <c r="IQG30" s="545"/>
      <c r="IQH30" s="545"/>
      <c r="IQI30" s="545"/>
      <c r="IQJ30" s="545"/>
      <c r="IQK30" s="545"/>
      <c r="IQL30" s="545"/>
      <c r="IQM30" s="545"/>
      <c r="IQN30" s="545"/>
      <c r="IQO30" s="545"/>
      <c r="IQP30" s="545"/>
      <c r="IQQ30" s="545"/>
      <c r="IQR30" s="545"/>
      <c r="IQS30" s="545"/>
      <c r="IQT30" s="545"/>
      <c r="IQU30" s="545"/>
      <c r="IQV30" s="545"/>
      <c r="IQW30" s="545"/>
      <c r="IQX30" s="545"/>
      <c r="IQY30" s="545"/>
      <c r="IQZ30" s="545"/>
      <c r="IRA30" s="545"/>
      <c r="IRB30" s="545"/>
      <c r="IRC30" s="545"/>
      <c r="IRD30" s="545"/>
      <c r="IRE30" s="545"/>
      <c r="IRF30" s="545"/>
      <c r="IRG30" s="545"/>
      <c r="IRH30" s="545"/>
      <c r="IRI30" s="545"/>
      <c r="IRJ30" s="545"/>
      <c r="IRK30" s="545"/>
      <c r="IRL30" s="545"/>
      <c r="IRM30" s="545"/>
      <c r="IRN30" s="545"/>
      <c r="IRO30" s="545"/>
      <c r="IRP30" s="545"/>
      <c r="IRQ30" s="545"/>
      <c r="IRR30" s="545"/>
      <c r="IRS30" s="545"/>
      <c r="IRT30" s="545"/>
      <c r="IRU30" s="545"/>
      <c r="IRV30" s="545"/>
      <c r="IRW30" s="545"/>
      <c r="IRX30" s="545"/>
      <c r="IRY30" s="545"/>
      <c r="IRZ30" s="545"/>
      <c r="ISA30" s="545"/>
      <c r="ISB30" s="545"/>
      <c r="ISC30" s="545"/>
      <c r="ISD30" s="545"/>
      <c r="ISE30" s="545"/>
      <c r="ISF30" s="545"/>
      <c r="ISG30" s="545"/>
      <c r="ISH30" s="545"/>
      <c r="ISI30" s="545"/>
      <c r="ISJ30" s="545"/>
      <c r="ISK30" s="545"/>
      <c r="ISL30" s="545"/>
      <c r="ISM30" s="545"/>
      <c r="ISN30" s="545"/>
      <c r="ISO30" s="545"/>
      <c r="ISP30" s="545"/>
      <c r="ISQ30" s="545"/>
      <c r="ISR30" s="545"/>
      <c r="ISS30" s="545"/>
      <c r="IST30" s="545"/>
      <c r="ISU30" s="545"/>
      <c r="ISV30" s="545"/>
      <c r="ISW30" s="545"/>
      <c r="ISX30" s="545"/>
      <c r="ISY30" s="545"/>
      <c r="ISZ30" s="545"/>
      <c r="ITA30" s="545"/>
      <c r="ITB30" s="545"/>
      <c r="ITC30" s="545"/>
      <c r="ITD30" s="545"/>
      <c r="ITE30" s="545"/>
      <c r="ITF30" s="545"/>
      <c r="ITG30" s="545"/>
      <c r="ITH30" s="545"/>
      <c r="ITI30" s="545"/>
      <c r="ITJ30" s="545"/>
      <c r="ITK30" s="545"/>
      <c r="ITL30" s="545"/>
      <c r="ITM30" s="545"/>
      <c r="ITN30" s="545"/>
      <c r="ITO30" s="545"/>
      <c r="ITP30" s="545"/>
      <c r="ITQ30" s="545"/>
      <c r="ITR30" s="545"/>
      <c r="ITS30" s="545"/>
      <c r="ITT30" s="545"/>
      <c r="ITU30" s="545"/>
      <c r="ITV30" s="545"/>
      <c r="ITW30" s="545"/>
      <c r="ITX30" s="545"/>
      <c r="ITY30" s="545"/>
      <c r="ITZ30" s="545"/>
      <c r="IUA30" s="545"/>
      <c r="IUB30" s="545"/>
      <c r="IUC30" s="545"/>
      <c r="IUD30" s="545"/>
      <c r="IUE30" s="545"/>
      <c r="IUF30" s="545"/>
      <c r="IUG30" s="545"/>
      <c r="IUH30" s="545"/>
      <c r="IUI30" s="545"/>
      <c r="IUJ30" s="545"/>
      <c r="IUK30" s="545"/>
      <c r="IUL30" s="545"/>
      <c r="IUM30" s="545"/>
      <c r="IUN30" s="545"/>
      <c r="IUO30" s="545"/>
      <c r="IUP30" s="545"/>
      <c r="IUQ30" s="545"/>
      <c r="IUR30" s="545"/>
      <c r="IUS30" s="545"/>
      <c r="IUT30" s="545"/>
      <c r="IUU30" s="545"/>
      <c r="IUV30" s="545"/>
      <c r="IUW30" s="545"/>
      <c r="IUX30" s="545"/>
      <c r="IUY30" s="545"/>
      <c r="IUZ30" s="545"/>
      <c r="IVA30" s="545"/>
      <c r="IVB30" s="545"/>
      <c r="IVC30" s="545"/>
      <c r="IVD30" s="545"/>
      <c r="IVE30" s="545"/>
      <c r="IVF30" s="545"/>
      <c r="IVG30" s="545"/>
      <c r="IVH30" s="545"/>
      <c r="IVI30" s="545"/>
      <c r="IVJ30" s="545"/>
      <c r="IVK30" s="545"/>
      <c r="IVL30" s="545"/>
      <c r="IVM30" s="545"/>
      <c r="IVN30" s="545"/>
      <c r="IVO30" s="545"/>
      <c r="IVP30" s="545"/>
      <c r="IVQ30" s="545"/>
      <c r="IVR30" s="545"/>
      <c r="IVS30" s="545"/>
      <c r="IVT30" s="545"/>
      <c r="IVU30" s="545"/>
      <c r="IVV30" s="545"/>
      <c r="IVW30" s="545"/>
      <c r="IVX30" s="545"/>
      <c r="IVY30" s="545"/>
      <c r="IVZ30" s="545"/>
      <c r="IWA30" s="545"/>
      <c r="IWB30" s="545"/>
      <c r="IWC30" s="545"/>
      <c r="IWD30" s="545"/>
      <c r="IWE30" s="545"/>
      <c r="IWF30" s="545"/>
      <c r="IWG30" s="545"/>
      <c r="IWH30" s="545"/>
      <c r="IWI30" s="545"/>
      <c r="IWJ30" s="545"/>
      <c r="IWK30" s="545"/>
      <c r="IWL30" s="545"/>
      <c r="IWM30" s="545"/>
      <c r="IWN30" s="545"/>
      <c r="IWO30" s="545"/>
      <c r="IWP30" s="545"/>
      <c r="IWQ30" s="545"/>
      <c r="IWR30" s="545"/>
      <c r="IWS30" s="545"/>
      <c r="IWT30" s="545"/>
      <c r="IWU30" s="545"/>
      <c r="IWV30" s="545"/>
      <c r="IWW30" s="545"/>
      <c r="IWX30" s="545"/>
      <c r="IWY30" s="545"/>
      <c r="IWZ30" s="545"/>
      <c r="IXA30" s="545"/>
      <c r="IXB30" s="545"/>
      <c r="IXC30" s="545"/>
      <c r="IXD30" s="545"/>
      <c r="IXE30" s="545"/>
      <c r="IXF30" s="545"/>
      <c r="IXG30" s="545"/>
      <c r="IXH30" s="545"/>
      <c r="IXI30" s="545"/>
      <c r="IXJ30" s="545"/>
      <c r="IXK30" s="545"/>
      <c r="IXL30" s="545"/>
      <c r="IXM30" s="545"/>
      <c r="IXN30" s="545"/>
      <c r="IXO30" s="545"/>
      <c r="IXP30" s="545"/>
      <c r="IXQ30" s="545"/>
      <c r="IXR30" s="545"/>
      <c r="IXS30" s="545"/>
      <c r="IXT30" s="545"/>
      <c r="IXU30" s="545"/>
      <c r="IXV30" s="545"/>
      <c r="IXW30" s="545"/>
      <c r="IXX30" s="545"/>
      <c r="IXY30" s="545"/>
      <c r="IXZ30" s="545"/>
      <c r="IYA30" s="545"/>
      <c r="IYB30" s="545"/>
      <c r="IYC30" s="545"/>
      <c r="IYD30" s="545"/>
      <c r="IYE30" s="545"/>
      <c r="IYF30" s="545"/>
      <c r="IYG30" s="545"/>
      <c r="IYH30" s="545"/>
      <c r="IYI30" s="545"/>
      <c r="IYJ30" s="545"/>
      <c r="IYK30" s="545"/>
      <c r="IYL30" s="545"/>
      <c r="IYM30" s="545"/>
      <c r="IYN30" s="545"/>
      <c r="IYO30" s="545"/>
      <c r="IYP30" s="545"/>
      <c r="IYQ30" s="545"/>
      <c r="IYR30" s="545"/>
      <c r="IYS30" s="545"/>
      <c r="IYT30" s="545"/>
      <c r="IYU30" s="545"/>
      <c r="IYV30" s="545"/>
      <c r="IYW30" s="545"/>
      <c r="IYX30" s="545"/>
      <c r="IYY30" s="545"/>
      <c r="IYZ30" s="545"/>
      <c r="IZA30" s="545"/>
      <c r="IZB30" s="545"/>
      <c r="IZC30" s="545"/>
      <c r="IZD30" s="545"/>
      <c r="IZE30" s="545"/>
      <c r="IZF30" s="545"/>
      <c r="IZG30" s="545"/>
      <c r="IZH30" s="545"/>
      <c r="IZI30" s="545"/>
      <c r="IZJ30" s="545"/>
      <c r="IZK30" s="545"/>
      <c r="IZL30" s="545"/>
      <c r="IZM30" s="545"/>
      <c r="IZN30" s="545"/>
      <c r="IZO30" s="545"/>
      <c r="IZP30" s="545"/>
      <c r="IZQ30" s="545"/>
      <c r="IZR30" s="545"/>
      <c r="IZS30" s="545"/>
      <c r="IZT30" s="545"/>
      <c r="IZU30" s="545"/>
      <c r="IZV30" s="545"/>
      <c r="IZW30" s="545"/>
      <c r="IZX30" s="545"/>
      <c r="IZY30" s="545"/>
      <c r="IZZ30" s="545"/>
      <c r="JAA30" s="545"/>
      <c r="JAB30" s="545"/>
      <c r="JAC30" s="545"/>
      <c r="JAD30" s="545"/>
      <c r="JAE30" s="545"/>
      <c r="JAF30" s="545"/>
      <c r="JAG30" s="545"/>
      <c r="JAH30" s="545"/>
      <c r="JAI30" s="545"/>
      <c r="JAJ30" s="545"/>
      <c r="JAK30" s="545"/>
      <c r="JAL30" s="545"/>
      <c r="JAM30" s="545"/>
      <c r="JAN30" s="545"/>
      <c r="JAO30" s="545"/>
      <c r="JAP30" s="545"/>
      <c r="JAQ30" s="545"/>
      <c r="JAR30" s="545"/>
      <c r="JAS30" s="545"/>
      <c r="JAT30" s="545"/>
      <c r="JAU30" s="545"/>
      <c r="JAV30" s="545"/>
      <c r="JAW30" s="545"/>
      <c r="JAX30" s="545"/>
      <c r="JAY30" s="545"/>
      <c r="JAZ30" s="545"/>
      <c r="JBA30" s="545"/>
      <c r="JBB30" s="545"/>
      <c r="JBC30" s="545"/>
      <c r="JBD30" s="545"/>
      <c r="JBE30" s="545"/>
      <c r="JBF30" s="545"/>
      <c r="JBG30" s="545"/>
      <c r="JBH30" s="545"/>
      <c r="JBI30" s="545"/>
      <c r="JBJ30" s="545"/>
      <c r="JBK30" s="545"/>
      <c r="JBL30" s="545"/>
      <c r="JBM30" s="545"/>
      <c r="JBN30" s="545"/>
      <c r="JBO30" s="545"/>
      <c r="JBP30" s="545"/>
      <c r="JBQ30" s="545"/>
      <c r="JBR30" s="545"/>
      <c r="JBS30" s="545"/>
      <c r="JBT30" s="545"/>
      <c r="JBU30" s="545"/>
      <c r="JBV30" s="545"/>
      <c r="JBW30" s="545"/>
      <c r="JBX30" s="545"/>
      <c r="JBY30" s="545"/>
      <c r="JBZ30" s="545"/>
      <c r="JCA30" s="545"/>
      <c r="JCB30" s="545"/>
      <c r="JCC30" s="545"/>
      <c r="JCD30" s="545"/>
      <c r="JCE30" s="545"/>
      <c r="JCF30" s="545"/>
      <c r="JCG30" s="545"/>
      <c r="JCH30" s="545"/>
      <c r="JCI30" s="545"/>
      <c r="JCJ30" s="545"/>
      <c r="JCK30" s="545"/>
      <c r="JCL30" s="545"/>
      <c r="JCM30" s="545"/>
      <c r="JCN30" s="545"/>
      <c r="JCO30" s="545"/>
      <c r="JCP30" s="545"/>
      <c r="JCQ30" s="545"/>
      <c r="JCR30" s="545"/>
      <c r="JCS30" s="545"/>
      <c r="JCT30" s="545"/>
      <c r="JCU30" s="545"/>
      <c r="JCV30" s="545"/>
      <c r="JCW30" s="545"/>
      <c r="JCX30" s="545"/>
      <c r="JCY30" s="545"/>
      <c r="JCZ30" s="545"/>
      <c r="JDA30" s="545"/>
      <c r="JDB30" s="545"/>
      <c r="JDC30" s="545"/>
      <c r="JDD30" s="545"/>
      <c r="JDE30" s="545"/>
      <c r="JDF30" s="545"/>
      <c r="JDG30" s="545"/>
      <c r="JDH30" s="545"/>
      <c r="JDI30" s="545"/>
      <c r="JDJ30" s="545"/>
      <c r="JDK30" s="545"/>
      <c r="JDL30" s="545"/>
      <c r="JDM30" s="545"/>
      <c r="JDN30" s="545"/>
      <c r="JDO30" s="545"/>
      <c r="JDP30" s="545"/>
      <c r="JDQ30" s="545"/>
      <c r="JDR30" s="545"/>
      <c r="JDS30" s="545"/>
      <c r="JDT30" s="545"/>
      <c r="JDU30" s="545"/>
      <c r="JDV30" s="545"/>
      <c r="JDW30" s="545"/>
      <c r="JDX30" s="545"/>
      <c r="JDY30" s="545"/>
      <c r="JDZ30" s="545"/>
      <c r="JEA30" s="545"/>
      <c r="JEB30" s="545"/>
      <c r="JEC30" s="545"/>
      <c r="JED30" s="545"/>
      <c r="JEE30" s="545"/>
      <c r="JEF30" s="545"/>
      <c r="JEG30" s="545"/>
      <c r="JEH30" s="545"/>
      <c r="JEI30" s="545"/>
      <c r="JEJ30" s="545"/>
      <c r="JEK30" s="545"/>
      <c r="JEL30" s="545"/>
      <c r="JEM30" s="545"/>
      <c r="JEN30" s="545"/>
      <c r="JEO30" s="545"/>
      <c r="JEP30" s="545"/>
      <c r="JEQ30" s="545"/>
      <c r="JER30" s="545"/>
      <c r="JES30" s="545"/>
      <c r="JET30" s="545"/>
      <c r="JEU30" s="545"/>
      <c r="JEV30" s="545"/>
      <c r="JEW30" s="545"/>
      <c r="JEX30" s="545"/>
      <c r="JEY30" s="545"/>
      <c r="JEZ30" s="545"/>
      <c r="JFA30" s="545"/>
      <c r="JFB30" s="545"/>
      <c r="JFC30" s="545"/>
      <c r="JFD30" s="545"/>
      <c r="JFE30" s="545"/>
      <c r="JFF30" s="545"/>
      <c r="JFG30" s="545"/>
      <c r="JFH30" s="545"/>
      <c r="JFI30" s="545"/>
      <c r="JFJ30" s="545"/>
      <c r="JFK30" s="545"/>
      <c r="JFL30" s="545"/>
      <c r="JFM30" s="545"/>
      <c r="JFN30" s="545"/>
      <c r="JFO30" s="545"/>
      <c r="JFP30" s="545"/>
      <c r="JFQ30" s="545"/>
      <c r="JFR30" s="545"/>
      <c r="JFS30" s="545"/>
      <c r="JFT30" s="545"/>
      <c r="JFU30" s="545"/>
      <c r="JFV30" s="545"/>
      <c r="JFW30" s="545"/>
      <c r="JFX30" s="545"/>
      <c r="JFY30" s="545"/>
      <c r="JFZ30" s="545"/>
      <c r="JGA30" s="545"/>
      <c r="JGB30" s="545"/>
      <c r="JGC30" s="545"/>
      <c r="JGD30" s="545"/>
      <c r="JGE30" s="545"/>
      <c r="JGF30" s="545"/>
      <c r="JGG30" s="545"/>
      <c r="JGH30" s="545"/>
      <c r="JGI30" s="545"/>
      <c r="JGJ30" s="545"/>
      <c r="JGK30" s="545"/>
      <c r="JGL30" s="545"/>
      <c r="JGM30" s="545"/>
      <c r="JGN30" s="545"/>
      <c r="JGO30" s="545"/>
      <c r="JGP30" s="545"/>
      <c r="JGQ30" s="545"/>
      <c r="JGR30" s="545"/>
      <c r="JGS30" s="545"/>
      <c r="JGT30" s="545"/>
      <c r="JGU30" s="545"/>
      <c r="JGV30" s="545"/>
      <c r="JGW30" s="545"/>
      <c r="JGX30" s="545"/>
      <c r="JGY30" s="545"/>
      <c r="JGZ30" s="545"/>
      <c r="JHA30" s="545"/>
      <c r="JHB30" s="545"/>
      <c r="JHC30" s="545"/>
      <c r="JHD30" s="545"/>
      <c r="JHE30" s="545"/>
      <c r="JHF30" s="545"/>
      <c r="JHG30" s="545"/>
      <c r="JHH30" s="545"/>
      <c r="JHI30" s="545"/>
      <c r="JHJ30" s="545"/>
      <c r="JHK30" s="545"/>
      <c r="JHL30" s="545"/>
      <c r="JHM30" s="545"/>
      <c r="JHN30" s="545"/>
      <c r="JHO30" s="545"/>
      <c r="JHP30" s="545"/>
      <c r="JHQ30" s="545"/>
      <c r="JHR30" s="545"/>
      <c r="JHS30" s="545"/>
      <c r="JHT30" s="545"/>
      <c r="JHU30" s="545"/>
      <c r="JHV30" s="545"/>
      <c r="JHW30" s="545"/>
      <c r="JHX30" s="545"/>
      <c r="JHY30" s="545"/>
      <c r="JHZ30" s="545"/>
      <c r="JIA30" s="545"/>
      <c r="JIB30" s="545"/>
      <c r="JIC30" s="545"/>
      <c r="JID30" s="545"/>
      <c r="JIE30" s="545"/>
      <c r="JIF30" s="545"/>
      <c r="JIG30" s="545"/>
      <c r="JIH30" s="545"/>
      <c r="JII30" s="545"/>
      <c r="JIJ30" s="545"/>
      <c r="JIK30" s="545"/>
      <c r="JIL30" s="545"/>
      <c r="JIM30" s="545"/>
      <c r="JIN30" s="545"/>
      <c r="JIO30" s="545"/>
      <c r="JIP30" s="545"/>
      <c r="JIQ30" s="545"/>
      <c r="JIR30" s="545"/>
      <c r="JIS30" s="545"/>
      <c r="JIT30" s="545"/>
      <c r="JIU30" s="545"/>
      <c r="JIV30" s="545"/>
      <c r="JIW30" s="545"/>
      <c r="JIX30" s="545"/>
      <c r="JIY30" s="545"/>
      <c r="JIZ30" s="545"/>
      <c r="JJA30" s="545"/>
      <c r="JJB30" s="545"/>
      <c r="JJC30" s="545"/>
      <c r="JJD30" s="545"/>
      <c r="JJE30" s="545"/>
      <c r="JJF30" s="545"/>
      <c r="JJG30" s="545"/>
      <c r="JJH30" s="545"/>
      <c r="JJI30" s="545"/>
      <c r="JJJ30" s="545"/>
      <c r="JJK30" s="545"/>
      <c r="JJL30" s="545"/>
      <c r="JJM30" s="545"/>
      <c r="JJN30" s="545"/>
      <c r="JJO30" s="545"/>
      <c r="JJP30" s="545"/>
      <c r="JJQ30" s="545"/>
      <c r="JJR30" s="545"/>
      <c r="JJS30" s="545"/>
      <c r="JJT30" s="545"/>
      <c r="JJU30" s="545"/>
      <c r="JJV30" s="545"/>
      <c r="JJW30" s="545"/>
      <c r="JJX30" s="545"/>
      <c r="JJY30" s="545"/>
      <c r="JJZ30" s="545"/>
      <c r="JKA30" s="545"/>
      <c r="JKB30" s="545"/>
      <c r="JKC30" s="545"/>
      <c r="JKD30" s="545"/>
      <c r="JKE30" s="545"/>
      <c r="JKF30" s="545"/>
      <c r="JKG30" s="545"/>
      <c r="JKH30" s="545"/>
      <c r="JKI30" s="545"/>
      <c r="JKJ30" s="545"/>
      <c r="JKK30" s="545"/>
      <c r="JKL30" s="545"/>
      <c r="JKM30" s="545"/>
      <c r="JKN30" s="545"/>
      <c r="JKO30" s="545"/>
      <c r="JKP30" s="545"/>
      <c r="JKQ30" s="545"/>
      <c r="JKR30" s="545"/>
      <c r="JKS30" s="545"/>
      <c r="JKT30" s="545"/>
      <c r="JKU30" s="545"/>
      <c r="JKV30" s="545"/>
      <c r="JKW30" s="545"/>
      <c r="JKX30" s="545"/>
      <c r="JKY30" s="545"/>
      <c r="JKZ30" s="545"/>
      <c r="JLA30" s="545"/>
      <c r="JLB30" s="545"/>
      <c r="JLC30" s="545"/>
      <c r="JLD30" s="545"/>
      <c r="JLE30" s="545"/>
      <c r="JLF30" s="545"/>
      <c r="JLG30" s="545"/>
      <c r="JLH30" s="545"/>
      <c r="JLI30" s="545"/>
      <c r="JLJ30" s="545"/>
      <c r="JLK30" s="545"/>
      <c r="JLL30" s="545"/>
      <c r="JLM30" s="545"/>
      <c r="JLN30" s="545"/>
      <c r="JLO30" s="545"/>
      <c r="JLP30" s="545"/>
      <c r="JLQ30" s="545"/>
      <c r="JLR30" s="545"/>
      <c r="JLS30" s="545"/>
      <c r="JLT30" s="545"/>
      <c r="JLU30" s="545"/>
      <c r="JLV30" s="545"/>
      <c r="JLW30" s="545"/>
      <c r="JLX30" s="545"/>
      <c r="JLY30" s="545"/>
      <c r="JLZ30" s="545"/>
      <c r="JMA30" s="545"/>
      <c r="JMB30" s="545"/>
      <c r="JMC30" s="545"/>
      <c r="JMD30" s="545"/>
      <c r="JME30" s="545"/>
      <c r="JMF30" s="545"/>
      <c r="JMG30" s="545"/>
      <c r="JMH30" s="545"/>
      <c r="JMI30" s="545"/>
      <c r="JMJ30" s="545"/>
      <c r="JMK30" s="545"/>
      <c r="JML30" s="545"/>
      <c r="JMM30" s="545"/>
      <c r="JMN30" s="545"/>
      <c r="JMO30" s="545"/>
      <c r="JMP30" s="545"/>
      <c r="JMQ30" s="545"/>
      <c r="JMR30" s="545"/>
      <c r="JMS30" s="545"/>
      <c r="JMT30" s="545"/>
      <c r="JMU30" s="545"/>
      <c r="JMV30" s="545"/>
      <c r="JMW30" s="545"/>
      <c r="JMX30" s="545"/>
      <c r="JMY30" s="545"/>
      <c r="JMZ30" s="545"/>
      <c r="JNA30" s="545"/>
      <c r="JNB30" s="545"/>
      <c r="JNC30" s="545"/>
      <c r="JND30" s="545"/>
      <c r="JNE30" s="545"/>
      <c r="JNF30" s="545"/>
      <c r="JNG30" s="545"/>
      <c r="JNH30" s="545"/>
      <c r="JNI30" s="545"/>
      <c r="JNJ30" s="545"/>
      <c r="JNK30" s="545"/>
      <c r="JNL30" s="545"/>
      <c r="JNM30" s="545"/>
      <c r="JNN30" s="545"/>
      <c r="JNO30" s="545"/>
      <c r="JNP30" s="545"/>
      <c r="JNQ30" s="545"/>
      <c r="JNR30" s="545"/>
      <c r="JNS30" s="545"/>
      <c r="JNT30" s="545"/>
      <c r="JNU30" s="545"/>
      <c r="JNV30" s="545"/>
      <c r="JNW30" s="545"/>
      <c r="JNX30" s="545"/>
      <c r="JNY30" s="545"/>
      <c r="JNZ30" s="545"/>
      <c r="JOA30" s="545"/>
      <c r="JOB30" s="545"/>
      <c r="JOC30" s="545"/>
      <c r="JOD30" s="545"/>
      <c r="JOE30" s="545"/>
      <c r="JOF30" s="545"/>
      <c r="JOG30" s="545"/>
      <c r="JOH30" s="545"/>
      <c r="JOI30" s="545"/>
      <c r="JOJ30" s="545"/>
      <c r="JOK30" s="545"/>
      <c r="JOL30" s="545"/>
      <c r="JOM30" s="545"/>
      <c r="JON30" s="545"/>
      <c r="JOO30" s="545"/>
      <c r="JOP30" s="545"/>
      <c r="JOQ30" s="545"/>
      <c r="JOR30" s="545"/>
      <c r="JOS30" s="545"/>
      <c r="JOT30" s="545"/>
      <c r="JOU30" s="545"/>
      <c r="JOV30" s="545"/>
      <c r="JOW30" s="545"/>
      <c r="JOX30" s="545"/>
      <c r="JOY30" s="545"/>
      <c r="JOZ30" s="545"/>
      <c r="JPA30" s="545"/>
      <c r="JPB30" s="545"/>
      <c r="JPC30" s="545"/>
      <c r="JPD30" s="545"/>
      <c r="JPE30" s="545"/>
      <c r="JPF30" s="545"/>
      <c r="JPG30" s="545"/>
      <c r="JPH30" s="545"/>
      <c r="JPI30" s="545"/>
      <c r="JPJ30" s="545"/>
      <c r="JPK30" s="545"/>
      <c r="JPL30" s="545"/>
      <c r="JPM30" s="545"/>
      <c r="JPN30" s="545"/>
      <c r="JPO30" s="545"/>
      <c r="JPP30" s="545"/>
      <c r="JPQ30" s="545"/>
      <c r="JPR30" s="545"/>
      <c r="JPS30" s="545"/>
      <c r="JPT30" s="545"/>
      <c r="JPU30" s="545"/>
      <c r="JPV30" s="545"/>
      <c r="JPW30" s="545"/>
      <c r="JPX30" s="545"/>
      <c r="JPY30" s="545"/>
      <c r="JPZ30" s="545"/>
      <c r="JQA30" s="545"/>
      <c r="JQB30" s="545"/>
      <c r="JQC30" s="545"/>
      <c r="JQD30" s="545"/>
      <c r="JQE30" s="545"/>
      <c r="JQF30" s="545"/>
      <c r="JQG30" s="545"/>
      <c r="JQH30" s="545"/>
      <c r="JQI30" s="545"/>
      <c r="JQJ30" s="545"/>
      <c r="JQK30" s="545"/>
      <c r="JQL30" s="545"/>
      <c r="JQM30" s="545"/>
      <c r="JQN30" s="545"/>
      <c r="JQO30" s="545"/>
      <c r="JQP30" s="545"/>
      <c r="JQQ30" s="545"/>
      <c r="JQR30" s="545"/>
      <c r="JQS30" s="545"/>
      <c r="JQT30" s="545"/>
      <c r="JQU30" s="545"/>
      <c r="JQV30" s="545"/>
      <c r="JQW30" s="545"/>
      <c r="JQX30" s="545"/>
      <c r="JQY30" s="545"/>
      <c r="JQZ30" s="545"/>
      <c r="JRA30" s="545"/>
      <c r="JRB30" s="545"/>
      <c r="JRC30" s="545"/>
      <c r="JRD30" s="545"/>
      <c r="JRE30" s="545"/>
      <c r="JRF30" s="545"/>
      <c r="JRG30" s="545"/>
      <c r="JRH30" s="545"/>
      <c r="JRI30" s="545"/>
      <c r="JRJ30" s="545"/>
      <c r="JRK30" s="545"/>
      <c r="JRL30" s="545"/>
      <c r="JRM30" s="545"/>
      <c r="JRN30" s="545"/>
      <c r="JRO30" s="545"/>
      <c r="JRP30" s="545"/>
      <c r="JRQ30" s="545"/>
      <c r="JRR30" s="545"/>
      <c r="JRS30" s="545"/>
      <c r="JRT30" s="545"/>
      <c r="JRU30" s="545"/>
      <c r="JRV30" s="545"/>
      <c r="JRW30" s="545"/>
      <c r="JRX30" s="545"/>
      <c r="JRY30" s="545"/>
      <c r="JRZ30" s="545"/>
      <c r="JSA30" s="545"/>
      <c r="JSB30" s="545"/>
      <c r="JSC30" s="545"/>
      <c r="JSD30" s="545"/>
      <c r="JSE30" s="545"/>
      <c r="JSF30" s="545"/>
      <c r="JSG30" s="545"/>
      <c r="JSH30" s="545"/>
      <c r="JSI30" s="545"/>
      <c r="JSJ30" s="545"/>
      <c r="JSK30" s="545"/>
      <c r="JSL30" s="545"/>
      <c r="JSM30" s="545"/>
      <c r="JSN30" s="545"/>
      <c r="JSO30" s="545"/>
      <c r="JSP30" s="545"/>
      <c r="JSQ30" s="545"/>
      <c r="JSR30" s="545"/>
      <c r="JSS30" s="545"/>
      <c r="JST30" s="545"/>
      <c r="JSU30" s="545"/>
      <c r="JSV30" s="545"/>
      <c r="JSW30" s="545"/>
      <c r="JSX30" s="545"/>
      <c r="JSY30" s="545"/>
      <c r="JSZ30" s="545"/>
      <c r="JTA30" s="545"/>
      <c r="JTB30" s="545"/>
      <c r="JTC30" s="545"/>
      <c r="JTD30" s="545"/>
      <c r="JTE30" s="545"/>
      <c r="JTF30" s="545"/>
      <c r="JTG30" s="545"/>
      <c r="JTH30" s="545"/>
      <c r="JTI30" s="545"/>
      <c r="JTJ30" s="545"/>
      <c r="JTK30" s="545"/>
      <c r="JTL30" s="545"/>
      <c r="JTM30" s="545"/>
      <c r="JTN30" s="545"/>
      <c r="JTO30" s="545"/>
      <c r="JTP30" s="545"/>
      <c r="JTQ30" s="545"/>
      <c r="JTR30" s="545"/>
      <c r="JTS30" s="545"/>
      <c r="JTT30" s="545"/>
      <c r="JTU30" s="545"/>
      <c r="JTV30" s="545"/>
      <c r="JTW30" s="545"/>
      <c r="JTX30" s="545"/>
      <c r="JTY30" s="545"/>
      <c r="JTZ30" s="545"/>
      <c r="JUA30" s="545"/>
      <c r="JUB30" s="545"/>
      <c r="JUC30" s="545"/>
      <c r="JUD30" s="545"/>
      <c r="JUE30" s="545"/>
      <c r="JUF30" s="545"/>
      <c r="JUG30" s="545"/>
      <c r="JUH30" s="545"/>
      <c r="JUI30" s="545"/>
      <c r="JUJ30" s="545"/>
      <c r="JUK30" s="545"/>
      <c r="JUL30" s="545"/>
      <c r="JUM30" s="545"/>
      <c r="JUN30" s="545"/>
      <c r="JUO30" s="545"/>
      <c r="JUP30" s="545"/>
      <c r="JUQ30" s="545"/>
      <c r="JUR30" s="545"/>
      <c r="JUS30" s="545"/>
      <c r="JUT30" s="545"/>
      <c r="JUU30" s="545"/>
      <c r="JUV30" s="545"/>
      <c r="JUW30" s="545"/>
      <c r="JUX30" s="545"/>
      <c r="JUY30" s="545"/>
      <c r="JUZ30" s="545"/>
      <c r="JVA30" s="545"/>
      <c r="JVB30" s="545"/>
      <c r="JVC30" s="545"/>
      <c r="JVD30" s="545"/>
      <c r="JVE30" s="545"/>
      <c r="JVF30" s="545"/>
      <c r="JVG30" s="545"/>
      <c r="JVH30" s="545"/>
      <c r="JVI30" s="545"/>
      <c r="JVJ30" s="545"/>
      <c r="JVK30" s="545"/>
      <c r="JVL30" s="545"/>
      <c r="JVM30" s="545"/>
      <c r="JVN30" s="545"/>
      <c r="JVO30" s="545"/>
      <c r="JVP30" s="545"/>
      <c r="JVQ30" s="545"/>
      <c r="JVR30" s="545"/>
      <c r="JVS30" s="545"/>
      <c r="JVT30" s="545"/>
      <c r="JVU30" s="545"/>
      <c r="JVV30" s="545"/>
      <c r="JVW30" s="545"/>
      <c r="JVX30" s="545"/>
      <c r="JVY30" s="545"/>
      <c r="JVZ30" s="545"/>
      <c r="JWA30" s="545"/>
      <c r="JWB30" s="545"/>
      <c r="JWC30" s="545"/>
      <c r="JWD30" s="545"/>
      <c r="JWE30" s="545"/>
      <c r="JWF30" s="545"/>
      <c r="JWG30" s="545"/>
      <c r="JWH30" s="545"/>
      <c r="JWI30" s="545"/>
      <c r="JWJ30" s="545"/>
      <c r="JWK30" s="545"/>
      <c r="JWL30" s="545"/>
      <c r="JWM30" s="545"/>
      <c r="JWN30" s="545"/>
      <c r="JWO30" s="545"/>
      <c r="JWP30" s="545"/>
      <c r="JWQ30" s="545"/>
      <c r="JWR30" s="545"/>
      <c r="JWS30" s="545"/>
      <c r="JWT30" s="545"/>
      <c r="JWU30" s="545"/>
      <c r="JWV30" s="545"/>
      <c r="JWW30" s="545"/>
      <c r="JWX30" s="545"/>
      <c r="JWY30" s="545"/>
      <c r="JWZ30" s="545"/>
      <c r="JXA30" s="545"/>
      <c r="JXB30" s="545"/>
      <c r="JXC30" s="545"/>
      <c r="JXD30" s="545"/>
      <c r="JXE30" s="545"/>
      <c r="JXF30" s="545"/>
      <c r="JXG30" s="545"/>
      <c r="JXH30" s="545"/>
      <c r="JXI30" s="545"/>
      <c r="JXJ30" s="545"/>
      <c r="JXK30" s="545"/>
      <c r="JXL30" s="545"/>
      <c r="JXM30" s="545"/>
      <c r="JXN30" s="545"/>
      <c r="JXO30" s="545"/>
      <c r="JXP30" s="545"/>
      <c r="JXQ30" s="545"/>
      <c r="JXR30" s="545"/>
      <c r="JXS30" s="545"/>
      <c r="JXT30" s="545"/>
      <c r="JXU30" s="545"/>
      <c r="JXV30" s="545"/>
      <c r="JXW30" s="545"/>
      <c r="JXX30" s="545"/>
      <c r="JXY30" s="545"/>
      <c r="JXZ30" s="545"/>
      <c r="JYA30" s="545"/>
      <c r="JYB30" s="545"/>
      <c r="JYC30" s="545"/>
      <c r="JYD30" s="545"/>
      <c r="JYE30" s="545"/>
      <c r="JYF30" s="545"/>
      <c r="JYG30" s="545"/>
      <c r="JYH30" s="545"/>
      <c r="JYI30" s="545"/>
      <c r="JYJ30" s="545"/>
      <c r="JYK30" s="545"/>
      <c r="JYL30" s="545"/>
      <c r="JYM30" s="545"/>
      <c r="JYN30" s="545"/>
      <c r="JYO30" s="545"/>
      <c r="JYP30" s="545"/>
      <c r="JYQ30" s="545"/>
      <c r="JYR30" s="545"/>
      <c r="JYS30" s="545"/>
      <c r="JYT30" s="545"/>
      <c r="JYU30" s="545"/>
      <c r="JYV30" s="545"/>
      <c r="JYW30" s="545"/>
      <c r="JYX30" s="545"/>
      <c r="JYY30" s="545"/>
      <c r="JYZ30" s="545"/>
      <c r="JZA30" s="545"/>
      <c r="JZB30" s="545"/>
      <c r="JZC30" s="545"/>
      <c r="JZD30" s="545"/>
      <c r="JZE30" s="545"/>
      <c r="JZF30" s="545"/>
      <c r="JZG30" s="545"/>
      <c r="JZH30" s="545"/>
      <c r="JZI30" s="545"/>
      <c r="JZJ30" s="545"/>
      <c r="JZK30" s="545"/>
      <c r="JZL30" s="545"/>
      <c r="JZM30" s="545"/>
      <c r="JZN30" s="545"/>
      <c r="JZO30" s="545"/>
      <c r="JZP30" s="545"/>
      <c r="JZQ30" s="545"/>
      <c r="JZR30" s="545"/>
      <c r="JZS30" s="545"/>
      <c r="JZT30" s="545"/>
      <c r="JZU30" s="545"/>
      <c r="JZV30" s="545"/>
      <c r="JZW30" s="545"/>
      <c r="JZX30" s="545"/>
      <c r="JZY30" s="545"/>
      <c r="JZZ30" s="545"/>
      <c r="KAA30" s="545"/>
      <c r="KAB30" s="545"/>
      <c r="KAC30" s="545"/>
      <c r="KAD30" s="545"/>
      <c r="KAE30" s="545"/>
      <c r="KAF30" s="545"/>
      <c r="KAG30" s="545"/>
      <c r="KAH30" s="545"/>
      <c r="KAI30" s="545"/>
      <c r="KAJ30" s="545"/>
      <c r="KAK30" s="545"/>
      <c r="KAL30" s="545"/>
      <c r="KAM30" s="545"/>
      <c r="KAN30" s="545"/>
      <c r="KAO30" s="545"/>
      <c r="KAP30" s="545"/>
      <c r="KAQ30" s="545"/>
      <c r="KAR30" s="545"/>
      <c r="KAS30" s="545"/>
      <c r="KAT30" s="545"/>
      <c r="KAU30" s="545"/>
      <c r="KAV30" s="545"/>
      <c r="KAW30" s="545"/>
      <c r="KAX30" s="545"/>
      <c r="KAY30" s="545"/>
      <c r="KAZ30" s="545"/>
      <c r="KBA30" s="545"/>
      <c r="KBB30" s="545"/>
      <c r="KBC30" s="545"/>
      <c r="KBD30" s="545"/>
      <c r="KBE30" s="545"/>
      <c r="KBF30" s="545"/>
      <c r="KBG30" s="545"/>
      <c r="KBH30" s="545"/>
      <c r="KBI30" s="545"/>
      <c r="KBJ30" s="545"/>
      <c r="KBK30" s="545"/>
      <c r="KBL30" s="545"/>
      <c r="KBM30" s="545"/>
      <c r="KBN30" s="545"/>
      <c r="KBO30" s="545"/>
      <c r="KBP30" s="545"/>
      <c r="KBQ30" s="545"/>
      <c r="KBR30" s="545"/>
      <c r="KBS30" s="545"/>
      <c r="KBT30" s="545"/>
      <c r="KBU30" s="545"/>
      <c r="KBV30" s="545"/>
      <c r="KBW30" s="545"/>
      <c r="KBX30" s="545"/>
      <c r="KBY30" s="545"/>
      <c r="KBZ30" s="545"/>
      <c r="KCA30" s="545"/>
      <c r="KCB30" s="545"/>
      <c r="KCC30" s="545"/>
      <c r="KCD30" s="545"/>
      <c r="KCE30" s="545"/>
      <c r="KCF30" s="545"/>
      <c r="KCG30" s="545"/>
      <c r="KCH30" s="545"/>
      <c r="KCI30" s="545"/>
      <c r="KCJ30" s="545"/>
      <c r="KCK30" s="545"/>
      <c r="KCL30" s="545"/>
      <c r="KCM30" s="545"/>
      <c r="KCN30" s="545"/>
      <c r="KCO30" s="545"/>
      <c r="KCP30" s="545"/>
      <c r="KCQ30" s="545"/>
      <c r="KCR30" s="545"/>
      <c r="KCS30" s="545"/>
      <c r="KCT30" s="545"/>
      <c r="KCU30" s="545"/>
      <c r="KCV30" s="545"/>
      <c r="KCW30" s="545"/>
      <c r="KCX30" s="545"/>
      <c r="KCY30" s="545"/>
      <c r="KCZ30" s="545"/>
      <c r="KDA30" s="545"/>
      <c r="KDB30" s="545"/>
      <c r="KDC30" s="545"/>
      <c r="KDD30" s="545"/>
      <c r="KDE30" s="545"/>
      <c r="KDF30" s="545"/>
      <c r="KDG30" s="545"/>
      <c r="KDH30" s="545"/>
      <c r="KDI30" s="545"/>
      <c r="KDJ30" s="545"/>
      <c r="KDK30" s="545"/>
      <c r="KDL30" s="545"/>
      <c r="KDM30" s="545"/>
      <c r="KDN30" s="545"/>
      <c r="KDO30" s="545"/>
      <c r="KDP30" s="545"/>
      <c r="KDQ30" s="545"/>
      <c r="KDR30" s="545"/>
      <c r="KDS30" s="545"/>
      <c r="KDT30" s="545"/>
      <c r="KDU30" s="545"/>
      <c r="KDV30" s="545"/>
      <c r="KDW30" s="545"/>
      <c r="KDX30" s="545"/>
      <c r="KDY30" s="545"/>
      <c r="KDZ30" s="545"/>
      <c r="KEA30" s="545"/>
      <c r="KEB30" s="545"/>
      <c r="KEC30" s="545"/>
      <c r="KED30" s="545"/>
      <c r="KEE30" s="545"/>
      <c r="KEF30" s="545"/>
      <c r="KEG30" s="545"/>
      <c r="KEH30" s="545"/>
      <c r="KEI30" s="545"/>
      <c r="KEJ30" s="545"/>
      <c r="KEK30" s="545"/>
      <c r="KEL30" s="545"/>
      <c r="KEM30" s="545"/>
      <c r="KEN30" s="545"/>
      <c r="KEO30" s="545"/>
      <c r="KEP30" s="545"/>
      <c r="KEQ30" s="545"/>
      <c r="KER30" s="545"/>
      <c r="KES30" s="545"/>
      <c r="KET30" s="545"/>
      <c r="KEU30" s="545"/>
      <c r="KEV30" s="545"/>
      <c r="KEW30" s="545"/>
      <c r="KEX30" s="545"/>
      <c r="KEY30" s="545"/>
      <c r="KEZ30" s="545"/>
      <c r="KFA30" s="545"/>
      <c r="KFB30" s="545"/>
      <c r="KFC30" s="545"/>
      <c r="KFD30" s="545"/>
      <c r="KFE30" s="545"/>
      <c r="KFF30" s="545"/>
      <c r="KFG30" s="545"/>
      <c r="KFH30" s="545"/>
      <c r="KFI30" s="545"/>
      <c r="KFJ30" s="545"/>
      <c r="KFK30" s="545"/>
      <c r="KFL30" s="545"/>
      <c r="KFM30" s="545"/>
      <c r="KFN30" s="545"/>
      <c r="KFO30" s="545"/>
      <c r="KFP30" s="545"/>
      <c r="KFQ30" s="545"/>
      <c r="KFR30" s="545"/>
      <c r="KFS30" s="545"/>
      <c r="KFT30" s="545"/>
      <c r="KFU30" s="545"/>
      <c r="KFV30" s="545"/>
      <c r="KFW30" s="545"/>
      <c r="KFX30" s="545"/>
      <c r="KFY30" s="545"/>
      <c r="KFZ30" s="545"/>
      <c r="KGA30" s="545"/>
      <c r="KGB30" s="545"/>
      <c r="KGC30" s="545"/>
      <c r="KGD30" s="545"/>
      <c r="KGE30" s="545"/>
      <c r="KGF30" s="545"/>
      <c r="KGG30" s="545"/>
      <c r="KGH30" s="545"/>
      <c r="KGI30" s="545"/>
      <c r="KGJ30" s="545"/>
      <c r="KGK30" s="545"/>
      <c r="KGL30" s="545"/>
      <c r="KGM30" s="545"/>
      <c r="KGN30" s="545"/>
      <c r="KGO30" s="545"/>
      <c r="KGP30" s="545"/>
      <c r="KGQ30" s="545"/>
      <c r="KGR30" s="545"/>
      <c r="KGS30" s="545"/>
      <c r="KGT30" s="545"/>
      <c r="KGU30" s="545"/>
      <c r="KGV30" s="545"/>
      <c r="KGW30" s="545"/>
      <c r="KGX30" s="545"/>
      <c r="KGY30" s="545"/>
      <c r="KGZ30" s="545"/>
      <c r="KHA30" s="545"/>
      <c r="KHB30" s="545"/>
      <c r="KHC30" s="545"/>
      <c r="KHD30" s="545"/>
      <c r="KHE30" s="545"/>
      <c r="KHF30" s="545"/>
      <c r="KHG30" s="545"/>
      <c r="KHH30" s="545"/>
      <c r="KHI30" s="545"/>
      <c r="KHJ30" s="545"/>
      <c r="KHK30" s="545"/>
      <c r="KHL30" s="545"/>
      <c r="KHM30" s="545"/>
      <c r="KHN30" s="545"/>
      <c r="KHO30" s="545"/>
      <c r="KHP30" s="545"/>
      <c r="KHQ30" s="545"/>
      <c r="KHR30" s="545"/>
      <c r="KHS30" s="545"/>
      <c r="KHT30" s="545"/>
      <c r="KHU30" s="545"/>
      <c r="KHV30" s="545"/>
      <c r="KHW30" s="545"/>
      <c r="KHX30" s="545"/>
      <c r="KHY30" s="545"/>
      <c r="KHZ30" s="545"/>
      <c r="KIA30" s="545"/>
      <c r="KIB30" s="545"/>
      <c r="KIC30" s="545"/>
      <c r="KID30" s="545"/>
      <c r="KIE30" s="545"/>
      <c r="KIF30" s="545"/>
      <c r="KIG30" s="545"/>
      <c r="KIH30" s="545"/>
      <c r="KII30" s="545"/>
      <c r="KIJ30" s="545"/>
      <c r="KIK30" s="545"/>
      <c r="KIL30" s="545"/>
      <c r="KIM30" s="545"/>
      <c r="KIN30" s="545"/>
      <c r="KIO30" s="545"/>
      <c r="KIP30" s="545"/>
      <c r="KIQ30" s="545"/>
      <c r="KIR30" s="545"/>
      <c r="KIS30" s="545"/>
      <c r="KIT30" s="545"/>
      <c r="KIU30" s="545"/>
      <c r="KIV30" s="545"/>
      <c r="KIW30" s="545"/>
      <c r="KIX30" s="545"/>
      <c r="KIY30" s="545"/>
      <c r="KIZ30" s="545"/>
      <c r="KJA30" s="545"/>
      <c r="KJB30" s="545"/>
      <c r="KJC30" s="545"/>
      <c r="KJD30" s="545"/>
      <c r="KJE30" s="545"/>
      <c r="KJF30" s="545"/>
      <c r="KJG30" s="545"/>
      <c r="KJH30" s="545"/>
      <c r="KJI30" s="545"/>
      <c r="KJJ30" s="545"/>
      <c r="KJK30" s="545"/>
      <c r="KJL30" s="545"/>
      <c r="KJM30" s="545"/>
      <c r="KJN30" s="545"/>
      <c r="KJO30" s="545"/>
      <c r="KJP30" s="545"/>
      <c r="KJQ30" s="545"/>
      <c r="KJR30" s="545"/>
      <c r="KJS30" s="545"/>
      <c r="KJT30" s="545"/>
      <c r="KJU30" s="545"/>
      <c r="KJV30" s="545"/>
      <c r="KJW30" s="545"/>
      <c r="KJX30" s="545"/>
      <c r="KJY30" s="545"/>
      <c r="KJZ30" s="545"/>
      <c r="KKA30" s="545"/>
      <c r="KKB30" s="545"/>
      <c r="KKC30" s="545"/>
      <c r="KKD30" s="545"/>
      <c r="KKE30" s="545"/>
      <c r="KKF30" s="545"/>
      <c r="KKG30" s="545"/>
      <c r="KKH30" s="545"/>
      <c r="KKI30" s="545"/>
      <c r="KKJ30" s="545"/>
      <c r="KKK30" s="545"/>
      <c r="KKL30" s="545"/>
      <c r="KKM30" s="545"/>
      <c r="KKN30" s="545"/>
      <c r="KKO30" s="545"/>
      <c r="KKP30" s="545"/>
      <c r="KKQ30" s="545"/>
      <c r="KKR30" s="545"/>
      <c r="KKS30" s="545"/>
      <c r="KKT30" s="545"/>
      <c r="KKU30" s="545"/>
      <c r="KKV30" s="545"/>
      <c r="KKW30" s="545"/>
      <c r="KKX30" s="545"/>
      <c r="KKY30" s="545"/>
      <c r="KKZ30" s="545"/>
      <c r="KLA30" s="545"/>
      <c r="KLB30" s="545"/>
      <c r="KLC30" s="545"/>
      <c r="KLD30" s="545"/>
      <c r="KLE30" s="545"/>
      <c r="KLF30" s="545"/>
      <c r="KLG30" s="545"/>
      <c r="KLH30" s="545"/>
      <c r="KLI30" s="545"/>
      <c r="KLJ30" s="545"/>
      <c r="KLK30" s="545"/>
      <c r="KLL30" s="545"/>
      <c r="KLM30" s="545"/>
      <c r="KLN30" s="545"/>
      <c r="KLO30" s="545"/>
      <c r="KLP30" s="545"/>
      <c r="KLQ30" s="545"/>
      <c r="KLR30" s="545"/>
      <c r="KLS30" s="545"/>
      <c r="KLT30" s="545"/>
      <c r="KLU30" s="545"/>
      <c r="KLV30" s="545"/>
      <c r="KLW30" s="545"/>
      <c r="KLX30" s="545"/>
      <c r="KLY30" s="545"/>
      <c r="KLZ30" s="545"/>
      <c r="KMA30" s="545"/>
      <c r="KMB30" s="545"/>
      <c r="KMC30" s="545"/>
      <c r="KMD30" s="545"/>
      <c r="KME30" s="545"/>
      <c r="KMF30" s="545"/>
      <c r="KMG30" s="545"/>
      <c r="KMH30" s="545"/>
      <c r="KMI30" s="545"/>
      <c r="KMJ30" s="545"/>
      <c r="KMK30" s="545"/>
      <c r="KML30" s="545"/>
      <c r="KMM30" s="545"/>
      <c r="KMN30" s="545"/>
      <c r="KMO30" s="545"/>
      <c r="KMP30" s="545"/>
      <c r="KMQ30" s="545"/>
      <c r="KMR30" s="545"/>
      <c r="KMS30" s="545"/>
      <c r="KMT30" s="545"/>
      <c r="KMU30" s="545"/>
      <c r="KMV30" s="545"/>
      <c r="KMW30" s="545"/>
      <c r="KMX30" s="545"/>
      <c r="KMY30" s="545"/>
      <c r="KMZ30" s="545"/>
      <c r="KNA30" s="545"/>
      <c r="KNB30" s="545"/>
      <c r="KNC30" s="545"/>
      <c r="KND30" s="545"/>
      <c r="KNE30" s="545"/>
      <c r="KNF30" s="545"/>
      <c r="KNG30" s="545"/>
      <c r="KNH30" s="545"/>
      <c r="KNI30" s="545"/>
      <c r="KNJ30" s="545"/>
      <c r="KNK30" s="545"/>
      <c r="KNL30" s="545"/>
      <c r="KNM30" s="545"/>
      <c r="KNN30" s="545"/>
      <c r="KNO30" s="545"/>
      <c r="KNP30" s="545"/>
      <c r="KNQ30" s="545"/>
      <c r="KNR30" s="545"/>
      <c r="KNS30" s="545"/>
      <c r="KNT30" s="545"/>
      <c r="KNU30" s="545"/>
      <c r="KNV30" s="545"/>
      <c r="KNW30" s="545"/>
      <c r="KNX30" s="545"/>
      <c r="KNY30" s="545"/>
      <c r="KNZ30" s="545"/>
      <c r="KOA30" s="545"/>
      <c r="KOB30" s="545"/>
      <c r="KOC30" s="545"/>
      <c r="KOD30" s="545"/>
      <c r="KOE30" s="545"/>
      <c r="KOF30" s="545"/>
      <c r="KOG30" s="545"/>
      <c r="KOH30" s="545"/>
      <c r="KOI30" s="545"/>
      <c r="KOJ30" s="545"/>
      <c r="KOK30" s="545"/>
      <c r="KOL30" s="545"/>
      <c r="KOM30" s="545"/>
      <c r="KON30" s="545"/>
      <c r="KOO30" s="545"/>
      <c r="KOP30" s="545"/>
      <c r="KOQ30" s="545"/>
      <c r="KOR30" s="545"/>
      <c r="KOS30" s="545"/>
      <c r="KOT30" s="545"/>
      <c r="KOU30" s="545"/>
      <c r="KOV30" s="545"/>
      <c r="KOW30" s="545"/>
      <c r="KOX30" s="545"/>
      <c r="KOY30" s="545"/>
      <c r="KOZ30" s="545"/>
      <c r="KPA30" s="545"/>
      <c r="KPB30" s="545"/>
      <c r="KPC30" s="545"/>
      <c r="KPD30" s="545"/>
      <c r="KPE30" s="545"/>
      <c r="KPF30" s="545"/>
      <c r="KPG30" s="545"/>
      <c r="KPH30" s="545"/>
      <c r="KPI30" s="545"/>
      <c r="KPJ30" s="545"/>
      <c r="KPK30" s="545"/>
      <c r="KPL30" s="545"/>
      <c r="KPM30" s="545"/>
      <c r="KPN30" s="545"/>
      <c r="KPO30" s="545"/>
      <c r="KPP30" s="545"/>
      <c r="KPQ30" s="545"/>
      <c r="KPR30" s="545"/>
      <c r="KPS30" s="545"/>
      <c r="KPT30" s="545"/>
      <c r="KPU30" s="545"/>
      <c r="KPV30" s="545"/>
      <c r="KPW30" s="545"/>
      <c r="KPX30" s="545"/>
      <c r="KPY30" s="545"/>
      <c r="KPZ30" s="545"/>
      <c r="KQA30" s="545"/>
      <c r="KQB30" s="545"/>
      <c r="KQC30" s="545"/>
      <c r="KQD30" s="545"/>
      <c r="KQE30" s="545"/>
      <c r="KQF30" s="545"/>
      <c r="KQG30" s="545"/>
      <c r="KQH30" s="545"/>
      <c r="KQI30" s="545"/>
      <c r="KQJ30" s="545"/>
      <c r="KQK30" s="545"/>
      <c r="KQL30" s="545"/>
      <c r="KQM30" s="545"/>
      <c r="KQN30" s="545"/>
      <c r="KQO30" s="545"/>
      <c r="KQP30" s="545"/>
      <c r="KQQ30" s="545"/>
      <c r="KQR30" s="545"/>
      <c r="KQS30" s="545"/>
      <c r="KQT30" s="545"/>
      <c r="KQU30" s="545"/>
      <c r="KQV30" s="545"/>
      <c r="KQW30" s="545"/>
      <c r="KQX30" s="545"/>
      <c r="KQY30" s="545"/>
      <c r="KQZ30" s="545"/>
      <c r="KRA30" s="545"/>
      <c r="KRB30" s="545"/>
      <c r="KRC30" s="545"/>
      <c r="KRD30" s="545"/>
      <c r="KRE30" s="545"/>
      <c r="KRF30" s="545"/>
      <c r="KRG30" s="545"/>
      <c r="KRH30" s="545"/>
      <c r="KRI30" s="545"/>
      <c r="KRJ30" s="545"/>
      <c r="KRK30" s="545"/>
      <c r="KRL30" s="545"/>
      <c r="KRM30" s="545"/>
      <c r="KRN30" s="545"/>
      <c r="KRO30" s="545"/>
      <c r="KRP30" s="545"/>
      <c r="KRQ30" s="545"/>
      <c r="KRR30" s="545"/>
      <c r="KRS30" s="545"/>
      <c r="KRT30" s="545"/>
      <c r="KRU30" s="545"/>
      <c r="KRV30" s="545"/>
      <c r="KRW30" s="545"/>
      <c r="KRX30" s="545"/>
      <c r="KRY30" s="545"/>
      <c r="KRZ30" s="545"/>
      <c r="KSA30" s="545"/>
      <c r="KSB30" s="545"/>
      <c r="KSC30" s="545"/>
      <c r="KSD30" s="545"/>
      <c r="KSE30" s="545"/>
      <c r="KSF30" s="545"/>
      <c r="KSG30" s="545"/>
      <c r="KSH30" s="545"/>
      <c r="KSI30" s="545"/>
      <c r="KSJ30" s="545"/>
      <c r="KSK30" s="545"/>
      <c r="KSL30" s="545"/>
      <c r="KSM30" s="545"/>
      <c r="KSN30" s="545"/>
      <c r="KSO30" s="545"/>
      <c r="KSP30" s="545"/>
      <c r="KSQ30" s="545"/>
      <c r="KSR30" s="545"/>
      <c r="KSS30" s="545"/>
      <c r="KST30" s="545"/>
      <c r="KSU30" s="545"/>
      <c r="KSV30" s="545"/>
      <c r="KSW30" s="545"/>
      <c r="KSX30" s="545"/>
      <c r="KSY30" s="545"/>
      <c r="KSZ30" s="545"/>
      <c r="KTA30" s="545"/>
      <c r="KTB30" s="545"/>
      <c r="KTC30" s="545"/>
      <c r="KTD30" s="545"/>
      <c r="KTE30" s="545"/>
      <c r="KTF30" s="545"/>
      <c r="KTG30" s="545"/>
      <c r="KTH30" s="545"/>
      <c r="KTI30" s="545"/>
      <c r="KTJ30" s="545"/>
      <c r="KTK30" s="545"/>
      <c r="KTL30" s="545"/>
      <c r="KTM30" s="545"/>
      <c r="KTN30" s="545"/>
      <c r="KTO30" s="545"/>
      <c r="KTP30" s="545"/>
      <c r="KTQ30" s="545"/>
      <c r="KTR30" s="545"/>
      <c r="KTS30" s="545"/>
      <c r="KTT30" s="545"/>
      <c r="KTU30" s="545"/>
      <c r="KTV30" s="545"/>
      <c r="KTW30" s="545"/>
      <c r="KTX30" s="545"/>
      <c r="KTY30" s="545"/>
      <c r="KTZ30" s="545"/>
      <c r="KUA30" s="545"/>
      <c r="KUB30" s="545"/>
      <c r="KUC30" s="545"/>
      <c r="KUD30" s="545"/>
      <c r="KUE30" s="545"/>
      <c r="KUF30" s="545"/>
      <c r="KUG30" s="545"/>
      <c r="KUH30" s="545"/>
      <c r="KUI30" s="545"/>
      <c r="KUJ30" s="545"/>
      <c r="KUK30" s="545"/>
      <c r="KUL30" s="545"/>
      <c r="KUM30" s="545"/>
      <c r="KUN30" s="545"/>
      <c r="KUO30" s="545"/>
      <c r="KUP30" s="545"/>
      <c r="KUQ30" s="545"/>
      <c r="KUR30" s="545"/>
      <c r="KUS30" s="545"/>
      <c r="KUT30" s="545"/>
      <c r="KUU30" s="545"/>
      <c r="KUV30" s="545"/>
      <c r="KUW30" s="545"/>
      <c r="KUX30" s="545"/>
      <c r="KUY30" s="545"/>
      <c r="KUZ30" s="545"/>
      <c r="KVA30" s="545"/>
      <c r="KVB30" s="545"/>
      <c r="KVC30" s="545"/>
      <c r="KVD30" s="545"/>
      <c r="KVE30" s="545"/>
      <c r="KVF30" s="545"/>
      <c r="KVG30" s="545"/>
      <c r="KVH30" s="545"/>
      <c r="KVI30" s="545"/>
      <c r="KVJ30" s="545"/>
      <c r="KVK30" s="545"/>
      <c r="KVL30" s="545"/>
      <c r="KVM30" s="545"/>
      <c r="KVN30" s="545"/>
      <c r="KVO30" s="545"/>
      <c r="KVP30" s="545"/>
      <c r="KVQ30" s="545"/>
      <c r="KVR30" s="545"/>
      <c r="KVS30" s="545"/>
      <c r="KVT30" s="545"/>
      <c r="KVU30" s="545"/>
      <c r="KVV30" s="545"/>
      <c r="KVW30" s="545"/>
      <c r="KVX30" s="545"/>
      <c r="KVY30" s="545"/>
      <c r="KVZ30" s="545"/>
      <c r="KWA30" s="545"/>
      <c r="KWB30" s="545"/>
      <c r="KWC30" s="545"/>
      <c r="KWD30" s="545"/>
      <c r="KWE30" s="545"/>
      <c r="KWF30" s="545"/>
      <c r="KWG30" s="545"/>
      <c r="KWH30" s="545"/>
      <c r="KWI30" s="545"/>
      <c r="KWJ30" s="545"/>
      <c r="KWK30" s="545"/>
      <c r="KWL30" s="545"/>
      <c r="KWM30" s="545"/>
      <c r="KWN30" s="545"/>
      <c r="KWO30" s="545"/>
      <c r="KWP30" s="545"/>
      <c r="KWQ30" s="545"/>
      <c r="KWR30" s="545"/>
      <c r="KWS30" s="545"/>
      <c r="KWT30" s="545"/>
      <c r="KWU30" s="545"/>
      <c r="KWV30" s="545"/>
      <c r="KWW30" s="545"/>
      <c r="KWX30" s="545"/>
      <c r="KWY30" s="545"/>
      <c r="KWZ30" s="545"/>
      <c r="KXA30" s="545"/>
      <c r="KXB30" s="545"/>
      <c r="KXC30" s="545"/>
      <c r="KXD30" s="545"/>
      <c r="KXE30" s="545"/>
      <c r="KXF30" s="545"/>
      <c r="KXG30" s="545"/>
      <c r="KXH30" s="545"/>
      <c r="KXI30" s="545"/>
      <c r="KXJ30" s="545"/>
      <c r="KXK30" s="545"/>
      <c r="KXL30" s="545"/>
      <c r="KXM30" s="545"/>
      <c r="KXN30" s="545"/>
      <c r="KXO30" s="545"/>
      <c r="KXP30" s="545"/>
      <c r="KXQ30" s="545"/>
      <c r="KXR30" s="545"/>
      <c r="KXS30" s="545"/>
      <c r="KXT30" s="545"/>
      <c r="KXU30" s="545"/>
      <c r="KXV30" s="545"/>
      <c r="KXW30" s="545"/>
      <c r="KXX30" s="545"/>
      <c r="KXY30" s="545"/>
      <c r="KXZ30" s="545"/>
      <c r="KYA30" s="545"/>
      <c r="KYB30" s="545"/>
      <c r="KYC30" s="545"/>
      <c r="KYD30" s="545"/>
      <c r="KYE30" s="545"/>
      <c r="KYF30" s="545"/>
      <c r="KYG30" s="545"/>
      <c r="KYH30" s="545"/>
      <c r="KYI30" s="545"/>
      <c r="KYJ30" s="545"/>
      <c r="KYK30" s="545"/>
      <c r="KYL30" s="545"/>
      <c r="KYM30" s="545"/>
      <c r="KYN30" s="545"/>
      <c r="KYO30" s="545"/>
      <c r="KYP30" s="545"/>
      <c r="KYQ30" s="545"/>
      <c r="KYR30" s="545"/>
      <c r="KYS30" s="545"/>
      <c r="KYT30" s="545"/>
      <c r="KYU30" s="545"/>
      <c r="KYV30" s="545"/>
      <c r="KYW30" s="545"/>
      <c r="KYX30" s="545"/>
      <c r="KYY30" s="545"/>
      <c r="KYZ30" s="545"/>
      <c r="KZA30" s="545"/>
      <c r="KZB30" s="545"/>
      <c r="KZC30" s="545"/>
      <c r="KZD30" s="545"/>
      <c r="KZE30" s="545"/>
      <c r="KZF30" s="545"/>
      <c r="KZG30" s="545"/>
      <c r="KZH30" s="545"/>
      <c r="KZI30" s="545"/>
      <c r="KZJ30" s="545"/>
      <c r="KZK30" s="545"/>
      <c r="KZL30" s="545"/>
      <c r="KZM30" s="545"/>
      <c r="KZN30" s="545"/>
      <c r="KZO30" s="545"/>
      <c r="KZP30" s="545"/>
      <c r="KZQ30" s="545"/>
      <c r="KZR30" s="545"/>
      <c r="KZS30" s="545"/>
      <c r="KZT30" s="545"/>
      <c r="KZU30" s="545"/>
      <c r="KZV30" s="545"/>
      <c r="KZW30" s="545"/>
      <c r="KZX30" s="545"/>
      <c r="KZY30" s="545"/>
      <c r="KZZ30" s="545"/>
      <c r="LAA30" s="545"/>
      <c r="LAB30" s="545"/>
      <c r="LAC30" s="545"/>
      <c r="LAD30" s="545"/>
      <c r="LAE30" s="545"/>
      <c r="LAF30" s="545"/>
      <c r="LAG30" s="545"/>
      <c r="LAH30" s="545"/>
      <c r="LAI30" s="545"/>
      <c r="LAJ30" s="545"/>
      <c r="LAK30" s="545"/>
      <c r="LAL30" s="545"/>
      <c r="LAM30" s="545"/>
      <c r="LAN30" s="545"/>
      <c r="LAO30" s="545"/>
      <c r="LAP30" s="545"/>
      <c r="LAQ30" s="545"/>
      <c r="LAR30" s="545"/>
      <c r="LAS30" s="545"/>
      <c r="LAT30" s="545"/>
      <c r="LAU30" s="545"/>
      <c r="LAV30" s="545"/>
      <c r="LAW30" s="545"/>
      <c r="LAX30" s="545"/>
      <c r="LAY30" s="545"/>
      <c r="LAZ30" s="545"/>
      <c r="LBA30" s="545"/>
      <c r="LBB30" s="545"/>
      <c r="LBC30" s="545"/>
      <c r="LBD30" s="545"/>
      <c r="LBE30" s="545"/>
      <c r="LBF30" s="545"/>
      <c r="LBG30" s="545"/>
      <c r="LBH30" s="545"/>
      <c r="LBI30" s="545"/>
      <c r="LBJ30" s="545"/>
      <c r="LBK30" s="545"/>
      <c r="LBL30" s="545"/>
      <c r="LBM30" s="545"/>
      <c r="LBN30" s="545"/>
      <c r="LBO30" s="545"/>
      <c r="LBP30" s="545"/>
      <c r="LBQ30" s="545"/>
      <c r="LBR30" s="545"/>
      <c r="LBS30" s="545"/>
      <c r="LBT30" s="545"/>
      <c r="LBU30" s="545"/>
      <c r="LBV30" s="545"/>
      <c r="LBW30" s="545"/>
      <c r="LBX30" s="545"/>
      <c r="LBY30" s="545"/>
      <c r="LBZ30" s="545"/>
      <c r="LCA30" s="545"/>
      <c r="LCB30" s="545"/>
      <c r="LCC30" s="545"/>
      <c r="LCD30" s="545"/>
      <c r="LCE30" s="545"/>
      <c r="LCF30" s="545"/>
      <c r="LCG30" s="545"/>
      <c r="LCH30" s="545"/>
      <c r="LCI30" s="545"/>
      <c r="LCJ30" s="545"/>
      <c r="LCK30" s="545"/>
      <c r="LCL30" s="545"/>
      <c r="LCM30" s="545"/>
      <c r="LCN30" s="545"/>
      <c r="LCO30" s="545"/>
      <c r="LCP30" s="545"/>
      <c r="LCQ30" s="545"/>
      <c r="LCR30" s="545"/>
      <c r="LCS30" s="545"/>
      <c r="LCT30" s="545"/>
      <c r="LCU30" s="545"/>
      <c r="LCV30" s="545"/>
      <c r="LCW30" s="545"/>
      <c r="LCX30" s="545"/>
      <c r="LCY30" s="545"/>
      <c r="LCZ30" s="545"/>
      <c r="LDA30" s="545"/>
      <c r="LDB30" s="545"/>
      <c r="LDC30" s="545"/>
      <c r="LDD30" s="545"/>
      <c r="LDE30" s="545"/>
      <c r="LDF30" s="545"/>
      <c r="LDG30" s="545"/>
      <c r="LDH30" s="545"/>
      <c r="LDI30" s="545"/>
      <c r="LDJ30" s="545"/>
      <c r="LDK30" s="545"/>
      <c r="LDL30" s="545"/>
      <c r="LDM30" s="545"/>
      <c r="LDN30" s="545"/>
      <c r="LDO30" s="545"/>
      <c r="LDP30" s="545"/>
      <c r="LDQ30" s="545"/>
      <c r="LDR30" s="545"/>
      <c r="LDS30" s="545"/>
      <c r="LDT30" s="545"/>
      <c r="LDU30" s="545"/>
      <c r="LDV30" s="545"/>
      <c r="LDW30" s="545"/>
      <c r="LDX30" s="545"/>
      <c r="LDY30" s="545"/>
      <c r="LDZ30" s="545"/>
      <c r="LEA30" s="545"/>
      <c r="LEB30" s="545"/>
      <c r="LEC30" s="545"/>
      <c r="LED30" s="545"/>
      <c r="LEE30" s="545"/>
      <c r="LEF30" s="545"/>
      <c r="LEG30" s="545"/>
      <c r="LEH30" s="545"/>
      <c r="LEI30" s="545"/>
      <c r="LEJ30" s="545"/>
      <c r="LEK30" s="545"/>
      <c r="LEL30" s="545"/>
      <c r="LEM30" s="545"/>
      <c r="LEN30" s="545"/>
      <c r="LEO30" s="545"/>
      <c r="LEP30" s="545"/>
      <c r="LEQ30" s="545"/>
      <c r="LER30" s="545"/>
      <c r="LES30" s="545"/>
      <c r="LET30" s="545"/>
      <c r="LEU30" s="545"/>
      <c r="LEV30" s="545"/>
      <c r="LEW30" s="545"/>
      <c r="LEX30" s="545"/>
      <c r="LEY30" s="545"/>
      <c r="LEZ30" s="545"/>
      <c r="LFA30" s="545"/>
      <c r="LFB30" s="545"/>
      <c r="LFC30" s="545"/>
      <c r="LFD30" s="545"/>
      <c r="LFE30" s="545"/>
      <c r="LFF30" s="545"/>
      <c r="LFG30" s="545"/>
      <c r="LFH30" s="545"/>
      <c r="LFI30" s="545"/>
      <c r="LFJ30" s="545"/>
      <c r="LFK30" s="545"/>
      <c r="LFL30" s="545"/>
      <c r="LFM30" s="545"/>
      <c r="LFN30" s="545"/>
      <c r="LFO30" s="545"/>
      <c r="LFP30" s="545"/>
      <c r="LFQ30" s="545"/>
      <c r="LFR30" s="545"/>
      <c r="LFS30" s="545"/>
      <c r="LFT30" s="545"/>
      <c r="LFU30" s="545"/>
      <c r="LFV30" s="545"/>
      <c r="LFW30" s="545"/>
      <c r="LFX30" s="545"/>
      <c r="LFY30" s="545"/>
      <c r="LFZ30" s="545"/>
      <c r="LGA30" s="545"/>
      <c r="LGB30" s="545"/>
      <c r="LGC30" s="545"/>
      <c r="LGD30" s="545"/>
      <c r="LGE30" s="545"/>
      <c r="LGF30" s="545"/>
      <c r="LGG30" s="545"/>
      <c r="LGH30" s="545"/>
      <c r="LGI30" s="545"/>
      <c r="LGJ30" s="545"/>
      <c r="LGK30" s="545"/>
      <c r="LGL30" s="545"/>
      <c r="LGM30" s="545"/>
      <c r="LGN30" s="545"/>
      <c r="LGO30" s="545"/>
      <c r="LGP30" s="545"/>
      <c r="LGQ30" s="545"/>
      <c r="LGR30" s="545"/>
      <c r="LGS30" s="545"/>
      <c r="LGT30" s="545"/>
      <c r="LGU30" s="545"/>
      <c r="LGV30" s="545"/>
      <c r="LGW30" s="545"/>
      <c r="LGX30" s="545"/>
      <c r="LGY30" s="545"/>
      <c r="LGZ30" s="545"/>
      <c r="LHA30" s="545"/>
      <c r="LHB30" s="545"/>
      <c r="LHC30" s="545"/>
      <c r="LHD30" s="545"/>
      <c r="LHE30" s="545"/>
      <c r="LHF30" s="545"/>
      <c r="LHG30" s="545"/>
      <c r="LHH30" s="545"/>
      <c r="LHI30" s="545"/>
      <c r="LHJ30" s="545"/>
      <c r="LHK30" s="545"/>
      <c r="LHL30" s="545"/>
      <c r="LHM30" s="545"/>
      <c r="LHN30" s="545"/>
      <c r="LHO30" s="545"/>
      <c r="LHP30" s="545"/>
      <c r="LHQ30" s="545"/>
      <c r="LHR30" s="545"/>
      <c r="LHS30" s="545"/>
      <c r="LHT30" s="545"/>
      <c r="LHU30" s="545"/>
      <c r="LHV30" s="545"/>
      <c r="LHW30" s="545"/>
      <c r="LHX30" s="545"/>
      <c r="LHY30" s="545"/>
      <c r="LHZ30" s="545"/>
      <c r="LIA30" s="545"/>
      <c r="LIB30" s="545"/>
      <c r="LIC30" s="545"/>
      <c r="LID30" s="545"/>
      <c r="LIE30" s="545"/>
      <c r="LIF30" s="545"/>
      <c r="LIG30" s="545"/>
      <c r="LIH30" s="545"/>
      <c r="LII30" s="545"/>
      <c r="LIJ30" s="545"/>
      <c r="LIK30" s="545"/>
      <c r="LIL30" s="545"/>
      <c r="LIM30" s="545"/>
      <c r="LIN30" s="545"/>
      <c r="LIO30" s="545"/>
      <c r="LIP30" s="545"/>
      <c r="LIQ30" s="545"/>
      <c r="LIR30" s="545"/>
      <c r="LIS30" s="545"/>
      <c r="LIT30" s="545"/>
      <c r="LIU30" s="545"/>
      <c r="LIV30" s="545"/>
      <c r="LIW30" s="545"/>
      <c r="LIX30" s="545"/>
      <c r="LIY30" s="545"/>
      <c r="LIZ30" s="545"/>
      <c r="LJA30" s="545"/>
      <c r="LJB30" s="545"/>
      <c r="LJC30" s="545"/>
      <c r="LJD30" s="545"/>
      <c r="LJE30" s="545"/>
      <c r="LJF30" s="545"/>
      <c r="LJG30" s="545"/>
      <c r="LJH30" s="545"/>
      <c r="LJI30" s="545"/>
      <c r="LJJ30" s="545"/>
      <c r="LJK30" s="545"/>
      <c r="LJL30" s="545"/>
      <c r="LJM30" s="545"/>
      <c r="LJN30" s="545"/>
      <c r="LJO30" s="545"/>
      <c r="LJP30" s="545"/>
      <c r="LJQ30" s="545"/>
      <c r="LJR30" s="545"/>
      <c r="LJS30" s="545"/>
      <c r="LJT30" s="545"/>
      <c r="LJU30" s="545"/>
      <c r="LJV30" s="545"/>
      <c r="LJW30" s="545"/>
      <c r="LJX30" s="545"/>
      <c r="LJY30" s="545"/>
      <c r="LJZ30" s="545"/>
      <c r="LKA30" s="545"/>
      <c r="LKB30" s="545"/>
      <c r="LKC30" s="545"/>
      <c r="LKD30" s="545"/>
      <c r="LKE30" s="545"/>
      <c r="LKF30" s="545"/>
      <c r="LKG30" s="545"/>
      <c r="LKH30" s="545"/>
      <c r="LKI30" s="545"/>
      <c r="LKJ30" s="545"/>
      <c r="LKK30" s="545"/>
      <c r="LKL30" s="545"/>
      <c r="LKM30" s="545"/>
      <c r="LKN30" s="545"/>
      <c r="LKO30" s="545"/>
      <c r="LKP30" s="545"/>
      <c r="LKQ30" s="545"/>
      <c r="LKR30" s="545"/>
      <c r="LKS30" s="545"/>
      <c r="LKT30" s="545"/>
      <c r="LKU30" s="545"/>
      <c r="LKV30" s="545"/>
      <c r="LKW30" s="545"/>
      <c r="LKX30" s="545"/>
      <c r="LKY30" s="545"/>
      <c r="LKZ30" s="545"/>
      <c r="LLA30" s="545"/>
      <c r="LLB30" s="545"/>
      <c r="LLC30" s="545"/>
      <c r="LLD30" s="545"/>
      <c r="LLE30" s="545"/>
      <c r="LLF30" s="545"/>
      <c r="LLG30" s="545"/>
      <c r="LLH30" s="545"/>
      <c r="LLI30" s="545"/>
      <c r="LLJ30" s="545"/>
      <c r="LLK30" s="545"/>
      <c r="LLL30" s="545"/>
      <c r="LLM30" s="545"/>
      <c r="LLN30" s="545"/>
      <c r="LLO30" s="545"/>
      <c r="LLP30" s="545"/>
      <c r="LLQ30" s="545"/>
      <c r="LLR30" s="545"/>
      <c r="LLS30" s="545"/>
      <c r="LLT30" s="545"/>
      <c r="LLU30" s="545"/>
      <c r="LLV30" s="545"/>
      <c r="LLW30" s="545"/>
      <c r="LLX30" s="545"/>
      <c r="LLY30" s="545"/>
      <c r="LLZ30" s="545"/>
      <c r="LMA30" s="545"/>
      <c r="LMB30" s="545"/>
      <c r="LMC30" s="545"/>
      <c r="LMD30" s="545"/>
      <c r="LME30" s="545"/>
      <c r="LMF30" s="545"/>
      <c r="LMG30" s="545"/>
      <c r="LMH30" s="545"/>
      <c r="LMI30" s="545"/>
      <c r="LMJ30" s="545"/>
      <c r="LMK30" s="545"/>
      <c r="LML30" s="545"/>
      <c r="LMM30" s="545"/>
      <c r="LMN30" s="545"/>
      <c r="LMO30" s="545"/>
      <c r="LMP30" s="545"/>
      <c r="LMQ30" s="545"/>
      <c r="LMR30" s="545"/>
      <c r="LMS30" s="545"/>
      <c r="LMT30" s="545"/>
      <c r="LMU30" s="545"/>
      <c r="LMV30" s="545"/>
      <c r="LMW30" s="545"/>
      <c r="LMX30" s="545"/>
      <c r="LMY30" s="545"/>
      <c r="LMZ30" s="545"/>
      <c r="LNA30" s="545"/>
      <c r="LNB30" s="545"/>
      <c r="LNC30" s="545"/>
      <c r="LND30" s="545"/>
      <c r="LNE30" s="545"/>
      <c r="LNF30" s="545"/>
      <c r="LNG30" s="545"/>
      <c r="LNH30" s="545"/>
      <c r="LNI30" s="545"/>
      <c r="LNJ30" s="545"/>
      <c r="LNK30" s="545"/>
      <c r="LNL30" s="545"/>
      <c r="LNM30" s="545"/>
      <c r="LNN30" s="545"/>
      <c r="LNO30" s="545"/>
      <c r="LNP30" s="545"/>
      <c r="LNQ30" s="545"/>
      <c r="LNR30" s="545"/>
      <c r="LNS30" s="545"/>
      <c r="LNT30" s="545"/>
      <c r="LNU30" s="545"/>
      <c r="LNV30" s="545"/>
      <c r="LNW30" s="545"/>
      <c r="LNX30" s="545"/>
      <c r="LNY30" s="545"/>
      <c r="LNZ30" s="545"/>
      <c r="LOA30" s="545"/>
      <c r="LOB30" s="545"/>
      <c r="LOC30" s="545"/>
      <c r="LOD30" s="545"/>
      <c r="LOE30" s="545"/>
      <c r="LOF30" s="545"/>
      <c r="LOG30" s="545"/>
      <c r="LOH30" s="545"/>
      <c r="LOI30" s="545"/>
      <c r="LOJ30" s="545"/>
      <c r="LOK30" s="545"/>
      <c r="LOL30" s="545"/>
      <c r="LOM30" s="545"/>
      <c r="LON30" s="545"/>
      <c r="LOO30" s="545"/>
      <c r="LOP30" s="545"/>
      <c r="LOQ30" s="545"/>
      <c r="LOR30" s="545"/>
      <c r="LOS30" s="545"/>
      <c r="LOT30" s="545"/>
      <c r="LOU30" s="545"/>
      <c r="LOV30" s="545"/>
      <c r="LOW30" s="545"/>
      <c r="LOX30" s="545"/>
      <c r="LOY30" s="545"/>
      <c r="LOZ30" s="545"/>
      <c r="LPA30" s="545"/>
      <c r="LPB30" s="545"/>
      <c r="LPC30" s="545"/>
      <c r="LPD30" s="545"/>
      <c r="LPE30" s="545"/>
      <c r="LPF30" s="545"/>
      <c r="LPG30" s="545"/>
      <c r="LPH30" s="545"/>
      <c r="LPI30" s="545"/>
      <c r="LPJ30" s="545"/>
      <c r="LPK30" s="545"/>
      <c r="LPL30" s="545"/>
      <c r="LPM30" s="545"/>
      <c r="LPN30" s="545"/>
      <c r="LPO30" s="545"/>
      <c r="LPP30" s="545"/>
      <c r="LPQ30" s="545"/>
      <c r="LPR30" s="545"/>
      <c r="LPS30" s="545"/>
      <c r="LPT30" s="545"/>
      <c r="LPU30" s="545"/>
      <c r="LPV30" s="545"/>
      <c r="LPW30" s="545"/>
      <c r="LPX30" s="545"/>
      <c r="LPY30" s="545"/>
      <c r="LPZ30" s="545"/>
      <c r="LQA30" s="545"/>
      <c r="LQB30" s="545"/>
      <c r="LQC30" s="545"/>
      <c r="LQD30" s="545"/>
      <c r="LQE30" s="545"/>
      <c r="LQF30" s="545"/>
      <c r="LQG30" s="545"/>
      <c r="LQH30" s="545"/>
      <c r="LQI30" s="545"/>
      <c r="LQJ30" s="545"/>
      <c r="LQK30" s="545"/>
      <c r="LQL30" s="545"/>
      <c r="LQM30" s="545"/>
      <c r="LQN30" s="545"/>
      <c r="LQO30" s="545"/>
      <c r="LQP30" s="545"/>
      <c r="LQQ30" s="545"/>
      <c r="LQR30" s="545"/>
      <c r="LQS30" s="545"/>
      <c r="LQT30" s="545"/>
      <c r="LQU30" s="545"/>
      <c r="LQV30" s="545"/>
      <c r="LQW30" s="545"/>
      <c r="LQX30" s="545"/>
      <c r="LQY30" s="545"/>
      <c r="LQZ30" s="545"/>
      <c r="LRA30" s="545"/>
      <c r="LRB30" s="545"/>
      <c r="LRC30" s="545"/>
      <c r="LRD30" s="545"/>
      <c r="LRE30" s="545"/>
      <c r="LRF30" s="545"/>
      <c r="LRG30" s="545"/>
      <c r="LRH30" s="545"/>
      <c r="LRI30" s="545"/>
      <c r="LRJ30" s="545"/>
      <c r="LRK30" s="545"/>
      <c r="LRL30" s="545"/>
      <c r="LRM30" s="545"/>
      <c r="LRN30" s="545"/>
      <c r="LRO30" s="545"/>
      <c r="LRP30" s="545"/>
      <c r="LRQ30" s="545"/>
      <c r="LRR30" s="545"/>
      <c r="LRS30" s="545"/>
      <c r="LRT30" s="545"/>
      <c r="LRU30" s="545"/>
      <c r="LRV30" s="545"/>
      <c r="LRW30" s="545"/>
      <c r="LRX30" s="545"/>
      <c r="LRY30" s="545"/>
      <c r="LRZ30" s="545"/>
      <c r="LSA30" s="545"/>
      <c r="LSB30" s="545"/>
      <c r="LSC30" s="545"/>
      <c r="LSD30" s="545"/>
      <c r="LSE30" s="545"/>
      <c r="LSF30" s="545"/>
      <c r="LSG30" s="545"/>
      <c r="LSH30" s="545"/>
      <c r="LSI30" s="545"/>
      <c r="LSJ30" s="545"/>
      <c r="LSK30" s="545"/>
      <c r="LSL30" s="545"/>
      <c r="LSM30" s="545"/>
      <c r="LSN30" s="545"/>
      <c r="LSO30" s="545"/>
      <c r="LSP30" s="545"/>
      <c r="LSQ30" s="545"/>
      <c r="LSR30" s="545"/>
      <c r="LSS30" s="545"/>
      <c r="LST30" s="545"/>
      <c r="LSU30" s="545"/>
      <c r="LSV30" s="545"/>
      <c r="LSW30" s="545"/>
      <c r="LSX30" s="545"/>
      <c r="LSY30" s="545"/>
      <c r="LSZ30" s="545"/>
      <c r="LTA30" s="545"/>
      <c r="LTB30" s="545"/>
      <c r="LTC30" s="545"/>
      <c r="LTD30" s="545"/>
      <c r="LTE30" s="545"/>
      <c r="LTF30" s="545"/>
      <c r="LTG30" s="545"/>
      <c r="LTH30" s="545"/>
      <c r="LTI30" s="545"/>
      <c r="LTJ30" s="545"/>
      <c r="LTK30" s="545"/>
      <c r="LTL30" s="545"/>
      <c r="LTM30" s="545"/>
      <c r="LTN30" s="545"/>
      <c r="LTO30" s="545"/>
      <c r="LTP30" s="545"/>
      <c r="LTQ30" s="545"/>
      <c r="LTR30" s="545"/>
      <c r="LTS30" s="545"/>
      <c r="LTT30" s="545"/>
      <c r="LTU30" s="545"/>
      <c r="LTV30" s="545"/>
      <c r="LTW30" s="545"/>
      <c r="LTX30" s="545"/>
      <c r="LTY30" s="545"/>
      <c r="LTZ30" s="545"/>
      <c r="LUA30" s="545"/>
      <c r="LUB30" s="545"/>
      <c r="LUC30" s="545"/>
      <c r="LUD30" s="545"/>
      <c r="LUE30" s="545"/>
      <c r="LUF30" s="545"/>
      <c r="LUG30" s="545"/>
      <c r="LUH30" s="545"/>
      <c r="LUI30" s="545"/>
      <c r="LUJ30" s="545"/>
      <c r="LUK30" s="545"/>
      <c r="LUL30" s="545"/>
      <c r="LUM30" s="545"/>
      <c r="LUN30" s="545"/>
      <c r="LUO30" s="545"/>
      <c r="LUP30" s="545"/>
      <c r="LUQ30" s="545"/>
      <c r="LUR30" s="545"/>
      <c r="LUS30" s="545"/>
      <c r="LUT30" s="545"/>
      <c r="LUU30" s="545"/>
      <c r="LUV30" s="545"/>
      <c r="LUW30" s="545"/>
      <c r="LUX30" s="545"/>
      <c r="LUY30" s="545"/>
      <c r="LUZ30" s="545"/>
      <c r="LVA30" s="545"/>
      <c r="LVB30" s="545"/>
      <c r="LVC30" s="545"/>
      <c r="LVD30" s="545"/>
      <c r="LVE30" s="545"/>
      <c r="LVF30" s="545"/>
      <c r="LVG30" s="545"/>
      <c r="LVH30" s="545"/>
      <c r="LVI30" s="545"/>
      <c r="LVJ30" s="545"/>
      <c r="LVK30" s="545"/>
      <c r="LVL30" s="545"/>
      <c r="LVM30" s="545"/>
      <c r="LVN30" s="545"/>
      <c r="LVO30" s="545"/>
      <c r="LVP30" s="545"/>
      <c r="LVQ30" s="545"/>
      <c r="LVR30" s="545"/>
      <c r="LVS30" s="545"/>
      <c r="LVT30" s="545"/>
      <c r="LVU30" s="545"/>
      <c r="LVV30" s="545"/>
      <c r="LVW30" s="545"/>
      <c r="LVX30" s="545"/>
      <c r="LVY30" s="545"/>
      <c r="LVZ30" s="545"/>
      <c r="LWA30" s="545"/>
      <c r="LWB30" s="545"/>
      <c r="LWC30" s="545"/>
      <c r="LWD30" s="545"/>
      <c r="LWE30" s="545"/>
      <c r="LWF30" s="545"/>
      <c r="LWG30" s="545"/>
      <c r="LWH30" s="545"/>
      <c r="LWI30" s="545"/>
      <c r="LWJ30" s="545"/>
      <c r="LWK30" s="545"/>
      <c r="LWL30" s="545"/>
      <c r="LWM30" s="545"/>
      <c r="LWN30" s="545"/>
      <c r="LWO30" s="545"/>
      <c r="LWP30" s="545"/>
      <c r="LWQ30" s="545"/>
      <c r="LWR30" s="545"/>
      <c r="LWS30" s="545"/>
      <c r="LWT30" s="545"/>
      <c r="LWU30" s="545"/>
      <c r="LWV30" s="545"/>
      <c r="LWW30" s="545"/>
      <c r="LWX30" s="545"/>
      <c r="LWY30" s="545"/>
      <c r="LWZ30" s="545"/>
      <c r="LXA30" s="545"/>
      <c r="LXB30" s="545"/>
      <c r="LXC30" s="545"/>
      <c r="LXD30" s="545"/>
      <c r="LXE30" s="545"/>
      <c r="LXF30" s="545"/>
      <c r="LXG30" s="545"/>
      <c r="LXH30" s="545"/>
      <c r="LXI30" s="545"/>
      <c r="LXJ30" s="545"/>
      <c r="LXK30" s="545"/>
      <c r="LXL30" s="545"/>
      <c r="LXM30" s="545"/>
      <c r="LXN30" s="545"/>
      <c r="LXO30" s="545"/>
      <c r="LXP30" s="545"/>
      <c r="LXQ30" s="545"/>
      <c r="LXR30" s="545"/>
      <c r="LXS30" s="545"/>
      <c r="LXT30" s="545"/>
      <c r="LXU30" s="545"/>
      <c r="LXV30" s="545"/>
      <c r="LXW30" s="545"/>
      <c r="LXX30" s="545"/>
      <c r="LXY30" s="545"/>
      <c r="LXZ30" s="545"/>
      <c r="LYA30" s="545"/>
      <c r="LYB30" s="545"/>
      <c r="LYC30" s="545"/>
      <c r="LYD30" s="545"/>
      <c r="LYE30" s="545"/>
      <c r="LYF30" s="545"/>
      <c r="LYG30" s="545"/>
      <c r="LYH30" s="545"/>
      <c r="LYI30" s="545"/>
      <c r="LYJ30" s="545"/>
      <c r="LYK30" s="545"/>
      <c r="LYL30" s="545"/>
      <c r="LYM30" s="545"/>
      <c r="LYN30" s="545"/>
      <c r="LYO30" s="545"/>
      <c r="LYP30" s="545"/>
      <c r="LYQ30" s="545"/>
      <c r="LYR30" s="545"/>
      <c r="LYS30" s="545"/>
      <c r="LYT30" s="545"/>
      <c r="LYU30" s="545"/>
      <c r="LYV30" s="545"/>
      <c r="LYW30" s="545"/>
      <c r="LYX30" s="545"/>
      <c r="LYY30" s="545"/>
      <c r="LYZ30" s="545"/>
      <c r="LZA30" s="545"/>
      <c r="LZB30" s="545"/>
      <c r="LZC30" s="545"/>
      <c r="LZD30" s="545"/>
      <c r="LZE30" s="545"/>
      <c r="LZF30" s="545"/>
      <c r="LZG30" s="545"/>
      <c r="LZH30" s="545"/>
      <c r="LZI30" s="545"/>
      <c r="LZJ30" s="545"/>
      <c r="LZK30" s="545"/>
      <c r="LZL30" s="545"/>
      <c r="LZM30" s="545"/>
      <c r="LZN30" s="545"/>
      <c r="LZO30" s="545"/>
      <c r="LZP30" s="545"/>
      <c r="LZQ30" s="545"/>
      <c r="LZR30" s="545"/>
      <c r="LZS30" s="545"/>
      <c r="LZT30" s="545"/>
      <c r="LZU30" s="545"/>
      <c r="LZV30" s="545"/>
      <c r="LZW30" s="545"/>
      <c r="LZX30" s="545"/>
      <c r="LZY30" s="545"/>
      <c r="LZZ30" s="545"/>
      <c r="MAA30" s="545"/>
      <c r="MAB30" s="545"/>
      <c r="MAC30" s="545"/>
      <c r="MAD30" s="545"/>
      <c r="MAE30" s="545"/>
      <c r="MAF30" s="545"/>
      <c r="MAG30" s="545"/>
      <c r="MAH30" s="545"/>
      <c r="MAI30" s="545"/>
      <c r="MAJ30" s="545"/>
      <c r="MAK30" s="545"/>
      <c r="MAL30" s="545"/>
      <c r="MAM30" s="545"/>
      <c r="MAN30" s="545"/>
      <c r="MAO30" s="545"/>
      <c r="MAP30" s="545"/>
      <c r="MAQ30" s="545"/>
      <c r="MAR30" s="545"/>
      <c r="MAS30" s="545"/>
      <c r="MAT30" s="545"/>
      <c r="MAU30" s="545"/>
      <c r="MAV30" s="545"/>
      <c r="MAW30" s="545"/>
      <c r="MAX30" s="545"/>
      <c r="MAY30" s="545"/>
      <c r="MAZ30" s="545"/>
      <c r="MBA30" s="545"/>
      <c r="MBB30" s="545"/>
      <c r="MBC30" s="545"/>
      <c r="MBD30" s="545"/>
      <c r="MBE30" s="545"/>
      <c r="MBF30" s="545"/>
      <c r="MBG30" s="545"/>
      <c r="MBH30" s="545"/>
      <c r="MBI30" s="545"/>
      <c r="MBJ30" s="545"/>
      <c r="MBK30" s="545"/>
      <c r="MBL30" s="545"/>
      <c r="MBM30" s="545"/>
      <c r="MBN30" s="545"/>
      <c r="MBO30" s="545"/>
      <c r="MBP30" s="545"/>
      <c r="MBQ30" s="545"/>
      <c r="MBR30" s="545"/>
      <c r="MBS30" s="545"/>
      <c r="MBT30" s="545"/>
      <c r="MBU30" s="545"/>
      <c r="MBV30" s="545"/>
      <c r="MBW30" s="545"/>
      <c r="MBX30" s="545"/>
      <c r="MBY30" s="545"/>
      <c r="MBZ30" s="545"/>
      <c r="MCA30" s="545"/>
      <c r="MCB30" s="545"/>
      <c r="MCC30" s="545"/>
      <c r="MCD30" s="545"/>
      <c r="MCE30" s="545"/>
      <c r="MCF30" s="545"/>
      <c r="MCG30" s="545"/>
      <c r="MCH30" s="545"/>
      <c r="MCI30" s="545"/>
      <c r="MCJ30" s="545"/>
      <c r="MCK30" s="545"/>
      <c r="MCL30" s="545"/>
      <c r="MCM30" s="545"/>
      <c r="MCN30" s="545"/>
      <c r="MCO30" s="545"/>
      <c r="MCP30" s="545"/>
      <c r="MCQ30" s="545"/>
      <c r="MCR30" s="545"/>
      <c r="MCS30" s="545"/>
      <c r="MCT30" s="545"/>
      <c r="MCU30" s="545"/>
      <c r="MCV30" s="545"/>
      <c r="MCW30" s="545"/>
      <c r="MCX30" s="545"/>
      <c r="MCY30" s="545"/>
      <c r="MCZ30" s="545"/>
      <c r="MDA30" s="545"/>
      <c r="MDB30" s="545"/>
      <c r="MDC30" s="545"/>
      <c r="MDD30" s="545"/>
      <c r="MDE30" s="545"/>
      <c r="MDF30" s="545"/>
      <c r="MDG30" s="545"/>
      <c r="MDH30" s="545"/>
      <c r="MDI30" s="545"/>
      <c r="MDJ30" s="545"/>
      <c r="MDK30" s="545"/>
      <c r="MDL30" s="545"/>
      <c r="MDM30" s="545"/>
      <c r="MDN30" s="545"/>
      <c r="MDO30" s="545"/>
      <c r="MDP30" s="545"/>
      <c r="MDQ30" s="545"/>
      <c r="MDR30" s="545"/>
      <c r="MDS30" s="545"/>
      <c r="MDT30" s="545"/>
      <c r="MDU30" s="545"/>
      <c r="MDV30" s="545"/>
      <c r="MDW30" s="545"/>
      <c r="MDX30" s="545"/>
      <c r="MDY30" s="545"/>
      <c r="MDZ30" s="545"/>
      <c r="MEA30" s="545"/>
      <c r="MEB30" s="545"/>
      <c r="MEC30" s="545"/>
      <c r="MED30" s="545"/>
      <c r="MEE30" s="545"/>
      <c r="MEF30" s="545"/>
      <c r="MEG30" s="545"/>
      <c r="MEH30" s="545"/>
      <c r="MEI30" s="545"/>
      <c r="MEJ30" s="545"/>
      <c r="MEK30" s="545"/>
      <c r="MEL30" s="545"/>
      <c r="MEM30" s="545"/>
      <c r="MEN30" s="545"/>
      <c r="MEO30" s="545"/>
      <c r="MEP30" s="545"/>
      <c r="MEQ30" s="545"/>
      <c r="MER30" s="545"/>
      <c r="MES30" s="545"/>
      <c r="MET30" s="545"/>
      <c r="MEU30" s="545"/>
      <c r="MEV30" s="545"/>
      <c r="MEW30" s="545"/>
      <c r="MEX30" s="545"/>
      <c r="MEY30" s="545"/>
      <c r="MEZ30" s="545"/>
      <c r="MFA30" s="545"/>
      <c r="MFB30" s="545"/>
      <c r="MFC30" s="545"/>
      <c r="MFD30" s="545"/>
      <c r="MFE30" s="545"/>
      <c r="MFF30" s="545"/>
      <c r="MFG30" s="545"/>
      <c r="MFH30" s="545"/>
      <c r="MFI30" s="545"/>
      <c r="MFJ30" s="545"/>
      <c r="MFK30" s="545"/>
      <c r="MFL30" s="545"/>
      <c r="MFM30" s="545"/>
      <c r="MFN30" s="545"/>
      <c r="MFO30" s="545"/>
      <c r="MFP30" s="545"/>
      <c r="MFQ30" s="545"/>
      <c r="MFR30" s="545"/>
      <c r="MFS30" s="545"/>
      <c r="MFT30" s="545"/>
      <c r="MFU30" s="545"/>
      <c r="MFV30" s="545"/>
      <c r="MFW30" s="545"/>
      <c r="MFX30" s="545"/>
      <c r="MFY30" s="545"/>
      <c r="MFZ30" s="545"/>
      <c r="MGA30" s="545"/>
      <c r="MGB30" s="545"/>
      <c r="MGC30" s="545"/>
      <c r="MGD30" s="545"/>
      <c r="MGE30" s="545"/>
      <c r="MGF30" s="545"/>
      <c r="MGG30" s="545"/>
      <c r="MGH30" s="545"/>
      <c r="MGI30" s="545"/>
      <c r="MGJ30" s="545"/>
      <c r="MGK30" s="545"/>
      <c r="MGL30" s="545"/>
      <c r="MGM30" s="545"/>
      <c r="MGN30" s="545"/>
      <c r="MGO30" s="545"/>
      <c r="MGP30" s="545"/>
      <c r="MGQ30" s="545"/>
      <c r="MGR30" s="545"/>
      <c r="MGS30" s="545"/>
      <c r="MGT30" s="545"/>
      <c r="MGU30" s="545"/>
      <c r="MGV30" s="545"/>
      <c r="MGW30" s="545"/>
      <c r="MGX30" s="545"/>
      <c r="MGY30" s="545"/>
      <c r="MGZ30" s="545"/>
      <c r="MHA30" s="545"/>
      <c r="MHB30" s="545"/>
      <c r="MHC30" s="545"/>
      <c r="MHD30" s="545"/>
      <c r="MHE30" s="545"/>
      <c r="MHF30" s="545"/>
      <c r="MHG30" s="545"/>
      <c r="MHH30" s="545"/>
      <c r="MHI30" s="545"/>
      <c r="MHJ30" s="545"/>
      <c r="MHK30" s="545"/>
      <c r="MHL30" s="545"/>
      <c r="MHM30" s="545"/>
      <c r="MHN30" s="545"/>
      <c r="MHO30" s="545"/>
      <c r="MHP30" s="545"/>
      <c r="MHQ30" s="545"/>
      <c r="MHR30" s="545"/>
      <c r="MHS30" s="545"/>
      <c r="MHT30" s="545"/>
      <c r="MHU30" s="545"/>
      <c r="MHV30" s="545"/>
      <c r="MHW30" s="545"/>
      <c r="MHX30" s="545"/>
      <c r="MHY30" s="545"/>
      <c r="MHZ30" s="545"/>
      <c r="MIA30" s="545"/>
      <c r="MIB30" s="545"/>
      <c r="MIC30" s="545"/>
      <c r="MID30" s="545"/>
      <c r="MIE30" s="545"/>
      <c r="MIF30" s="545"/>
      <c r="MIG30" s="545"/>
      <c r="MIH30" s="545"/>
      <c r="MII30" s="545"/>
      <c r="MIJ30" s="545"/>
      <c r="MIK30" s="545"/>
      <c r="MIL30" s="545"/>
      <c r="MIM30" s="545"/>
      <c r="MIN30" s="545"/>
      <c r="MIO30" s="545"/>
      <c r="MIP30" s="545"/>
      <c r="MIQ30" s="545"/>
      <c r="MIR30" s="545"/>
      <c r="MIS30" s="545"/>
      <c r="MIT30" s="545"/>
      <c r="MIU30" s="545"/>
      <c r="MIV30" s="545"/>
      <c r="MIW30" s="545"/>
      <c r="MIX30" s="545"/>
      <c r="MIY30" s="545"/>
      <c r="MIZ30" s="545"/>
      <c r="MJA30" s="545"/>
      <c r="MJB30" s="545"/>
      <c r="MJC30" s="545"/>
      <c r="MJD30" s="545"/>
      <c r="MJE30" s="545"/>
      <c r="MJF30" s="545"/>
      <c r="MJG30" s="545"/>
      <c r="MJH30" s="545"/>
      <c r="MJI30" s="545"/>
      <c r="MJJ30" s="545"/>
      <c r="MJK30" s="545"/>
      <c r="MJL30" s="545"/>
      <c r="MJM30" s="545"/>
      <c r="MJN30" s="545"/>
      <c r="MJO30" s="545"/>
      <c r="MJP30" s="545"/>
      <c r="MJQ30" s="545"/>
      <c r="MJR30" s="545"/>
      <c r="MJS30" s="545"/>
      <c r="MJT30" s="545"/>
      <c r="MJU30" s="545"/>
      <c r="MJV30" s="545"/>
      <c r="MJW30" s="545"/>
      <c r="MJX30" s="545"/>
      <c r="MJY30" s="545"/>
      <c r="MJZ30" s="545"/>
      <c r="MKA30" s="545"/>
      <c r="MKB30" s="545"/>
      <c r="MKC30" s="545"/>
      <c r="MKD30" s="545"/>
      <c r="MKE30" s="545"/>
      <c r="MKF30" s="545"/>
      <c r="MKG30" s="545"/>
      <c r="MKH30" s="545"/>
      <c r="MKI30" s="545"/>
      <c r="MKJ30" s="545"/>
      <c r="MKK30" s="545"/>
      <c r="MKL30" s="545"/>
      <c r="MKM30" s="545"/>
      <c r="MKN30" s="545"/>
      <c r="MKO30" s="545"/>
      <c r="MKP30" s="545"/>
      <c r="MKQ30" s="545"/>
      <c r="MKR30" s="545"/>
      <c r="MKS30" s="545"/>
      <c r="MKT30" s="545"/>
      <c r="MKU30" s="545"/>
      <c r="MKV30" s="545"/>
      <c r="MKW30" s="545"/>
      <c r="MKX30" s="545"/>
      <c r="MKY30" s="545"/>
      <c r="MKZ30" s="545"/>
      <c r="MLA30" s="545"/>
      <c r="MLB30" s="545"/>
      <c r="MLC30" s="545"/>
      <c r="MLD30" s="545"/>
      <c r="MLE30" s="545"/>
      <c r="MLF30" s="545"/>
      <c r="MLG30" s="545"/>
      <c r="MLH30" s="545"/>
      <c r="MLI30" s="545"/>
      <c r="MLJ30" s="545"/>
      <c r="MLK30" s="545"/>
      <c r="MLL30" s="545"/>
      <c r="MLM30" s="545"/>
      <c r="MLN30" s="545"/>
      <c r="MLO30" s="545"/>
      <c r="MLP30" s="545"/>
      <c r="MLQ30" s="545"/>
      <c r="MLR30" s="545"/>
      <c r="MLS30" s="545"/>
      <c r="MLT30" s="545"/>
      <c r="MLU30" s="545"/>
      <c r="MLV30" s="545"/>
      <c r="MLW30" s="545"/>
      <c r="MLX30" s="545"/>
      <c r="MLY30" s="545"/>
      <c r="MLZ30" s="545"/>
      <c r="MMA30" s="545"/>
      <c r="MMB30" s="545"/>
      <c r="MMC30" s="545"/>
      <c r="MMD30" s="545"/>
      <c r="MME30" s="545"/>
      <c r="MMF30" s="545"/>
      <c r="MMG30" s="545"/>
      <c r="MMH30" s="545"/>
      <c r="MMI30" s="545"/>
      <c r="MMJ30" s="545"/>
      <c r="MMK30" s="545"/>
      <c r="MML30" s="545"/>
      <c r="MMM30" s="545"/>
      <c r="MMN30" s="545"/>
      <c r="MMO30" s="545"/>
      <c r="MMP30" s="545"/>
      <c r="MMQ30" s="545"/>
      <c r="MMR30" s="545"/>
      <c r="MMS30" s="545"/>
      <c r="MMT30" s="545"/>
      <c r="MMU30" s="545"/>
      <c r="MMV30" s="545"/>
      <c r="MMW30" s="545"/>
      <c r="MMX30" s="545"/>
      <c r="MMY30" s="545"/>
      <c r="MMZ30" s="545"/>
      <c r="MNA30" s="545"/>
      <c r="MNB30" s="545"/>
      <c r="MNC30" s="545"/>
      <c r="MND30" s="545"/>
      <c r="MNE30" s="545"/>
      <c r="MNF30" s="545"/>
      <c r="MNG30" s="545"/>
      <c r="MNH30" s="545"/>
      <c r="MNI30" s="545"/>
      <c r="MNJ30" s="545"/>
      <c r="MNK30" s="545"/>
      <c r="MNL30" s="545"/>
      <c r="MNM30" s="545"/>
      <c r="MNN30" s="545"/>
      <c r="MNO30" s="545"/>
      <c r="MNP30" s="545"/>
      <c r="MNQ30" s="545"/>
      <c r="MNR30" s="545"/>
      <c r="MNS30" s="545"/>
      <c r="MNT30" s="545"/>
      <c r="MNU30" s="545"/>
      <c r="MNV30" s="545"/>
      <c r="MNW30" s="545"/>
      <c r="MNX30" s="545"/>
      <c r="MNY30" s="545"/>
      <c r="MNZ30" s="545"/>
      <c r="MOA30" s="545"/>
      <c r="MOB30" s="545"/>
      <c r="MOC30" s="545"/>
      <c r="MOD30" s="545"/>
      <c r="MOE30" s="545"/>
      <c r="MOF30" s="545"/>
      <c r="MOG30" s="545"/>
      <c r="MOH30" s="545"/>
      <c r="MOI30" s="545"/>
      <c r="MOJ30" s="545"/>
      <c r="MOK30" s="545"/>
      <c r="MOL30" s="545"/>
      <c r="MOM30" s="545"/>
      <c r="MON30" s="545"/>
      <c r="MOO30" s="545"/>
      <c r="MOP30" s="545"/>
      <c r="MOQ30" s="545"/>
      <c r="MOR30" s="545"/>
      <c r="MOS30" s="545"/>
      <c r="MOT30" s="545"/>
      <c r="MOU30" s="545"/>
      <c r="MOV30" s="545"/>
      <c r="MOW30" s="545"/>
      <c r="MOX30" s="545"/>
      <c r="MOY30" s="545"/>
      <c r="MOZ30" s="545"/>
      <c r="MPA30" s="545"/>
      <c r="MPB30" s="545"/>
      <c r="MPC30" s="545"/>
      <c r="MPD30" s="545"/>
      <c r="MPE30" s="545"/>
      <c r="MPF30" s="545"/>
      <c r="MPG30" s="545"/>
      <c r="MPH30" s="545"/>
      <c r="MPI30" s="545"/>
      <c r="MPJ30" s="545"/>
      <c r="MPK30" s="545"/>
      <c r="MPL30" s="545"/>
      <c r="MPM30" s="545"/>
      <c r="MPN30" s="545"/>
      <c r="MPO30" s="545"/>
      <c r="MPP30" s="545"/>
      <c r="MPQ30" s="545"/>
      <c r="MPR30" s="545"/>
      <c r="MPS30" s="545"/>
      <c r="MPT30" s="545"/>
      <c r="MPU30" s="545"/>
      <c r="MPV30" s="545"/>
      <c r="MPW30" s="545"/>
      <c r="MPX30" s="545"/>
      <c r="MPY30" s="545"/>
      <c r="MPZ30" s="545"/>
      <c r="MQA30" s="545"/>
      <c r="MQB30" s="545"/>
      <c r="MQC30" s="545"/>
      <c r="MQD30" s="545"/>
      <c r="MQE30" s="545"/>
      <c r="MQF30" s="545"/>
      <c r="MQG30" s="545"/>
      <c r="MQH30" s="545"/>
      <c r="MQI30" s="545"/>
      <c r="MQJ30" s="545"/>
      <c r="MQK30" s="545"/>
      <c r="MQL30" s="545"/>
      <c r="MQM30" s="545"/>
      <c r="MQN30" s="545"/>
      <c r="MQO30" s="545"/>
      <c r="MQP30" s="545"/>
      <c r="MQQ30" s="545"/>
      <c r="MQR30" s="545"/>
      <c r="MQS30" s="545"/>
      <c r="MQT30" s="545"/>
      <c r="MQU30" s="545"/>
      <c r="MQV30" s="545"/>
      <c r="MQW30" s="545"/>
      <c r="MQX30" s="545"/>
      <c r="MQY30" s="545"/>
      <c r="MQZ30" s="545"/>
      <c r="MRA30" s="545"/>
      <c r="MRB30" s="545"/>
      <c r="MRC30" s="545"/>
      <c r="MRD30" s="545"/>
      <c r="MRE30" s="545"/>
      <c r="MRF30" s="545"/>
      <c r="MRG30" s="545"/>
      <c r="MRH30" s="545"/>
      <c r="MRI30" s="545"/>
      <c r="MRJ30" s="545"/>
      <c r="MRK30" s="545"/>
      <c r="MRL30" s="545"/>
      <c r="MRM30" s="545"/>
      <c r="MRN30" s="545"/>
      <c r="MRO30" s="545"/>
      <c r="MRP30" s="545"/>
      <c r="MRQ30" s="545"/>
      <c r="MRR30" s="545"/>
      <c r="MRS30" s="545"/>
      <c r="MRT30" s="545"/>
      <c r="MRU30" s="545"/>
      <c r="MRV30" s="545"/>
      <c r="MRW30" s="545"/>
      <c r="MRX30" s="545"/>
      <c r="MRY30" s="545"/>
      <c r="MRZ30" s="545"/>
      <c r="MSA30" s="545"/>
      <c r="MSB30" s="545"/>
      <c r="MSC30" s="545"/>
      <c r="MSD30" s="545"/>
      <c r="MSE30" s="545"/>
      <c r="MSF30" s="545"/>
      <c r="MSG30" s="545"/>
      <c r="MSH30" s="545"/>
      <c r="MSI30" s="545"/>
      <c r="MSJ30" s="545"/>
      <c r="MSK30" s="545"/>
      <c r="MSL30" s="545"/>
      <c r="MSM30" s="545"/>
      <c r="MSN30" s="545"/>
      <c r="MSO30" s="545"/>
      <c r="MSP30" s="545"/>
      <c r="MSQ30" s="545"/>
      <c r="MSR30" s="545"/>
      <c r="MSS30" s="545"/>
      <c r="MST30" s="545"/>
      <c r="MSU30" s="545"/>
      <c r="MSV30" s="545"/>
      <c r="MSW30" s="545"/>
      <c r="MSX30" s="545"/>
      <c r="MSY30" s="545"/>
      <c r="MSZ30" s="545"/>
      <c r="MTA30" s="545"/>
      <c r="MTB30" s="545"/>
      <c r="MTC30" s="545"/>
      <c r="MTD30" s="545"/>
      <c r="MTE30" s="545"/>
      <c r="MTF30" s="545"/>
      <c r="MTG30" s="545"/>
      <c r="MTH30" s="545"/>
      <c r="MTI30" s="545"/>
      <c r="MTJ30" s="545"/>
      <c r="MTK30" s="545"/>
      <c r="MTL30" s="545"/>
      <c r="MTM30" s="545"/>
      <c r="MTN30" s="545"/>
      <c r="MTO30" s="545"/>
      <c r="MTP30" s="545"/>
      <c r="MTQ30" s="545"/>
      <c r="MTR30" s="545"/>
      <c r="MTS30" s="545"/>
      <c r="MTT30" s="545"/>
      <c r="MTU30" s="545"/>
      <c r="MTV30" s="545"/>
      <c r="MTW30" s="545"/>
      <c r="MTX30" s="545"/>
      <c r="MTY30" s="545"/>
      <c r="MTZ30" s="545"/>
      <c r="MUA30" s="545"/>
      <c r="MUB30" s="545"/>
      <c r="MUC30" s="545"/>
      <c r="MUD30" s="545"/>
      <c r="MUE30" s="545"/>
      <c r="MUF30" s="545"/>
      <c r="MUG30" s="545"/>
      <c r="MUH30" s="545"/>
      <c r="MUI30" s="545"/>
      <c r="MUJ30" s="545"/>
      <c r="MUK30" s="545"/>
      <c r="MUL30" s="545"/>
      <c r="MUM30" s="545"/>
      <c r="MUN30" s="545"/>
      <c r="MUO30" s="545"/>
      <c r="MUP30" s="545"/>
      <c r="MUQ30" s="545"/>
      <c r="MUR30" s="545"/>
      <c r="MUS30" s="545"/>
      <c r="MUT30" s="545"/>
      <c r="MUU30" s="545"/>
      <c r="MUV30" s="545"/>
      <c r="MUW30" s="545"/>
      <c r="MUX30" s="545"/>
      <c r="MUY30" s="545"/>
      <c r="MUZ30" s="545"/>
      <c r="MVA30" s="545"/>
      <c r="MVB30" s="545"/>
      <c r="MVC30" s="545"/>
      <c r="MVD30" s="545"/>
      <c r="MVE30" s="545"/>
      <c r="MVF30" s="545"/>
      <c r="MVG30" s="545"/>
      <c r="MVH30" s="545"/>
      <c r="MVI30" s="545"/>
      <c r="MVJ30" s="545"/>
      <c r="MVK30" s="545"/>
      <c r="MVL30" s="545"/>
      <c r="MVM30" s="545"/>
      <c r="MVN30" s="545"/>
      <c r="MVO30" s="545"/>
      <c r="MVP30" s="545"/>
      <c r="MVQ30" s="545"/>
      <c r="MVR30" s="545"/>
      <c r="MVS30" s="545"/>
      <c r="MVT30" s="545"/>
      <c r="MVU30" s="545"/>
      <c r="MVV30" s="545"/>
      <c r="MVW30" s="545"/>
      <c r="MVX30" s="545"/>
      <c r="MVY30" s="545"/>
      <c r="MVZ30" s="545"/>
      <c r="MWA30" s="545"/>
      <c r="MWB30" s="545"/>
      <c r="MWC30" s="545"/>
      <c r="MWD30" s="545"/>
      <c r="MWE30" s="545"/>
      <c r="MWF30" s="545"/>
      <c r="MWG30" s="545"/>
      <c r="MWH30" s="545"/>
      <c r="MWI30" s="545"/>
      <c r="MWJ30" s="545"/>
      <c r="MWK30" s="545"/>
      <c r="MWL30" s="545"/>
      <c r="MWM30" s="545"/>
      <c r="MWN30" s="545"/>
      <c r="MWO30" s="545"/>
      <c r="MWP30" s="545"/>
      <c r="MWQ30" s="545"/>
      <c r="MWR30" s="545"/>
      <c r="MWS30" s="545"/>
      <c r="MWT30" s="545"/>
      <c r="MWU30" s="545"/>
      <c r="MWV30" s="545"/>
      <c r="MWW30" s="545"/>
      <c r="MWX30" s="545"/>
      <c r="MWY30" s="545"/>
      <c r="MWZ30" s="545"/>
      <c r="MXA30" s="545"/>
      <c r="MXB30" s="545"/>
      <c r="MXC30" s="545"/>
      <c r="MXD30" s="545"/>
      <c r="MXE30" s="545"/>
      <c r="MXF30" s="545"/>
      <c r="MXG30" s="545"/>
      <c r="MXH30" s="545"/>
      <c r="MXI30" s="545"/>
      <c r="MXJ30" s="545"/>
      <c r="MXK30" s="545"/>
      <c r="MXL30" s="545"/>
      <c r="MXM30" s="545"/>
      <c r="MXN30" s="545"/>
      <c r="MXO30" s="545"/>
      <c r="MXP30" s="545"/>
      <c r="MXQ30" s="545"/>
      <c r="MXR30" s="545"/>
      <c r="MXS30" s="545"/>
      <c r="MXT30" s="545"/>
      <c r="MXU30" s="545"/>
      <c r="MXV30" s="545"/>
      <c r="MXW30" s="545"/>
      <c r="MXX30" s="545"/>
      <c r="MXY30" s="545"/>
      <c r="MXZ30" s="545"/>
      <c r="MYA30" s="545"/>
      <c r="MYB30" s="545"/>
      <c r="MYC30" s="545"/>
      <c r="MYD30" s="545"/>
      <c r="MYE30" s="545"/>
      <c r="MYF30" s="545"/>
      <c r="MYG30" s="545"/>
      <c r="MYH30" s="545"/>
      <c r="MYI30" s="545"/>
      <c r="MYJ30" s="545"/>
      <c r="MYK30" s="545"/>
      <c r="MYL30" s="545"/>
      <c r="MYM30" s="545"/>
      <c r="MYN30" s="545"/>
      <c r="MYO30" s="545"/>
      <c r="MYP30" s="545"/>
      <c r="MYQ30" s="545"/>
      <c r="MYR30" s="545"/>
      <c r="MYS30" s="545"/>
      <c r="MYT30" s="545"/>
      <c r="MYU30" s="545"/>
      <c r="MYV30" s="545"/>
      <c r="MYW30" s="545"/>
      <c r="MYX30" s="545"/>
      <c r="MYY30" s="545"/>
      <c r="MYZ30" s="545"/>
      <c r="MZA30" s="545"/>
      <c r="MZB30" s="545"/>
      <c r="MZC30" s="545"/>
      <c r="MZD30" s="545"/>
      <c r="MZE30" s="545"/>
      <c r="MZF30" s="545"/>
      <c r="MZG30" s="545"/>
      <c r="MZH30" s="545"/>
      <c r="MZI30" s="545"/>
      <c r="MZJ30" s="545"/>
      <c r="MZK30" s="545"/>
      <c r="MZL30" s="545"/>
      <c r="MZM30" s="545"/>
      <c r="MZN30" s="545"/>
      <c r="MZO30" s="545"/>
      <c r="MZP30" s="545"/>
      <c r="MZQ30" s="545"/>
      <c r="MZR30" s="545"/>
      <c r="MZS30" s="545"/>
      <c r="MZT30" s="545"/>
      <c r="MZU30" s="545"/>
      <c r="MZV30" s="545"/>
      <c r="MZW30" s="545"/>
      <c r="MZX30" s="545"/>
      <c r="MZY30" s="545"/>
      <c r="MZZ30" s="545"/>
      <c r="NAA30" s="545"/>
      <c r="NAB30" s="545"/>
      <c r="NAC30" s="545"/>
      <c r="NAD30" s="545"/>
      <c r="NAE30" s="545"/>
      <c r="NAF30" s="545"/>
      <c r="NAG30" s="545"/>
      <c r="NAH30" s="545"/>
      <c r="NAI30" s="545"/>
      <c r="NAJ30" s="545"/>
      <c r="NAK30" s="545"/>
      <c r="NAL30" s="545"/>
      <c r="NAM30" s="545"/>
      <c r="NAN30" s="545"/>
      <c r="NAO30" s="545"/>
      <c r="NAP30" s="545"/>
      <c r="NAQ30" s="545"/>
      <c r="NAR30" s="545"/>
      <c r="NAS30" s="545"/>
      <c r="NAT30" s="545"/>
      <c r="NAU30" s="545"/>
      <c r="NAV30" s="545"/>
      <c r="NAW30" s="545"/>
      <c r="NAX30" s="545"/>
      <c r="NAY30" s="545"/>
      <c r="NAZ30" s="545"/>
      <c r="NBA30" s="545"/>
      <c r="NBB30" s="545"/>
      <c r="NBC30" s="545"/>
      <c r="NBD30" s="545"/>
      <c r="NBE30" s="545"/>
      <c r="NBF30" s="545"/>
      <c r="NBG30" s="545"/>
      <c r="NBH30" s="545"/>
      <c r="NBI30" s="545"/>
      <c r="NBJ30" s="545"/>
      <c r="NBK30" s="545"/>
      <c r="NBL30" s="545"/>
      <c r="NBM30" s="545"/>
      <c r="NBN30" s="545"/>
      <c r="NBO30" s="545"/>
      <c r="NBP30" s="545"/>
      <c r="NBQ30" s="545"/>
      <c r="NBR30" s="545"/>
      <c r="NBS30" s="545"/>
      <c r="NBT30" s="545"/>
      <c r="NBU30" s="545"/>
      <c r="NBV30" s="545"/>
      <c r="NBW30" s="545"/>
      <c r="NBX30" s="545"/>
      <c r="NBY30" s="545"/>
      <c r="NBZ30" s="545"/>
      <c r="NCA30" s="545"/>
      <c r="NCB30" s="545"/>
      <c r="NCC30" s="545"/>
      <c r="NCD30" s="545"/>
      <c r="NCE30" s="545"/>
      <c r="NCF30" s="545"/>
      <c r="NCG30" s="545"/>
      <c r="NCH30" s="545"/>
      <c r="NCI30" s="545"/>
      <c r="NCJ30" s="545"/>
      <c r="NCK30" s="545"/>
      <c r="NCL30" s="545"/>
      <c r="NCM30" s="545"/>
      <c r="NCN30" s="545"/>
      <c r="NCO30" s="545"/>
      <c r="NCP30" s="545"/>
      <c r="NCQ30" s="545"/>
      <c r="NCR30" s="545"/>
      <c r="NCS30" s="545"/>
      <c r="NCT30" s="545"/>
      <c r="NCU30" s="545"/>
      <c r="NCV30" s="545"/>
      <c r="NCW30" s="545"/>
      <c r="NCX30" s="545"/>
      <c r="NCY30" s="545"/>
      <c r="NCZ30" s="545"/>
      <c r="NDA30" s="545"/>
      <c r="NDB30" s="545"/>
      <c r="NDC30" s="545"/>
      <c r="NDD30" s="545"/>
      <c r="NDE30" s="545"/>
      <c r="NDF30" s="545"/>
      <c r="NDG30" s="545"/>
      <c r="NDH30" s="545"/>
      <c r="NDI30" s="545"/>
      <c r="NDJ30" s="545"/>
      <c r="NDK30" s="545"/>
      <c r="NDL30" s="545"/>
      <c r="NDM30" s="545"/>
      <c r="NDN30" s="545"/>
      <c r="NDO30" s="545"/>
      <c r="NDP30" s="545"/>
      <c r="NDQ30" s="545"/>
      <c r="NDR30" s="545"/>
      <c r="NDS30" s="545"/>
      <c r="NDT30" s="545"/>
      <c r="NDU30" s="545"/>
      <c r="NDV30" s="545"/>
      <c r="NDW30" s="545"/>
      <c r="NDX30" s="545"/>
      <c r="NDY30" s="545"/>
      <c r="NDZ30" s="545"/>
      <c r="NEA30" s="545"/>
      <c r="NEB30" s="545"/>
      <c r="NEC30" s="545"/>
      <c r="NED30" s="545"/>
      <c r="NEE30" s="545"/>
      <c r="NEF30" s="545"/>
      <c r="NEG30" s="545"/>
      <c r="NEH30" s="545"/>
      <c r="NEI30" s="545"/>
      <c r="NEJ30" s="545"/>
      <c r="NEK30" s="545"/>
      <c r="NEL30" s="545"/>
      <c r="NEM30" s="545"/>
      <c r="NEN30" s="545"/>
      <c r="NEO30" s="545"/>
      <c r="NEP30" s="545"/>
      <c r="NEQ30" s="545"/>
      <c r="NER30" s="545"/>
      <c r="NES30" s="545"/>
      <c r="NET30" s="545"/>
      <c r="NEU30" s="545"/>
      <c r="NEV30" s="545"/>
      <c r="NEW30" s="545"/>
      <c r="NEX30" s="545"/>
      <c r="NEY30" s="545"/>
      <c r="NEZ30" s="545"/>
      <c r="NFA30" s="545"/>
      <c r="NFB30" s="545"/>
      <c r="NFC30" s="545"/>
      <c r="NFD30" s="545"/>
      <c r="NFE30" s="545"/>
      <c r="NFF30" s="545"/>
      <c r="NFG30" s="545"/>
      <c r="NFH30" s="545"/>
      <c r="NFI30" s="545"/>
      <c r="NFJ30" s="545"/>
      <c r="NFK30" s="545"/>
      <c r="NFL30" s="545"/>
      <c r="NFM30" s="545"/>
      <c r="NFN30" s="545"/>
      <c r="NFO30" s="545"/>
      <c r="NFP30" s="545"/>
      <c r="NFQ30" s="545"/>
      <c r="NFR30" s="545"/>
      <c r="NFS30" s="545"/>
      <c r="NFT30" s="545"/>
      <c r="NFU30" s="545"/>
      <c r="NFV30" s="545"/>
      <c r="NFW30" s="545"/>
      <c r="NFX30" s="545"/>
      <c r="NFY30" s="545"/>
      <c r="NFZ30" s="545"/>
      <c r="NGA30" s="545"/>
      <c r="NGB30" s="545"/>
      <c r="NGC30" s="545"/>
      <c r="NGD30" s="545"/>
      <c r="NGE30" s="545"/>
      <c r="NGF30" s="545"/>
      <c r="NGG30" s="545"/>
      <c r="NGH30" s="545"/>
      <c r="NGI30" s="545"/>
      <c r="NGJ30" s="545"/>
      <c r="NGK30" s="545"/>
      <c r="NGL30" s="545"/>
      <c r="NGM30" s="545"/>
      <c r="NGN30" s="545"/>
      <c r="NGO30" s="545"/>
      <c r="NGP30" s="545"/>
      <c r="NGQ30" s="545"/>
      <c r="NGR30" s="545"/>
      <c r="NGS30" s="545"/>
      <c r="NGT30" s="545"/>
      <c r="NGU30" s="545"/>
      <c r="NGV30" s="545"/>
      <c r="NGW30" s="545"/>
      <c r="NGX30" s="545"/>
      <c r="NGY30" s="545"/>
      <c r="NGZ30" s="545"/>
      <c r="NHA30" s="545"/>
      <c r="NHB30" s="545"/>
      <c r="NHC30" s="545"/>
      <c r="NHD30" s="545"/>
      <c r="NHE30" s="545"/>
      <c r="NHF30" s="545"/>
      <c r="NHG30" s="545"/>
      <c r="NHH30" s="545"/>
      <c r="NHI30" s="545"/>
      <c r="NHJ30" s="545"/>
      <c r="NHK30" s="545"/>
      <c r="NHL30" s="545"/>
      <c r="NHM30" s="545"/>
      <c r="NHN30" s="545"/>
      <c r="NHO30" s="545"/>
      <c r="NHP30" s="545"/>
      <c r="NHQ30" s="545"/>
      <c r="NHR30" s="545"/>
      <c r="NHS30" s="545"/>
      <c r="NHT30" s="545"/>
      <c r="NHU30" s="545"/>
      <c r="NHV30" s="545"/>
      <c r="NHW30" s="545"/>
      <c r="NHX30" s="545"/>
      <c r="NHY30" s="545"/>
      <c r="NHZ30" s="545"/>
      <c r="NIA30" s="545"/>
      <c r="NIB30" s="545"/>
      <c r="NIC30" s="545"/>
      <c r="NID30" s="545"/>
      <c r="NIE30" s="545"/>
      <c r="NIF30" s="545"/>
      <c r="NIG30" s="545"/>
      <c r="NIH30" s="545"/>
      <c r="NII30" s="545"/>
      <c r="NIJ30" s="545"/>
      <c r="NIK30" s="545"/>
      <c r="NIL30" s="545"/>
      <c r="NIM30" s="545"/>
      <c r="NIN30" s="545"/>
      <c r="NIO30" s="545"/>
      <c r="NIP30" s="545"/>
      <c r="NIQ30" s="545"/>
      <c r="NIR30" s="545"/>
      <c r="NIS30" s="545"/>
      <c r="NIT30" s="545"/>
      <c r="NIU30" s="545"/>
      <c r="NIV30" s="545"/>
      <c r="NIW30" s="545"/>
      <c r="NIX30" s="545"/>
      <c r="NIY30" s="545"/>
      <c r="NIZ30" s="545"/>
      <c r="NJA30" s="545"/>
      <c r="NJB30" s="545"/>
      <c r="NJC30" s="545"/>
      <c r="NJD30" s="545"/>
      <c r="NJE30" s="545"/>
      <c r="NJF30" s="545"/>
      <c r="NJG30" s="545"/>
      <c r="NJH30" s="545"/>
      <c r="NJI30" s="545"/>
      <c r="NJJ30" s="545"/>
      <c r="NJK30" s="545"/>
      <c r="NJL30" s="545"/>
      <c r="NJM30" s="545"/>
      <c r="NJN30" s="545"/>
      <c r="NJO30" s="545"/>
      <c r="NJP30" s="545"/>
      <c r="NJQ30" s="545"/>
      <c r="NJR30" s="545"/>
      <c r="NJS30" s="545"/>
      <c r="NJT30" s="545"/>
      <c r="NJU30" s="545"/>
      <c r="NJV30" s="545"/>
      <c r="NJW30" s="545"/>
      <c r="NJX30" s="545"/>
      <c r="NJY30" s="545"/>
      <c r="NJZ30" s="545"/>
      <c r="NKA30" s="545"/>
      <c r="NKB30" s="545"/>
      <c r="NKC30" s="545"/>
      <c r="NKD30" s="545"/>
      <c r="NKE30" s="545"/>
      <c r="NKF30" s="545"/>
      <c r="NKG30" s="545"/>
      <c r="NKH30" s="545"/>
      <c r="NKI30" s="545"/>
      <c r="NKJ30" s="545"/>
      <c r="NKK30" s="545"/>
      <c r="NKL30" s="545"/>
      <c r="NKM30" s="545"/>
      <c r="NKN30" s="545"/>
      <c r="NKO30" s="545"/>
      <c r="NKP30" s="545"/>
      <c r="NKQ30" s="545"/>
      <c r="NKR30" s="545"/>
      <c r="NKS30" s="545"/>
      <c r="NKT30" s="545"/>
      <c r="NKU30" s="545"/>
      <c r="NKV30" s="545"/>
      <c r="NKW30" s="545"/>
      <c r="NKX30" s="545"/>
      <c r="NKY30" s="545"/>
      <c r="NKZ30" s="545"/>
      <c r="NLA30" s="545"/>
      <c r="NLB30" s="545"/>
      <c r="NLC30" s="545"/>
      <c r="NLD30" s="545"/>
      <c r="NLE30" s="545"/>
      <c r="NLF30" s="545"/>
      <c r="NLG30" s="545"/>
      <c r="NLH30" s="545"/>
      <c r="NLI30" s="545"/>
      <c r="NLJ30" s="545"/>
      <c r="NLK30" s="545"/>
      <c r="NLL30" s="545"/>
      <c r="NLM30" s="545"/>
      <c r="NLN30" s="545"/>
      <c r="NLO30" s="545"/>
      <c r="NLP30" s="545"/>
      <c r="NLQ30" s="545"/>
      <c r="NLR30" s="545"/>
      <c r="NLS30" s="545"/>
      <c r="NLT30" s="545"/>
      <c r="NLU30" s="545"/>
      <c r="NLV30" s="545"/>
      <c r="NLW30" s="545"/>
      <c r="NLX30" s="545"/>
      <c r="NLY30" s="545"/>
      <c r="NLZ30" s="545"/>
      <c r="NMA30" s="545"/>
      <c r="NMB30" s="545"/>
      <c r="NMC30" s="545"/>
      <c r="NMD30" s="545"/>
      <c r="NME30" s="545"/>
      <c r="NMF30" s="545"/>
      <c r="NMG30" s="545"/>
      <c r="NMH30" s="545"/>
      <c r="NMI30" s="545"/>
      <c r="NMJ30" s="545"/>
      <c r="NMK30" s="545"/>
      <c r="NML30" s="545"/>
      <c r="NMM30" s="545"/>
      <c r="NMN30" s="545"/>
      <c r="NMO30" s="545"/>
      <c r="NMP30" s="545"/>
      <c r="NMQ30" s="545"/>
      <c r="NMR30" s="545"/>
      <c r="NMS30" s="545"/>
      <c r="NMT30" s="545"/>
      <c r="NMU30" s="545"/>
      <c r="NMV30" s="545"/>
      <c r="NMW30" s="545"/>
      <c r="NMX30" s="545"/>
      <c r="NMY30" s="545"/>
      <c r="NMZ30" s="545"/>
      <c r="NNA30" s="545"/>
      <c r="NNB30" s="545"/>
      <c r="NNC30" s="545"/>
      <c r="NND30" s="545"/>
      <c r="NNE30" s="545"/>
      <c r="NNF30" s="545"/>
      <c r="NNG30" s="545"/>
      <c r="NNH30" s="545"/>
      <c r="NNI30" s="545"/>
      <c r="NNJ30" s="545"/>
      <c r="NNK30" s="545"/>
      <c r="NNL30" s="545"/>
      <c r="NNM30" s="545"/>
      <c r="NNN30" s="545"/>
      <c r="NNO30" s="545"/>
      <c r="NNP30" s="545"/>
      <c r="NNQ30" s="545"/>
      <c r="NNR30" s="545"/>
      <c r="NNS30" s="545"/>
      <c r="NNT30" s="545"/>
      <c r="NNU30" s="545"/>
      <c r="NNV30" s="545"/>
      <c r="NNW30" s="545"/>
      <c r="NNX30" s="545"/>
      <c r="NNY30" s="545"/>
      <c r="NNZ30" s="545"/>
      <c r="NOA30" s="545"/>
      <c r="NOB30" s="545"/>
      <c r="NOC30" s="545"/>
      <c r="NOD30" s="545"/>
      <c r="NOE30" s="545"/>
      <c r="NOF30" s="545"/>
      <c r="NOG30" s="545"/>
      <c r="NOH30" s="545"/>
      <c r="NOI30" s="545"/>
      <c r="NOJ30" s="545"/>
      <c r="NOK30" s="545"/>
      <c r="NOL30" s="545"/>
      <c r="NOM30" s="545"/>
      <c r="NON30" s="545"/>
      <c r="NOO30" s="545"/>
      <c r="NOP30" s="545"/>
      <c r="NOQ30" s="545"/>
      <c r="NOR30" s="545"/>
      <c r="NOS30" s="545"/>
      <c r="NOT30" s="545"/>
      <c r="NOU30" s="545"/>
      <c r="NOV30" s="545"/>
      <c r="NOW30" s="545"/>
      <c r="NOX30" s="545"/>
      <c r="NOY30" s="545"/>
      <c r="NOZ30" s="545"/>
      <c r="NPA30" s="545"/>
      <c r="NPB30" s="545"/>
      <c r="NPC30" s="545"/>
      <c r="NPD30" s="545"/>
      <c r="NPE30" s="545"/>
      <c r="NPF30" s="545"/>
      <c r="NPG30" s="545"/>
      <c r="NPH30" s="545"/>
      <c r="NPI30" s="545"/>
      <c r="NPJ30" s="545"/>
      <c r="NPK30" s="545"/>
      <c r="NPL30" s="545"/>
      <c r="NPM30" s="545"/>
      <c r="NPN30" s="545"/>
      <c r="NPO30" s="545"/>
      <c r="NPP30" s="545"/>
      <c r="NPQ30" s="545"/>
      <c r="NPR30" s="545"/>
      <c r="NPS30" s="545"/>
      <c r="NPT30" s="545"/>
      <c r="NPU30" s="545"/>
      <c r="NPV30" s="545"/>
      <c r="NPW30" s="545"/>
      <c r="NPX30" s="545"/>
      <c r="NPY30" s="545"/>
      <c r="NPZ30" s="545"/>
      <c r="NQA30" s="545"/>
      <c r="NQB30" s="545"/>
      <c r="NQC30" s="545"/>
      <c r="NQD30" s="545"/>
      <c r="NQE30" s="545"/>
      <c r="NQF30" s="545"/>
      <c r="NQG30" s="545"/>
      <c r="NQH30" s="545"/>
      <c r="NQI30" s="545"/>
      <c r="NQJ30" s="545"/>
      <c r="NQK30" s="545"/>
      <c r="NQL30" s="545"/>
      <c r="NQM30" s="545"/>
      <c r="NQN30" s="545"/>
      <c r="NQO30" s="545"/>
      <c r="NQP30" s="545"/>
      <c r="NQQ30" s="545"/>
      <c r="NQR30" s="545"/>
      <c r="NQS30" s="545"/>
      <c r="NQT30" s="545"/>
      <c r="NQU30" s="545"/>
      <c r="NQV30" s="545"/>
      <c r="NQW30" s="545"/>
      <c r="NQX30" s="545"/>
      <c r="NQY30" s="545"/>
      <c r="NQZ30" s="545"/>
      <c r="NRA30" s="545"/>
      <c r="NRB30" s="545"/>
      <c r="NRC30" s="545"/>
      <c r="NRD30" s="545"/>
      <c r="NRE30" s="545"/>
      <c r="NRF30" s="545"/>
      <c r="NRG30" s="545"/>
      <c r="NRH30" s="545"/>
      <c r="NRI30" s="545"/>
      <c r="NRJ30" s="545"/>
      <c r="NRK30" s="545"/>
      <c r="NRL30" s="545"/>
      <c r="NRM30" s="545"/>
      <c r="NRN30" s="545"/>
      <c r="NRO30" s="545"/>
      <c r="NRP30" s="545"/>
      <c r="NRQ30" s="545"/>
      <c r="NRR30" s="545"/>
      <c r="NRS30" s="545"/>
      <c r="NRT30" s="545"/>
      <c r="NRU30" s="545"/>
      <c r="NRV30" s="545"/>
      <c r="NRW30" s="545"/>
      <c r="NRX30" s="545"/>
      <c r="NRY30" s="545"/>
      <c r="NRZ30" s="545"/>
      <c r="NSA30" s="545"/>
      <c r="NSB30" s="545"/>
      <c r="NSC30" s="545"/>
      <c r="NSD30" s="545"/>
      <c r="NSE30" s="545"/>
      <c r="NSF30" s="545"/>
      <c r="NSG30" s="545"/>
      <c r="NSH30" s="545"/>
      <c r="NSI30" s="545"/>
      <c r="NSJ30" s="545"/>
      <c r="NSK30" s="545"/>
      <c r="NSL30" s="545"/>
      <c r="NSM30" s="545"/>
      <c r="NSN30" s="545"/>
      <c r="NSO30" s="545"/>
      <c r="NSP30" s="545"/>
      <c r="NSQ30" s="545"/>
      <c r="NSR30" s="545"/>
      <c r="NSS30" s="545"/>
      <c r="NST30" s="545"/>
      <c r="NSU30" s="545"/>
      <c r="NSV30" s="545"/>
      <c r="NSW30" s="545"/>
      <c r="NSX30" s="545"/>
      <c r="NSY30" s="545"/>
      <c r="NSZ30" s="545"/>
      <c r="NTA30" s="545"/>
      <c r="NTB30" s="545"/>
      <c r="NTC30" s="545"/>
      <c r="NTD30" s="545"/>
      <c r="NTE30" s="545"/>
      <c r="NTF30" s="545"/>
      <c r="NTG30" s="545"/>
      <c r="NTH30" s="545"/>
      <c r="NTI30" s="545"/>
      <c r="NTJ30" s="545"/>
      <c r="NTK30" s="545"/>
      <c r="NTL30" s="545"/>
      <c r="NTM30" s="545"/>
      <c r="NTN30" s="545"/>
      <c r="NTO30" s="545"/>
      <c r="NTP30" s="545"/>
      <c r="NTQ30" s="545"/>
      <c r="NTR30" s="545"/>
      <c r="NTS30" s="545"/>
      <c r="NTT30" s="545"/>
      <c r="NTU30" s="545"/>
      <c r="NTV30" s="545"/>
      <c r="NTW30" s="545"/>
      <c r="NTX30" s="545"/>
      <c r="NTY30" s="545"/>
      <c r="NTZ30" s="545"/>
      <c r="NUA30" s="545"/>
      <c r="NUB30" s="545"/>
      <c r="NUC30" s="545"/>
      <c r="NUD30" s="545"/>
      <c r="NUE30" s="545"/>
      <c r="NUF30" s="545"/>
      <c r="NUG30" s="545"/>
      <c r="NUH30" s="545"/>
      <c r="NUI30" s="545"/>
      <c r="NUJ30" s="545"/>
      <c r="NUK30" s="545"/>
      <c r="NUL30" s="545"/>
      <c r="NUM30" s="545"/>
      <c r="NUN30" s="545"/>
      <c r="NUO30" s="545"/>
      <c r="NUP30" s="545"/>
      <c r="NUQ30" s="545"/>
      <c r="NUR30" s="545"/>
      <c r="NUS30" s="545"/>
      <c r="NUT30" s="545"/>
      <c r="NUU30" s="545"/>
      <c r="NUV30" s="545"/>
      <c r="NUW30" s="545"/>
      <c r="NUX30" s="545"/>
      <c r="NUY30" s="545"/>
      <c r="NUZ30" s="545"/>
      <c r="NVA30" s="545"/>
      <c r="NVB30" s="545"/>
      <c r="NVC30" s="545"/>
      <c r="NVD30" s="545"/>
      <c r="NVE30" s="545"/>
      <c r="NVF30" s="545"/>
      <c r="NVG30" s="545"/>
      <c r="NVH30" s="545"/>
      <c r="NVI30" s="545"/>
      <c r="NVJ30" s="545"/>
      <c r="NVK30" s="545"/>
      <c r="NVL30" s="545"/>
      <c r="NVM30" s="545"/>
      <c r="NVN30" s="545"/>
      <c r="NVO30" s="545"/>
      <c r="NVP30" s="545"/>
      <c r="NVQ30" s="545"/>
      <c r="NVR30" s="545"/>
      <c r="NVS30" s="545"/>
      <c r="NVT30" s="545"/>
      <c r="NVU30" s="545"/>
      <c r="NVV30" s="545"/>
      <c r="NVW30" s="545"/>
      <c r="NVX30" s="545"/>
      <c r="NVY30" s="545"/>
      <c r="NVZ30" s="545"/>
      <c r="NWA30" s="545"/>
      <c r="NWB30" s="545"/>
      <c r="NWC30" s="545"/>
      <c r="NWD30" s="545"/>
      <c r="NWE30" s="545"/>
      <c r="NWF30" s="545"/>
      <c r="NWG30" s="545"/>
      <c r="NWH30" s="545"/>
      <c r="NWI30" s="545"/>
      <c r="NWJ30" s="545"/>
      <c r="NWK30" s="545"/>
      <c r="NWL30" s="545"/>
      <c r="NWM30" s="545"/>
      <c r="NWN30" s="545"/>
      <c r="NWO30" s="545"/>
      <c r="NWP30" s="545"/>
      <c r="NWQ30" s="545"/>
      <c r="NWR30" s="545"/>
      <c r="NWS30" s="545"/>
      <c r="NWT30" s="545"/>
      <c r="NWU30" s="545"/>
      <c r="NWV30" s="545"/>
      <c r="NWW30" s="545"/>
      <c r="NWX30" s="545"/>
      <c r="NWY30" s="545"/>
      <c r="NWZ30" s="545"/>
      <c r="NXA30" s="545"/>
      <c r="NXB30" s="545"/>
      <c r="NXC30" s="545"/>
      <c r="NXD30" s="545"/>
      <c r="NXE30" s="545"/>
      <c r="NXF30" s="545"/>
      <c r="NXG30" s="545"/>
      <c r="NXH30" s="545"/>
      <c r="NXI30" s="545"/>
      <c r="NXJ30" s="545"/>
      <c r="NXK30" s="545"/>
      <c r="NXL30" s="545"/>
      <c r="NXM30" s="545"/>
      <c r="NXN30" s="545"/>
      <c r="NXO30" s="545"/>
      <c r="NXP30" s="545"/>
      <c r="NXQ30" s="545"/>
      <c r="NXR30" s="545"/>
      <c r="NXS30" s="545"/>
      <c r="NXT30" s="545"/>
      <c r="NXU30" s="545"/>
      <c r="NXV30" s="545"/>
      <c r="NXW30" s="545"/>
      <c r="NXX30" s="545"/>
      <c r="NXY30" s="545"/>
      <c r="NXZ30" s="545"/>
      <c r="NYA30" s="545"/>
      <c r="NYB30" s="545"/>
      <c r="NYC30" s="545"/>
      <c r="NYD30" s="545"/>
      <c r="NYE30" s="545"/>
      <c r="NYF30" s="545"/>
      <c r="NYG30" s="545"/>
      <c r="NYH30" s="545"/>
      <c r="NYI30" s="545"/>
      <c r="NYJ30" s="545"/>
      <c r="NYK30" s="545"/>
      <c r="NYL30" s="545"/>
      <c r="NYM30" s="545"/>
      <c r="NYN30" s="545"/>
      <c r="NYO30" s="545"/>
      <c r="NYP30" s="545"/>
      <c r="NYQ30" s="545"/>
      <c r="NYR30" s="545"/>
      <c r="NYS30" s="545"/>
      <c r="NYT30" s="545"/>
      <c r="NYU30" s="545"/>
      <c r="NYV30" s="545"/>
      <c r="NYW30" s="545"/>
      <c r="NYX30" s="545"/>
      <c r="NYY30" s="545"/>
      <c r="NYZ30" s="545"/>
      <c r="NZA30" s="545"/>
      <c r="NZB30" s="545"/>
      <c r="NZC30" s="545"/>
      <c r="NZD30" s="545"/>
      <c r="NZE30" s="545"/>
      <c r="NZF30" s="545"/>
      <c r="NZG30" s="545"/>
      <c r="NZH30" s="545"/>
      <c r="NZI30" s="545"/>
      <c r="NZJ30" s="545"/>
      <c r="NZK30" s="545"/>
      <c r="NZL30" s="545"/>
      <c r="NZM30" s="545"/>
      <c r="NZN30" s="545"/>
      <c r="NZO30" s="545"/>
      <c r="NZP30" s="545"/>
      <c r="NZQ30" s="545"/>
      <c r="NZR30" s="545"/>
      <c r="NZS30" s="545"/>
      <c r="NZT30" s="545"/>
      <c r="NZU30" s="545"/>
      <c r="NZV30" s="545"/>
      <c r="NZW30" s="545"/>
      <c r="NZX30" s="545"/>
      <c r="NZY30" s="545"/>
      <c r="NZZ30" s="545"/>
      <c r="OAA30" s="545"/>
      <c r="OAB30" s="545"/>
      <c r="OAC30" s="545"/>
      <c r="OAD30" s="545"/>
      <c r="OAE30" s="545"/>
      <c r="OAF30" s="545"/>
      <c r="OAG30" s="545"/>
      <c r="OAH30" s="545"/>
      <c r="OAI30" s="545"/>
      <c r="OAJ30" s="545"/>
      <c r="OAK30" s="545"/>
      <c r="OAL30" s="545"/>
      <c r="OAM30" s="545"/>
      <c r="OAN30" s="545"/>
      <c r="OAO30" s="545"/>
      <c r="OAP30" s="545"/>
      <c r="OAQ30" s="545"/>
      <c r="OAR30" s="545"/>
      <c r="OAS30" s="545"/>
      <c r="OAT30" s="545"/>
      <c r="OAU30" s="545"/>
      <c r="OAV30" s="545"/>
      <c r="OAW30" s="545"/>
      <c r="OAX30" s="545"/>
      <c r="OAY30" s="545"/>
      <c r="OAZ30" s="545"/>
      <c r="OBA30" s="545"/>
      <c r="OBB30" s="545"/>
      <c r="OBC30" s="545"/>
      <c r="OBD30" s="545"/>
      <c r="OBE30" s="545"/>
      <c r="OBF30" s="545"/>
      <c r="OBG30" s="545"/>
      <c r="OBH30" s="545"/>
      <c r="OBI30" s="545"/>
      <c r="OBJ30" s="545"/>
      <c r="OBK30" s="545"/>
      <c r="OBL30" s="545"/>
      <c r="OBM30" s="545"/>
      <c r="OBN30" s="545"/>
      <c r="OBO30" s="545"/>
      <c r="OBP30" s="545"/>
      <c r="OBQ30" s="545"/>
      <c r="OBR30" s="545"/>
      <c r="OBS30" s="545"/>
      <c r="OBT30" s="545"/>
      <c r="OBU30" s="545"/>
      <c r="OBV30" s="545"/>
      <c r="OBW30" s="545"/>
      <c r="OBX30" s="545"/>
      <c r="OBY30" s="545"/>
      <c r="OBZ30" s="545"/>
      <c r="OCA30" s="545"/>
      <c r="OCB30" s="545"/>
      <c r="OCC30" s="545"/>
      <c r="OCD30" s="545"/>
      <c r="OCE30" s="545"/>
      <c r="OCF30" s="545"/>
      <c r="OCG30" s="545"/>
      <c r="OCH30" s="545"/>
      <c r="OCI30" s="545"/>
      <c r="OCJ30" s="545"/>
      <c r="OCK30" s="545"/>
      <c r="OCL30" s="545"/>
      <c r="OCM30" s="545"/>
      <c r="OCN30" s="545"/>
      <c r="OCO30" s="545"/>
      <c r="OCP30" s="545"/>
      <c r="OCQ30" s="545"/>
      <c r="OCR30" s="545"/>
      <c r="OCS30" s="545"/>
      <c r="OCT30" s="545"/>
      <c r="OCU30" s="545"/>
      <c r="OCV30" s="545"/>
      <c r="OCW30" s="545"/>
      <c r="OCX30" s="545"/>
      <c r="OCY30" s="545"/>
      <c r="OCZ30" s="545"/>
      <c r="ODA30" s="545"/>
      <c r="ODB30" s="545"/>
      <c r="ODC30" s="545"/>
      <c r="ODD30" s="545"/>
      <c r="ODE30" s="545"/>
      <c r="ODF30" s="545"/>
      <c r="ODG30" s="545"/>
      <c r="ODH30" s="545"/>
      <c r="ODI30" s="545"/>
      <c r="ODJ30" s="545"/>
      <c r="ODK30" s="545"/>
      <c r="ODL30" s="545"/>
      <c r="ODM30" s="545"/>
      <c r="ODN30" s="545"/>
      <c r="ODO30" s="545"/>
      <c r="ODP30" s="545"/>
      <c r="ODQ30" s="545"/>
      <c r="ODR30" s="545"/>
      <c r="ODS30" s="545"/>
      <c r="ODT30" s="545"/>
      <c r="ODU30" s="545"/>
      <c r="ODV30" s="545"/>
      <c r="ODW30" s="545"/>
      <c r="ODX30" s="545"/>
      <c r="ODY30" s="545"/>
      <c r="ODZ30" s="545"/>
      <c r="OEA30" s="545"/>
      <c r="OEB30" s="545"/>
      <c r="OEC30" s="545"/>
      <c r="OED30" s="545"/>
      <c r="OEE30" s="545"/>
      <c r="OEF30" s="545"/>
      <c r="OEG30" s="545"/>
      <c r="OEH30" s="545"/>
      <c r="OEI30" s="545"/>
      <c r="OEJ30" s="545"/>
      <c r="OEK30" s="545"/>
      <c r="OEL30" s="545"/>
      <c r="OEM30" s="545"/>
      <c r="OEN30" s="545"/>
      <c r="OEO30" s="545"/>
      <c r="OEP30" s="545"/>
      <c r="OEQ30" s="545"/>
      <c r="OER30" s="545"/>
      <c r="OES30" s="545"/>
      <c r="OET30" s="545"/>
      <c r="OEU30" s="545"/>
      <c r="OEV30" s="545"/>
      <c r="OEW30" s="545"/>
      <c r="OEX30" s="545"/>
      <c r="OEY30" s="545"/>
      <c r="OEZ30" s="545"/>
      <c r="OFA30" s="545"/>
      <c r="OFB30" s="545"/>
      <c r="OFC30" s="545"/>
      <c r="OFD30" s="545"/>
      <c r="OFE30" s="545"/>
      <c r="OFF30" s="545"/>
      <c r="OFG30" s="545"/>
      <c r="OFH30" s="545"/>
      <c r="OFI30" s="545"/>
      <c r="OFJ30" s="545"/>
      <c r="OFK30" s="545"/>
      <c r="OFL30" s="545"/>
      <c r="OFM30" s="545"/>
      <c r="OFN30" s="545"/>
      <c r="OFO30" s="545"/>
      <c r="OFP30" s="545"/>
      <c r="OFQ30" s="545"/>
      <c r="OFR30" s="545"/>
      <c r="OFS30" s="545"/>
      <c r="OFT30" s="545"/>
      <c r="OFU30" s="545"/>
      <c r="OFV30" s="545"/>
      <c r="OFW30" s="545"/>
      <c r="OFX30" s="545"/>
      <c r="OFY30" s="545"/>
      <c r="OFZ30" s="545"/>
      <c r="OGA30" s="545"/>
      <c r="OGB30" s="545"/>
      <c r="OGC30" s="545"/>
      <c r="OGD30" s="545"/>
      <c r="OGE30" s="545"/>
      <c r="OGF30" s="545"/>
      <c r="OGG30" s="545"/>
      <c r="OGH30" s="545"/>
      <c r="OGI30" s="545"/>
      <c r="OGJ30" s="545"/>
      <c r="OGK30" s="545"/>
      <c r="OGL30" s="545"/>
      <c r="OGM30" s="545"/>
      <c r="OGN30" s="545"/>
      <c r="OGO30" s="545"/>
      <c r="OGP30" s="545"/>
      <c r="OGQ30" s="545"/>
      <c r="OGR30" s="545"/>
      <c r="OGS30" s="545"/>
      <c r="OGT30" s="545"/>
      <c r="OGU30" s="545"/>
      <c r="OGV30" s="545"/>
      <c r="OGW30" s="545"/>
      <c r="OGX30" s="545"/>
      <c r="OGY30" s="545"/>
      <c r="OGZ30" s="545"/>
      <c r="OHA30" s="545"/>
      <c r="OHB30" s="545"/>
      <c r="OHC30" s="545"/>
      <c r="OHD30" s="545"/>
      <c r="OHE30" s="545"/>
      <c r="OHF30" s="545"/>
      <c r="OHG30" s="545"/>
      <c r="OHH30" s="545"/>
      <c r="OHI30" s="545"/>
      <c r="OHJ30" s="545"/>
      <c r="OHK30" s="545"/>
      <c r="OHL30" s="545"/>
      <c r="OHM30" s="545"/>
      <c r="OHN30" s="545"/>
      <c r="OHO30" s="545"/>
      <c r="OHP30" s="545"/>
      <c r="OHQ30" s="545"/>
      <c r="OHR30" s="545"/>
      <c r="OHS30" s="545"/>
      <c r="OHT30" s="545"/>
      <c r="OHU30" s="545"/>
      <c r="OHV30" s="545"/>
      <c r="OHW30" s="545"/>
      <c r="OHX30" s="545"/>
      <c r="OHY30" s="545"/>
      <c r="OHZ30" s="545"/>
      <c r="OIA30" s="545"/>
      <c r="OIB30" s="545"/>
      <c r="OIC30" s="545"/>
      <c r="OID30" s="545"/>
      <c r="OIE30" s="545"/>
      <c r="OIF30" s="545"/>
      <c r="OIG30" s="545"/>
      <c r="OIH30" s="545"/>
      <c r="OII30" s="545"/>
      <c r="OIJ30" s="545"/>
      <c r="OIK30" s="545"/>
      <c r="OIL30" s="545"/>
      <c r="OIM30" s="545"/>
      <c r="OIN30" s="545"/>
      <c r="OIO30" s="545"/>
      <c r="OIP30" s="545"/>
      <c r="OIQ30" s="545"/>
      <c r="OIR30" s="545"/>
      <c r="OIS30" s="545"/>
      <c r="OIT30" s="545"/>
      <c r="OIU30" s="545"/>
      <c r="OIV30" s="545"/>
      <c r="OIW30" s="545"/>
      <c r="OIX30" s="545"/>
      <c r="OIY30" s="545"/>
      <c r="OIZ30" s="545"/>
      <c r="OJA30" s="545"/>
      <c r="OJB30" s="545"/>
      <c r="OJC30" s="545"/>
      <c r="OJD30" s="545"/>
      <c r="OJE30" s="545"/>
      <c r="OJF30" s="545"/>
      <c r="OJG30" s="545"/>
      <c r="OJH30" s="545"/>
      <c r="OJI30" s="545"/>
      <c r="OJJ30" s="545"/>
      <c r="OJK30" s="545"/>
      <c r="OJL30" s="545"/>
      <c r="OJM30" s="545"/>
      <c r="OJN30" s="545"/>
      <c r="OJO30" s="545"/>
      <c r="OJP30" s="545"/>
      <c r="OJQ30" s="545"/>
      <c r="OJR30" s="545"/>
      <c r="OJS30" s="545"/>
      <c r="OJT30" s="545"/>
      <c r="OJU30" s="545"/>
      <c r="OJV30" s="545"/>
      <c r="OJW30" s="545"/>
      <c r="OJX30" s="545"/>
      <c r="OJY30" s="545"/>
      <c r="OJZ30" s="545"/>
      <c r="OKA30" s="545"/>
      <c r="OKB30" s="545"/>
      <c r="OKC30" s="545"/>
      <c r="OKD30" s="545"/>
      <c r="OKE30" s="545"/>
      <c r="OKF30" s="545"/>
      <c r="OKG30" s="545"/>
      <c r="OKH30" s="545"/>
      <c r="OKI30" s="545"/>
      <c r="OKJ30" s="545"/>
      <c r="OKK30" s="545"/>
      <c r="OKL30" s="545"/>
      <c r="OKM30" s="545"/>
      <c r="OKN30" s="545"/>
      <c r="OKO30" s="545"/>
      <c r="OKP30" s="545"/>
      <c r="OKQ30" s="545"/>
      <c r="OKR30" s="545"/>
      <c r="OKS30" s="545"/>
      <c r="OKT30" s="545"/>
      <c r="OKU30" s="545"/>
      <c r="OKV30" s="545"/>
      <c r="OKW30" s="545"/>
      <c r="OKX30" s="545"/>
      <c r="OKY30" s="545"/>
      <c r="OKZ30" s="545"/>
      <c r="OLA30" s="545"/>
      <c r="OLB30" s="545"/>
      <c r="OLC30" s="545"/>
      <c r="OLD30" s="545"/>
      <c r="OLE30" s="545"/>
      <c r="OLF30" s="545"/>
      <c r="OLG30" s="545"/>
      <c r="OLH30" s="545"/>
      <c r="OLI30" s="545"/>
      <c r="OLJ30" s="545"/>
      <c r="OLK30" s="545"/>
      <c r="OLL30" s="545"/>
      <c r="OLM30" s="545"/>
      <c r="OLN30" s="545"/>
      <c r="OLO30" s="545"/>
      <c r="OLP30" s="545"/>
      <c r="OLQ30" s="545"/>
      <c r="OLR30" s="545"/>
      <c r="OLS30" s="545"/>
      <c r="OLT30" s="545"/>
      <c r="OLU30" s="545"/>
      <c r="OLV30" s="545"/>
      <c r="OLW30" s="545"/>
      <c r="OLX30" s="545"/>
      <c r="OLY30" s="545"/>
      <c r="OLZ30" s="545"/>
      <c r="OMA30" s="545"/>
      <c r="OMB30" s="545"/>
      <c r="OMC30" s="545"/>
      <c r="OMD30" s="545"/>
      <c r="OME30" s="545"/>
      <c r="OMF30" s="545"/>
      <c r="OMG30" s="545"/>
      <c r="OMH30" s="545"/>
      <c r="OMI30" s="545"/>
      <c r="OMJ30" s="545"/>
      <c r="OMK30" s="545"/>
      <c r="OML30" s="545"/>
      <c r="OMM30" s="545"/>
      <c r="OMN30" s="545"/>
      <c r="OMO30" s="545"/>
      <c r="OMP30" s="545"/>
      <c r="OMQ30" s="545"/>
      <c r="OMR30" s="545"/>
      <c r="OMS30" s="545"/>
      <c r="OMT30" s="545"/>
      <c r="OMU30" s="545"/>
      <c r="OMV30" s="545"/>
      <c r="OMW30" s="545"/>
      <c r="OMX30" s="545"/>
      <c r="OMY30" s="545"/>
      <c r="OMZ30" s="545"/>
      <c r="ONA30" s="545"/>
      <c r="ONB30" s="545"/>
      <c r="ONC30" s="545"/>
      <c r="OND30" s="545"/>
      <c r="ONE30" s="545"/>
      <c r="ONF30" s="545"/>
      <c r="ONG30" s="545"/>
      <c r="ONH30" s="545"/>
      <c r="ONI30" s="545"/>
      <c r="ONJ30" s="545"/>
      <c r="ONK30" s="545"/>
      <c r="ONL30" s="545"/>
      <c r="ONM30" s="545"/>
      <c r="ONN30" s="545"/>
      <c r="ONO30" s="545"/>
      <c r="ONP30" s="545"/>
      <c r="ONQ30" s="545"/>
      <c r="ONR30" s="545"/>
      <c r="ONS30" s="545"/>
      <c r="ONT30" s="545"/>
      <c r="ONU30" s="545"/>
      <c r="ONV30" s="545"/>
      <c r="ONW30" s="545"/>
      <c r="ONX30" s="545"/>
      <c r="ONY30" s="545"/>
      <c r="ONZ30" s="545"/>
      <c r="OOA30" s="545"/>
      <c r="OOB30" s="545"/>
      <c r="OOC30" s="545"/>
      <c r="OOD30" s="545"/>
      <c r="OOE30" s="545"/>
      <c r="OOF30" s="545"/>
      <c r="OOG30" s="545"/>
      <c r="OOH30" s="545"/>
      <c r="OOI30" s="545"/>
      <c r="OOJ30" s="545"/>
      <c r="OOK30" s="545"/>
      <c r="OOL30" s="545"/>
      <c r="OOM30" s="545"/>
      <c r="OON30" s="545"/>
      <c r="OOO30" s="545"/>
      <c r="OOP30" s="545"/>
      <c r="OOQ30" s="545"/>
      <c r="OOR30" s="545"/>
      <c r="OOS30" s="545"/>
      <c r="OOT30" s="545"/>
      <c r="OOU30" s="545"/>
      <c r="OOV30" s="545"/>
      <c r="OOW30" s="545"/>
      <c r="OOX30" s="545"/>
      <c r="OOY30" s="545"/>
      <c r="OOZ30" s="545"/>
      <c r="OPA30" s="545"/>
      <c r="OPB30" s="545"/>
      <c r="OPC30" s="545"/>
      <c r="OPD30" s="545"/>
      <c r="OPE30" s="545"/>
      <c r="OPF30" s="545"/>
      <c r="OPG30" s="545"/>
      <c r="OPH30" s="545"/>
      <c r="OPI30" s="545"/>
      <c r="OPJ30" s="545"/>
      <c r="OPK30" s="545"/>
      <c r="OPL30" s="545"/>
      <c r="OPM30" s="545"/>
      <c r="OPN30" s="545"/>
      <c r="OPO30" s="545"/>
      <c r="OPP30" s="545"/>
      <c r="OPQ30" s="545"/>
      <c r="OPR30" s="545"/>
      <c r="OPS30" s="545"/>
      <c r="OPT30" s="545"/>
      <c r="OPU30" s="545"/>
      <c r="OPV30" s="545"/>
      <c r="OPW30" s="545"/>
      <c r="OPX30" s="545"/>
      <c r="OPY30" s="545"/>
      <c r="OPZ30" s="545"/>
      <c r="OQA30" s="545"/>
      <c r="OQB30" s="545"/>
      <c r="OQC30" s="545"/>
      <c r="OQD30" s="545"/>
      <c r="OQE30" s="545"/>
      <c r="OQF30" s="545"/>
      <c r="OQG30" s="545"/>
      <c r="OQH30" s="545"/>
      <c r="OQI30" s="545"/>
      <c r="OQJ30" s="545"/>
      <c r="OQK30" s="545"/>
      <c r="OQL30" s="545"/>
      <c r="OQM30" s="545"/>
      <c r="OQN30" s="545"/>
      <c r="OQO30" s="545"/>
      <c r="OQP30" s="545"/>
      <c r="OQQ30" s="545"/>
      <c r="OQR30" s="545"/>
      <c r="OQS30" s="545"/>
      <c r="OQT30" s="545"/>
      <c r="OQU30" s="545"/>
      <c r="OQV30" s="545"/>
      <c r="OQW30" s="545"/>
      <c r="OQX30" s="545"/>
      <c r="OQY30" s="545"/>
      <c r="OQZ30" s="545"/>
      <c r="ORA30" s="545"/>
      <c r="ORB30" s="545"/>
      <c r="ORC30" s="545"/>
      <c r="ORD30" s="545"/>
      <c r="ORE30" s="545"/>
      <c r="ORF30" s="545"/>
      <c r="ORG30" s="545"/>
      <c r="ORH30" s="545"/>
      <c r="ORI30" s="545"/>
      <c r="ORJ30" s="545"/>
      <c r="ORK30" s="545"/>
      <c r="ORL30" s="545"/>
      <c r="ORM30" s="545"/>
      <c r="ORN30" s="545"/>
      <c r="ORO30" s="545"/>
      <c r="ORP30" s="545"/>
      <c r="ORQ30" s="545"/>
      <c r="ORR30" s="545"/>
      <c r="ORS30" s="545"/>
      <c r="ORT30" s="545"/>
      <c r="ORU30" s="545"/>
      <c r="ORV30" s="545"/>
      <c r="ORW30" s="545"/>
      <c r="ORX30" s="545"/>
      <c r="ORY30" s="545"/>
      <c r="ORZ30" s="545"/>
      <c r="OSA30" s="545"/>
      <c r="OSB30" s="545"/>
      <c r="OSC30" s="545"/>
      <c r="OSD30" s="545"/>
      <c r="OSE30" s="545"/>
      <c r="OSF30" s="545"/>
      <c r="OSG30" s="545"/>
      <c r="OSH30" s="545"/>
      <c r="OSI30" s="545"/>
      <c r="OSJ30" s="545"/>
      <c r="OSK30" s="545"/>
      <c r="OSL30" s="545"/>
      <c r="OSM30" s="545"/>
      <c r="OSN30" s="545"/>
      <c r="OSO30" s="545"/>
      <c r="OSP30" s="545"/>
      <c r="OSQ30" s="545"/>
      <c r="OSR30" s="545"/>
      <c r="OSS30" s="545"/>
      <c r="OST30" s="545"/>
      <c r="OSU30" s="545"/>
      <c r="OSV30" s="545"/>
      <c r="OSW30" s="545"/>
      <c r="OSX30" s="545"/>
      <c r="OSY30" s="545"/>
      <c r="OSZ30" s="545"/>
      <c r="OTA30" s="545"/>
      <c r="OTB30" s="545"/>
      <c r="OTC30" s="545"/>
      <c r="OTD30" s="545"/>
      <c r="OTE30" s="545"/>
      <c r="OTF30" s="545"/>
      <c r="OTG30" s="545"/>
      <c r="OTH30" s="545"/>
      <c r="OTI30" s="545"/>
      <c r="OTJ30" s="545"/>
      <c r="OTK30" s="545"/>
      <c r="OTL30" s="545"/>
      <c r="OTM30" s="545"/>
      <c r="OTN30" s="545"/>
      <c r="OTO30" s="545"/>
      <c r="OTP30" s="545"/>
      <c r="OTQ30" s="545"/>
      <c r="OTR30" s="545"/>
      <c r="OTS30" s="545"/>
      <c r="OTT30" s="545"/>
      <c r="OTU30" s="545"/>
      <c r="OTV30" s="545"/>
      <c r="OTW30" s="545"/>
      <c r="OTX30" s="545"/>
      <c r="OTY30" s="545"/>
      <c r="OTZ30" s="545"/>
      <c r="OUA30" s="545"/>
      <c r="OUB30" s="545"/>
      <c r="OUC30" s="545"/>
      <c r="OUD30" s="545"/>
      <c r="OUE30" s="545"/>
      <c r="OUF30" s="545"/>
      <c r="OUG30" s="545"/>
      <c r="OUH30" s="545"/>
      <c r="OUI30" s="545"/>
      <c r="OUJ30" s="545"/>
      <c r="OUK30" s="545"/>
      <c r="OUL30" s="545"/>
      <c r="OUM30" s="545"/>
      <c r="OUN30" s="545"/>
      <c r="OUO30" s="545"/>
      <c r="OUP30" s="545"/>
      <c r="OUQ30" s="545"/>
      <c r="OUR30" s="545"/>
      <c r="OUS30" s="545"/>
      <c r="OUT30" s="545"/>
      <c r="OUU30" s="545"/>
      <c r="OUV30" s="545"/>
      <c r="OUW30" s="545"/>
      <c r="OUX30" s="545"/>
      <c r="OUY30" s="545"/>
      <c r="OUZ30" s="545"/>
      <c r="OVA30" s="545"/>
      <c r="OVB30" s="545"/>
      <c r="OVC30" s="545"/>
      <c r="OVD30" s="545"/>
      <c r="OVE30" s="545"/>
      <c r="OVF30" s="545"/>
      <c r="OVG30" s="545"/>
      <c r="OVH30" s="545"/>
      <c r="OVI30" s="545"/>
      <c r="OVJ30" s="545"/>
      <c r="OVK30" s="545"/>
      <c r="OVL30" s="545"/>
      <c r="OVM30" s="545"/>
      <c r="OVN30" s="545"/>
      <c r="OVO30" s="545"/>
      <c r="OVP30" s="545"/>
      <c r="OVQ30" s="545"/>
      <c r="OVR30" s="545"/>
      <c r="OVS30" s="545"/>
      <c r="OVT30" s="545"/>
      <c r="OVU30" s="545"/>
      <c r="OVV30" s="545"/>
      <c r="OVW30" s="545"/>
      <c r="OVX30" s="545"/>
      <c r="OVY30" s="545"/>
      <c r="OVZ30" s="545"/>
      <c r="OWA30" s="545"/>
      <c r="OWB30" s="545"/>
      <c r="OWC30" s="545"/>
      <c r="OWD30" s="545"/>
      <c r="OWE30" s="545"/>
      <c r="OWF30" s="545"/>
      <c r="OWG30" s="545"/>
      <c r="OWH30" s="545"/>
      <c r="OWI30" s="545"/>
      <c r="OWJ30" s="545"/>
      <c r="OWK30" s="545"/>
      <c r="OWL30" s="545"/>
      <c r="OWM30" s="545"/>
      <c r="OWN30" s="545"/>
      <c r="OWO30" s="545"/>
      <c r="OWP30" s="545"/>
      <c r="OWQ30" s="545"/>
      <c r="OWR30" s="545"/>
      <c r="OWS30" s="545"/>
      <c r="OWT30" s="545"/>
      <c r="OWU30" s="545"/>
      <c r="OWV30" s="545"/>
      <c r="OWW30" s="545"/>
      <c r="OWX30" s="545"/>
      <c r="OWY30" s="545"/>
      <c r="OWZ30" s="545"/>
      <c r="OXA30" s="545"/>
      <c r="OXB30" s="545"/>
      <c r="OXC30" s="545"/>
      <c r="OXD30" s="545"/>
      <c r="OXE30" s="545"/>
      <c r="OXF30" s="545"/>
      <c r="OXG30" s="545"/>
      <c r="OXH30" s="545"/>
      <c r="OXI30" s="545"/>
      <c r="OXJ30" s="545"/>
      <c r="OXK30" s="545"/>
      <c r="OXL30" s="545"/>
      <c r="OXM30" s="545"/>
      <c r="OXN30" s="545"/>
      <c r="OXO30" s="545"/>
      <c r="OXP30" s="545"/>
      <c r="OXQ30" s="545"/>
      <c r="OXR30" s="545"/>
      <c r="OXS30" s="545"/>
      <c r="OXT30" s="545"/>
      <c r="OXU30" s="545"/>
      <c r="OXV30" s="545"/>
      <c r="OXW30" s="545"/>
      <c r="OXX30" s="545"/>
      <c r="OXY30" s="545"/>
      <c r="OXZ30" s="545"/>
      <c r="OYA30" s="545"/>
      <c r="OYB30" s="545"/>
      <c r="OYC30" s="545"/>
      <c r="OYD30" s="545"/>
      <c r="OYE30" s="545"/>
      <c r="OYF30" s="545"/>
      <c r="OYG30" s="545"/>
      <c r="OYH30" s="545"/>
      <c r="OYI30" s="545"/>
      <c r="OYJ30" s="545"/>
      <c r="OYK30" s="545"/>
      <c r="OYL30" s="545"/>
      <c r="OYM30" s="545"/>
      <c r="OYN30" s="545"/>
      <c r="OYO30" s="545"/>
      <c r="OYP30" s="545"/>
      <c r="OYQ30" s="545"/>
      <c r="OYR30" s="545"/>
      <c r="OYS30" s="545"/>
      <c r="OYT30" s="545"/>
      <c r="OYU30" s="545"/>
      <c r="OYV30" s="545"/>
      <c r="OYW30" s="545"/>
      <c r="OYX30" s="545"/>
      <c r="OYY30" s="545"/>
      <c r="OYZ30" s="545"/>
      <c r="OZA30" s="545"/>
      <c r="OZB30" s="545"/>
      <c r="OZC30" s="545"/>
      <c r="OZD30" s="545"/>
      <c r="OZE30" s="545"/>
      <c r="OZF30" s="545"/>
      <c r="OZG30" s="545"/>
      <c r="OZH30" s="545"/>
      <c r="OZI30" s="545"/>
      <c r="OZJ30" s="545"/>
      <c r="OZK30" s="545"/>
      <c r="OZL30" s="545"/>
      <c r="OZM30" s="545"/>
      <c r="OZN30" s="545"/>
      <c r="OZO30" s="545"/>
      <c r="OZP30" s="545"/>
      <c r="OZQ30" s="545"/>
      <c r="OZR30" s="545"/>
      <c r="OZS30" s="545"/>
      <c r="OZT30" s="545"/>
      <c r="OZU30" s="545"/>
      <c r="OZV30" s="545"/>
      <c r="OZW30" s="545"/>
      <c r="OZX30" s="545"/>
      <c r="OZY30" s="545"/>
      <c r="OZZ30" s="545"/>
      <c r="PAA30" s="545"/>
      <c r="PAB30" s="545"/>
      <c r="PAC30" s="545"/>
      <c r="PAD30" s="545"/>
      <c r="PAE30" s="545"/>
      <c r="PAF30" s="545"/>
      <c r="PAG30" s="545"/>
      <c r="PAH30" s="545"/>
      <c r="PAI30" s="545"/>
      <c r="PAJ30" s="545"/>
      <c r="PAK30" s="545"/>
      <c r="PAL30" s="545"/>
      <c r="PAM30" s="545"/>
      <c r="PAN30" s="545"/>
      <c r="PAO30" s="545"/>
      <c r="PAP30" s="545"/>
      <c r="PAQ30" s="545"/>
      <c r="PAR30" s="545"/>
      <c r="PAS30" s="545"/>
      <c r="PAT30" s="545"/>
      <c r="PAU30" s="545"/>
      <c r="PAV30" s="545"/>
      <c r="PAW30" s="545"/>
      <c r="PAX30" s="545"/>
      <c r="PAY30" s="545"/>
      <c r="PAZ30" s="545"/>
      <c r="PBA30" s="545"/>
      <c r="PBB30" s="545"/>
      <c r="PBC30" s="545"/>
      <c r="PBD30" s="545"/>
      <c r="PBE30" s="545"/>
      <c r="PBF30" s="545"/>
      <c r="PBG30" s="545"/>
      <c r="PBH30" s="545"/>
      <c r="PBI30" s="545"/>
      <c r="PBJ30" s="545"/>
      <c r="PBK30" s="545"/>
      <c r="PBL30" s="545"/>
      <c r="PBM30" s="545"/>
      <c r="PBN30" s="545"/>
      <c r="PBO30" s="545"/>
      <c r="PBP30" s="545"/>
      <c r="PBQ30" s="545"/>
      <c r="PBR30" s="545"/>
      <c r="PBS30" s="545"/>
      <c r="PBT30" s="545"/>
      <c r="PBU30" s="545"/>
      <c r="PBV30" s="545"/>
      <c r="PBW30" s="545"/>
      <c r="PBX30" s="545"/>
      <c r="PBY30" s="545"/>
      <c r="PBZ30" s="545"/>
      <c r="PCA30" s="545"/>
      <c r="PCB30" s="545"/>
      <c r="PCC30" s="545"/>
      <c r="PCD30" s="545"/>
      <c r="PCE30" s="545"/>
      <c r="PCF30" s="545"/>
      <c r="PCG30" s="545"/>
      <c r="PCH30" s="545"/>
      <c r="PCI30" s="545"/>
      <c r="PCJ30" s="545"/>
      <c r="PCK30" s="545"/>
      <c r="PCL30" s="545"/>
      <c r="PCM30" s="545"/>
      <c r="PCN30" s="545"/>
      <c r="PCO30" s="545"/>
      <c r="PCP30" s="545"/>
      <c r="PCQ30" s="545"/>
      <c r="PCR30" s="545"/>
      <c r="PCS30" s="545"/>
      <c r="PCT30" s="545"/>
      <c r="PCU30" s="545"/>
      <c r="PCV30" s="545"/>
      <c r="PCW30" s="545"/>
      <c r="PCX30" s="545"/>
      <c r="PCY30" s="545"/>
      <c r="PCZ30" s="545"/>
      <c r="PDA30" s="545"/>
      <c r="PDB30" s="545"/>
      <c r="PDC30" s="545"/>
      <c r="PDD30" s="545"/>
      <c r="PDE30" s="545"/>
      <c r="PDF30" s="545"/>
      <c r="PDG30" s="545"/>
      <c r="PDH30" s="545"/>
      <c r="PDI30" s="545"/>
      <c r="PDJ30" s="545"/>
      <c r="PDK30" s="545"/>
      <c r="PDL30" s="545"/>
      <c r="PDM30" s="545"/>
      <c r="PDN30" s="545"/>
      <c r="PDO30" s="545"/>
      <c r="PDP30" s="545"/>
      <c r="PDQ30" s="545"/>
      <c r="PDR30" s="545"/>
      <c r="PDS30" s="545"/>
      <c r="PDT30" s="545"/>
      <c r="PDU30" s="545"/>
      <c r="PDV30" s="545"/>
      <c r="PDW30" s="545"/>
      <c r="PDX30" s="545"/>
      <c r="PDY30" s="545"/>
      <c r="PDZ30" s="545"/>
      <c r="PEA30" s="545"/>
      <c r="PEB30" s="545"/>
      <c r="PEC30" s="545"/>
      <c r="PED30" s="545"/>
      <c r="PEE30" s="545"/>
      <c r="PEF30" s="545"/>
      <c r="PEG30" s="545"/>
      <c r="PEH30" s="545"/>
      <c r="PEI30" s="545"/>
      <c r="PEJ30" s="545"/>
      <c r="PEK30" s="545"/>
      <c r="PEL30" s="545"/>
      <c r="PEM30" s="545"/>
      <c r="PEN30" s="545"/>
      <c r="PEO30" s="545"/>
      <c r="PEP30" s="545"/>
      <c r="PEQ30" s="545"/>
      <c r="PER30" s="545"/>
      <c r="PES30" s="545"/>
      <c r="PET30" s="545"/>
      <c r="PEU30" s="545"/>
      <c r="PEV30" s="545"/>
      <c r="PEW30" s="545"/>
      <c r="PEX30" s="545"/>
      <c r="PEY30" s="545"/>
      <c r="PEZ30" s="545"/>
      <c r="PFA30" s="545"/>
      <c r="PFB30" s="545"/>
      <c r="PFC30" s="545"/>
      <c r="PFD30" s="545"/>
      <c r="PFE30" s="545"/>
      <c r="PFF30" s="545"/>
      <c r="PFG30" s="545"/>
      <c r="PFH30" s="545"/>
      <c r="PFI30" s="545"/>
      <c r="PFJ30" s="545"/>
      <c r="PFK30" s="545"/>
      <c r="PFL30" s="545"/>
      <c r="PFM30" s="545"/>
      <c r="PFN30" s="545"/>
      <c r="PFO30" s="545"/>
      <c r="PFP30" s="545"/>
      <c r="PFQ30" s="545"/>
      <c r="PFR30" s="545"/>
      <c r="PFS30" s="545"/>
      <c r="PFT30" s="545"/>
      <c r="PFU30" s="545"/>
      <c r="PFV30" s="545"/>
      <c r="PFW30" s="545"/>
      <c r="PFX30" s="545"/>
      <c r="PFY30" s="545"/>
      <c r="PFZ30" s="545"/>
      <c r="PGA30" s="545"/>
      <c r="PGB30" s="545"/>
      <c r="PGC30" s="545"/>
      <c r="PGD30" s="545"/>
      <c r="PGE30" s="545"/>
      <c r="PGF30" s="545"/>
      <c r="PGG30" s="545"/>
      <c r="PGH30" s="545"/>
      <c r="PGI30" s="545"/>
      <c r="PGJ30" s="545"/>
      <c r="PGK30" s="545"/>
      <c r="PGL30" s="545"/>
      <c r="PGM30" s="545"/>
      <c r="PGN30" s="545"/>
      <c r="PGO30" s="545"/>
      <c r="PGP30" s="545"/>
      <c r="PGQ30" s="545"/>
      <c r="PGR30" s="545"/>
      <c r="PGS30" s="545"/>
      <c r="PGT30" s="545"/>
      <c r="PGU30" s="545"/>
      <c r="PGV30" s="545"/>
      <c r="PGW30" s="545"/>
      <c r="PGX30" s="545"/>
      <c r="PGY30" s="545"/>
      <c r="PGZ30" s="545"/>
      <c r="PHA30" s="545"/>
      <c r="PHB30" s="545"/>
      <c r="PHC30" s="545"/>
      <c r="PHD30" s="545"/>
      <c r="PHE30" s="545"/>
      <c r="PHF30" s="545"/>
      <c r="PHG30" s="545"/>
      <c r="PHH30" s="545"/>
      <c r="PHI30" s="545"/>
      <c r="PHJ30" s="545"/>
      <c r="PHK30" s="545"/>
      <c r="PHL30" s="545"/>
      <c r="PHM30" s="545"/>
      <c r="PHN30" s="545"/>
      <c r="PHO30" s="545"/>
      <c r="PHP30" s="545"/>
      <c r="PHQ30" s="545"/>
      <c r="PHR30" s="545"/>
      <c r="PHS30" s="545"/>
      <c r="PHT30" s="545"/>
      <c r="PHU30" s="545"/>
      <c r="PHV30" s="545"/>
      <c r="PHW30" s="545"/>
      <c r="PHX30" s="545"/>
      <c r="PHY30" s="545"/>
      <c r="PHZ30" s="545"/>
      <c r="PIA30" s="545"/>
      <c r="PIB30" s="545"/>
      <c r="PIC30" s="545"/>
      <c r="PID30" s="545"/>
      <c r="PIE30" s="545"/>
      <c r="PIF30" s="545"/>
      <c r="PIG30" s="545"/>
      <c r="PIH30" s="545"/>
      <c r="PII30" s="545"/>
      <c r="PIJ30" s="545"/>
      <c r="PIK30" s="545"/>
      <c r="PIL30" s="545"/>
      <c r="PIM30" s="545"/>
      <c r="PIN30" s="545"/>
      <c r="PIO30" s="545"/>
      <c r="PIP30" s="545"/>
      <c r="PIQ30" s="545"/>
      <c r="PIR30" s="545"/>
      <c r="PIS30" s="545"/>
      <c r="PIT30" s="545"/>
      <c r="PIU30" s="545"/>
      <c r="PIV30" s="545"/>
      <c r="PIW30" s="545"/>
      <c r="PIX30" s="545"/>
      <c r="PIY30" s="545"/>
      <c r="PIZ30" s="545"/>
      <c r="PJA30" s="545"/>
      <c r="PJB30" s="545"/>
      <c r="PJC30" s="545"/>
      <c r="PJD30" s="545"/>
      <c r="PJE30" s="545"/>
      <c r="PJF30" s="545"/>
      <c r="PJG30" s="545"/>
      <c r="PJH30" s="545"/>
      <c r="PJI30" s="545"/>
      <c r="PJJ30" s="545"/>
      <c r="PJK30" s="545"/>
      <c r="PJL30" s="545"/>
      <c r="PJM30" s="545"/>
      <c r="PJN30" s="545"/>
      <c r="PJO30" s="545"/>
      <c r="PJP30" s="545"/>
      <c r="PJQ30" s="545"/>
      <c r="PJR30" s="545"/>
      <c r="PJS30" s="545"/>
      <c r="PJT30" s="545"/>
      <c r="PJU30" s="545"/>
      <c r="PJV30" s="545"/>
      <c r="PJW30" s="545"/>
      <c r="PJX30" s="545"/>
      <c r="PJY30" s="545"/>
      <c r="PJZ30" s="545"/>
      <c r="PKA30" s="545"/>
      <c r="PKB30" s="545"/>
      <c r="PKC30" s="545"/>
      <c r="PKD30" s="545"/>
      <c r="PKE30" s="545"/>
      <c r="PKF30" s="545"/>
      <c r="PKG30" s="545"/>
      <c r="PKH30" s="545"/>
      <c r="PKI30" s="545"/>
      <c r="PKJ30" s="545"/>
      <c r="PKK30" s="545"/>
      <c r="PKL30" s="545"/>
      <c r="PKM30" s="545"/>
      <c r="PKN30" s="545"/>
      <c r="PKO30" s="545"/>
      <c r="PKP30" s="545"/>
      <c r="PKQ30" s="545"/>
      <c r="PKR30" s="545"/>
      <c r="PKS30" s="545"/>
      <c r="PKT30" s="545"/>
      <c r="PKU30" s="545"/>
      <c r="PKV30" s="545"/>
      <c r="PKW30" s="545"/>
      <c r="PKX30" s="545"/>
      <c r="PKY30" s="545"/>
      <c r="PKZ30" s="545"/>
      <c r="PLA30" s="545"/>
      <c r="PLB30" s="545"/>
      <c r="PLC30" s="545"/>
      <c r="PLD30" s="545"/>
      <c r="PLE30" s="545"/>
      <c r="PLF30" s="545"/>
      <c r="PLG30" s="545"/>
      <c r="PLH30" s="545"/>
      <c r="PLI30" s="545"/>
      <c r="PLJ30" s="545"/>
      <c r="PLK30" s="545"/>
      <c r="PLL30" s="545"/>
      <c r="PLM30" s="545"/>
      <c r="PLN30" s="545"/>
      <c r="PLO30" s="545"/>
      <c r="PLP30" s="545"/>
      <c r="PLQ30" s="545"/>
      <c r="PLR30" s="545"/>
      <c r="PLS30" s="545"/>
      <c r="PLT30" s="545"/>
      <c r="PLU30" s="545"/>
      <c r="PLV30" s="545"/>
      <c r="PLW30" s="545"/>
      <c r="PLX30" s="545"/>
      <c r="PLY30" s="545"/>
      <c r="PLZ30" s="545"/>
      <c r="PMA30" s="545"/>
      <c r="PMB30" s="545"/>
      <c r="PMC30" s="545"/>
      <c r="PMD30" s="545"/>
      <c r="PME30" s="545"/>
      <c r="PMF30" s="545"/>
      <c r="PMG30" s="545"/>
      <c r="PMH30" s="545"/>
      <c r="PMI30" s="545"/>
      <c r="PMJ30" s="545"/>
      <c r="PMK30" s="545"/>
      <c r="PML30" s="545"/>
      <c r="PMM30" s="545"/>
      <c r="PMN30" s="545"/>
      <c r="PMO30" s="545"/>
      <c r="PMP30" s="545"/>
      <c r="PMQ30" s="545"/>
      <c r="PMR30" s="545"/>
      <c r="PMS30" s="545"/>
      <c r="PMT30" s="545"/>
      <c r="PMU30" s="545"/>
      <c r="PMV30" s="545"/>
      <c r="PMW30" s="545"/>
      <c r="PMX30" s="545"/>
      <c r="PMY30" s="545"/>
      <c r="PMZ30" s="545"/>
      <c r="PNA30" s="545"/>
      <c r="PNB30" s="545"/>
      <c r="PNC30" s="545"/>
      <c r="PND30" s="545"/>
      <c r="PNE30" s="545"/>
      <c r="PNF30" s="545"/>
      <c r="PNG30" s="545"/>
      <c r="PNH30" s="545"/>
      <c r="PNI30" s="545"/>
      <c r="PNJ30" s="545"/>
      <c r="PNK30" s="545"/>
      <c r="PNL30" s="545"/>
      <c r="PNM30" s="545"/>
      <c r="PNN30" s="545"/>
      <c r="PNO30" s="545"/>
      <c r="PNP30" s="545"/>
      <c r="PNQ30" s="545"/>
      <c r="PNR30" s="545"/>
      <c r="PNS30" s="545"/>
      <c r="PNT30" s="545"/>
      <c r="PNU30" s="545"/>
      <c r="PNV30" s="545"/>
      <c r="PNW30" s="545"/>
      <c r="PNX30" s="545"/>
      <c r="PNY30" s="545"/>
      <c r="PNZ30" s="545"/>
      <c r="POA30" s="545"/>
      <c r="POB30" s="545"/>
      <c r="POC30" s="545"/>
      <c r="POD30" s="545"/>
      <c r="POE30" s="545"/>
      <c r="POF30" s="545"/>
      <c r="POG30" s="545"/>
      <c r="POH30" s="545"/>
      <c r="POI30" s="545"/>
      <c r="POJ30" s="545"/>
      <c r="POK30" s="545"/>
      <c r="POL30" s="545"/>
      <c r="POM30" s="545"/>
      <c r="PON30" s="545"/>
      <c r="POO30" s="545"/>
      <c r="POP30" s="545"/>
      <c r="POQ30" s="545"/>
      <c r="POR30" s="545"/>
      <c r="POS30" s="545"/>
      <c r="POT30" s="545"/>
      <c r="POU30" s="545"/>
      <c r="POV30" s="545"/>
      <c r="POW30" s="545"/>
      <c r="POX30" s="545"/>
      <c r="POY30" s="545"/>
      <c r="POZ30" s="545"/>
      <c r="PPA30" s="545"/>
      <c r="PPB30" s="545"/>
      <c r="PPC30" s="545"/>
      <c r="PPD30" s="545"/>
      <c r="PPE30" s="545"/>
      <c r="PPF30" s="545"/>
      <c r="PPG30" s="545"/>
      <c r="PPH30" s="545"/>
      <c r="PPI30" s="545"/>
      <c r="PPJ30" s="545"/>
      <c r="PPK30" s="545"/>
      <c r="PPL30" s="545"/>
      <c r="PPM30" s="545"/>
      <c r="PPN30" s="545"/>
      <c r="PPO30" s="545"/>
      <c r="PPP30" s="545"/>
      <c r="PPQ30" s="545"/>
      <c r="PPR30" s="545"/>
      <c r="PPS30" s="545"/>
      <c r="PPT30" s="545"/>
      <c r="PPU30" s="545"/>
      <c r="PPV30" s="545"/>
      <c r="PPW30" s="545"/>
      <c r="PPX30" s="545"/>
      <c r="PPY30" s="545"/>
      <c r="PPZ30" s="545"/>
      <c r="PQA30" s="545"/>
      <c r="PQB30" s="545"/>
      <c r="PQC30" s="545"/>
      <c r="PQD30" s="545"/>
      <c r="PQE30" s="545"/>
      <c r="PQF30" s="545"/>
      <c r="PQG30" s="545"/>
      <c r="PQH30" s="545"/>
      <c r="PQI30" s="545"/>
      <c r="PQJ30" s="545"/>
      <c r="PQK30" s="545"/>
      <c r="PQL30" s="545"/>
      <c r="PQM30" s="545"/>
      <c r="PQN30" s="545"/>
      <c r="PQO30" s="545"/>
      <c r="PQP30" s="545"/>
      <c r="PQQ30" s="545"/>
      <c r="PQR30" s="545"/>
      <c r="PQS30" s="545"/>
      <c r="PQT30" s="545"/>
      <c r="PQU30" s="545"/>
      <c r="PQV30" s="545"/>
      <c r="PQW30" s="545"/>
      <c r="PQX30" s="545"/>
      <c r="PQY30" s="545"/>
      <c r="PQZ30" s="545"/>
      <c r="PRA30" s="545"/>
      <c r="PRB30" s="545"/>
      <c r="PRC30" s="545"/>
      <c r="PRD30" s="545"/>
      <c r="PRE30" s="545"/>
      <c r="PRF30" s="545"/>
      <c r="PRG30" s="545"/>
      <c r="PRH30" s="545"/>
      <c r="PRI30" s="545"/>
      <c r="PRJ30" s="545"/>
      <c r="PRK30" s="545"/>
      <c r="PRL30" s="545"/>
      <c r="PRM30" s="545"/>
      <c r="PRN30" s="545"/>
      <c r="PRO30" s="545"/>
      <c r="PRP30" s="545"/>
      <c r="PRQ30" s="545"/>
      <c r="PRR30" s="545"/>
      <c r="PRS30" s="545"/>
      <c r="PRT30" s="545"/>
      <c r="PRU30" s="545"/>
      <c r="PRV30" s="545"/>
      <c r="PRW30" s="545"/>
      <c r="PRX30" s="545"/>
      <c r="PRY30" s="545"/>
      <c r="PRZ30" s="545"/>
      <c r="PSA30" s="545"/>
      <c r="PSB30" s="545"/>
      <c r="PSC30" s="545"/>
      <c r="PSD30" s="545"/>
      <c r="PSE30" s="545"/>
      <c r="PSF30" s="545"/>
      <c r="PSG30" s="545"/>
      <c r="PSH30" s="545"/>
      <c r="PSI30" s="545"/>
      <c r="PSJ30" s="545"/>
      <c r="PSK30" s="545"/>
      <c r="PSL30" s="545"/>
      <c r="PSM30" s="545"/>
      <c r="PSN30" s="545"/>
      <c r="PSO30" s="545"/>
      <c r="PSP30" s="545"/>
      <c r="PSQ30" s="545"/>
      <c r="PSR30" s="545"/>
      <c r="PSS30" s="545"/>
      <c r="PST30" s="545"/>
      <c r="PSU30" s="545"/>
      <c r="PSV30" s="545"/>
      <c r="PSW30" s="545"/>
      <c r="PSX30" s="545"/>
      <c r="PSY30" s="545"/>
      <c r="PSZ30" s="545"/>
      <c r="PTA30" s="545"/>
      <c r="PTB30" s="545"/>
      <c r="PTC30" s="545"/>
      <c r="PTD30" s="545"/>
      <c r="PTE30" s="545"/>
      <c r="PTF30" s="545"/>
      <c r="PTG30" s="545"/>
      <c r="PTH30" s="545"/>
      <c r="PTI30" s="545"/>
      <c r="PTJ30" s="545"/>
      <c r="PTK30" s="545"/>
      <c r="PTL30" s="545"/>
      <c r="PTM30" s="545"/>
      <c r="PTN30" s="545"/>
      <c r="PTO30" s="545"/>
      <c r="PTP30" s="545"/>
      <c r="PTQ30" s="545"/>
      <c r="PTR30" s="545"/>
      <c r="PTS30" s="545"/>
      <c r="PTT30" s="545"/>
      <c r="PTU30" s="545"/>
      <c r="PTV30" s="545"/>
      <c r="PTW30" s="545"/>
      <c r="PTX30" s="545"/>
      <c r="PTY30" s="545"/>
      <c r="PTZ30" s="545"/>
      <c r="PUA30" s="545"/>
      <c r="PUB30" s="545"/>
      <c r="PUC30" s="545"/>
      <c r="PUD30" s="545"/>
      <c r="PUE30" s="545"/>
      <c r="PUF30" s="545"/>
      <c r="PUG30" s="545"/>
      <c r="PUH30" s="545"/>
      <c r="PUI30" s="545"/>
      <c r="PUJ30" s="545"/>
      <c r="PUK30" s="545"/>
      <c r="PUL30" s="545"/>
      <c r="PUM30" s="545"/>
      <c r="PUN30" s="545"/>
      <c r="PUO30" s="545"/>
      <c r="PUP30" s="545"/>
      <c r="PUQ30" s="545"/>
      <c r="PUR30" s="545"/>
      <c r="PUS30" s="545"/>
      <c r="PUT30" s="545"/>
      <c r="PUU30" s="545"/>
      <c r="PUV30" s="545"/>
      <c r="PUW30" s="545"/>
      <c r="PUX30" s="545"/>
      <c r="PUY30" s="545"/>
      <c r="PUZ30" s="545"/>
      <c r="PVA30" s="545"/>
      <c r="PVB30" s="545"/>
      <c r="PVC30" s="545"/>
      <c r="PVD30" s="545"/>
      <c r="PVE30" s="545"/>
      <c r="PVF30" s="545"/>
      <c r="PVG30" s="545"/>
      <c r="PVH30" s="545"/>
      <c r="PVI30" s="545"/>
      <c r="PVJ30" s="545"/>
      <c r="PVK30" s="545"/>
      <c r="PVL30" s="545"/>
      <c r="PVM30" s="545"/>
      <c r="PVN30" s="545"/>
      <c r="PVO30" s="545"/>
      <c r="PVP30" s="545"/>
      <c r="PVQ30" s="545"/>
      <c r="PVR30" s="545"/>
      <c r="PVS30" s="545"/>
      <c r="PVT30" s="545"/>
      <c r="PVU30" s="545"/>
      <c r="PVV30" s="545"/>
      <c r="PVW30" s="545"/>
      <c r="PVX30" s="545"/>
      <c r="PVY30" s="545"/>
      <c r="PVZ30" s="545"/>
      <c r="PWA30" s="545"/>
      <c r="PWB30" s="545"/>
      <c r="PWC30" s="545"/>
      <c r="PWD30" s="545"/>
      <c r="PWE30" s="545"/>
      <c r="PWF30" s="545"/>
      <c r="PWG30" s="545"/>
      <c r="PWH30" s="545"/>
      <c r="PWI30" s="545"/>
      <c r="PWJ30" s="545"/>
      <c r="PWK30" s="545"/>
      <c r="PWL30" s="545"/>
      <c r="PWM30" s="545"/>
      <c r="PWN30" s="545"/>
      <c r="PWO30" s="545"/>
      <c r="PWP30" s="545"/>
      <c r="PWQ30" s="545"/>
      <c r="PWR30" s="545"/>
      <c r="PWS30" s="545"/>
      <c r="PWT30" s="545"/>
      <c r="PWU30" s="545"/>
      <c r="PWV30" s="545"/>
      <c r="PWW30" s="545"/>
      <c r="PWX30" s="545"/>
      <c r="PWY30" s="545"/>
      <c r="PWZ30" s="545"/>
      <c r="PXA30" s="545"/>
      <c r="PXB30" s="545"/>
      <c r="PXC30" s="545"/>
      <c r="PXD30" s="545"/>
      <c r="PXE30" s="545"/>
      <c r="PXF30" s="545"/>
      <c r="PXG30" s="545"/>
      <c r="PXH30" s="545"/>
      <c r="PXI30" s="545"/>
      <c r="PXJ30" s="545"/>
      <c r="PXK30" s="545"/>
      <c r="PXL30" s="545"/>
      <c r="PXM30" s="545"/>
      <c r="PXN30" s="545"/>
      <c r="PXO30" s="545"/>
      <c r="PXP30" s="545"/>
      <c r="PXQ30" s="545"/>
      <c r="PXR30" s="545"/>
      <c r="PXS30" s="545"/>
      <c r="PXT30" s="545"/>
      <c r="PXU30" s="545"/>
      <c r="PXV30" s="545"/>
      <c r="PXW30" s="545"/>
      <c r="PXX30" s="545"/>
      <c r="PXY30" s="545"/>
      <c r="PXZ30" s="545"/>
      <c r="PYA30" s="545"/>
      <c r="PYB30" s="545"/>
      <c r="PYC30" s="545"/>
      <c r="PYD30" s="545"/>
      <c r="PYE30" s="545"/>
      <c r="PYF30" s="545"/>
      <c r="PYG30" s="545"/>
      <c r="PYH30" s="545"/>
      <c r="PYI30" s="545"/>
      <c r="PYJ30" s="545"/>
      <c r="PYK30" s="545"/>
      <c r="PYL30" s="545"/>
      <c r="PYM30" s="545"/>
      <c r="PYN30" s="545"/>
      <c r="PYO30" s="545"/>
      <c r="PYP30" s="545"/>
      <c r="PYQ30" s="545"/>
      <c r="PYR30" s="545"/>
      <c r="PYS30" s="545"/>
      <c r="PYT30" s="545"/>
      <c r="PYU30" s="545"/>
      <c r="PYV30" s="545"/>
      <c r="PYW30" s="545"/>
      <c r="PYX30" s="545"/>
      <c r="PYY30" s="545"/>
      <c r="PYZ30" s="545"/>
      <c r="PZA30" s="545"/>
      <c r="PZB30" s="545"/>
      <c r="PZC30" s="545"/>
      <c r="PZD30" s="545"/>
      <c r="PZE30" s="545"/>
      <c r="PZF30" s="545"/>
      <c r="PZG30" s="545"/>
      <c r="PZH30" s="545"/>
      <c r="PZI30" s="545"/>
      <c r="PZJ30" s="545"/>
      <c r="PZK30" s="545"/>
      <c r="PZL30" s="545"/>
      <c r="PZM30" s="545"/>
      <c r="PZN30" s="545"/>
      <c r="PZO30" s="545"/>
      <c r="PZP30" s="545"/>
      <c r="PZQ30" s="545"/>
      <c r="PZR30" s="545"/>
      <c r="PZS30" s="545"/>
      <c r="PZT30" s="545"/>
      <c r="PZU30" s="545"/>
      <c r="PZV30" s="545"/>
      <c r="PZW30" s="545"/>
      <c r="PZX30" s="545"/>
      <c r="PZY30" s="545"/>
      <c r="PZZ30" s="545"/>
      <c r="QAA30" s="545"/>
      <c r="QAB30" s="545"/>
      <c r="QAC30" s="545"/>
      <c r="QAD30" s="545"/>
      <c r="QAE30" s="545"/>
      <c r="QAF30" s="545"/>
      <c r="QAG30" s="545"/>
      <c r="QAH30" s="545"/>
      <c r="QAI30" s="545"/>
      <c r="QAJ30" s="545"/>
      <c r="QAK30" s="545"/>
      <c r="QAL30" s="545"/>
      <c r="QAM30" s="545"/>
      <c r="QAN30" s="545"/>
      <c r="QAO30" s="545"/>
      <c r="QAP30" s="545"/>
      <c r="QAQ30" s="545"/>
      <c r="QAR30" s="545"/>
      <c r="QAS30" s="545"/>
      <c r="QAT30" s="545"/>
      <c r="QAU30" s="545"/>
      <c r="QAV30" s="545"/>
      <c r="QAW30" s="545"/>
      <c r="QAX30" s="545"/>
      <c r="QAY30" s="545"/>
      <c r="QAZ30" s="545"/>
      <c r="QBA30" s="545"/>
      <c r="QBB30" s="545"/>
      <c r="QBC30" s="545"/>
      <c r="QBD30" s="545"/>
      <c r="QBE30" s="545"/>
      <c r="QBF30" s="545"/>
      <c r="QBG30" s="545"/>
      <c r="QBH30" s="545"/>
      <c r="QBI30" s="545"/>
      <c r="QBJ30" s="545"/>
      <c r="QBK30" s="545"/>
      <c r="QBL30" s="545"/>
      <c r="QBM30" s="545"/>
      <c r="QBN30" s="545"/>
      <c r="QBO30" s="545"/>
      <c r="QBP30" s="545"/>
      <c r="QBQ30" s="545"/>
      <c r="QBR30" s="545"/>
      <c r="QBS30" s="545"/>
      <c r="QBT30" s="545"/>
      <c r="QBU30" s="545"/>
      <c r="QBV30" s="545"/>
      <c r="QBW30" s="545"/>
      <c r="QBX30" s="545"/>
      <c r="QBY30" s="545"/>
      <c r="QBZ30" s="545"/>
      <c r="QCA30" s="545"/>
      <c r="QCB30" s="545"/>
      <c r="QCC30" s="545"/>
      <c r="QCD30" s="545"/>
      <c r="QCE30" s="545"/>
      <c r="QCF30" s="545"/>
      <c r="QCG30" s="545"/>
      <c r="QCH30" s="545"/>
      <c r="QCI30" s="545"/>
      <c r="QCJ30" s="545"/>
      <c r="QCK30" s="545"/>
      <c r="QCL30" s="545"/>
      <c r="QCM30" s="545"/>
      <c r="QCN30" s="545"/>
      <c r="QCO30" s="545"/>
      <c r="QCP30" s="545"/>
      <c r="QCQ30" s="545"/>
      <c r="QCR30" s="545"/>
      <c r="QCS30" s="545"/>
      <c r="QCT30" s="545"/>
      <c r="QCU30" s="545"/>
      <c r="QCV30" s="545"/>
      <c r="QCW30" s="545"/>
      <c r="QCX30" s="545"/>
      <c r="QCY30" s="545"/>
      <c r="QCZ30" s="545"/>
      <c r="QDA30" s="545"/>
      <c r="QDB30" s="545"/>
      <c r="QDC30" s="545"/>
      <c r="QDD30" s="545"/>
      <c r="QDE30" s="545"/>
      <c r="QDF30" s="545"/>
      <c r="QDG30" s="545"/>
      <c r="QDH30" s="545"/>
      <c r="QDI30" s="545"/>
      <c r="QDJ30" s="545"/>
      <c r="QDK30" s="545"/>
      <c r="QDL30" s="545"/>
      <c r="QDM30" s="545"/>
      <c r="QDN30" s="545"/>
      <c r="QDO30" s="545"/>
      <c r="QDP30" s="545"/>
      <c r="QDQ30" s="545"/>
      <c r="QDR30" s="545"/>
      <c r="QDS30" s="545"/>
      <c r="QDT30" s="545"/>
      <c r="QDU30" s="545"/>
      <c r="QDV30" s="545"/>
      <c r="QDW30" s="545"/>
      <c r="QDX30" s="545"/>
      <c r="QDY30" s="545"/>
      <c r="QDZ30" s="545"/>
      <c r="QEA30" s="545"/>
      <c r="QEB30" s="545"/>
      <c r="QEC30" s="545"/>
      <c r="QED30" s="545"/>
      <c r="QEE30" s="545"/>
      <c r="QEF30" s="545"/>
      <c r="QEG30" s="545"/>
      <c r="QEH30" s="545"/>
      <c r="QEI30" s="545"/>
      <c r="QEJ30" s="545"/>
      <c r="QEK30" s="545"/>
      <c r="QEL30" s="545"/>
      <c r="QEM30" s="545"/>
      <c r="QEN30" s="545"/>
      <c r="QEO30" s="545"/>
      <c r="QEP30" s="545"/>
      <c r="QEQ30" s="545"/>
      <c r="QER30" s="545"/>
      <c r="QES30" s="545"/>
      <c r="QET30" s="545"/>
      <c r="QEU30" s="545"/>
      <c r="QEV30" s="545"/>
      <c r="QEW30" s="545"/>
      <c r="QEX30" s="545"/>
      <c r="QEY30" s="545"/>
      <c r="QEZ30" s="545"/>
      <c r="QFA30" s="545"/>
      <c r="QFB30" s="545"/>
      <c r="QFC30" s="545"/>
      <c r="QFD30" s="545"/>
      <c r="QFE30" s="545"/>
      <c r="QFF30" s="545"/>
      <c r="QFG30" s="545"/>
      <c r="QFH30" s="545"/>
      <c r="QFI30" s="545"/>
      <c r="QFJ30" s="545"/>
      <c r="QFK30" s="545"/>
      <c r="QFL30" s="545"/>
      <c r="QFM30" s="545"/>
      <c r="QFN30" s="545"/>
      <c r="QFO30" s="545"/>
      <c r="QFP30" s="545"/>
      <c r="QFQ30" s="545"/>
      <c r="QFR30" s="545"/>
      <c r="QFS30" s="545"/>
      <c r="QFT30" s="545"/>
      <c r="QFU30" s="545"/>
      <c r="QFV30" s="545"/>
      <c r="QFW30" s="545"/>
      <c r="QFX30" s="545"/>
      <c r="QFY30" s="545"/>
      <c r="QFZ30" s="545"/>
      <c r="QGA30" s="545"/>
      <c r="QGB30" s="545"/>
      <c r="QGC30" s="545"/>
      <c r="QGD30" s="545"/>
      <c r="QGE30" s="545"/>
      <c r="QGF30" s="545"/>
      <c r="QGG30" s="545"/>
      <c r="QGH30" s="545"/>
      <c r="QGI30" s="545"/>
      <c r="QGJ30" s="545"/>
      <c r="QGK30" s="545"/>
      <c r="QGL30" s="545"/>
      <c r="QGM30" s="545"/>
      <c r="QGN30" s="545"/>
      <c r="QGO30" s="545"/>
      <c r="QGP30" s="545"/>
      <c r="QGQ30" s="545"/>
      <c r="QGR30" s="545"/>
      <c r="QGS30" s="545"/>
      <c r="QGT30" s="545"/>
      <c r="QGU30" s="545"/>
      <c r="QGV30" s="545"/>
      <c r="QGW30" s="545"/>
      <c r="QGX30" s="545"/>
      <c r="QGY30" s="545"/>
      <c r="QGZ30" s="545"/>
      <c r="QHA30" s="545"/>
      <c r="QHB30" s="545"/>
      <c r="QHC30" s="545"/>
      <c r="QHD30" s="545"/>
      <c r="QHE30" s="545"/>
      <c r="QHF30" s="545"/>
      <c r="QHG30" s="545"/>
      <c r="QHH30" s="545"/>
      <c r="QHI30" s="545"/>
      <c r="QHJ30" s="545"/>
      <c r="QHK30" s="545"/>
      <c r="QHL30" s="545"/>
      <c r="QHM30" s="545"/>
      <c r="QHN30" s="545"/>
      <c r="QHO30" s="545"/>
      <c r="QHP30" s="545"/>
      <c r="QHQ30" s="545"/>
      <c r="QHR30" s="545"/>
      <c r="QHS30" s="545"/>
      <c r="QHT30" s="545"/>
      <c r="QHU30" s="545"/>
      <c r="QHV30" s="545"/>
      <c r="QHW30" s="545"/>
      <c r="QHX30" s="545"/>
      <c r="QHY30" s="545"/>
      <c r="QHZ30" s="545"/>
      <c r="QIA30" s="545"/>
      <c r="QIB30" s="545"/>
      <c r="QIC30" s="545"/>
      <c r="QID30" s="545"/>
      <c r="QIE30" s="545"/>
      <c r="QIF30" s="545"/>
      <c r="QIG30" s="545"/>
      <c r="QIH30" s="545"/>
      <c r="QII30" s="545"/>
      <c r="QIJ30" s="545"/>
      <c r="QIK30" s="545"/>
      <c r="QIL30" s="545"/>
      <c r="QIM30" s="545"/>
      <c r="QIN30" s="545"/>
      <c r="QIO30" s="545"/>
      <c r="QIP30" s="545"/>
      <c r="QIQ30" s="545"/>
      <c r="QIR30" s="545"/>
      <c r="QIS30" s="545"/>
      <c r="QIT30" s="545"/>
      <c r="QIU30" s="545"/>
      <c r="QIV30" s="545"/>
      <c r="QIW30" s="545"/>
      <c r="QIX30" s="545"/>
      <c r="QIY30" s="545"/>
      <c r="QIZ30" s="545"/>
      <c r="QJA30" s="545"/>
      <c r="QJB30" s="545"/>
      <c r="QJC30" s="545"/>
      <c r="QJD30" s="545"/>
      <c r="QJE30" s="545"/>
      <c r="QJF30" s="545"/>
      <c r="QJG30" s="545"/>
      <c r="QJH30" s="545"/>
      <c r="QJI30" s="545"/>
      <c r="QJJ30" s="545"/>
      <c r="QJK30" s="545"/>
      <c r="QJL30" s="545"/>
      <c r="QJM30" s="545"/>
      <c r="QJN30" s="545"/>
      <c r="QJO30" s="545"/>
      <c r="QJP30" s="545"/>
      <c r="QJQ30" s="545"/>
      <c r="QJR30" s="545"/>
      <c r="QJS30" s="545"/>
      <c r="QJT30" s="545"/>
      <c r="QJU30" s="545"/>
      <c r="QJV30" s="545"/>
      <c r="QJW30" s="545"/>
      <c r="QJX30" s="545"/>
      <c r="QJY30" s="545"/>
      <c r="QJZ30" s="545"/>
      <c r="QKA30" s="545"/>
      <c r="QKB30" s="545"/>
      <c r="QKC30" s="545"/>
      <c r="QKD30" s="545"/>
      <c r="QKE30" s="545"/>
      <c r="QKF30" s="545"/>
      <c r="QKG30" s="545"/>
      <c r="QKH30" s="545"/>
      <c r="QKI30" s="545"/>
      <c r="QKJ30" s="545"/>
      <c r="QKK30" s="545"/>
      <c r="QKL30" s="545"/>
      <c r="QKM30" s="545"/>
      <c r="QKN30" s="545"/>
      <c r="QKO30" s="545"/>
      <c r="QKP30" s="545"/>
      <c r="QKQ30" s="545"/>
      <c r="QKR30" s="545"/>
      <c r="QKS30" s="545"/>
      <c r="QKT30" s="545"/>
      <c r="QKU30" s="545"/>
      <c r="QKV30" s="545"/>
      <c r="QKW30" s="545"/>
      <c r="QKX30" s="545"/>
      <c r="QKY30" s="545"/>
      <c r="QKZ30" s="545"/>
      <c r="QLA30" s="545"/>
      <c r="QLB30" s="545"/>
      <c r="QLC30" s="545"/>
      <c r="QLD30" s="545"/>
      <c r="QLE30" s="545"/>
      <c r="QLF30" s="545"/>
      <c r="QLG30" s="545"/>
      <c r="QLH30" s="545"/>
      <c r="QLI30" s="545"/>
      <c r="QLJ30" s="545"/>
      <c r="QLK30" s="545"/>
      <c r="QLL30" s="545"/>
      <c r="QLM30" s="545"/>
      <c r="QLN30" s="545"/>
      <c r="QLO30" s="545"/>
      <c r="QLP30" s="545"/>
      <c r="QLQ30" s="545"/>
      <c r="QLR30" s="545"/>
      <c r="QLS30" s="545"/>
      <c r="QLT30" s="545"/>
      <c r="QLU30" s="545"/>
      <c r="QLV30" s="545"/>
      <c r="QLW30" s="545"/>
      <c r="QLX30" s="545"/>
      <c r="QLY30" s="545"/>
      <c r="QLZ30" s="545"/>
      <c r="QMA30" s="545"/>
      <c r="QMB30" s="545"/>
      <c r="QMC30" s="545"/>
      <c r="QMD30" s="545"/>
      <c r="QME30" s="545"/>
      <c r="QMF30" s="545"/>
      <c r="QMG30" s="545"/>
      <c r="QMH30" s="545"/>
      <c r="QMI30" s="545"/>
      <c r="QMJ30" s="545"/>
      <c r="QMK30" s="545"/>
      <c r="QML30" s="545"/>
      <c r="QMM30" s="545"/>
      <c r="QMN30" s="545"/>
      <c r="QMO30" s="545"/>
      <c r="QMP30" s="545"/>
      <c r="QMQ30" s="545"/>
      <c r="QMR30" s="545"/>
      <c r="QMS30" s="545"/>
      <c r="QMT30" s="545"/>
      <c r="QMU30" s="545"/>
      <c r="QMV30" s="545"/>
      <c r="QMW30" s="545"/>
      <c r="QMX30" s="545"/>
      <c r="QMY30" s="545"/>
      <c r="QMZ30" s="545"/>
      <c r="QNA30" s="545"/>
      <c r="QNB30" s="545"/>
      <c r="QNC30" s="545"/>
      <c r="QND30" s="545"/>
      <c r="QNE30" s="545"/>
      <c r="QNF30" s="545"/>
      <c r="QNG30" s="545"/>
      <c r="QNH30" s="545"/>
      <c r="QNI30" s="545"/>
      <c r="QNJ30" s="545"/>
      <c r="QNK30" s="545"/>
      <c r="QNL30" s="545"/>
      <c r="QNM30" s="545"/>
      <c r="QNN30" s="545"/>
      <c r="QNO30" s="545"/>
      <c r="QNP30" s="545"/>
      <c r="QNQ30" s="545"/>
      <c r="QNR30" s="545"/>
      <c r="QNS30" s="545"/>
      <c r="QNT30" s="545"/>
      <c r="QNU30" s="545"/>
      <c r="QNV30" s="545"/>
      <c r="QNW30" s="545"/>
      <c r="QNX30" s="545"/>
      <c r="QNY30" s="545"/>
      <c r="QNZ30" s="545"/>
      <c r="QOA30" s="545"/>
      <c r="QOB30" s="545"/>
      <c r="QOC30" s="545"/>
      <c r="QOD30" s="545"/>
      <c r="QOE30" s="545"/>
      <c r="QOF30" s="545"/>
      <c r="QOG30" s="545"/>
      <c r="QOH30" s="545"/>
      <c r="QOI30" s="545"/>
      <c r="QOJ30" s="545"/>
      <c r="QOK30" s="545"/>
      <c r="QOL30" s="545"/>
      <c r="QOM30" s="545"/>
      <c r="QON30" s="545"/>
      <c r="QOO30" s="545"/>
      <c r="QOP30" s="545"/>
      <c r="QOQ30" s="545"/>
      <c r="QOR30" s="545"/>
      <c r="QOS30" s="545"/>
      <c r="QOT30" s="545"/>
      <c r="QOU30" s="545"/>
      <c r="QOV30" s="545"/>
      <c r="QOW30" s="545"/>
      <c r="QOX30" s="545"/>
      <c r="QOY30" s="545"/>
      <c r="QOZ30" s="545"/>
      <c r="QPA30" s="545"/>
      <c r="QPB30" s="545"/>
      <c r="QPC30" s="545"/>
      <c r="QPD30" s="545"/>
      <c r="QPE30" s="545"/>
      <c r="QPF30" s="545"/>
      <c r="QPG30" s="545"/>
      <c r="QPH30" s="545"/>
      <c r="QPI30" s="545"/>
      <c r="QPJ30" s="545"/>
      <c r="QPK30" s="545"/>
      <c r="QPL30" s="545"/>
      <c r="QPM30" s="545"/>
      <c r="QPN30" s="545"/>
      <c r="QPO30" s="545"/>
      <c r="QPP30" s="545"/>
      <c r="QPQ30" s="545"/>
      <c r="QPR30" s="545"/>
      <c r="QPS30" s="545"/>
      <c r="QPT30" s="545"/>
      <c r="QPU30" s="545"/>
      <c r="QPV30" s="545"/>
      <c r="QPW30" s="545"/>
      <c r="QPX30" s="545"/>
      <c r="QPY30" s="545"/>
      <c r="QPZ30" s="545"/>
      <c r="QQA30" s="545"/>
      <c r="QQB30" s="545"/>
      <c r="QQC30" s="545"/>
      <c r="QQD30" s="545"/>
      <c r="QQE30" s="545"/>
      <c r="QQF30" s="545"/>
      <c r="QQG30" s="545"/>
      <c r="QQH30" s="545"/>
      <c r="QQI30" s="545"/>
      <c r="QQJ30" s="545"/>
      <c r="QQK30" s="545"/>
      <c r="QQL30" s="545"/>
      <c r="QQM30" s="545"/>
      <c r="QQN30" s="545"/>
      <c r="QQO30" s="545"/>
      <c r="QQP30" s="545"/>
      <c r="QQQ30" s="545"/>
      <c r="QQR30" s="545"/>
      <c r="QQS30" s="545"/>
      <c r="QQT30" s="545"/>
      <c r="QQU30" s="545"/>
      <c r="QQV30" s="545"/>
      <c r="QQW30" s="545"/>
      <c r="QQX30" s="545"/>
      <c r="QQY30" s="545"/>
      <c r="QQZ30" s="545"/>
      <c r="QRA30" s="545"/>
      <c r="QRB30" s="545"/>
      <c r="QRC30" s="545"/>
      <c r="QRD30" s="545"/>
      <c r="QRE30" s="545"/>
      <c r="QRF30" s="545"/>
      <c r="QRG30" s="545"/>
      <c r="QRH30" s="545"/>
      <c r="QRI30" s="545"/>
      <c r="QRJ30" s="545"/>
      <c r="QRK30" s="545"/>
      <c r="QRL30" s="545"/>
      <c r="QRM30" s="545"/>
      <c r="QRN30" s="545"/>
      <c r="QRO30" s="545"/>
      <c r="QRP30" s="545"/>
      <c r="QRQ30" s="545"/>
      <c r="QRR30" s="545"/>
      <c r="QRS30" s="545"/>
      <c r="QRT30" s="545"/>
      <c r="QRU30" s="545"/>
      <c r="QRV30" s="545"/>
      <c r="QRW30" s="545"/>
      <c r="QRX30" s="545"/>
      <c r="QRY30" s="545"/>
      <c r="QRZ30" s="545"/>
      <c r="QSA30" s="545"/>
      <c r="QSB30" s="545"/>
      <c r="QSC30" s="545"/>
      <c r="QSD30" s="545"/>
      <c r="QSE30" s="545"/>
      <c r="QSF30" s="545"/>
      <c r="QSG30" s="545"/>
      <c r="QSH30" s="545"/>
      <c r="QSI30" s="545"/>
      <c r="QSJ30" s="545"/>
      <c r="QSK30" s="545"/>
      <c r="QSL30" s="545"/>
      <c r="QSM30" s="545"/>
      <c r="QSN30" s="545"/>
      <c r="QSO30" s="545"/>
      <c r="QSP30" s="545"/>
      <c r="QSQ30" s="545"/>
      <c r="QSR30" s="545"/>
      <c r="QSS30" s="545"/>
      <c r="QST30" s="545"/>
      <c r="QSU30" s="545"/>
      <c r="QSV30" s="545"/>
      <c r="QSW30" s="545"/>
      <c r="QSX30" s="545"/>
      <c r="QSY30" s="545"/>
      <c r="QSZ30" s="545"/>
      <c r="QTA30" s="545"/>
      <c r="QTB30" s="545"/>
      <c r="QTC30" s="545"/>
      <c r="QTD30" s="545"/>
      <c r="QTE30" s="545"/>
      <c r="QTF30" s="545"/>
      <c r="QTG30" s="545"/>
      <c r="QTH30" s="545"/>
      <c r="QTI30" s="545"/>
      <c r="QTJ30" s="545"/>
      <c r="QTK30" s="545"/>
      <c r="QTL30" s="545"/>
      <c r="QTM30" s="545"/>
      <c r="QTN30" s="545"/>
      <c r="QTO30" s="545"/>
      <c r="QTP30" s="545"/>
      <c r="QTQ30" s="545"/>
      <c r="QTR30" s="545"/>
      <c r="QTS30" s="545"/>
      <c r="QTT30" s="545"/>
      <c r="QTU30" s="545"/>
      <c r="QTV30" s="545"/>
      <c r="QTW30" s="545"/>
      <c r="QTX30" s="545"/>
      <c r="QTY30" s="545"/>
      <c r="QTZ30" s="545"/>
      <c r="QUA30" s="545"/>
      <c r="QUB30" s="545"/>
      <c r="QUC30" s="545"/>
      <c r="QUD30" s="545"/>
      <c r="QUE30" s="545"/>
      <c r="QUF30" s="545"/>
      <c r="QUG30" s="545"/>
      <c r="QUH30" s="545"/>
      <c r="QUI30" s="545"/>
      <c r="QUJ30" s="545"/>
      <c r="QUK30" s="545"/>
      <c r="QUL30" s="545"/>
      <c r="QUM30" s="545"/>
      <c r="QUN30" s="545"/>
      <c r="QUO30" s="545"/>
      <c r="QUP30" s="545"/>
      <c r="QUQ30" s="545"/>
      <c r="QUR30" s="545"/>
      <c r="QUS30" s="545"/>
      <c r="QUT30" s="545"/>
      <c r="QUU30" s="545"/>
      <c r="QUV30" s="545"/>
      <c r="QUW30" s="545"/>
      <c r="QUX30" s="545"/>
      <c r="QUY30" s="545"/>
      <c r="QUZ30" s="545"/>
      <c r="QVA30" s="545"/>
      <c r="QVB30" s="545"/>
      <c r="QVC30" s="545"/>
      <c r="QVD30" s="545"/>
      <c r="QVE30" s="545"/>
      <c r="QVF30" s="545"/>
      <c r="QVG30" s="545"/>
      <c r="QVH30" s="545"/>
      <c r="QVI30" s="545"/>
      <c r="QVJ30" s="545"/>
      <c r="QVK30" s="545"/>
      <c r="QVL30" s="545"/>
      <c r="QVM30" s="545"/>
      <c r="QVN30" s="545"/>
      <c r="QVO30" s="545"/>
      <c r="QVP30" s="545"/>
      <c r="QVQ30" s="545"/>
      <c r="QVR30" s="545"/>
      <c r="QVS30" s="545"/>
      <c r="QVT30" s="545"/>
      <c r="QVU30" s="545"/>
      <c r="QVV30" s="545"/>
      <c r="QVW30" s="545"/>
      <c r="QVX30" s="545"/>
      <c r="QVY30" s="545"/>
      <c r="QVZ30" s="545"/>
      <c r="QWA30" s="545"/>
      <c r="QWB30" s="545"/>
      <c r="QWC30" s="545"/>
      <c r="QWD30" s="545"/>
      <c r="QWE30" s="545"/>
      <c r="QWF30" s="545"/>
      <c r="QWG30" s="545"/>
      <c r="QWH30" s="545"/>
      <c r="QWI30" s="545"/>
      <c r="QWJ30" s="545"/>
      <c r="QWK30" s="545"/>
      <c r="QWL30" s="545"/>
      <c r="QWM30" s="545"/>
      <c r="QWN30" s="545"/>
      <c r="QWO30" s="545"/>
      <c r="QWP30" s="545"/>
      <c r="QWQ30" s="545"/>
      <c r="QWR30" s="545"/>
      <c r="QWS30" s="545"/>
      <c r="QWT30" s="545"/>
      <c r="QWU30" s="545"/>
      <c r="QWV30" s="545"/>
      <c r="QWW30" s="545"/>
      <c r="QWX30" s="545"/>
      <c r="QWY30" s="545"/>
      <c r="QWZ30" s="545"/>
      <c r="QXA30" s="545"/>
      <c r="QXB30" s="545"/>
      <c r="QXC30" s="545"/>
      <c r="QXD30" s="545"/>
      <c r="QXE30" s="545"/>
      <c r="QXF30" s="545"/>
      <c r="QXG30" s="545"/>
      <c r="QXH30" s="545"/>
      <c r="QXI30" s="545"/>
      <c r="QXJ30" s="545"/>
      <c r="QXK30" s="545"/>
      <c r="QXL30" s="545"/>
      <c r="QXM30" s="545"/>
      <c r="QXN30" s="545"/>
      <c r="QXO30" s="545"/>
      <c r="QXP30" s="545"/>
      <c r="QXQ30" s="545"/>
      <c r="QXR30" s="545"/>
      <c r="QXS30" s="545"/>
      <c r="QXT30" s="545"/>
      <c r="QXU30" s="545"/>
      <c r="QXV30" s="545"/>
      <c r="QXW30" s="545"/>
      <c r="QXX30" s="545"/>
      <c r="QXY30" s="545"/>
      <c r="QXZ30" s="545"/>
      <c r="QYA30" s="545"/>
      <c r="QYB30" s="545"/>
      <c r="QYC30" s="545"/>
      <c r="QYD30" s="545"/>
      <c r="QYE30" s="545"/>
      <c r="QYF30" s="545"/>
      <c r="QYG30" s="545"/>
      <c r="QYH30" s="545"/>
      <c r="QYI30" s="545"/>
      <c r="QYJ30" s="545"/>
      <c r="QYK30" s="545"/>
      <c r="QYL30" s="545"/>
      <c r="QYM30" s="545"/>
      <c r="QYN30" s="545"/>
      <c r="QYO30" s="545"/>
      <c r="QYP30" s="545"/>
      <c r="QYQ30" s="545"/>
      <c r="QYR30" s="545"/>
      <c r="QYS30" s="545"/>
      <c r="QYT30" s="545"/>
      <c r="QYU30" s="545"/>
      <c r="QYV30" s="545"/>
      <c r="QYW30" s="545"/>
      <c r="QYX30" s="545"/>
      <c r="QYY30" s="545"/>
      <c r="QYZ30" s="545"/>
      <c r="QZA30" s="545"/>
      <c r="QZB30" s="545"/>
      <c r="QZC30" s="545"/>
      <c r="QZD30" s="545"/>
      <c r="QZE30" s="545"/>
      <c r="QZF30" s="545"/>
      <c r="QZG30" s="545"/>
      <c r="QZH30" s="545"/>
      <c r="QZI30" s="545"/>
      <c r="QZJ30" s="545"/>
      <c r="QZK30" s="545"/>
      <c r="QZL30" s="545"/>
      <c r="QZM30" s="545"/>
      <c r="QZN30" s="545"/>
      <c r="QZO30" s="545"/>
      <c r="QZP30" s="545"/>
      <c r="QZQ30" s="545"/>
      <c r="QZR30" s="545"/>
      <c r="QZS30" s="545"/>
      <c r="QZT30" s="545"/>
      <c r="QZU30" s="545"/>
      <c r="QZV30" s="545"/>
      <c r="QZW30" s="545"/>
      <c r="QZX30" s="545"/>
      <c r="QZY30" s="545"/>
      <c r="QZZ30" s="545"/>
      <c r="RAA30" s="545"/>
      <c r="RAB30" s="545"/>
      <c r="RAC30" s="545"/>
      <c r="RAD30" s="545"/>
      <c r="RAE30" s="545"/>
      <c r="RAF30" s="545"/>
      <c r="RAG30" s="545"/>
      <c r="RAH30" s="545"/>
      <c r="RAI30" s="545"/>
      <c r="RAJ30" s="545"/>
      <c r="RAK30" s="545"/>
      <c r="RAL30" s="545"/>
      <c r="RAM30" s="545"/>
      <c r="RAN30" s="545"/>
      <c r="RAO30" s="545"/>
      <c r="RAP30" s="545"/>
      <c r="RAQ30" s="545"/>
      <c r="RAR30" s="545"/>
      <c r="RAS30" s="545"/>
      <c r="RAT30" s="545"/>
      <c r="RAU30" s="545"/>
      <c r="RAV30" s="545"/>
      <c r="RAW30" s="545"/>
      <c r="RAX30" s="545"/>
      <c r="RAY30" s="545"/>
      <c r="RAZ30" s="545"/>
      <c r="RBA30" s="545"/>
      <c r="RBB30" s="545"/>
      <c r="RBC30" s="545"/>
      <c r="RBD30" s="545"/>
      <c r="RBE30" s="545"/>
      <c r="RBF30" s="545"/>
      <c r="RBG30" s="545"/>
      <c r="RBH30" s="545"/>
      <c r="RBI30" s="545"/>
      <c r="RBJ30" s="545"/>
      <c r="RBK30" s="545"/>
      <c r="RBL30" s="545"/>
      <c r="RBM30" s="545"/>
      <c r="RBN30" s="545"/>
      <c r="RBO30" s="545"/>
      <c r="RBP30" s="545"/>
      <c r="RBQ30" s="545"/>
      <c r="RBR30" s="545"/>
      <c r="RBS30" s="545"/>
      <c r="RBT30" s="545"/>
      <c r="RBU30" s="545"/>
      <c r="RBV30" s="545"/>
      <c r="RBW30" s="545"/>
      <c r="RBX30" s="545"/>
      <c r="RBY30" s="545"/>
      <c r="RBZ30" s="545"/>
      <c r="RCA30" s="545"/>
      <c r="RCB30" s="545"/>
      <c r="RCC30" s="545"/>
      <c r="RCD30" s="545"/>
      <c r="RCE30" s="545"/>
      <c r="RCF30" s="545"/>
      <c r="RCG30" s="545"/>
      <c r="RCH30" s="545"/>
      <c r="RCI30" s="545"/>
      <c r="RCJ30" s="545"/>
      <c r="RCK30" s="545"/>
      <c r="RCL30" s="545"/>
      <c r="RCM30" s="545"/>
      <c r="RCN30" s="545"/>
      <c r="RCO30" s="545"/>
      <c r="RCP30" s="545"/>
      <c r="RCQ30" s="545"/>
      <c r="RCR30" s="545"/>
      <c r="RCS30" s="545"/>
      <c r="RCT30" s="545"/>
      <c r="RCU30" s="545"/>
      <c r="RCV30" s="545"/>
      <c r="RCW30" s="545"/>
      <c r="RCX30" s="545"/>
      <c r="RCY30" s="545"/>
      <c r="RCZ30" s="545"/>
      <c r="RDA30" s="545"/>
      <c r="RDB30" s="545"/>
      <c r="RDC30" s="545"/>
      <c r="RDD30" s="545"/>
      <c r="RDE30" s="545"/>
      <c r="RDF30" s="545"/>
      <c r="RDG30" s="545"/>
      <c r="RDH30" s="545"/>
      <c r="RDI30" s="545"/>
      <c r="RDJ30" s="545"/>
      <c r="RDK30" s="545"/>
      <c r="RDL30" s="545"/>
      <c r="RDM30" s="545"/>
      <c r="RDN30" s="545"/>
      <c r="RDO30" s="545"/>
      <c r="RDP30" s="545"/>
      <c r="RDQ30" s="545"/>
      <c r="RDR30" s="545"/>
      <c r="RDS30" s="545"/>
      <c r="RDT30" s="545"/>
      <c r="RDU30" s="545"/>
      <c r="RDV30" s="545"/>
      <c r="RDW30" s="545"/>
      <c r="RDX30" s="545"/>
      <c r="RDY30" s="545"/>
      <c r="RDZ30" s="545"/>
      <c r="REA30" s="545"/>
      <c r="REB30" s="545"/>
      <c r="REC30" s="545"/>
      <c r="RED30" s="545"/>
      <c r="REE30" s="545"/>
      <c r="REF30" s="545"/>
      <c r="REG30" s="545"/>
      <c r="REH30" s="545"/>
      <c r="REI30" s="545"/>
      <c r="REJ30" s="545"/>
      <c r="REK30" s="545"/>
      <c r="REL30" s="545"/>
      <c r="REM30" s="545"/>
      <c r="REN30" s="545"/>
      <c r="REO30" s="545"/>
      <c r="REP30" s="545"/>
      <c r="REQ30" s="545"/>
      <c r="RER30" s="545"/>
      <c r="RES30" s="545"/>
      <c r="RET30" s="545"/>
      <c r="REU30" s="545"/>
      <c r="REV30" s="545"/>
      <c r="REW30" s="545"/>
      <c r="REX30" s="545"/>
      <c r="REY30" s="545"/>
      <c r="REZ30" s="545"/>
      <c r="RFA30" s="545"/>
      <c r="RFB30" s="545"/>
      <c r="RFC30" s="545"/>
      <c r="RFD30" s="545"/>
      <c r="RFE30" s="545"/>
      <c r="RFF30" s="545"/>
      <c r="RFG30" s="545"/>
      <c r="RFH30" s="545"/>
      <c r="RFI30" s="545"/>
      <c r="RFJ30" s="545"/>
      <c r="RFK30" s="545"/>
      <c r="RFL30" s="545"/>
      <c r="RFM30" s="545"/>
      <c r="RFN30" s="545"/>
      <c r="RFO30" s="545"/>
      <c r="RFP30" s="545"/>
      <c r="RFQ30" s="545"/>
      <c r="RFR30" s="545"/>
      <c r="RFS30" s="545"/>
      <c r="RFT30" s="545"/>
      <c r="RFU30" s="545"/>
      <c r="RFV30" s="545"/>
      <c r="RFW30" s="545"/>
      <c r="RFX30" s="545"/>
      <c r="RFY30" s="545"/>
      <c r="RFZ30" s="545"/>
      <c r="RGA30" s="545"/>
      <c r="RGB30" s="545"/>
      <c r="RGC30" s="545"/>
      <c r="RGD30" s="545"/>
      <c r="RGE30" s="545"/>
      <c r="RGF30" s="545"/>
      <c r="RGG30" s="545"/>
      <c r="RGH30" s="545"/>
      <c r="RGI30" s="545"/>
      <c r="RGJ30" s="545"/>
      <c r="RGK30" s="545"/>
      <c r="RGL30" s="545"/>
      <c r="RGM30" s="545"/>
      <c r="RGN30" s="545"/>
      <c r="RGO30" s="545"/>
      <c r="RGP30" s="545"/>
      <c r="RGQ30" s="545"/>
      <c r="RGR30" s="545"/>
      <c r="RGS30" s="545"/>
      <c r="RGT30" s="545"/>
      <c r="RGU30" s="545"/>
      <c r="RGV30" s="545"/>
      <c r="RGW30" s="545"/>
      <c r="RGX30" s="545"/>
      <c r="RGY30" s="545"/>
      <c r="RGZ30" s="545"/>
      <c r="RHA30" s="545"/>
      <c r="RHB30" s="545"/>
      <c r="RHC30" s="545"/>
      <c r="RHD30" s="545"/>
      <c r="RHE30" s="545"/>
      <c r="RHF30" s="545"/>
      <c r="RHG30" s="545"/>
      <c r="RHH30" s="545"/>
      <c r="RHI30" s="545"/>
      <c r="RHJ30" s="545"/>
      <c r="RHK30" s="545"/>
      <c r="RHL30" s="545"/>
      <c r="RHM30" s="545"/>
      <c r="RHN30" s="545"/>
      <c r="RHO30" s="545"/>
      <c r="RHP30" s="545"/>
      <c r="RHQ30" s="545"/>
      <c r="RHR30" s="545"/>
      <c r="RHS30" s="545"/>
      <c r="RHT30" s="545"/>
      <c r="RHU30" s="545"/>
      <c r="RHV30" s="545"/>
      <c r="RHW30" s="545"/>
      <c r="RHX30" s="545"/>
      <c r="RHY30" s="545"/>
      <c r="RHZ30" s="545"/>
      <c r="RIA30" s="545"/>
      <c r="RIB30" s="545"/>
      <c r="RIC30" s="545"/>
      <c r="RID30" s="545"/>
      <c r="RIE30" s="545"/>
      <c r="RIF30" s="545"/>
      <c r="RIG30" s="545"/>
      <c r="RIH30" s="545"/>
      <c r="RII30" s="545"/>
      <c r="RIJ30" s="545"/>
      <c r="RIK30" s="545"/>
      <c r="RIL30" s="545"/>
      <c r="RIM30" s="545"/>
      <c r="RIN30" s="545"/>
      <c r="RIO30" s="545"/>
      <c r="RIP30" s="545"/>
      <c r="RIQ30" s="545"/>
      <c r="RIR30" s="545"/>
      <c r="RIS30" s="545"/>
      <c r="RIT30" s="545"/>
      <c r="RIU30" s="545"/>
      <c r="RIV30" s="545"/>
      <c r="RIW30" s="545"/>
      <c r="RIX30" s="545"/>
      <c r="RIY30" s="545"/>
      <c r="RIZ30" s="545"/>
      <c r="RJA30" s="545"/>
      <c r="RJB30" s="545"/>
      <c r="RJC30" s="545"/>
      <c r="RJD30" s="545"/>
      <c r="RJE30" s="545"/>
      <c r="RJF30" s="545"/>
      <c r="RJG30" s="545"/>
      <c r="RJH30" s="545"/>
      <c r="RJI30" s="545"/>
      <c r="RJJ30" s="545"/>
      <c r="RJK30" s="545"/>
      <c r="RJL30" s="545"/>
      <c r="RJM30" s="545"/>
      <c r="RJN30" s="545"/>
      <c r="RJO30" s="545"/>
      <c r="RJP30" s="545"/>
      <c r="RJQ30" s="545"/>
      <c r="RJR30" s="545"/>
      <c r="RJS30" s="545"/>
      <c r="RJT30" s="545"/>
      <c r="RJU30" s="545"/>
      <c r="RJV30" s="545"/>
      <c r="RJW30" s="545"/>
      <c r="RJX30" s="545"/>
      <c r="RJY30" s="545"/>
      <c r="RJZ30" s="545"/>
      <c r="RKA30" s="545"/>
      <c r="RKB30" s="545"/>
      <c r="RKC30" s="545"/>
      <c r="RKD30" s="545"/>
      <c r="RKE30" s="545"/>
      <c r="RKF30" s="545"/>
      <c r="RKG30" s="545"/>
      <c r="RKH30" s="545"/>
      <c r="RKI30" s="545"/>
      <c r="RKJ30" s="545"/>
      <c r="RKK30" s="545"/>
      <c r="RKL30" s="545"/>
      <c r="RKM30" s="545"/>
      <c r="RKN30" s="545"/>
      <c r="RKO30" s="545"/>
      <c r="RKP30" s="545"/>
      <c r="RKQ30" s="545"/>
      <c r="RKR30" s="545"/>
      <c r="RKS30" s="545"/>
      <c r="RKT30" s="545"/>
      <c r="RKU30" s="545"/>
      <c r="RKV30" s="545"/>
      <c r="RKW30" s="545"/>
      <c r="RKX30" s="545"/>
      <c r="RKY30" s="545"/>
      <c r="RKZ30" s="545"/>
      <c r="RLA30" s="545"/>
      <c r="RLB30" s="545"/>
      <c r="RLC30" s="545"/>
      <c r="RLD30" s="545"/>
      <c r="RLE30" s="545"/>
      <c r="RLF30" s="545"/>
      <c r="RLG30" s="545"/>
      <c r="RLH30" s="545"/>
      <c r="RLI30" s="545"/>
      <c r="RLJ30" s="545"/>
      <c r="RLK30" s="545"/>
      <c r="RLL30" s="545"/>
      <c r="RLM30" s="545"/>
      <c r="RLN30" s="545"/>
      <c r="RLO30" s="545"/>
      <c r="RLP30" s="545"/>
      <c r="RLQ30" s="545"/>
      <c r="RLR30" s="545"/>
      <c r="RLS30" s="545"/>
      <c r="RLT30" s="545"/>
      <c r="RLU30" s="545"/>
      <c r="RLV30" s="545"/>
      <c r="RLW30" s="545"/>
      <c r="RLX30" s="545"/>
      <c r="RLY30" s="545"/>
      <c r="RLZ30" s="545"/>
      <c r="RMA30" s="545"/>
      <c r="RMB30" s="545"/>
      <c r="RMC30" s="545"/>
      <c r="RMD30" s="545"/>
      <c r="RME30" s="545"/>
      <c r="RMF30" s="545"/>
      <c r="RMG30" s="545"/>
      <c r="RMH30" s="545"/>
      <c r="RMI30" s="545"/>
      <c r="RMJ30" s="545"/>
      <c r="RMK30" s="545"/>
      <c r="RML30" s="545"/>
      <c r="RMM30" s="545"/>
      <c r="RMN30" s="545"/>
      <c r="RMO30" s="545"/>
      <c r="RMP30" s="545"/>
      <c r="RMQ30" s="545"/>
      <c r="RMR30" s="545"/>
      <c r="RMS30" s="545"/>
      <c r="RMT30" s="545"/>
      <c r="RMU30" s="545"/>
      <c r="RMV30" s="545"/>
      <c r="RMW30" s="545"/>
      <c r="RMX30" s="545"/>
      <c r="RMY30" s="545"/>
      <c r="RMZ30" s="545"/>
      <c r="RNA30" s="545"/>
      <c r="RNB30" s="545"/>
      <c r="RNC30" s="545"/>
      <c r="RND30" s="545"/>
      <c r="RNE30" s="545"/>
      <c r="RNF30" s="545"/>
      <c r="RNG30" s="545"/>
      <c r="RNH30" s="545"/>
      <c r="RNI30" s="545"/>
      <c r="RNJ30" s="545"/>
      <c r="RNK30" s="545"/>
      <c r="RNL30" s="545"/>
      <c r="RNM30" s="545"/>
      <c r="RNN30" s="545"/>
      <c r="RNO30" s="545"/>
      <c r="RNP30" s="545"/>
      <c r="RNQ30" s="545"/>
      <c r="RNR30" s="545"/>
      <c r="RNS30" s="545"/>
      <c r="RNT30" s="545"/>
      <c r="RNU30" s="545"/>
      <c r="RNV30" s="545"/>
      <c r="RNW30" s="545"/>
      <c r="RNX30" s="545"/>
      <c r="RNY30" s="545"/>
      <c r="RNZ30" s="545"/>
      <c r="ROA30" s="545"/>
      <c r="ROB30" s="545"/>
      <c r="ROC30" s="545"/>
      <c r="ROD30" s="545"/>
      <c r="ROE30" s="545"/>
      <c r="ROF30" s="545"/>
      <c r="ROG30" s="545"/>
      <c r="ROH30" s="545"/>
      <c r="ROI30" s="545"/>
      <c r="ROJ30" s="545"/>
      <c r="ROK30" s="545"/>
      <c r="ROL30" s="545"/>
      <c r="ROM30" s="545"/>
      <c r="RON30" s="545"/>
      <c r="ROO30" s="545"/>
      <c r="ROP30" s="545"/>
      <c r="ROQ30" s="545"/>
      <c r="ROR30" s="545"/>
      <c r="ROS30" s="545"/>
      <c r="ROT30" s="545"/>
      <c r="ROU30" s="545"/>
      <c r="ROV30" s="545"/>
      <c r="ROW30" s="545"/>
      <c r="ROX30" s="545"/>
      <c r="ROY30" s="545"/>
      <c r="ROZ30" s="545"/>
      <c r="RPA30" s="545"/>
      <c r="RPB30" s="545"/>
      <c r="RPC30" s="545"/>
      <c r="RPD30" s="545"/>
      <c r="RPE30" s="545"/>
      <c r="RPF30" s="545"/>
      <c r="RPG30" s="545"/>
      <c r="RPH30" s="545"/>
      <c r="RPI30" s="545"/>
      <c r="RPJ30" s="545"/>
      <c r="RPK30" s="545"/>
      <c r="RPL30" s="545"/>
      <c r="RPM30" s="545"/>
      <c r="RPN30" s="545"/>
      <c r="RPO30" s="545"/>
      <c r="RPP30" s="545"/>
      <c r="RPQ30" s="545"/>
      <c r="RPR30" s="545"/>
      <c r="RPS30" s="545"/>
      <c r="RPT30" s="545"/>
      <c r="RPU30" s="545"/>
      <c r="RPV30" s="545"/>
      <c r="RPW30" s="545"/>
      <c r="RPX30" s="545"/>
      <c r="RPY30" s="545"/>
      <c r="RPZ30" s="545"/>
      <c r="RQA30" s="545"/>
      <c r="RQB30" s="545"/>
      <c r="RQC30" s="545"/>
      <c r="RQD30" s="545"/>
      <c r="RQE30" s="545"/>
      <c r="RQF30" s="545"/>
      <c r="RQG30" s="545"/>
      <c r="RQH30" s="545"/>
      <c r="RQI30" s="545"/>
      <c r="RQJ30" s="545"/>
      <c r="RQK30" s="545"/>
      <c r="RQL30" s="545"/>
      <c r="RQM30" s="545"/>
      <c r="RQN30" s="545"/>
      <c r="RQO30" s="545"/>
      <c r="RQP30" s="545"/>
      <c r="RQQ30" s="545"/>
      <c r="RQR30" s="545"/>
      <c r="RQS30" s="545"/>
      <c r="RQT30" s="545"/>
      <c r="RQU30" s="545"/>
      <c r="RQV30" s="545"/>
      <c r="RQW30" s="545"/>
      <c r="RQX30" s="545"/>
      <c r="RQY30" s="545"/>
      <c r="RQZ30" s="545"/>
      <c r="RRA30" s="545"/>
      <c r="RRB30" s="545"/>
      <c r="RRC30" s="545"/>
      <c r="RRD30" s="545"/>
      <c r="RRE30" s="545"/>
      <c r="RRF30" s="545"/>
      <c r="RRG30" s="545"/>
      <c r="RRH30" s="545"/>
      <c r="RRI30" s="545"/>
      <c r="RRJ30" s="545"/>
      <c r="RRK30" s="545"/>
      <c r="RRL30" s="545"/>
      <c r="RRM30" s="545"/>
      <c r="RRN30" s="545"/>
      <c r="RRO30" s="545"/>
      <c r="RRP30" s="545"/>
      <c r="RRQ30" s="545"/>
      <c r="RRR30" s="545"/>
      <c r="RRS30" s="545"/>
      <c r="RRT30" s="545"/>
      <c r="RRU30" s="545"/>
      <c r="RRV30" s="545"/>
      <c r="RRW30" s="545"/>
      <c r="RRX30" s="545"/>
      <c r="RRY30" s="545"/>
      <c r="RRZ30" s="545"/>
      <c r="RSA30" s="545"/>
      <c r="RSB30" s="545"/>
      <c r="RSC30" s="545"/>
      <c r="RSD30" s="545"/>
      <c r="RSE30" s="545"/>
      <c r="RSF30" s="545"/>
      <c r="RSG30" s="545"/>
      <c r="RSH30" s="545"/>
      <c r="RSI30" s="545"/>
      <c r="RSJ30" s="545"/>
      <c r="RSK30" s="545"/>
      <c r="RSL30" s="545"/>
      <c r="RSM30" s="545"/>
      <c r="RSN30" s="545"/>
      <c r="RSO30" s="545"/>
      <c r="RSP30" s="545"/>
      <c r="RSQ30" s="545"/>
      <c r="RSR30" s="545"/>
      <c r="RSS30" s="545"/>
      <c r="RST30" s="545"/>
      <c r="RSU30" s="545"/>
      <c r="RSV30" s="545"/>
      <c r="RSW30" s="545"/>
      <c r="RSX30" s="545"/>
      <c r="RSY30" s="545"/>
      <c r="RSZ30" s="545"/>
      <c r="RTA30" s="545"/>
      <c r="RTB30" s="545"/>
      <c r="RTC30" s="545"/>
      <c r="RTD30" s="545"/>
      <c r="RTE30" s="545"/>
      <c r="RTF30" s="545"/>
      <c r="RTG30" s="545"/>
      <c r="RTH30" s="545"/>
      <c r="RTI30" s="545"/>
      <c r="RTJ30" s="545"/>
      <c r="RTK30" s="545"/>
      <c r="RTL30" s="545"/>
      <c r="RTM30" s="545"/>
      <c r="RTN30" s="545"/>
      <c r="RTO30" s="545"/>
      <c r="RTP30" s="545"/>
      <c r="RTQ30" s="545"/>
      <c r="RTR30" s="545"/>
      <c r="RTS30" s="545"/>
      <c r="RTT30" s="545"/>
      <c r="RTU30" s="545"/>
      <c r="RTV30" s="545"/>
      <c r="RTW30" s="545"/>
      <c r="RTX30" s="545"/>
      <c r="RTY30" s="545"/>
      <c r="RTZ30" s="545"/>
      <c r="RUA30" s="545"/>
      <c r="RUB30" s="545"/>
      <c r="RUC30" s="545"/>
      <c r="RUD30" s="545"/>
      <c r="RUE30" s="545"/>
      <c r="RUF30" s="545"/>
      <c r="RUG30" s="545"/>
      <c r="RUH30" s="545"/>
      <c r="RUI30" s="545"/>
      <c r="RUJ30" s="545"/>
      <c r="RUK30" s="545"/>
      <c r="RUL30" s="545"/>
      <c r="RUM30" s="545"/>
      <c r="RUN30" s="545"/>
      <c r="RUO30" s="545"/>
      <c r="RUP30" s="545"/>
      <c r="RUQ30" s="545"/>
      <c r="RUR30" s="545"/>
      <c r="RUS30" s="545"/>
      <c r="RUT30" s="545"/>
      <c r="RUU30" s="545"/>
      <c r="RUV30" s="545"/>
      <c r="RUW30" s="545"/>
      <c r="RUX30" s="545"/>
      <c r="RUY30" s="545"/>
      <c r="RUZ30" s="545"/>
      <c r="RVA30" s="545"/>
      <c r="RVB30" s="545"/>
      <c r="RVC30" s="545"/>
      <c r="RVD30" s="545"/>
      <c r="RVE30" s="545"/>
      <c r="RVF30" s="545"/>
      <c r="RVG30" s="545"/>
      <c r="RVH30" s="545"/>
      <c r="RVI30" s="545"/>
      <c r="RVJ30" s="545"/>
      <c r="RVK30" s="545"/>
      <c r="RVL30" s="545"/>
      <c r="RVM30" s="545"/>
      <c r="RVN30" s="545"/>
      <c r="RVO30" s="545"/>
      <c r="RVP30" s="545"/>
      <c r="RVQ30" s="545"/>
      <c r="RVR30" s="545"/>
      <c r="RVS30" s="545"/>
      <c r="RVT30" s="545"/>
      <c r="RVU30" s="545"/>
      <c r="RVV30" s="545"/>
      <c r="RVW30" s="545"/>
      <c r="RVX30" s="545"/>
      <c r="RVY30" s="545"/>
      <c r="RVZ30" s="545"/>
      <c r="RWA30" s="545"/>
      <c r="RWB30" s="545"/>
      <c r="RWC30" s="545"/>
      <c r="RWD30" s="545"/>
      <c r="RWE30" s="545"/>
      <c r="RWF30" s="545"/>
      <c r="RWG30" s="545"/>
      <c r="RWH30" s="545"/>
      <c r="RWI30" s="545"/>
      <c r="RWJ30" s="545"/>
      <c r="RWK30" s="545"/>
      <c r="RWL30" s="545"/>
      <c r="RWM30" s="545"/>
      <c r="RWN30" s="545"/>
      <c r="RWO30" s="545"/>
      <c r="RWP30" s="545"/>
      <c r="RWQ30" s="545"/>
      <c r="RWR30" s="545"/>
      <c r="RWS30" s="545"/>
      <c r="RWT30" s="545"/>
      <c r="RWU30" s="545"/>
      <c r="RWV30" s="545"/>
      <c r="RWW30" s="545"/>
      <c r="RWX30" s="545"/>
      <c r="RWY30" s="545"/>
      <c r="RWZ30" s="545"/>
      <c r="RXA30" s="545"/>
      <c r="RXB30" s="545"/>
      <c r="RXC30" s="545"/>
      <c r="RXD30" s="545"/>
      <c r="RXE30" s="545"/>
      <c r="RXF30" s="545"/>
      <c r="RXG30" s="545"/>
      <c r="RXH30" s="545"/>
      <c r="RXI30" s="545"/>
      <c r="RXJ30" s="545"/>
      <c r="RXK30" s="545"/>
      <c r="RXL30" s="545"/>
      <c r="RXM30" s="545"/>
      <c r="RXN30" s="545"/>
      <c r="RXO30" s="545"/>
      <c r="RXP30" s="545"/>
      <c r="RXQ30" s="545"/>
      <c r="RXR30" s="545"/>
      <c r="RXS30" s="545"/>
      <c r="RXT30" s="545"/>
      <c r="RXU30" s="545"/>
      <c r="RXV30" s="545"/>
      <c r="RXW30" s="545"/>
      <c r="RXX30" s="545"/>
      <c r="RXY30" s="545"/>
      <c r="RXZ30" s="545"/>
      <c r="RYA30" s="545"/>
      <c r="RYB30" s="545"/>
      <c r="RYC30" s="545"/>
      <c r="RYD30" s="545"/>
      <c r="RYE30" s="545"/>
      <c r="RYF30" s="545"/>
      <c r="RYG30" s="545"/>
      <c r="RYH30" s="545"/>
      <c r="RYI30" s="545"/>
      <c r="RYJ30" s="545"/>
      <c r="RYK30" s="545"/>
      <c r="RYL30" s="545"/>
      <c r="RYM30" s="545"/>
      <c r="RYN30" s="545"/>
      <c r="RYO30" s="545"/>
      <c r="RYP30" s="545"/>
      <c r="RYQ30" s="545"/>
      <c r="RYR30" s="545"/>
      <c r="RYS30" s="545"/>
      <c r="RYT30" s="545"/>
      <c r="RYU30" s="545"/>
      <c r="RYV30" s="545"/>
      <c r="RYW30" s="545"/>
      <c r="RYX30" s="545"/>
      <c r="RYY30" s="545"/>
      <c r="RYZ30" s="545"/>
      <c r="RZA30" s="545"/>
      <c r="RZB30" s="545"/>
      <c r="RZC30" s="545"/>
      <c r="RZD30" s="545"/>
      <c r="RZE30" s="545"/>
      <c r="RZF30" s="545"/>
      <c r="RZG30" s="545"/>
      <c r="RZH30" s="545"/>
      <c r="RZI30" s="545"/>
      <c r="RZJ30" s="545"/>
      <c r="RZK30" s="545"/>
      <c r="RZL30" s="545"/>
      <c r="RZM30" s="545"/>
      <c r="RZN30" s="545"/>
      <c r="RZO30" s="545"/>
      <c r="RZP30" s="545"/>
      <c r="RZQ30" s="545"/>
      <c r="RZR30" s="545"/>
      <c r="RZS30" s="545"/>
      <c r="RZT30" s="545"/>
      <c r="RZU30" s="545"/>
      <c r="RZV30" s="545"/>
      <c r="RZW30" s="545"/>
      <c r="RZX30" s="545"/>
      <c r="RZY30" s="545"/>
      <c r="RZZ30" s="545"/>
      <c r="SAA30" s="545"/>
      <c r="SAB30" s="545"/>
      <c r="SAC30" s="545"/>
      <c r="SAD30" s="545"/>
      <c r="SAE30" s="545"/>
      <c r="SAF30" s="545"/>
      <c r="SAG30" s="545"/>
      <c r="SAH30" s="545"/>
      <c r="SAI30" s="545"/>
      <c r="SAJ30" s="545"/>
      <c r="SAK30" s="545"/>
      <c r="SAL30" s="545"/>
      <c r="SAM30" s="545"/>
      <c r="SAN30" s="545"/>
      <c r="SAO30" s="545"/>
      <c r="SAP30" s="545"/>
      <c r="SAQ30" s="545"/>
      <c r="SAR30" s="545"/>
      <c r="SAS30" s="545"/>
      <c r="SAT30" s="545"/>
      <c r="SAU30" s="545"/>
      <c r="SAV30" s="545"/>
      <c r="SAW30" s="545"/>
      <c r="SAX30" s="545"/>
      <c r="SAY30" s="545"/>
      <c r="SAZ30" s="545"/>
      <c r="SBA30" s="545"/>
      <c r="SBB30" s="545"/>
      <c r="SBC30" s="545"/>
      <c r="SBD30" s="545"/>
      <c r="SBE30" s="545"/>
      <c r="SBF30" s="545"/>
      <c r="SBG30" s="545"/>
      <c r="SBH30" s="545"/>
      <c r="SBI30" s="545"/>
      <c r="SBJ30" s="545"/>
      <c r="SBK30" s="545"/>
      <c r="SBL30" s="545"/>
      <c r="SBM30" s="545"/>
      <c r="SBN30" s="545"/>
      <c r="SBO30" s="545"/>
      <c r="SBP30" s="545"/>
      <c r="SBQ30" s="545"/>
      <c r="SBR30" s="545"/>
      <c r="SBS30" s="545"/>
      <c r="SBT30" s="545"/>
      <c r="SBU30" s="545"/>
      <c r="SBV30" s="545"/>
      <c r="SBW30" s="545"/>
      <c r="SBX30" s="545"/>
      <c r="SBY30" s="545"/>
      <c r="SBZ30" s="545"/>
      <c r="SCA30" s="545"/>
      <c r="SCB30" s="545"/>
      <c r="SCC30" s="545"/>
      <c r="SCD30" s="545"/>
      <c r="SCE30" s="545"/>
      <c r="SCF30" s="545"/>
      <c r="SCG30" s="545"/>
      <c r="SCH30" s="545"/>
      <c r="SCI30" s="545"/>
      <c r="SCJ30" s="545"/>
      <c r="SCK30" s="545"/>
      <c r="SCL30" s="545"/>
      <c r="SCM30" s="545"/>
      <c r="SCN30" s="545"/>
      <c r="SCO30" s="545"/>
      <c r="SCP30" s="545"/>
      <c r="SCQ30" s="545"/>
      <c r="SCR30" s="545"/>
      <c r="SCS30" s="545"/>
      <c r="SCT30" s="545"/>
      <c r="SCU30" s="545"/>
      <c r="SCV30" s="545"/>
      <c r="SCW30" s="545"/>
      <c r="SCX30" s="545"/>
      <c r="SCY30" s="545"/>
      <c r="SCZ30" s="545"/>
      <c r="SDA30" s="545"/>
      <c r="SDB30" s="545"/>
      <c r="SDC30" s="545"/>
      <c r="SDD30" s="545"/>
      <c r="SDE30" s="545"/>
      <c r="SDF30" s="545"/>
      <c r="SDG30" s="545"/>
      <c r="SDH30" s="545"/>
      <c r="SDI30" s="545"/>
      <c r="SDJ30" s="545"/>
      <c r="SDK30" s="545"/>
      <c r="SDL30" s="545"/>
      <c r="SDM30" s="545"/>
      <c r="SDN30" s="545"/>
      <c r="SDO30" s="545"/>
      <c r="SDP30" s="545"/>
      <c r="SDQ30" s="545"/>
      <c r="SDR30" s="545"/>
      <c r="SDS30" s="545"/>
      <c r="SDT30" s="545"/>
      <c r="SDU30" s="545"/>
      <c r="SDV30" s="545"/>
      <c r="SDW30" s="545"/>
      <c r="SDX30" s="545"/>
      <c r="SDY30" s="545"/>
      <c r="SDZ30" s="545"/>
      <c r="SEA30" s="545"/>
      <c r="SEB30" s="545"/>
      <c r="SEC30" s="545"/>
      <c r="SED30" s="545"/>
      <c r="SEE30" s="545"/>
      <c r="SEF30" s="545"/>
      <c r="SEG30" s="545"/>
      <c r="SEH30" s="545"/>
      <c r="SEI30" s="545"/>
      <c r="SEJ30" s="545"/>
      <c r="SEK30" s="545"/>
      <c r="SEL30" s="545"/>
      <c r="SEM30" s="545"/>
      <c r="SEN30" s="545"/>
      <c r="SEO30" s="545"/>
      <c r="SEP30" s="545"/>
      <c r="SEQ30" s="545"/>
      <c r="SER30" s="545"/>
      <c r="SES30" s="545"/>
      <c r="SET30" s="545"/>
      <c r="SEU30" s="545"/>
      <c r="SEV30" s="545"/>
      <c r="SEW30" s="545"/>
      <c r="SEX30" s="545"/>
      <c r="SEY30" s="545"/>
      <c r="SEZ30" s="545"/>
      <c r="SFA30" s="545"/>
      <c r="SFB30" s="545"/>
      <c r="SFC30" s="545"/>
      <c r="SFD30" s="545"/>
      <c r="SFE30" s="545"/>
      <c r="SFF30" s="545"/>
      <c r="SFG30" s="545"/>
      <c r="SFH30" s="545"/>
      <c r="SFI30" s="545"/>
      <c r="SFJ30" s="545"/>
      <c r="SFK30" s="545"/>
      <c r="SFL30" s="545"/>
      <c r="SFM30" s="545"/>
      <c r="SFN30" s="545"/>
      <c r="SFO30" s="545"/>
      <c r="SFP30" s="545"/>
      <c r="SFQ30" s="545"/>
      <c r="SFR30" s="545"/>
      <c r="SFS30" s="545"/>
      <c r="SFT30" s="545"/>
      <c r="SFU30" s="545"/>
      <c r="SFV30" s="545"/>
      <c r="SFW30" s="545"/>
      <c r="SFX30" s="545"/>
      <c r="SFY30" s="545"/>
      <c r="SFZ30" s="545"/>
      <c r="SGA30" s="545"/>
      <c r="SGB30" s="545"/>
      <c r="SGC30" s="545"/>
      <c r="SGD30" s="545"/>
      <c r="SGE30" s="545"/>
      <c r="SGF30" s="545"/>
      <c r="SGG30" s="545"/>
      <c r="SGH30" s="545"/>
      <c r="SGI30" s="545"/>
      <c r="SGJ30" s="545"/>
      <c r="SGK30" s="545"/>
      <c r="SGL30" s="545"/>
      <c r="SGM30" s="545"/>
      <c r="SGN30" s="545"/>
      <c r="SGO30" s="545"/>
      <c r="SGP30" s="545"/>
      <c r="SGQ30" s="545"/>
      <c r="SGR30" s="545"/>
      <c r="SGS30" s="545"/>
      <c r="SGT30" s="545"/>
      <c r="SGU30" s="545"/>
      <c r="SGV30" s="545"/>
      <c r="SGW30" s="545"/>
      <c r="SGX30" s="545"/>
      <c r="SGY30" s="545"/>
      <c r="SGZ30" s="545"/>
      <c r="SHA30" s="545"/>
      <c r="SHB30" s="545"/>
      <c r="SHC30" s="545"/>
      <c r="SHD30" s="545"/>
      <c r="SHE30" s="545"/>
      <c r="SHF30" s="545"/>
      <c r="SHG30" s="545"/>
      <c r="SHH30" s="545"/>
      <c r="SHI30" s="545"/>
      <c r="SHJ30" s="545"/>
      <c r="SHK30" s="545"/>
      <c r="SHL30" s="545"/>
      <c r="SHM30" s="545"/>
      <c r="SHN30" s="545"/>
      <c r="SHO30" s="545"/>
      <c r="SHP30" s="545"/>
      <c r="SHQ30" s="545"/>
      <c r="SHR30" s="545"/>
      <c r="SHS30" s="545"/>
      <c r="SHT30" s="545"/>
      <c r="SHU30" s="545"/>
      <c r="SHV30" s="545"/>
      <c r="SHW30" s="545"/>
      <c r="SHX30" s="545"/>
      <c r="SHY30" s="545"/>
      <c r="SHZ30" s="545"/>
      <c r="SIA30" s="545"/>
      <c r="SIB30" s="545"/>
      <c r="SIC30" s="545"/>
      <c r="SID30" s="545"/>
      <c r="SIE30" s="545"/>
      <c r="SIF30" s="545"/>
      <c r="SIG30" s="545"/>
      <c r="SIH30" s="545"/>
      <c r="SII30" s="545"/>
      <c r="SIJ30" s="545"/>
      <c r="SIK30" s="545"/>
      <c r="SIL30" s="545"/>
      <c r="SIM30" s="545"/>
      <c r="SIN30" s="545"/>
      <c r="SIO30" s="545"/>
      <c r="SIP30" s="545"/>
      <c r="SIQ30" s="545"/>
      <c r="SIR30" s="545"/>
      <c r="SIS30" s="545"/>
      <c r="SIT30" s="545"/>
      <c r="SIU30" s="545"/>
      <c r="SIV30" s="545"/>
      <c r="SIW30" s="545"/>
      <c r="SIX30" s="545"/>
      <c r="SIY30" s="545"/>
      <c r="SIZ30" s="545"/>
      <c r="SJA30" s="545"/>
      <c r="SJB30" s="545"/>
      <c r="SJC30" s="545"/>
      <c r="SJD30" s="545"/>
      <c r="SJE30" s="545"/>
      <c r="SJF30" s="545"/>
      <c r="SJG30" s="545"/>
      <c r="SJH30" s="545"/>
      <c r="SJI30" s="545"/>
      <c r="SJJ30" s="545"/>
      <c r="SJK30" s="545"/>
      <c r="SJL30" s="545"/>
      <c r="SJM30" s="545"/>
      <c r="SJN30" s="545"/>
      <c r="SJO30" s="545"/>
      <c r="SJP30" s="545"/>
      <c r="SJQ30" s="545"/>
      <c r="SJR30" s="545"/>
      <c r="SJS30" s="545"/>
      <c r="SJT30" s="545"/>
      <c r="SJU30" s="545"/>
      <c r="SJV30" s="545"/>
      <c r="SJW30" s="545"/>
      <c r="SJX30" s="545"/>
      <c r="SJY30" s="545"/>
      <c r="SJZ30" s="545"/>
      <c r="SKA30" s="545"/>
      <c r="SKB30" s="545"/>
      <c r="SKC30" s="545"/>
      <c r="SKD30" s="545"/>
      <c r="SKE30" s="545"/>
      <c r="SKF30" s="545"/>
      <c r="SKG30" s="545"/>
      <c r="SKH30" s="545"/>
      <c r="SKI30" s="545"/>
      <c r="SKJ30" s="545"/>
      <c r="SKK30" s="545"/>
      <c r="SKL30" s="545"/>
      <c r="SKM30" s="545"/>
      <c r="SKN30" s="545"/>
      <c r="SKO30" s="545"/>
      <c r="SKP30" s="545"/>
      <c r="SKQ30" s="545"/>
      <c r="SKR30" s="545"/>
      <c r="SKS30" s="545"/>
      <c r="SKT30" s="545"/>
      <c r="SKU30" s="545"/>
      <c r="SKV30" s="545"/>
      <c r="SKW30" s="545"/>
      <c r="SKX30" s="545"/>
      <c r="SKY30" s="545"/>
      <c r="SKZ30" s="545"/>
      <c r="SLA30" s="545"/>
      <c r="SLB30" s="545"/>
      <c r="SLC30" s="545"/>
      <c r="SLD30" s="545"/>
      <c r="SLE30" s="545"/>
      <c r="SLF30" s="545"/>
      <c r="SLG30" s="545"/>
      <c r="SLH30" s="545"/>
      <c r="SLI30" s="545"/>
      <c r="SLJ30" s="545"/>
      <c r="SLK30" s="545"/>
      <c r="SLL30" s="545"/>
      <c r="SLM30" s="545"/>
      <c r="SLN30" s="545"/>
      <c r="SLO30" s="545"/>
      <c r="SLP30" s="545"/>
      <c r="SLQ30" s="545"/>
      <c r="SLR30" s="545"/>
      <c r="SLS30" s="545"/>
      <c r="SLT30" s="545"/>
      <c r="SLU30" s="545"/>
      <c r="SLV30" s="545"/>
      <c r="SLW30" s="545"/>
      <c r="SLX30" s="545"/>
      <c r="SLY30" s="545"/>
      <c r="SLZ30" s="545"/>
      <c r="SMA30" s="545"/>
      <c r="SMB30" s="545"/>
      <c r="SMC30" s="545"/>
      <c r="SMD30" s="545"/>
      <c r="SME30" s="545"/>
      <c r="SMF30" s="545"/>
      <c r="SMG30" s="545"/>
      <c r="SMH30" s="545"/>
      <c r="SMI30" s="545"/>
      <c r="SMJ30" s="545"/>
      <c r="SMK30" s="545"/>
      <c r="SML30" s="545"/>
      <c r="SMM30" s="545"/>
      <c r="SMN30" s="545"/>
      <c r="SMO30" s="545"/>
      <c r="SMP30" s="545"/>
      <c r="SMQ30" s="545"/>
      <c r="SMR30" s="545"/>
      <c r="SMS30" s="545"/>
      <c r="SMT30" s="545"/>
      <c r="SMU30" s="545"/>
      <c r="SMV30" s="545"/>
      <c r="SMW30" s="545"/>
      <c r="SMX30" s="545"/>
      <c r="SMY30" s="545"/>
      <c r="SMZ30" s="545"/>
      <c r="SNA30" s="545"/>
      <c r="SNB30" s="545"/>
      <c r="SNC30" s="545"/>
      <c r="SND30" s="545"/>
      <c r="SNE30" s="545"/>
      <c r="SNF30" s="545"/>
      <c r="SNG30" s="545"/>
      <c r="SNH30" s="545"/>
      <c r="SNI30" s="545"/>
      <c r="SNJ30" s="545"/>
      <c r="SNK30" s="545"/>
      <c r="SNL30" s="545"/>
      <c r="SNM30" s="545"/>
      <c r="SNN30" s="545"/>
      <c r="SNO30" s="545"/>
      <c r="SNP30" s="545"/>
      <c r="SNQ30" s="545"/>
      <c r="SNR30" s="545"/>
      <c r="SNS30" s="545"/>
      <c r="SNT30" s="545"/>
      <c r="SNU30" s="545"/>
      <c r="SNV30" s="545"/>
      <c r="SNW30" s="545"/>
      <c r="SNX30" s="545"/>
      <c r="SNY30" s="545"/>
      <c r="SNZ30" s="545"/>
      <c r="SOA30" s="545"/>
      <c r="SOB30" s="545"/>
      <c r="SOC30" s="545"/>
      <c r="SOD30" s="545"/>
      <c r="SOE30" s="545"/>
      <c r="SOF30" s="545"/>
      <c r="SOG30" s="545"/>
      <c r="SOH30" s="545"/>
      <c r="SOI30" s="545"/>
      <c r="SOJ30" s="545"/>
      <c r="SOK30" s="545"/>
      <c r="SOL30" s="545"/>
      <c r="SOM30" s="545"/>
      <c r="SON30" s="545"/>
      <c r="SOO30" s="545"/>
      <c r="SOP30" s="545"/>
      <c r="SOQ30" s="545"/>
      <c r="SOR30" s="545"/>
      <c r="SOS30" s="545"/>
      <c r="SOT30" s="545"/>
      <c r="SOU30" s="545"/>
      <c r="SOV30" s="545"/>
      <c r="SOW30" s="545"/>
      <c r="SOX30" s="545"/>
      <c r="SOY30" s="545"/>
      <c r="SOZ30" s="545"/>
      <c r="SPA30" s="545"/>
      <c r="SPB30" s="545"/>
      <c r="SPC30" s="545"/>
      <c r="SPD30" s="545"/>
      <c r="SPE30" s="545"/>
      <c r="SPF30" s="545"/>
      <c r="SPG30" s="545"/>
      <c r="SPH30" s="545"/>
      <c r="SPI30" s="545"/>
      <c r="SPJ30" s="545"/>
      <c r="SPK30" s="545"/>
      <c r="SPL30" s="545"/>
      <c r="SPM30" s="545"/>
      <c r="SPN30" s="545"/>
      <c r="SPO30" s="545"/>
      <c r="SPP30" s="545"/>
      <c r="SPQ30" s="545"/>
      <c r="SPR30" s="545"/>
      <c r="SPS30" s="545"/>
      <c r="SPT30" s="545"/>
      <c r="SPU30" s="545"/>
      <c r="SPV30" s="545"/>
      <c r="SPW30" s="545"/>
      <c r="SPX30" s="545"/>
      <c r="SPY30" s="545"/>
      <c r="SPZ30" s="545"/>
      <c r="SQA30" s="545"/>
      <c r="SQB30" s="545"/>
      <c r="SQC30" s="545"/>
      <c r="SQD30" s="545"/>
      <c r="SQE30" s="545"/>
      <c r="SQF30" s="545"/>
      <c r="SQG30" s="545"/>
      <c r="SQH30" s="545"/>
      <c r="SQI30" s="545"/>
      <c r="SQJ30" s="545"/>
      <c r="SQK30" s="545"/>
      <c r="SQL30" s="545"/>
      <c r="SQM30" s="545"/>
      <c r="SQN30" s="545"/>
      <c r="SQO30" s="545"/>
      <c r="SQP30" s="545"/>
      <c r="SQQ30" s="545"/>
      <c r="SQR30" s="545"/>
      <c r="SQS30" s="545"/>
      <c r="SQT30" s="545"/>
      <c r="SQU30" s="545"/>
      <c r="SQV30" s="545"/>
      <c r="SQW30" s="545"/>
      <c r="SQX30" s="545"/>
      <c r="SQY30" s="545"/>
      <c r="SQZ30" s="545"/>
      <c r="SRA30" s="545"/>
      <c r="SRB30" s="545"/>
      <c r="SRC30" s="545"/>
      <c r="SRD30" s="545"/>
      <c r="SRE30" s="545"/>
      <c r="SRF30" s="545"/>
      <c r="SRG30" s="545"/>
      <c r="SRH30" s="545"/>
      <c r="SRI30" s="545"/>
      <c r="SRJ30" s="545"/>
      <c r="SRK30" s="545"/>
      <c r="SRL30" s="545"/>
      <c r="SRM30" s="545"/>
      <c r="SRN30" s="545"/>
      <c r="SRO30" s="545"/>
      <c r="SRP30" s="545"/>
      <c r="SRQ30" s="545"/>
      <c r="SRR30" s="545"/>
      <c r="SRS30" s="545"/>
      <c r="SRT30" s="545"/>
      <c r="SRU30" s="545"/>
      <c r="SRV30" s="545"/>
      <c r="SRW30" s="545"/>
      <c r="SRX30" s="545"/>
      <c r="SRY30" s="545"/>
      <c r="SRZ30" s="545"/>
      <c r="SSA30" s="545"/>
      <c r="SSB30" s="545"/>
      <c r="SSC30" s="545"/>
      <c r="SSD30" s="545"/>
      <c r="SSE30" s="545"/>
      <c r="SSF30" s="545"/>
      <c r="SSG30" s="545"/>
      <c r="SSH30" s="545"/>
      <c r="SSI30" s="545"/>
      <c r="SSJ30" s="545"/>
      <c r="SSK30" s="545"/>
      <c r="SSL30" s="545"/>
      <c r="SSM30" s="545"/>
      <c r="SSN30" s="545"/>
      <c r="SSO30" s="545"/>
      <c r="SSP30" s="545"/>
      <c r="SSQ30" s="545"/>
      <c r="SSR30" s="545"/>
      <c r="SSS30" s="545"/>
      <c r="SST30" s="545"/>
      <c r="SSU30" s="545"/>
      <c r="SSV30" s="545"/>
      <c r="SSW30" s="545"/>
      <c r="SSX30" s="545"/>
      <c r="SSY30" s="545"/>
      <c r="SSZ30" s="545"/>
      <c r="STA30" s="545"/>
      <c r="STB30" s="545"/>
      <c r="STC30" s="545"/>
      <c r="STD30" s="545"/>
      <c r="STE30" s="545"/>
      <c r="STF30" s="545"/>
      <c r="STG30" s="545"/>
      <c r="STH30" s="545"/>
      <c r="STI30" s="545"/>
      <c r="STJ30" s="545"/>
      <c r="STK30" s="545"/>
      <c r="STL30" s="545"/>
      <c r="STM30" s="545"/>
      <c r="STN30" s="545"/>
      <c r="STO30" s="545"/>
      <c r="STP30" s="545"/>
      <c r="STQ30" s="545"/>
      <c r="STR30" s="545"/>
      <c r="STS30" s="545"/>
      <c r="STT30" s="545"/>
      <c r="STU30" s="545"/>
      <c r="STV30" s="545"/>
      <c r="STW30" s="545"/>
      <c r="STX30" s="545"/>
      <c r="STY30" s="545"/>
      <c r="STZ30" s="545"/>
      <c r="SUA30" s="545"/>
      <c r="SUB30" s="545"/>
      <c r="SUC30" s="545"/>
      <c r="SUD30" s="545"/>
      <c r="SUE30" s="545"/>
      <c r="SUF30" s="545"/>
      <c r="SUG30" s="545"/>
      <c r="SUH30" s="545"/>
      <c r="SUI30" s="545"/>
      <c r="SUJ30" s="545"/>
      <c r="SUK30" s="545"/>
      <c r="SUL30" s="545"/>
      <c r="SUM30" s="545"/>
      <c r="SUN30" s="545"/>
      <c r="SUO30" s="545"/>
      <c r="SUP30" s="545"/>
      <c r="SUQ30" s="545"/>
      <c r="SUR30" s="545"/>
      <c r="SUS30" s="545"/>
      <c r="SUT30" s="545"/>
      <c r="SUU30" s="545"/>
      <c r="SUV30" s="545"/>
      <c r="SUW30" s="545"/>
      <c r="SUX30" s="545"/>
      <c r="SUY30" s="545"/>
      <c r="SUZ30" s="545"/>
      <c r="SVA30" s="545"/>
      <c r="SVB30" s="545"/>
      <c r="SVC30" s="545"/>
      <c r="SVD30" s="545"/>
      <c r="SVE30" s="545"/>
      <c r="SVF30" s="545"/>
      <c r="SVG30" s="545"/>
      <c r="SVH30" s="545"/>
      <c r="SVI30" s="545"/>
      <c r="SVJ30" s="545"/>
      <c r="SVK30" s="545"/>
      <c r="SVL30" s="545"/>
      <c r="SVM30" s="545"/>
      <c r="SVN30" s="545"/>
      <c r="SVO30" s="545"/>
      <c r="SVP30" s="545"/>
      <c r="SVQ30" s="545"/>
      <c r="SVR30" s="545"/>
      <c r="SVS30" s="545"/>
      <c r="SVT30" s="545"/>
      <c r="SVU30" s="545"/>
      <c r="SVV30" s="545"/>
      <c r="SVW30" s="545"/>
      <c r="SVX30" s="545"/>
      <c r="SVY30" s="545"/>
      <c r="SVZ30" s="545"/>
      <c r="SWA30" s="545"/>
      <c r="SWB30" s="545"/>
      <c r="SWC30" s="545"/>
      <c r="SWD30" s="545"/>
      <c r="SWE30" s="545"/>
      <c r="SWF30" s="545"/>
      <c r="SWG30" s="545"/>
      <c r="SWH30" s="545"/>
      <c r="SWI30" s="545"/>
      <c r="SWJ30" s="545"/>
      <c r="SWK30" s="545"/>
      <c r="SWL30" s="545"/>
      <c r="SWM30" s="545"/>
      <c r="SWN30" s="545"/>
      <c r="SWO30" s="545"/>
      <c r="SWP30" s="545"/>
      <c r="SWQ30" s="545"/>
      <c r="SWR30" s="545"/>
      <c r="SWS30" s="545"/>
      <c r="SWT30" s="545"/>
      <c r="SWU30" s="545"/>
      <c r="SWV30" s="545"/>
      <c r="SWW30" s="545"/>
      <c r="SWX30" s="545"/>
      <c r="SWY30" s="545"/>
      <c r="SWZ30" s="545"/>
      <c r="SXA30" s="545"/>
      <c r="SXB30" s="545"/>
      <c r="SXC30" s="545"/>
      <c r="SXD30" s="545"/>
      <c r="SXE30" s="545"/>
      <c r="SXF30" s="545"/>
      <c r="SXG30" s="545"/>
      <c r="SXH30" s="545"/>
      <c r="SXI30" s="545"/>
      <c r="SXJ30" s="545"/>
      <c r="SXK30" s="545"/>
      <c r="SXL30" s="545"/>
      <c r="SXM30" s="545"/>
      <c r="SXN30" s="545"/>
      <c r="SXO30" s="545"/>
      <c r="SXP30" s="545"/>
      <c r="SXQ30" s="545"/>
      <c r="SXR30" s="545"/>
      <c r="SXS30" s="545"/>
      <c r="SXT30" s="545"/>
      <c r="SXU30" s="545"/>
      <c r="SXV30" s="545"/>
      <c r="SXW30" s="545"/>
      <c r="SXX30" s="545"/>
      <c r="SXY30" s="545"/>
      <c r="SXZ30" s="545"/>
      <c r="SYA30" s="545"/>
      <c r="SYB30" s="545"/>
      <c r="SYC30" s="545"/>
      <c r="SYD30" s="545"/>
      <c r="SYE30" s="545"/>
      <c r="SYF30" s="545"/>
      <c r="SYG30" s="545"/>
      <c r="SYH30" s="545"/>
      <c r="SYI30" s="545"/>
      <c r="SYJ30" s="545"/>
      <c r="SYK30" s="545"/>
      <c r="SYL30" s="545"/>
      <c r="SYM30" s="545"/>
      <c r="SYN30" s="545"/>
      <c r="SYO30" s="545"/>
      <c r="SYP30" s="545"/>
      <c r="SYQ30" s="545"/>
      <c r="SYR30" s="545"/>
      <c r="SYS30" s="545"/>
      <c r="SYT30" s="545"/>
      <c r="SYU30" s="545"/>
      <c r="SYV30" s="545"/>
      <c r="SYW30" s="545"/>
      <c r="SYX30" s="545"/>
      <c r="SYY30" s="545"/>
      <c r="SYZ30" s="545"/>
      <c r="SZA30" s="545"/>
      <c r="SZB30" s="545"/>
      <c r="SZC30" s="545"/>
      <c r="SZD30" s="545"/>
      <c r="SZE30" s="545"/>
      <c r="SZF30" s="545"/>
      <c r="SZG30" s="545"/>
      <c r="SZH30" s="545"/>
      <c r="SZI30" s="545"/>
      <c r="SZJ30" s="545"/>
      <c r="SZK30" s="545"/>
      <c r="SZL30" s="545"/>
      <c r="SZM30" s="545"/>
      <c r="SZN30" s="545"/>
      <c r="SZO30" s="545"/>
      <c r="SZP30" s="545"/>
      <c r="SZQ30" s="545"/>
      <c r="SZR30" s="545"/>
      <c r="SZS30" s="545"/>
      <c r="SZT30" s="545"/>
      <c r="SZU30" s="545"/>
      <c r="SZV30" s="545"/>
      <c r="SZW30" s="545"/>
      <c r="SZX30" s="545"/>
      <c r="SZY30" s="545"/>
      <c r="SZZ30" s="545"/>
      <c r="TAA30" s="545"/>
      <c r="TAB30" s="545"/>
      <c r="TAC30" s="545"/>
      <c r="TAD30" s="545"/>
      <c r="TAE30" s="545"/>
      <c r="TAF30" s="545"/>
      <c r="TAG30" s="545"/>
      <c r="TAH30" s="545"/>
      <c r="TAI30" s="545"/>
      <c r="TAJ30" s="545"/>
      <c r="TAK30" s="545"/>
      <c r="TAL30" s="545"/>
      <c r="TAM30" s="545"/>
      <c r="TAN30" s="545"/>
      <c r="TAO30" s="545"/>
      <c r="TAP30" s="545"/>
      <c r="TAQ30" s="545"/>
      <c r="TAR30" s="545"/>
      <c r="TAS30" s="545"/>
      <c r="TAT30" s="545"/>
      <c r="TAU30" s="545"/>
      <c r="TAV30" s="545"/>
      <c r="TAW30" s="545"/>
      <c r="TAX30" s="545"/>
      <c r="TAY30" s="545"/>
      <c r="TAZ30" s="545"/>
      <c r="TBA30" s="545"/>
      <c r="TBB30" s="545"/>
      <c r="TBC30" s="545"/>
      <c r="TBD30" s="545"/>
      <c r="TBE30" s="545"/>
      <c r="TBF30" s="545"/>
      <c r="TBG30" s="545"/>
      <c r="TBH30" s="545"/>
      <c r="TBI30" s="545"/>
      <c r="TBJ30" s="545"/>
      <c r="TBK30" s="545"/>
      <c r="TBL30" s="545"/>
      <c r="TBM30" s="545"/>
      <c r="TBN30" s="545"/>
      <c r="TBO30" s="545"/>
      <c r="TBP30" s="545"/>
      <c r="TBQ30" s="545"/>
      <c r="TBR30" s="545"/>
      <c r="TBS30" s="545"/>
      <c r="TBT30" s="545"/>
      <c r="TBU30" s="545"/>
      <c r="TBV30" s="545"/>
      <c r="TBW30" s="545"/>
      <c r="TBX30" s="545"/>
      <c r="TBY30" s="545"/>
      <c r="TBZ30" s="545"/>
      <c r="TCA30" s="545"/>
      <c r="TCB30" s="545"/>
      <c r="TCC30" s="545"/>
      <c r="TCD30" s="545"/>
      <c r="TCE30" s="545"/>
      <c r="TCF30" s="545"/>
      <c r="TCG30" s="545"/>
      <c r="TCH30" s="545"/>
      <c r="TCI30" s="545"/>
      <c r="TCJ30" s="545"/>
      <c r="TCK30" s="545"/>
      <c r="TCL30" s="545"/>
      <c r="TCM30" s="545"/>
      <c r="TCN30" s="545"/>
      <c r="TCO30" s="545"/>
      <c r="TCP30" s="545"/>
      <c r="TCQ30" s="545"/>
      <c r="TCR30" s="545"/>
      <c r="TCS30" s="545"/>
      <c r="TCT30" s="545"/>
      <c r="TCU30" s="545"/>
      <c r="TCV30" s="545"/>
      <c r="TCW30" s="545"/>
      <c r="TCX30" s="545"/>
      <c r="TCY30" s="545"/>
      <c r="TCZ30" s="545"/>
      <c r="TDA30" s="545"/>
      <c r="TDB30" s="545"/>
      <c r="TDC30" s="545"/>
      <c r="TDD30" s="545"/>
      <c r="TDE30" s="545"/>
      <c r="TDF30" s="545"/>
      <c r="TDG30" s="545"/>
      <c r="TDH30" s="545"/>
      <c r="TDI30" s="545"/>
      <c r="TDJ30" s="545"/>
      <c r="TDK30" s="545"/>
      <c r="TDL30" s="545"/>
      <c r="TDM30" s="545"/>
      <c r="TDN30" s="545"/>
      <c r="TDO30" s="545"/>
      <c r="TDP30" s="545"/>
      <c r="TDQ30" s="545"/>
      <c r="TDR30" s="545"/>
      <c r="TDS30" s="545"/>
      <c r="TDT30" s="545"/>
      <c r="TDU30" s="545"/>
      <c r="TDV30" s="545"/>
      <c r="TDW30" s="545"/>
      <c r="TDX30" s="545"/>
      <c r="TDY30" s="545"/>
      <c r="TDZ30" s="545"/>
      <c r="TEA30" s="545"/>
      <c r="TEB30" s="545"/>
      <c r="TEC30" s="545"/>
      <c r="TED30" s="545"/>
      <c r="TEE30" s="545"/>
      <c r="TEF30" s="545"/>
      <c r="TEG30" s="545"/>
      <c r="TEH30" s="545"/>
      <c r="TEI30" s="545"/>
      <c r="TEJ30" s="545"/>
      <c r="TEK30" s="545"/>
      <c r="TEL30" s="545"/>
      <c r="TEM30" s="545"/>
      <c r="TEN30" s="545"/>
      <c r="TEO30" s="545"/>
      <c r="TEP30" s="545"/>
      <c r="TEQ30" s="545"/>
      <c r="TER30" s="545"/>
      <c r="TES30" s="545"/>
      <c r="TET30" s="545"/>
      <c r="TEU30" s="545"/>
      <c r="TEV30" s="545"/>
      <c r="TEW30" s="545"/>
      <c r="TEX30" s="545"/>
      <c r="TEY30" s="545"/>
      <c r="TEZ30" s="545"/>
      <c r="TFA30" s="545"/>
      <c r="TFB30" s="545"/>
      <c r="TFC30" s="545"/>
      <c r="TFD30" s="545"/>
      <c r="TFE30" s="545"/>
      <c r="TFF30" s="545"/>
      <c r="TFG30" s="545"/>
      <c r="TFH30" s="545"/>
      <c r="TFI30" s="545"/>
      <c r="TFJ30" s="545"/>
      <c r="TFK30" s="545"/>
      <c r="TFL30" s="545"/>
      <c r="TFM30" s="545"/>
      <c r="TFN30" s="545"/>
      <c r="TFO30" s="545"/>
      <c r="TFP30" s="545"/>
      <c r="TFQ30" s="545"/>
      <c r="TFR30" s="545"/>
      <c r="TFS30" s="545"/>
      <c r="TFT30" s="545"/>
      <c r="TFU30" s="545"/>
      <c r="TFV30" s="545"/>
      <c r="TFW30" s="545"/>
      <c r="TFX30" s="545"/>
      <c r="TFY30" s="545"/>
      <c r="TFZ30" s="545"/>
      <c r="TGA30" s="545"/>
      <c r="TGB30" s="545"/>
      <c r="TGC30" s="545"/>
      <c r="TGD30" s="545"/>
      <c r="TGE30" s="545"/>
      <c r="TGF30" s="545"/>
      <c r="TGG30" s="545"/>
      <c r="TGH30" s="545"/>
      <c r="TGI30" s="545"/>
      <c r="TGJ30" s="545"/>
      <c r="TGK30" s="545"/>
      <c r="TGL30" s="545"/>
      <c r="TGM30" s="545"/>
      <c r="TGN30" s="545"/>
      <c r="TGO30" s="545"/>
      <c r="TGP30" s="545"/>
      <c r="TGQ30" s="545"/>
      <c r="TGR30" s="545"/>
      <c r="TGS30" s="545"/>
      <c r="TGT30" s="545"/>
      <c r="TGU30" s="545"/>
      <c r="TGV30" s="545"/>
      <c r="TGW30" s="545"/>
      <c r="TGX30" s="545"/>
      <c r="TGY30" s="545"/>
      <c r="TGZ30" s="545"/>
      <c r="THA30" s="545"/>
      <c r="THB30" s="545"/>
      <c r="THC30" s="545"/>
      <c r="THD30" s="545"/>
      <c r="THE30" s="545"/>
      <c r="THF30" s="545"/>
      <c r="THG30" s="545"/>
      <c r="THH30" s="545"/>
      <c r="THI30" s="545"/>
      <c r="THJ30" s="545"/>
      <c r="THK30" s="545"/>
      <c r="THL30" s="545"/>
      <c r="THM30" s="545"/>
      <c r="THN30" s="545"/>
      <c r="THO30" s="545"/>
      <c r="THP30" s="545"/>
      <c r="THQ30" s="545"/>
      <c r="THR30" s="545"/>
      <c r="THS30" s="545"/>
      <c r="THT30" s="545"/>
      <c r="THU30" s="545"/>
      <c r="THV30" s="545"/>
      <c r="THW30" s="545"/>
      <c r="THX30" s="545"/>
      <c r="THY30" s="545"/>
      <c r="THZ30" s="545"/>
      <c r="TIA30" s="545"/>
      <c r="TIB30" s="545"/>
      <c r="TIC30" s="545"/>
      <c r="TID30" s="545"/>
      <c r="TIE30" s="545"/>
      <c r="TIF30" s="545"/>
      <c r="TIG30" s="545"/>
      <c r="TIH30" s="545"/>
      <c r="TII30" s="545"/>
      <c r="TIJ30" s="545"/>
      <c r="TIK30" s="545"/>
      <c r="TIL30" s="545"/>
      <c r="TIM30" s="545"/>
      <c r="TIN30" s="545"/>
      <c r="TIO30" s="545"/>
      <c r="TIP30" s="545"/>
      <c r="TIQ30" s="545"/>
      <c r="TIR30" s="545"/>
      <c r="TIS30" s="545"/>
      <c r="TIT30" s="545"/>
      <c r="TIU30" s="545"/>
      <c r="TIV30" s="545"/>
      <c r="TIW30" s="545"/>
      <c r="TIX30" s="545"/>
      <c r="TIY30" s="545"/>
      <c r="TIZ30" s="545"/>
      <c r="TJA30" s="545"/>
      <c r="TJB30" s="545"/>
      <c r="TJC30" s="545"/>
      <c r="TJD30" s="545"/>
      <c r="TJE30" s="545"/>
      <c r="TJF30" s="545"/>
      <c r="TJG30" s="545"/>
      <c r="TJH30" s="545"/>
      <c r="TJI30" s="545"/>
      <c r="TJJ30" s="545"/>
      <c r="TJK30" s="545"/>
      <c r="TJL30" s="545"/>
      <c r="TJM30" s="545"/>
      <c r="TJN30" s="545"/>
      <c r="TJO30" s="545"/>
      <c r="TJP30" s="545"/>
      <c r="TJQ30" s="545"/>
      <c r="TJR30" s="545"/>
      <c r="TJS30" s="545"/>
      <c r="TJT30" s="545"/>
      <c r="TJU30" s="545"/>
      <c r="TJV30" s="545"/>
      <c r="TJW30" s="545"/>
      <c r="TJX30" s="545"/>
      <c r="TJY30" s="545"/>
      <c r="TJZ30" s="545"/>
      <c r="TKA30" s="545"/>
      <c r="TKB30" s="545"/>
      <c r="TKC30" s="545"/>
      <c r="TKD30" s="545"/>
      <c r="TKE30" s="545"/>
      <c r="TKF30" s="545"/>
      <c r="TKG30" s="545"/>
      <c r="TKH30" s="545"/>
      <c r="TKI30" s="545"/>
      <c r="TKJ30" s="545"/>
      <c r="TKK30" s="545"/>
      <c r="TKL30" s="545"/>
      <c r="TKM30" s="545"/>
      <c r="TKN30" s="545"/>
      <c r="TKO30" s="545"/>
      <c r="TKP30" s="545"/>
      <c r="TKQ30" s="545"/>
      <c r="TKR30" s="545"/>
      <c r="TKS30" s="545"/>
      <c r="TKT30" s="545"/>
      <c r="TKU30" s="545"/>
      <c r="TKV30" s="545"/>
      <c r="TKW30" s="545"/>
      <c r="TKX30" s="545"/>
      <c r="TKY30" s="545"/>
      <c r="TKZ30" s="545"/>
      <c r="TLA30" s="545"/>
      <c r="TLB30" s="545"/>
      <c r="TLC30" s="545"/>
      <c r="TLD30" s="545"/>
      <c r="TLE30" s="545"/>
      <c r="TLF30" s="545"/>
      <c r="TLG30" s="545"/>
      <c r="TLH30" s="545"/>
      <c r="TLI30" s="545"/>
      <c r="TLJ30" s="545"/>
      <c r="TLK30" s="545"/>
      <c r="TLL30" s="545"/>
      <c r="TLM30" s="545"/>
      <c r="TLN30" s="545"/>
      <c r="TLO30" s="545"/>
      <c r="TLP30" s="545"/>
      <c r="TLQ30" s="545"/>
      <c r="TLR30" s="545"/>
      <c r="TLS30" s="545"/>
      <c r="TLT30" s="545"/>
      <c r="TLU30" s="545"/>
      <c r="TLV30" s="545"/>
      <c r="TLW30" s="545"/>
      <c r="TLX30" s="545"/>
      <c r="TLY30" s="545"/>
      <c r="TLZ30" s="545"/>
      <c r="TMA30" s="545"/>
      <c r="TMB30" s="545"/>
      <c r="TMC30" s="545"/>
      <c r="TMD30" s="545"/>
      <c r="TME30" s="545"/>
      <c r="TMF30" s="545"/>
      <c r="TMG30" s="545"/>
      <c r="TMH30" s="545"/>
      <c r="TMI30" s="545"/>
      <c r="TMJ30" s="545"/>
      <c r="TMK30" s="545"/>
      <c r="TML30" s="545"/>
      <c r="TMM30" s="545"/>
      <c r="TMN30" s="545"/>
      <c r="TMO30" s="545"/>
      <c r="TMP30" s="545"/>
      <c r="TMQ30" s="545"/>
      <c r="TMR30" s="545"/>
      <c r="TMS30" s="545"/>
      <c r="TMT30" s="545"/>
      <c r="TMU30" s="545"/>
      <c r="TMV30" s="545"/>
      <c r="TMW30" s="545"/>
      <c r="TMX30" s="545"/>
      <c r="TMY30" s="545"/>
      <c r="TMZ30" s="545"/>
      <c r="TNA30" s="545"/>
      <c r="TNB30" s="545"/>
      <c r="TNC30" s="545"/>
      <c r="TND30" s="545"/>
      <c r="TNE30" s="545"/>
      <c r="TNF30" s="545"/>
      <c r="TNG30" s="545"/>
      <c r="TNH30" s="545"/>
      <c r="TNI30" s="545"/>
      <c r="TNJ30" s="545"/>
      <c r="TNK30" s="545"/>
      <c r="TNL30" s="545"/>
      <c r="TNM30" s="545"/>
      <c r="TNN30" s="545"/>
      <c r="TNO30" s="545"/>
      <c r="TNP30" s="545"/>
      <c r="TNQ30" s="545"/>
      <c r="TNR30" s="545"/>
      <c r="TNS30" s="545"/>
      <c r="TNT30" s="545"/>
      <c r="TNU30" s="545"/>
      <c r="TNV30" s="545"/>
      <c r="TNW30" s="545"/>
      <c r="TNX30" s="545"/>
      <c r="TNY30" s="545"/>
      <c r="TNZ30" s="545"/>
      <c r="TOA30" s="545"/>
      <c r="TOB30" s="545"/>
      <c r="TOC30" s="545"/>
      <c r="TOD30" s="545"/>
      <c r="TOE30" s="545"/>
      <c r="TOF30" s="545"/>
      <c r="TOG30" s="545"/>
      <c r="TOH30" s="545"/>
      <c r="TOI30" s="545"/>
      <c r="TOJ30" s="545"/>
      <c r="TOK30" s="545"/>
      <c r="TOL30" s="545"/>
      <c r="TOM30" s="545"/>
      <c r="TON30" s="545"/>
      <c r="TOO30" s="545"/>
      <c r="TOP30" s="545"/>
      <c r="TOQ30" s="545"/>
      <c r="TOR30" s="545"/>
      <c r="TOS30" s="545"/>
      <c r="TOT30" s="545"/>
      <c r="TOU30" s="545"/>
      <c r="TOV30" s="545"/>
      <c r="TOW30" s="545"/>
      <c r="TOX30" s="545"/>
      <c r="TOY30" s="545"/>
      <c r="TOZ30" s="545"/>
      <c r="TPA30" s="545"/>
      <c r="TPB30" s="545"/>
      <c r="TPC30" s="545"/>
      <c r="TPD30" s="545"/>
      <c r="TPE30" s="545"/>
      <c r="TPF30" s="545"/>
      <c r="TPG30" s="545"/>
      <c r="TPH30" s="545"/>
      <c r="TPI30" s="545"/>
      <c r="TPJ30" s="545"/>
      <c r="TPK30" s="545"/>
      <c r="TPL30" s="545"/>
      <c r="TPM30" s="545"/>
      <c r="TPN30" s="545"/>
      <c r="TPO30" s="545"/>
      <c r="TPP30" s="545"/>
      <c r="TPQ30" s="545"/>
      <c r="TPR30" s="545"/>
      <c r="TPS30" s="545"/>
      <c r="TPT30" s="545"/>
      <c r="TPU30" s="545"/>
      <c r="TPV30" s="545"/>
      <c r="TPW30" s="545"/>
      <c r="TPX30" s="545"/>
      <c r="TPY30" s="545"/>
      <c r="TPZ30" s="545"/>
      <c r="TQA30" s="545"/>
      <c r="TQB30" s="545"/>
      <c r="TQC30" s="545"/>
      <c r="TQD30" s="545"/>
      <c r="TQE30" s="545"/>
      <c r="TQF30" s="545"/>
      <c r="TQG30" s="545"/>
      <c r="TQH30" s="545"/>
      <c r="TQI30" s="545"/>
      <c r="TQJ30" s="545"/>
      <c r="TQK30" s="545"/>
      <c r="TQL30" s="545"/>
      <c r="TQM30" s="545"/>
      <c r="TQN30" s="545"/>
      <c r="TQO30" s="545"/>
      <c r="TQP30" s="545"/>
      <c r="TQQ30" s="545"/>
      <c r="TQR30" s="545"/>
      <c r="TQS30" s="545"/>
      <c r="TQT30" s="545"/>
      <c r="TQU30" s="545"/>
      <c r="TQV30" s="545"/>
      <c r="TQW30" s="545"/>
      <c r="TQX30" s="545"/>
      <c r="TQY30" s="545"/>
      <c r="TQZ30" s="545"/>
      <c r="TRA30" s="545"/>
      <c r="TRB30" s="545"/>
      <c r="TRC30" s="545"/>
      <c r="TRD30" s="545"/>
      <c r="TRE30" s="545"/>
      <c r="TRF30" s="545"/>
      <c r="TRG30" s="545"/>
      <c r="TRH30" s="545"/>
      <c r="TRI30" s="545"/>
      <c r="TRJ30" s="545"/>
      <c r="TRK30" s="545"/>
      <c r="TRL30" s="545"/>
      <c r="TRM30" s="545"/>
      <c r="TRN30" s="545"/>
      <c r="TRO30" s="545"/>
      <c r="TRP30" s="545"/>
      <c r="TRQ30" s="545"/>
      <c r="TRR30" s="545"/>
      <c r="TRS30" s="545"/>
      <c r="TRT30" s="545"/>
      <c r="TRU30" s="545"/>
      <c r="TRV30" s="545"/>
      <c r="TRW30" s="545"/>
      <c r="TRX30" s="545"/>
      <c r="TRY30" s="545"/>
      <c r="TRZ30" s="545"/>
      <c r="TSA30" s="545"/>
      <c r="TSB30" s="545"/>
      <c r="TSC30" s="545"/>
      <c r="TSD30" s="545"/>
      <c r="TSE30" s="545"/>
      <c r="TSF30" s="545"/>
      <c r="TSG30" s="545"/>
      <c r="TSH30" s="545"/>
      <c r="TSI30" s="545"/>
      <c r="TSJ30" s="545"/>
      <c r="TSK30" s="545"/>
      <c r="TSL30" s="545"/>
      <c r="TSM30" s="545"/>
      <c r="TSN30" s="545"/>
      <c r="TSO30" s="545"/>
      <c r="TSP30" s="545"/>
      <c r="TSQ30" s="545"/>
      <c r="TSR30" s="545"/>
      <c r="TSS30" s="545"/>
      <c r="TST30" s="545"/>
      <c r="TSU30" s="545"/>
      <c r="TSV30" s="545"/>
      <c r="TSW30" s="545"/>
      <c r="TSX30" s="545"/>
      <c r="TSY30" s="545"/>
      <c r="TSZ30" s="545"/>
      <c r="TTA30" s="545"/>
      <c r="TTB30" s="545"/>
      <c r="TTC30" s="545"/>
      <c r="TTD30" s="545"/>
      <c r="TTE30" s="545"/>
      <c r="TTF30" s="545"/>
      <c r="TTG30" s="545"/>
      <c r="TTH30" s="545"/>
      <c r="TTI30" s="545"/>
      <c r="TTJ30" s="545"/>
      <c r="TTK30" s="545"/>
      <c r="TTL30" s="545"/>
      <c r="TTM30" s="545"/>
      <c r="TTN30" s="545"/>
      <c r="TTO30" s="545"/>
      <c r="TTP30" s="545"/>
      <c r="TTQ30" s="545"/>
      <c r="TTR30" s="545"/>
      <c r="TTS30" s="545"/>
      <c r="TTT30" s="545"/>
      <c r="TTU30" s="545"/>
      <c r="TTV30" s="545"/>
      <c r="TTW30" s="545"/>
      <c r="TTX30" s="545"/>
      <c r="TTY30" s="545"/>
      <c r="TTZ30" s="545"/>
      <c r="TUA30" s="545"/>
      <c r="TUB30" s="545"/>
      <c r="TUC30" s="545"/>
      <c r="TUD30" s="545"/>
      <c r="TUE30" s="545"/>
      <c r="TUF30" s="545"/>
      <c r="TUG30" s="545"/>
      <c r="TUH30" s="545"/>
      <c r="TUI30" s="545"/>
      <c r="TUJ30" s="545"/>
      <c r="TUK30" s="545"/>
      <c r="TUL30" s="545"/>
      <c r="TUM30" s="545"/>
      <c r="TUN30" s="545"/>
      <c r="TUO30" s="545"/>
      <c r="TUP30" s="545"/>
      <c r="TUQ30" s="545"/>
      <c r="TUR30" s="545"/>
      <c r="TUS30" s="545"/>
      <c r="TUT30" s="545"/>
      <c r="TUU30" s="545"/>
      <c r="TUV30" s="545"/>
      <c r="TUW30" s="545"/>
      <c r="TUX30" s="545"/>
      <c r="TUY30" s="545"/>
      <c r="TUZ30" s="545"/>
      <c r="TVA30" s="545"/>
      <c r="TVB30" s="545"/>
      <c r="TVC30" s="545"/>
      <c r="TVD30" s="545"/>
      <c r="TVE30" s="545"/>
      <c r="TVF30" s="545"/>
      <c r="TVG30" s="545"/>
      <c r="TVH30" s="545"/>
      <c r="TVI30" s="545"/>
      <c r="TVJ30" s="545"/>
      <c r="TVK30" s="545"/>
      <c r="TVL30" s="545"/>
      <c r="TVM30" s="545"/>
      <c r="TVN30" s="545"/>
      <c r="TVO30" s="545"/>
      <c r="TVP30" s="545"/>
      <c r="TVQ30" s="545"/>
      <c r="TVR30" s="545"/>
      <c r="TVS30" s="545"/>
      <c r="TVT30" s="545"/>
      <c r="TVU30" s="545"/>
      <c r="TVV30" s="545"/>
      <c r="TVW30" s="545"/>
      <c r="TVX30" s="545"/>
      <c r="TVY30" s="545"/>
      <c r="TVZ30" s="545"/>
      <c r="TWA30" s="545"/>
      <c r="TWB30" s="545"/>
      <c r="TWC30" s="545"/>
      <c r="TWD30" s="545"/>
      <c r="TWE30" s="545"/>
      <c r="TWF30" s="545"/>
      <c r="TWG30" s="545"/>
      <c r="TWH30" s="545"/>
      <c r="TWI30" s="545"/>
      <c r="TWJ30" s="545"/>
      <c r="TWK30" s="545"/>
      <c r="TWL30" s="545"/>
      <c r="TWM30" s="545"/>
      <c r="TWN30" s="545"/>
      <c r="TWO30" s="545"/>
      <c r="TWP30" s="545"/>
      <c r="TWQ30" s="545"/>
      <c r="TWR30" s="545"/>
      <c r="TWS30" s="545"/>
      <c r="TWT30" s="545"/>
      <c r="TWU30" s="545"/>
      <c r="TWV30" s="545"/>
      <c r="TWW30" s="545"/>
      <c r="TWX30" s="545"/>
      <c r="TWY30" s="545"/>
      <c r="TWZ30" s="545"/>
      <c r="TXA30" s="545"/>
      <c r="TXB30" s="545"/>
      <c r="TXC30" s="545"/>
      <c r="TXD30" s="545"/>
      <c r="TXE30" s="545"/>
      <c r="TXF30" s="545"/>
      <c r="TXG30" s="545"/>
      <c r="TXH30" s="545"/>
      <c r="TXI30" s="545"/>
      <c r="TXJ30" s="545"/>
      <c r="TXK30" s="545"/>
      <c r="TXL30" s="545"/>
      <c r="TXM30" s="545"/>
      <c r="TXN30" s="545"/>
      <c r="TXO30" s="545"/>
      <c r="TXP30" s="545"/>
      <c r="TXQ30" s="545"/>
      <c r="TXR30" s="545"/>
      <c r="TXS30" s="545"/>
      <c r="TXT30" s="545"/>
      <c r="TXU30" s="545"/>
      <c r="TXV30" s="545"/>
      <c r="TXW30" s="545"/>
      <c r="TXX30" s="545"/>
      <c r="TXY30" s="545"/>
      <c r="TXZ30" s="545"/>
      <c r="TYA30" s="545"/>
      <c r="TYB30" s="545"/>
      <c r="TYC30" s="545"/>
      <c r="TYD30" s="545"/>
      <c r="TYE30" s="545"/>
      <c r="TYF30" s="545"/>
      <c r="TYG30" s="545"/>
      <c r="TYH30" s="545"/>
      <c r="TYI30" s="545"/>
      <c r="TYJ30" s="545"/>
      <c r="TYK30" s="545"/>
      <c r="TYL30" s="545"/>
      <c r="TYM30" s="545"/>
      <c r="TYN30" s="545"/>
      <c r="TYO30" s="545"/>
      <c r="TYP30" s="545"/>
      <c r="TYQ30" s="545"/>
      <c r="TYR30" s="545"/>
      <c r="TYS30" s="545"/>
      <c r="TYT30" s="545"/>
      <c r="TYU30" s="545"/>
      <c r="TYV30" s="545"/>
      <c r="TYW30" s="545"/>
      <c r="TYX30" s="545"/>
      <c r="TYY30" s="545"/>
      <c r="TYZ30" s="545"/>
      <c r="TZA30" s="545"/>
      <c r="TZB30" s="545"/>
      <c r="TZC30" s="545"/>
      <c r="TZD30" s="545"/>
      <c r="TZE30" s="545"/>
      <c r="TZF30" s="545"/>
      <c r="TZG30" s="545"/>
      <c r="TZH30" s="545"/>
      <c r="TZI30" s="545"/>
      <c r="TZJ30" s="545"/>
      <c r="TZK30" s="545"/>
      <c r="TZL30" s="545"/>
      <c r="TZM30" s="545"/>
      <c r="TZN30" s="545"/>
      <c r="TZO30" s="545"/>
      <c r="TZP30" s="545"/>
      <c r="TZQ30" s="545"/>
      <c r="TZR30" s="545"/>
      <c r="TZS30" s="545"/>
      <c r="TZT30" s="545"/>
      <c r="TZU30" s="545"/>
      <c r="TZV30" s="545"/>
      <c r="TZW30" s="545"/>
      <c r="TZX30" s="545"/>
      <c r="TZY30" s="545"/>
      <c r="TZZ30" s="545"/>
      <c r="UAA30" s="545"/>
      <c r="UAB30" s="545"/>
      <c r="UAC30" s="545"/>
      <c r="UAD30" s="545"/>
      <c r="UAE30" s="545"/>
      <c r="UAF30" s="545"/>
      <c r="UAG30" s="545"/>
      <c r="UAH30" s="545"/>
      <c r="UAI30" s="545"/>
      <c r="UAJ30" s="545"/>
      <c r="UAK30" s="545"/>
      <c r="UAL30" s="545"/>
      <c r="UAM30" s="545"/>
      <c r="UAN30" s="545"/>
      <c r="UAO30" s="545"/>
      <c r="UAP30" s="545"/>
      <c r="UAQ30" s="545"/>
      <c r="UAR30" s="545"/>
      <c r="UAS30" s="545"/>
      <c r="UAT30" s="545"/>
      <c r="UAU30" s="545"/>
      <c r="UAV30" s="545"/>
      <c r="UAW30" s="545"/>
      <c r="UAX30" s="545"/>
      <c r="UAY30" s="545"/>
      <c r="UAZ30" s="545"/>
      <c r="UBA30" s="545"/>
      <c r="UBB30" s="545"/>
      <c r="UBC30" s="545"/>
      <c r="UBD30" s="545"/>
      <c r="UBE30" s="545"/>
      <c r="UBF30" s="545"/>
      <c r="UBG30" s="545"/>
      <c r="UBH30" s="545"/>
      <c r="UBI30" s="545"/>
      <c r="UBJ30" s="545"/>
      <c r="UBK30" s="545"/>
      <c r="UBL30" s="545"/>
      <c r="UBM30" s="545"/>
      <c r="UBN30" s="545"/>
      <c r="UBO30" s="545"/>
      <c r="UBP30" s="545"/>
      <c r="UBQ30" s="545"/>
      <c r="UBR30" s="545"/>
      <c r="UBS30" s="545"/>
      <c r="UBT30" s="545"/>
      <c r="UBU30" s="545"/>
      <c r="UBV30" s="545"/>
      <c r="UBW30" s="545"/>
      <c r="UBX30" s="545"/>
      <c r="UBY30" s="545"/>
      <c r="UBZ30" s="545"/>
      <c r="UCA30" s="545"/>
      <c r="UCB30" s="545"/>
      <c r="UCC30" s="545"/>
      <c r="UCD30" s="545"/>
      <c r="UCE30" s="545"/>
      <c r="UCF30" s="545"/>
      <c r="UCG30" s="545"/>
      <c r="UCH30" s="545"/>
      <c r="UCI30" s="545"/>
      <c r="UCJ30" s="545"/>
      <c r="UCK30" s="545"/>
      <c r="UCL30" s="545"/>
      <c r="UCM30" s="545"/>
      <c r="UCN30" s="545"/>
      <c r="UCO30" s="545"/>
      <c r="UCP30" s="545"/>
      <c r="UCQ30" s="545"/>
      <c r="UCR30" s="545"/>
      <c r="UCS30" s="545"/>
      <c r="UCT30" s="545"/>
      <c r="UCU30" s="545"/>
      <c r="UCV30" s="545"/>
      <c r="UCW30" s="545"/>
      <c r="UCX30" s="545"/>
      <c r="UCY30" s="545"/>
      <c r="UCZ30" s="545"/>
      <c r="UDA30" s="545"/>
      <c r="UDB30" s="545"/>
      <c r="UDC30" s="545"/>
      <c r="UDD30" s="545"/>
      <c r="UDE30" s="545"/>
      <c r="UDF30" s="545"/>
      <c r="UDG30" s="545"/>
      <c r="UDH30" s="545"/>
      <c r="UDI30" s="545"/>
      <c r="UDJ30" s="545"/>
      <c r="UDK30" s="545"/>
      <c r="UDL30" s="545"/>
      <c r="UDM30" s="545"/>
      <c r="UDN30" s="545"/>
      <c r="UDO30" s="545"/>
      <c r="UDP30" s="545"/>
      <c r="UDQ30" s="545"/>
      <c r="UDR30" s="545"/>
      <c r="UDS30" s="545"/>
      <c r="UDT30" s="545"/>
      <c r="UDU30" s="545"/>
      <c r="UDV30" s="545"/>
      <c r="UDW30" s="545"/>
      <c r="UDX30" s="545"/>
      <c r="UDY30" s="545"/>
      <c r="UDZ30" s="545"/>
      <c r="UEA30" s="545"/>
      <c r="UEB30" s="545"/>
      <c r="UEC30" s="545"/>
      <c r="UED30" s="545"/>
      <c r="UEE30" s="545"/>
      <c r="UEF30" s="545"/>
      <c r="UEG30" s="545"/>
      <c r="UEH30" s="545"/>
      <c r="UEI30" s="545"/>
      <c r="UEJ30" s="545"/>
      <c r="UEK30" s="545"/>
      <c r="UEL30" s="545"/>
      <c r="UEM30" s="545"/>
      <c r="UEN30" s="545"/>
      <c r="UEO30" s="545"/>
      <c r="UEP30" s="545"/>
      <c r="UEQ30" s="545"/>
      <c r="UER30" s="545"/>
      <c r="UES30" s="545"/>
      <c r="UET30" s="545"/>
      <c r="UEU30" s="545"/>
      <c r="UEV30" s="545"/>
      <c r="UEW30" s="545"/>
      <c r="UEX30" s="545"/>
      <c r="UEY30" s="545"/>
      <c r="UEZ30" s="545"/>
      <c r="UFA30" s="545"/>
      <c r="UFB30" s="545"/>
      <c r="UFC30" s="545"/>
      <c r="UFD30" s="545"/>
      <c r="UFE30" s="545"/>
      <c r="UFF30" s="545"/>
      <c r="UFG30" s="545"/>
      <c r="UFH30" s="545"/>
      <c r="UFI30" s="545"/>
      <c r="UFJ30" s="545"/>
      <c r="UFK30" s="545"/>
      <c r="UFL30" s="545"/>
      <c r="UFM30" s="545"/>
      <c r="UFN30" s="545"/>
      <c r="UFO30" s="545"/>
      <c r="UFP30" s="545"/>
      <c r="UFQ30" s="545"/>
      <c r="UFR30" s="545"/>
      <c r="UFS30" s="545"/>
      <c r="UFT30" s="545"/>
      <c r="UFU30" s="545"/>
      <c r="UFV30" s="545"/>
      <c r="UFW30" s="545"/>
      <c r="UFX30" s="545"/>
      <c r="UFY30" s="545"/>
      <c r="UFZ30" s="545"/>
      <c r="UGA30" s="545"/>
      <c r="UGB30" s="545"/>
      <c r="UGC30" s="545"/>
      <c r="UGD30" s="545"/>
      <c r="UGE30" s="545"/>
      <c r="UGF30" s="545"/>
      <c r="UGG30" s="545"/>
      <c r="UGH30" s="545"/>
      <c r="UGI30" s="545"/>
      <c r="UGJ30" s="545"/>
      <c r="UGK30" s="545"/>
      <c r="UGL30" s="545"/>
      <c r="UGM30" s="545"/>
      <c r="UGN30" s="545"/>
      <c r="UGO30" s="545"/>
      <c r="UGP30" s="545"/>
      <c r="UGQ30" s="545"/>
      <c r="UGR30" s="545"/>
      <c r="UGS30" s="545"/>
      <c r="UGT30" s="545"/>
      <c r="UGU30" s="545"/>
      <c r="UGV30" s="545"/>
      <c r="UGW30" s="545"/>
      <c r="UGX30" s="545"/>
      <c r="UGY30" s="545"/>
      <c r="UGZ30" s="545"/>
      <c r="UHA30" s="545"/>
      <c r="UHB30" s="545"/>
      <c r="UHC30" s="545"/>
      <c r="UHD30" s="545"/>
      <c r="UHE30" s="545"/>
      <c r="UHF30" s="545"/>
      <c r="UHG30" s="545"/>
      <c r="UHH30" s="545"/>
      <c r="UHI30" s="545"/>
      <c r="UHJ30" s="545"/>
      <c r="UHK30" s="545"/>
      <c r="UHL30" s="545"/>
      <c r="UHM30" s="545"/>
      <c r="UHN30" s="545"/>
      <c r="UHO30" s="545"/>
      <c r="UHP30" s="545"/>
      <c r="UHQ30" s="545"/>
      <c r="UHR30" s="545"/>
      <c r="UHS30" s="545"/>
      <c r="UHT30" s="545"/>
      <c r="UHU30" s="545"/>
      <c r="UHV30" s="545"/>
      <c r="UHW30" s="545"/>
      <c r="UHX30" s="545"/>
      <c r="UHY30" s="545"/>
      <c r="UHZ30" s="545"/>
      <c r="UIA30" s="545"/>
      <c r="UIB30" s="545"/>
      <c r="UIC30" s="545"/>
      <c r="UID30" s="545"/>
      <c r="UIE30" s="545"/>
      <c r="UIF30" s="545"/>
      <c r="UIG30" s="545"/>
      <c r="UIH30" s="545"/>
      <c r="UII30" s="545"/>
      <c r="UIJ30" s="545"/>
      <c r="UIK30" s="545"/>
      <c r="UIL30" s="545"/>
      <c r="UIM30" s="545"/>
      <c r="UIN30" s="545"/>
      <c r="UIO30" s="545"/>
      <c r="UIP30" s="545"/>
      <c r="UIQ30" s="545"/>
      <c r="UIR30" s="545"/>
      <c r="UIS30" s="545"/>
      <c r="UIT30" s="545"/>
      <c r="UIU30" s="545"/>
      <c r="UIV30" s="545"/>
      <c r="UIW30" s="545"/>
      <c r="UIX30" s="545"/>
      <c r="UIY30" s="545"/>
      <c r="UIZ30" s="545"/>
      <c r="UJA30" s="545"/>
      <c r="UJB30" s="545"/>
      <c r="UJC30" s="545"/>
      <c r="UJD30" s="545"/>
      <c r="UJE30" s="545"/>
      <c r="UJF30" s="545"/>
      <c r="UJG30" s="545"/>
      <c r="UJH30" s="545"/>
      <c r="UJI30" s="545"/>
      <c r="UJJ30" s="545"/>
      <c r="UJK30" s="545"/>
      <c r="UJL30" s="545"/>
      <c r="UJM30" s="545"/>
      <c r="UJN30" s="545"/>
      <c r="UJO30" s="545"/>
      <c r="UJP30" s="545"/>
      <c r="UJQ30" s="545"/>
      <c r="UJR30" s="545"/>
      <c r="UJS30" s="545"/>
      <c r="UJT30" s="545"/>
      <c r="UJU30" s="545"/>
      <c r="UJV30" s="545"/>
      <c r="UJW30" s="545"/>
      <c r="UJX30" s="545"/>
      <c r="UJY30" s="545"/>
      <c r="UJZ30" s="545"/>
      <c r="UKA30" s="545"/>
      <c r="UKB30" s="545"/>
      <c r="UKC30" s="545"/>
      <c r="UKD30" s="545"/>
      <c r="UKE30" s="545"/>
      <c r="UKF30" s="545"/>
      <c r="UKG30" s="545"/>
      <c r="UKH30" s="545"/>
      <c r="UKI30" s="545"/>
      <c r="UKJ30" s="545"/>
      <c r="UKK30" s="545"/>
      <c r="UKL30" s="545"/>
      <c r="UKM30" s="545"/>
      <c r="UKN30" s="545"/>
      <c r="UKO30" s="545"/>
      <c r="UKP30" s="545"/>
      <c r="UKQ30" s="545"/>
      <c r="UKR30" s="545"/>
      <c r="UKS30" s="545"/>
      <c r="UKT30" s="545"/>
      <c r="UKU30" s="545"/>
      <c r="UKV30" s="545"/>
      <c r="UKW30" s="545"/>
      <c r="UKX30" s="545"/>
      <c r="UKY30" s="545"/>
      <c r="UKZ30" s="545"/>
      <c r="ULA30" s="545"/>
      <c r="ULB30" s="545"/>
      <c r="ULC30" s="545"/>
      <c r="ULD30" s="545"/>
      <c r="ULE30" s="545"/>
      <c r="ULF30" s="545"/>
      <c r="ULG30" s="545"/>
      <c r="ULH30" s="545"/>
      <c r="ULI30" s="545"/>
      <c r="ULJ30" s="545"/>
      <c r="ULK30" s="545"/>
      <c r="ULL30" s="545"/>
      <c r="ULM30" s="545"/>
      <c r="ULN30" s="545"/>
      <c r="ULO30" s="545"/>
      <c r="ULP30" s="545"/>
      <c r="ULQ30" s="545"/>
      <c r="ULR30" s="545"/>
      <c r="ULS30" s="545"/>
      <c r="ULT30" s="545"/>
      <c r="ULU30" s="545"/>
      <c r="ULV30" s="545"/>
      <c r="ULW30" s="545"/>
      <c r="ULX30" s="545"/>
      <c r="ULY30" s="545"/>
      <c r="ULZ30" s="545"/>
      <c r="UMA30" s="545"/>
      <c r="UMB30" s="545"/>
      <c r="UMC30" s="545"/>
      <c r="UMD30" s="545"/>
      <c r="UME30" s="545"/>
      <c r="UMF30" s="545"/>
      <c r="UMG30" s="545"/>
      <c r="UMH30" s="545"/>
      <c r="UMI30" s="545"/>
      <c r="UMJ30" s="545"/>
      <c r="UMK30" s="545"/>
      <c r="UML30" s="545"/>
      <c r="UMM30" s="545"/>
      <c r="UMN30" s="545"/>
      <c r="UMO30" s="545"/>
      <c r="UMP30" s="545"/>
      <c r="UMQ30" s="545"/>
      <c r="UMR30" s="545"/>
      <c r="UMS30" s="545"/>
      <c r="UMT30" s="545"/>
      <c r="UMU30" s="545"/>
      <c r="UMV30" s="545"/>
      <c r="UMW30" s="545"/>
      <c r="UMX30" s="545"/>
      <c r="UMY30" s="545"/>
      <c r="UMZ30" s="545"/>
      <c r="UNA30" s="545"/>
      <c r="UNB30" s="545"/>
      <c r="UNC30" s="545"/>
      <c r="UND30" s="545"/>
      <c r="UNE30" s="545"/>
      <c r="UNF30" s="545"/>
      <c r="UNG30" s="545"/>
      <c r="UNH30" s="545"/>
      <c r="UNI30" s="545"/>
      <c r="UNJ30" s="545"/>
      <c r="UNK30" s="545"/>
      <c r="UNL30" s="545"/>
      <c r="UNM30" s="545"/>
      <c r="UNN30" s="545"/>
      <c r="UNO30" s="545"/>
      <c r="UNP30" s="545"/>
      <c r="UNQ30" s="545"/>
      <c r="UNR30" s="545"/>
      <c r="UNS30" s="545"/>
      <c r="UNT30" s="545"/>
      <c r="UNU30" s="545"/>
      <c r="UNV30" s="545"/>
      <c r="UNW30" s="545"/>
      <c r="UNX30" s="545"/>
      <c r="UNY30" s="545"/>
      <c r="UNZ30" s="545"/>
      <c r="UOA30" s="545"/>
      <c r="UOB30" s="545"/>
      <c r="UOC30" s="545"/>
      <c r="UOD30" s="545"/>
      <c r="UOE30" s="545"/>
      <c r="UOF30" s="545"/>
      <c r="UOG30" s="545"/>
      <c r="UOH30" s="545"/>
      <c r="UOI30" s="545"/>
      <c r="UOJ30" s="545"/>
      <c r="UOK30" s="545"/>
      <c r="UOL30" s="545"/>
      <c r="UOM30" s="545"/>
      <c r="UON30" s="545"/>
      <c r="UOO30" s="545"/>
      <c r="UOP30" s="545"/>
      <c r="UOQ30" s="545"/>
      <c r="UOR30" s="545"/>
      <c r="UOS30" s="545"/>
      <c r="UOT30" s="545"/>
      <c r="UOU30" s="545"/>
      <c r="UOV30" s="545"/>
      <c r="UOW30" s="545"/>
      <c r="UOX30" s="545"/>
      <c r="UOY30" s="545"/>
      <c r="UOZ30" s="545"/>
      <c r="UPA30" s="545"/>
      <c r="UPB30" s="545"/>
      <c r="UPC30" s="545"/>
      <c r="UPD30" s="545"/>
      <c r="UPE30" s="545"/>
      <c r="UPF30" s="545"/>
      <c r="UPG30" s="545"/>
      <c r="UPH30" s="545"/>
      <c r="UPI30" s="545"/>
      <c r="UPJ30" s="545"/>
      <c r="UPK30" s="545"/>
      <c r="UPL30" s="545"/>
      <c r="UPM30" s="545"/>
      <c r="UPN30" s="545"/>
      <c r="UPO30" s="545"/>
      <c r="UPP30" s="545"/>
      <c r="UPQ30" s="545"/>
      <c r="UPR30" s="545"/>
      <c r="UPS30" s="545"/>
      <c r="UPT30" s="545"/>
      <c r="UPU30" s="545"/>
      <c r="UPV30" s="545"/>
      <c r="UPW30" s="545"/>
      <c r="UPX30" s="545"/>
      <c r="UPY30" s="545"/>
      <c r="UPZ30" s="545"/>
      <c r="UQA30" s="545"/>
      <c r="UQB30" s="545"/>
      <c r="UQC30" s="545"/>
      <c r="UQD30" s="545"/>
      <c r="UQE30" s="545"/>
      <c r="UQF30" s="545"/>
      <c r="UQG30" s="545"/>
      <c r="UQH30" s="545"/>
      <c r="UQI30" s="545"/>
      <c r="UQJ30" s="545"/>
      <c r="UQK30" s="545"/>
      <c r="UQL30" s="545"/>
      <c r="UQM30" s="545"/>
      <c r="UQN30" s="545"/>
      <c r="UQO30" s="545"/>
      <c r="UQP30" s="545"/>
      <c r="UQQ30" s="545"/>
      <c r="UQR30" s="545"/>
      <c r="UQS30" s="545"/>
      <c r="UQT30" s="545"/>
      <c r="UQU30" s="545"/>
      <c r="UQV30" s="545"/>
      <c r="UQW30" s="545"/>
      <c r="UQX30" s="545"/>
      <c r="UQY30" s="545"/>
      <c r="UQZ30" s="545"/>
      <c r="URA30" s="545"/>
      <c r="URB30" s="545"/>
      <c r="URC30" s="545"/>
      <c r="URD30" s="545"/>
      <c r="URE30" s="545"/>
      <c r="URF30" s="545"/>
      <c r="URG30" s="545"/>
      <c r="URH30" s="545"/>
      <c r="URI30" s="545"/>
      <c r="URJ30" s="545"/>
      <c r="URK30" s="545"/>
      <c r="URL30" s="545"/>
      <c r="URM30" s="545"/>
      <c r="URN30" s="545"/>
      <c r="URO30" s="545"/>
      <c r="URP30" s="545"/>
      <c r="URQ30" s="545"/>
      <c r="URR30" s="545"/>
      <c r="URS30" s="545"/>
      <c r="URT30" s="545"/>
      <c r="URU30" s="545"/>
      <c r="URV30" s="545"/>
      <c r="URW30" s="545"/>
      <c r="URX30" s="545"/>
      <c r="URY30" s="545"/>
      <c r="URZ30" s="545"/>
      <c r="USA30" s="545"/>
      <c r="USB30" s="545"/>
      <c r="USC30" s="545"/>
      <c r="USD30" s="545"/>
      <c r="USE30" s="545"/>
      <c r="USF30" s="545"/>
      <c r="USG30" s="545"/>
      <c r="USH30" s="545"/>
      <c r="USI30" s="545"/>
      <c r="USJ30" s="545"/>
      <c r="USK30" s="545"/>
      <c r="USL30" s="545"/>
      <c r="USM30" s="545"/>
      <c r="USN30" s="545"/>
      <c r="USO30" s="545"/>
      <c r="USP30" s="545"/>
      <c r="USQ30" s="545"/>
      <c r="USR30" s="545"/>
      <c r="USS30" s="545"/>
      <c r="UST30" s="545"/>
      <c r="USU30" s="545"/>
      <c r="USV30" s="545"/>
      <c r="USW30" s="545"/>
      <c r="USX30" s="545"/>
      <c r="USY30" s="545"/>
      <c r="USZ30" s="545"/>
      <c r="UTA30" s="545"/>
      <c r="UTB30" s="545"/>
      <c r="UTC30" s="545"/>
      <c r="UTD30" s="545"/>
      <c r="UTE30" s="545"/>
      <c r="UTF30" s="545"/>
      <c r="UTG30" s="545"/>
      <c r="UTH30" s="545"/>
      <c r="UTI30" s="545"/>
      <c r="UTJ30" s="545"/>
      <c r="UTK30" s="545"/>
      <c r="UTL30" s="545"/>
      <c r="UTM30" s="545"/>
      <c r="UTN30" s="545"/>
      <c r="UTO30" s="545"/>
      <c r="UTP30" s="545"/>
      <c r="UTQ30" s="545"/>
      <c r="UTR30" s="545"/>
      <c r="UTS30" s="545"/>
      <c r="UTT30" s="545"/>
      <c r="UTU30" s="545"/>
      <c r="UTV30" s="545"/>
      <c r="UTW30" s="545"/>
      <c r="UTX30" s="545"/>
      <c r="UTY30" s="545"/>
      <c r="UTZ30" s="545"/>
      <c r="UUA30" s="545"/>
      <c r="UUB30" s="545"/>
      <c r="UUC30" s="545"/>
      <c r="UUD30" s="545"/>
      <c r="UUE30" s="545"/>
      <c r="UUF30" s="545"/>
      <c r="UUG30" s="545"/>
      <c r="UUH30" s="545"/>
      <c r="UUI30" s="545"/>
      <c r="UUJ30" s="545"/>
      <c r="UUK30" s="545"/>
      <c r="UUL30" s="545"/>
      <c r="UUM30" s="545"/>
      <c r="UUN30" s="545"/>
      <c r="UUO30" s="545"/>
      <c r="UUP30" s="545"/>
      <c r="UUQ30" s="545"/>
      <c r="UUR30" s="545"/>
      <c r="UUS30" s="545"/>
      <c r="UUT30" s="545"/>
      <c r="UUU30" s="545"/>
      <c r="UUV30" s="545"/>
      <c r="UUW30" s="545"/>
      <c r="UUX30" s="545"/>
      <c r="UUY30" s="545"/>
      <c r="UUZ30" s="545"/>
      <c r="UVA30" s="545"/>
      <c r="UVB30" s="545"/>
      <c r="UVC30" s="545"/>
      <c r="UVD30" s="545"/>
      <c r="UVE30" s="545"/>
      <c r="UVF30" s="545"/>
      <c r="UVG30" s="545"/>
      <c r="UVH30" s="545"/>
      <c r="UVI30" s="545"/>
      <c r="UVJ30" s="545"/>
      <c r="UVK30" s="545"/>
      <c r="UVL30" s="545"/>
      <c r="UVM30" s="545"/>
      <c r="UVN30" s="545"/>
      <c r="UVO30" s="545"/>
      <c r="UVP30" s="545"/>
      <c r="UVQ30" s="545"/>
      <c r="UVR30" s="545"/>
      <c r="UVS30" s="545"/>
      <c r="UVT30" s="545"/>
      <c r="UVU30" s="545"/>
      <c r="UVV30" s="545"/>
      <c r="UVW30" s="545"/>
      <c r="UVX30" s="545"/>
      <c r="UVY30" s="545"/>
      <c r="UVZ30" s="545"/>
      <c r="UWA30" s="545"/>
      <c r="UWB30" s="545"/>
      <c r="UWC30" s="545"/>
      <c r="UWD30" s="545"/>
      <c r="UWE30" s="545"/>
      <c r="UWF30" s="545"/>
      <c r="UWG30" s="545"/>
      <c r="UWH30" s="545"/>
      <c r="UWI30" s="545"/>
      <c r="UWJ30" s="545"/>
      <c r="UWK30" s="545"/>
      <c r="UWL30" s="545"/>
      <c r="UWM30" s="545"/>
      <c r="UWN30" s="545"/>
      <c r="UWO30" s="545"/>
      <c r="UWP30" s="545"/>
      <c r="UWQ30" s="545"/>
      <c r="UWR30" s="545"/>
      <c r="UWS30" s="545"/>
      <c r="UWT30" s="545"/>
      <c r="UWU30" s="545"/>
      <c r="UWV30" s="545"/>
      <c r="UWW30" s="545"/>
      <c r="UWX30" s="545"/>
      <c r="UWY30" s="545"/>
      <c r="UWZ30" s="545"/>
      <c r="UXA30" s="545"/>
      <c r="UXB30" s="545"/>
      <c r="UXC30" s="545"/>
      <c r="UXD30" s="545"/>
      <c r="UXE30" s="545"/>
      <c r="UXF30" s="545"/>
      <c r="UXG30" s="545"/>
      <c r="UXH30" s="545"/>
      <c r="UXI30" s="545"/>
      <c r="UXJ30" s="545"/>
      <c r="UXK30" s="545"/>
      <c r="UXL30" s="545"/>
      <c r="UXM30" s="545"/>
      <c r="UXN30" s="545"/>
      <c r="UXO30" s="545"/>
      <c r="UXP30" s="545"/>
      <c r="UXQ30" s="545"/>
      <c r="UXR30" s="545"/>
      <c r="UXS30" s="545"/>
      <c r="UXT30" s="545"/>
      <c r="UXU30" s="545"/>
      <c r="UXV30" s="545"/>
      <c r="UXW30" s="545"/>
      <c r="UXX30" s="545"/>
      <c r="UXY30" s="545"/>
      <c r="UXZ30" s="545"/>
      <c r="UYA30" s="545"/>
      <c r="UYB30" s="545"/>
      <c r="UYC30" s="545"/>
      <c r="UYD30" s="545"/>
      <c r="UYE30" s="545"/>
      <c r="UYF30" s="545"/>
      <c r="UYG30" s="545"/>
      <c r="UYH30" s="545"/>
      <c r="UYI30" s="545"/>
      <c r="UYJ30" s="545"/>
      <c r="UYK30" s="545"/>
      <c r="UYL30" s="545"/>
      <c r="UYM30" s="545"/>
      <c r="UYN30" s="545"/>
      <c r="UYO30" s="545"/>
      <c r="UYP30" s="545"/>
      <c r="UYQ30" s="545"/>
      <c r="UYR30" s="545"/>
      <c r="UYS30" s="545"/>
      <c r="UYT30" s="545"/>
      <c r="UYU30" s="545"/>
      <c r="UYV30" s="545"/>
      <c r="UYW30" s="545"/>
      <c r="UYX30" s="545"/>
      <c r="UYY30" s="545"/>
      <c r="UYZ30" s="545"/>
      <c r="UZA30" s="545"/>
      <c r="UZB30" s="545"/>
      <c r="UZC30" s="545"/>
      <c r="UZD30" s="545"/>
      <c r="UZE30" s="545"/>
      <c r="UZF30" s="545"/>
      <c r="UZG30" s="545"/>
      <c r="UZH30" s="545"/>
      <c r="UZI30" s="545"/>
      <c r="UZJ30" s="545"/>
      <c r="UZK30" s="545"/>
      <c r="UZL30" s="545"/>
      <c r="UZM30" s="545"/>
      <c r="UZN30" s="545"/>
      <c r="UZO30" s="545"/>
      <c r="UZP30" s="545"/>
      <c r="UZQ30" s="545"/>
      <c r="UZR30" s="545"/>
      <c r="UZS30" s="545"/>
      <c r="UZT30" s="545"/>
      <c r="UZU30" s="545"/>
      <c r="UZV30" s="545"/>
      <c r="UZW30" s="545"/>
      <c r="UZX30" s="545"/>
      <c r="UZY30" s="545"/>
      <c r="UZZ30" s="545"/>
      <c r="VAA30" s="545"/>
      <c r="VAB30" s="545"/>
      <c r="VAC30" s="545"/>
      <c r="VAD30" s="545"/>
      <c r="VAE30" s="545"/>
      <c r="VAF30" s="545"/>
      <c r="VAG30" s="545"/>
      <c r="VAH30" s="545"/>
      <c r="VAI30" s="545"/>
      <c r="VAJ30" s="545"/>
      <c r="VAK30" s="545"/>
      <c r="VAL30" s="545"/>
      <c r="VAM30" s="545"/>
      <c r="VAN30" s="545"/>
      <c r="VAO30" s="545"/>
      <c r="VAP30" s="545"/>
      <c r="VAQ30" s="545"/>
      <c r="VAR30" s="545"/>
      <c r="VAS30" s="545"/>
      <c r="VAT30" s="545"/>
      <c r="VAU30" s="545"/>
      <c r="VAV30" s="545"/>
      <c r="VAW30" s="545"/>
      <c r="VAX30" s="545"/>
      <c r="VAY30" s="545"/>
      <c r="VAZ30" s="545"/>
      <c r="VBA30" s="545"/>
      <c r="VBB30" s="545"/>
      <c r="VBC30" s="545"/>
      <c r="VBD30" s="545"/>
      <c r="VBE30" s="545"/>
      <c r="VBF30" s="545"/>
      <c r="VBG30" s="545"/>
      <c r="VBH30" s="545"/>
      <c r="VBI30" s="545"/>
      <c r="VBJ30" s="545"/>
      <c r="VBK30" s="545"/>
      <c r="VBL30" s="545"/>
      <c r="VBM30" s="545"/>
      <c r="VBN30" s="545"/>
      <c r="VBO30" s="545"/>
      <c r="VBP30" s="545"/>
      <c r="VBQ30" s="545"/>
      <c r="VBR30" s="545"/>
      <c r="VBS30" s="545"/>
      <c r="VBT30" s="545"/>
      <c r="VBU30" s="545"/>
      <c r="VBV30" s="545"/>
      <c r="VBW30" s="545"/>
      <c r="VBX30" s="545"/>
      <c r="VBY30" s="545"/>
      <c r="VBZ30" s="545"/>
      <c r="VCA30" s="545"/>
      <c r="VCB30" s="545"/>
      <c r="VCC30" s="545"/>
      <c r="VCD30" s="545"/>
      <c r="VCE30" s="545"/>
      <c r="VCF30" s="545"/>
      <c r="VCG30" s="545"/>
      <c r="VCH30" s="545"/>
      <c r="VCI30" s="545"/>
      <c r="VCJ30" s="545"/>
      <c r="VCK30" s="545"/>
      <c r="VCL30" s="545"/>
      <c r="VCM30" s="545"/>
      <c r="VCN30" s="545"/>
      <c r="VCO30" s="545"/>
      <c r="VCP30" s="545"/>
      <c r="VCQ30" s="545"/>
      <c r="VCR30" s="545"/>
      <c r="VCS30" s="545"/>
      <c r="VCT30" s="545"/>
      <c r="VCU30" s="545"/>
      <c r="VCV30" s="545"/>
      <c r="VCW30" s="545"/>
      <c r="VCX30" s="545"/>
      <c r="VCY30" s="545"/>
      <c r="VCZ30" s="545"/>
      <c r="VDA30" s="545"/>
      <c r="VDB30" s="545"/>
      <c r="VDC30" s="545"/>
      <c r="VDD30" s="545"/>
      <c r="VDE30" s="545"/>
      <c r="VDF30" s="545"/>
      <c r="VDG30" s="545"/>
      <c r="VDH30" s="545"/>
      <c r="VDI30" s="545"/>
      <c r="VDJ30" s="545"/>
      <c r="VDK30" s="545"/>
      <c r="VDL30" s="545"/>
      <c r="VDM30" s="545"/>
      <c r="VDN30" s="545"/>
      <c r="VDO30" s="545"/>
      <c r="VDP30" s="545"/>
      <c r="VDQ30" s="545"/>
      <c r="VDR30" s="545"/>
      <c r="VDS30" s="545"/>
      <c r="VDT30" s="545"/>
      <c r="VDU30" s="545"/>
      <c r="VDV30" s="545"/>
      <c r="VDW30" s="545"/>
      <c r="VDX30" s="545"/>
      <c r="VDY30" s="545"/>
      <c r="VDZ30" s="545"/>
      <c r="VEA30" s="545"/>
      <c r="VEB30" s="545"/>
      <c r="VEC30" s="545"/>
      <c r="VED30" s="545"/>
      <c r="VEE30" s="545"/>
      <c r="VEF30" s="545"/>
      <c r="VEG30" s="545"/>
      <c r="VEH30" s="545"/>
      <c r="VEI30" s="545"/>
      <c r="VEJ30" s="545"/>
      <c r="VEK30" s="545"/>
      <c r="VEL30" s="545"/>
      <c r="VEM30" s="545"/>
      <c r="VEN30" s="545"/>
      <c r="VEO30" s="545"/>
      <c r="VEP30" s="545"/>
      <c r="VEQ30" s="545"/>
      <c r="VER30" s="545"/>
      <c r="VES30" s="545"/>
      <c r="VET30" s="545"/>
      <c r="VEU30" s="545"/>
      <c r="VEV30" s="545"/>
      <c r="VEW30" s="545"/>
      <c r="VEX30" s="545"/>
      <c r="VEY30" s="545"/>
      <c r="VEZ30" s="545"/>
      <c r="VFA30" s="545"/>
      <c r="VFB30" s="545"/>
      <c r="VFC30" s="545"/>
      <c r="VFD30" s="545"/>
      <c r="VFE30" s="545"/>
      <c r="VFF30" s="545"/>
      <c r="VFG30" s="545"/>
      <c r="VFH30" s="545"/>
      <c r="VFI30" s="545"/>
      <c r="VFJ30" s="545"/>
      <c r="VFK30" s="545"/>
      <c r="VFL30" s="545"/>
      <c r="VFM30" s="545"/>
      <c r="VFN30" s="545"/>
      <c r="VFO30" s="545"/>
      <c r="VFP30" s="545"/>
      <c r="VFQ30" s="545"/>
      <c r="VFR30" s="545"/>
      <c r="VFS30" s="545"/>
      <c r="VFT30" s="545"/>
      <c r="VFU30" s="545"/>
      <c r="VFV30" s="545"/>
      <c r="VFW30" s="545"/>
      <c r="VFX30" s="545"/>
      <c r="VFY30" s="545"/>
      <c r="VFZ30" s="545"/>
      <c r="VGA30" s="545"/>
      <c r="VGB30" s="545"/>
      <c r="VGC30" s="545"/>
      <c r="VGD30" s="545"/>
      <c r="VGE30" s="545"/>
      <c r="VGF30" s="545"/>
      <c r="VGG30" s="545"/>
      <c r="VGH30" s="545"/>
      <c r="VGI30" s="545"/>
      <c r="VGJ30" s="545"/>
      <c r="VGK30" s="545"/>
      <c r="VGL30" s="545"/>
      <c r="VGM30" s="545"/>
      <c r="VGN30" s="545"/>
      <c r="VGO30" s="545"/>
      <c r="VGP30" s="545"/>
      <c r="VGQ30" s="545"/>
      <c r="VGR30" s="545"/>
      <c r="VGS30" s="545"/>
      <c r="VGT30" s="545"/>
      <c r="VGU30" s="545"/>
      <c r="VGV30" s="545"/>
      <c r="VGW30" s="545"/>
      <c r="VGX30" s="545"/>
      <c r="VGY30" s="545"/>
      <c r="VGZ30" s="545"/>
      <c r="VHA30" s="545"/>
      <c r="VHB30" s="545"/>
      <c r="VHC30" s="545"/>
      <c r="VHD30" s="545"/>
      <c r="VHE30" s="545"/>
      <c r="VHF30" s="545"/>
      <c r="VHG30" s="545"/>
      <c r="VHH30" s="545"/>
      <c r="VHI30" s="545"/>
      <c r="VHJ30" s="545"/>
      <c r="VHK30" s="545"/>
      <c r="VHL30" s="545"/>
      <c r="VHM30" s="545"/>
      <c r="VHN30" s="545"/>
      <c r="VHO30" s="545"/>
      <c r="VHP30" s="545"/>
      <c r="VHQ30" s="545"/>
      <c r="VHR30" s="545"/>
      <c r="VHS30" s="545"/>
      <c r="VHT30" s="545"/>
      <c r="VHU30" s="545"/>
      <c r="VHV30" s="545"/>
      <c r="VHW30" s="545"/>
      <c r="VHX30" s="545"/>
      <c r="VHY30" s="545"/>
      <c r="VHZ30" s="545"/>
      <c r="VIA30" s="545"/>
      <c r="VIB30" s="545"/>
      <c r="VIC30" s="545"/>
      <c r="VID30" s="545"/>
      <c r="VIE30" s="545"/>
      <c r="VIF30" s="545"/>
      <c r="VIG30" s="545"/>
      <c r="VIH30" s="545"/>
      <c r="VII30" s="545"/>
      <c r="VIJ30" s="545"/>
      <c r="VIK30" s="545"/>
      <c r="VIL30" s="545"/>
      <c r="VIM30" s="545"/>
      <c r="VIN30" s="545"/>
      <c r="VIO30" s="545"/>
      <c r="VIP30" s="545"/>
      <c r="VIQ30" s="545"/>
      <c r="VIR30" s="545"/>
      <c r="VIS30" s="545"/>
      <c r="VIT30" s="545"/>
      <c r="VIU30" s="545"/>
      <c r="VIV30" s="545"/>
      <c r="VIW30" s="545"/>
      <c r="VIX30" s="545"/>
      <c r="VIY30" s="545"/>
      <c r="VIZ30" s="545"/>
      <c r="VJA30" s="545"/>
      <c r="VJB30" s="545"/>
      <c r="VJC30" s="545"/>
      <c r="VJD30" s="545"/>
      <c r="VJE30" s="545"/>
      <c r="VJF30" s="545"/>
      <c r="VJG30" s="545"/>
      <c r="VJH30" s="545"/>
      <c r="VJI30" s="545"/>
      <c r="VJJ30" s="545"/>
      <c r="VJK30" s="545"/>
      <c r="VJL30" s="545"/>
      <c r="VJM30" s="545"/>
      <c r="VJN30" s="545"/>
      <c r="VJO30" s="545"/>
      <c r="VJP30" s="545"/>
      <c r="VJQ30" s="545"/>
      <c r="VJR30" s="545"/>
      <c r="VJS30" s="545"/>
      <c r="VJT30" s="545"/>
      <c r="VJU30" s="545"/>
      <c r="VJV30" s="545"/>
      <c r="VJW30" s="545"/>
      <c r="VJX30" s="545"/>
      <c r="VJY30" s="545"/>
      <c r="VJZ30" s="545"/>
      <c r="VKA30" s="545"/>
      <c r="VKB30" s="545"/>
      <c r="VKC30" s="545"/>
      <c r="VKD30" s="545"/>
      <c r="VKE30" s="545"/>
      <c r="VKF30" s="545"/>
      <c r="VKG30" s="545"/>
      <c r="VKH30" s="545"/>
      <c r="VKI30" s="545"/>
      <c r="VKJ30" s="545"/>
      <c r="VKK30" s="545"/>
      <c r="VKL30" s="545"/>
      <c r="VKM30" s="545"/>
      <c r="VKN30" s="545"/>
      <c r="VKO30" s="545"/>
      <c r="VKP30" s="545"/>
      <c r="VKQ30" s="545"/>
      <c r="VKR30" s="545"/>
      <c r="VKS30" s="545"/>
      <c r="VKT30" s="545"/>
      <c r="VKU30" s="545"/>
      <c r="VKV30" s="545"/>
      <c r="VKW30" s="545"/>
      <c r="VKX30" s="545"/>
      <c r="VKY30" s="545"/>
      <c r="VKZ30" s="545"/>
      <c r="VLA30" s="545"/>
      <c r="VLB30" s="545"/>
      <c r="VLC30" s="545"/>
      <c r="VLD30" s="545"/>
      <c r="VLE30" s="545"/>
      <c r="VLF30" s="545"/>
      <c r="VLG30" s="545"/>
      <c r="VLH30" s="545"/>
      <c r="VLI30" s="545"/>
      <c r="VLJ30" s="545"/>
      <c r="VLK30" s="545"/>
      <c r="VLL30" s="545"/>
      <c r="VLM30" s="545"/>
      <c r="VLN30" s="545"/>
      <c r="VLO30" s="545"/>
      <c r="VLP30" s="545"/>
      <c r="VLQ30" s="545"/>
      <c r="VLR30" s="545"/>
      <c r="VLS30" s="545"/>
      <c r="VLT30" s="545"/>
      <c r="VLU30" s="545"/>
      <c r="VLV30" s="545"/>
      <c r="VLW30" s="545"/>
      <c r="VLX30" s="545"/>
      <c r="VLY30" s="545"/>
      <c r="VLZ30" s="545"/>
      <c r="VMA30" s="545"/>
      <c r="VMB30" s="545"/>
      <c r="VMC30" s="545"/>
      <c r="VMD30" s="545"/>
      <c r="VME30" s="545"/>
      <c r="VMF30" s="545"/>
      <c r="VMG30" s="545"/>
      <c r="VMH30" s="545"/>
      <c r="VMI30" s="545"/>
      <c r="VMJ30" s="545"/>
      <c r="VMK30" s="545"/>
      <c r="VML30" s="545"/>
      <c r="VMM30" s="545"/>
      <c r="VMN30" s="545"/>
      <c r="VMO30" s="545"/>
      <c r="VMP30" s="545"/>
      <c r="VMQ30" s="545"/>
      <c r="VMR30" s="545"/>
      <c r="VMS30" s="545"/>
      <c r="VMT30" s="545"/>
      <c r="VMU30" s="545"/>
      <c r="VMV30" s="545"/>
      <c r="VMW30" s="545"/>
      <c r="VMX30" s="545"/>
      <c r="VMY30" s="545"/>
      <c r="VMZ30" s="545"/>
      <c r="VNA30" s="545"/>
      <c r="VNB30" s="545"/>
      <c r="VNC30" s="545"/>
      <c r="VND30" s="545"/>
      <c r="VNE30" s="545"/>
      <c r="VNF30" s="545"/>
      <c r="VNG30" s="545"/>
      <c r="VNH30" s="545"/>
      <c r="VNI30" s="545"/>
      <c r="VNJ30" s="545"/>
      <c r="VNK30" s="545"/>
      <c r="VNL30" s="545"/>
      <c r="VNM30" s="545"/>
      <c r="VNN30" s="545"/>
      <c r="VNO30" s="545"/>
      <c r="VNP30" s="545"/>
      <c r="VNQ30" s="545"/>
      <c r="VNR30" s="545"/>
      <c r="VNS30" s="545"/>
      <c r="VNT30" s="545"/>
      <c r="VNU30" s="545"/>
      <c r="VNV30" s="545"/>
      <c r="VNW30" s="545"/>
      <c r="VNX30" s="545"/>
      <c r="VNY30" s="545"/>
      <c r="VNZ30" s="545"/>
      <c r="VOA30" s="545"/>
      <c r="VOB30" s="545"/>
      <c r="VOC30" s="545"/>
      <c r="VOD30" s="545"/>
      <c r="VOE30" s="545"/>
      <c r="VOF30" s="545"/>
      <c r="VOG30" s="545"/>
      <c r="VOH30" s="545"/>
      <c r="VOI30" s="545"/>
      <c r="VOJ30" s="545"/>
      <c r="VOK30" s="545"/>
      <c r="VOL30" s="545"/>
      <c r="VOM30" s="545"/>
      <c r="VON30" s="545"/>
      <c r="VOO30" s="545"/>
      <c r="VOP30" s="545"/>
      <c r="VOQ30" s="545"/>
      <c r="VOR30" s="545"/>
      <c r="VOS30" s="545"/>
      <c r="VOT30" s="545"/>
      <c r="VOU30" s="545"/>
      <c r="VOV30" s="545"/>
      <c r="VOW30" s="545"/>
      <c r="VOX30" s="545"/>
      <c r="VOY30" s="545"/>
      <c r="VOZ30" s="545"/>
      <c r="VPA30" s="545"/>
      <c r="VPB30" s="545"/>
      <c r="VPC30" s="545"/>
      <c r="VPD30" s="545"/>
      <c r="VPE30" s="545"/>
      <c r="VPF30" s="545"/>
      <c r="VPG30" s="545"/>
      <c r="VPH30" s="545"/>
      <c r="VPI30" s="545"/>
      <c r="VPJ30" s="545"/>
      <c r="VPK30" s="545"/>
      <c r="VPL30" s="545"/>
      <c r="VPM30" s="545"/>
      <c r="VPN30" s="545"/>
      <c r="VPO30" s="545"/>
      <c r="VPP30" s="545"/>
      <c r="VPQ30" s="545"/>
      <c r="VPR30" s="545"/>
      <c r="VPS30" s="545"/>
      <c r="VPT30" s="545"/>
      <c r="VPU30" s="545"/>
      <c r="VPV30" s="545"/>
      <c r="VPW30" s="545"/>
      <c r="VPX30" s="545"/>
      <c r="VPY30" s="545"/>
      <c r="VPZ30" s="545"/>
      <c r="VQA30" s="545"/>
      <c r="VQB30" s="545"/>
      <c r="VQC30" s="545"/>
      <c r="VQD30" s="545"/>
      <c r="VQE30" s="545"/>
      <c r="VQF30" s="545"/>
      <c r="VQG30" s="545"/>
      <c r="VQH30" s="545"/>
      <c r="VQI30" s="545"/>
      <c r="VQJ30" s="545"/>
      <c r="VQK30" s="545"/>
      <c r="VQL30" s="545"/>
      <c r="VQM30" s="545"/>
      <c r="VQN30" s="545"/>
      <c r="VQO30" s="545"/>
      <c r="VQP30" s="545"/>
      <c r="VQQ30" s="545"/>
      <c r="VQR30" s="545"/>
      <c r="VQS30" s="545"/>
      <c r="VQT30" s="545"/>
      <c r="VQU30" s="545"/>
      <c r="VQV30" s="545"/>
      <c r="VQW30" s="545"/>
      <c r="VQX30" s="545"/>
      <c r="VQY30" s="545"/>
      <c r="VQZ30" s="545"/>
      <c r="VRA30" s="545"/>
      <c r="VRB30" s="545"/>
      <c r="VRC30" s="545"/>
      <c r="VRD30" s="545"/>
      <c r="VRE30" s="545"/>
      <c r="VRF30" s="545"/>
      <c r="VRG30" s="545"/>
      <c r="VRH30" s="545"/>
      <c r="VRI30" s="545"/>
      <c r="VRJ30" s="545"/>
      <c r="VRK30" s="545"/>
      <c r="VRL30" s="545"/>
      <c r="VRM30" s="545"/>
      <c r="VRN30" s="545"/>
      <c r="VRO30" s="545"/>
      <c r="VRP30" s="545"/>
      <c r="VRQ30" s="545"/>
      <c r="VRR30" s="545"/>
      <c r="VRS30" s="545"/>
      <c r="VRT30" s="545"/>
      <c r="VRU30" s="545"/>
      <c r="VRV30" s="545"/>
      <c r="VRW30" s="545"/>
      <c r="VRX30" s="545"/>
      <c r="VRY30" s="545"/>
      <c r="VRZ30" s="545"/>
      <c r="VSA30" s="545"/>
      <c r="VSB30" s="545"/>
      <c r="VSC30" s="545"/>
      <c r="VSD30" s="545"/>
      <c r="VSE30" s="545"/>
      <c r="VSF30" s="545"/>
      <c r="VSG30" s="545"/>
      <c r="VSH30" s="545"/>
      <c r="VSI30" s="545"/>
      <c r="VSJ30" s="545"/>
      <c r="VSK30" s="545"/>
      <c r="VSL30" s="545"/>
      <c r="VSM30" s="545"/>
      <c r="VSN30" s="545"/>
      <c r="VSO30" s="545"/>
      <c r="VSP30" s="545"/>
      <c r="VSQ30" s="545"/>
      <c r="VSR30" s="545"/>
      <c r="VSS30" s="545"/>
      <c r="VST30" s="545"/>
      <c r="VSU30" s="545"/>
      <c r="VSV30" s="545"/>
      <c r="VSW30" s="545"/>
      <c r="VSX30" s="545"/>
      <c r="VSY30" s="545"/>
      <c r="VSZ30" s="545"/>
      <c r="VTA30" s="545"/>
      <c r="VTB30" s="545"/>
      <c r="VTC30" s="545"/>
      <c r="VTD30" s="545"/>
      <c r="VTE30" s="545"/>
      <c r="VTF30" s="545"/>
      <c r="VTG30" s="545"/>
      <c r="VTH30" s="545"/>
      <c r="VTI30" s="545"/>
      <c r="VTJ30" s="545"/>
      <c r="VTK30" s="545"/>
      <c r="VTL30" s="545"/>
      <c r="VTM30" s="545"/>
      <c r="VTN30" s="545"/>
      <c r="VTO30" s="545"/>
      <c r="VTP30" s="545"/>
      <c r="VTQ30" s="545"/>
      <c r="VTR30" s="545"/>
      <c r="VTS30" s="545"/>
      <c r="VTT30" s="545"/>
      <c r="VTU30" s="545"/>
      <c r="VTV30" s="545"/>
      <c r="VTW30" s="545"/>
      <c r="VTX30" s="545"/>
      <c r="VTY30" s="545"/>
      <c r="VTZ30" s="545"/>
      <c r="VUA30" s="545"/>
      <c r="VUB30" s="545"/>
      <c r="VUC30" s="545"/>
      <c r="VUD30" s="545"/>
      <c r="VUE30" s="545"/>
      <c r="VUF30" s="545"/>
      <c r="VUG30" s="545"/>
      <c r="VUH30" s="545"/>
      <c r="VUI30" s="545"/>
      <c r="VUJ30" s="545"/>
      <c r="VUK30" s="545"/>
      <c r="VUL30" s="545"/>
      <c r="VUM30" s="545"/>
      <c r="VUN30" s="545"/>
      <c r="VUO30" s="545"/>
      <c r="VUP30" s="545"/>
      <c r="VUQ30" s="545"/>
      <c r="VUR30" s="545"/>
      <c r="VUS30" s="545"/>
      <c r="VUT30" s="545"/>
      <c r="VUU30" s="545"/>
      <c r="VUV30" s="545"/>
      <c r="VUW30" s="545"/>
      <c r="VUX30" s="545"/>
      <c r="VUY30" s="545"/>
      <c r="VUZ30" s="545"/>
      <c r="VVA30" s="545"/>
      <c r="VVB30" s="545"/>
      <c r="VVC30" s="545"/>
      <c r="VVD30" s="545"/>
      <c r="VVE30" s="545"/>
      <c r="VVF30" s="545"/>
      <c r="VVG30" s="545"/>
      <c r="VVH30" s="545"/>
      <c r="VVI30" s="545"/>
      <c r="VVJ30" s="545"/>
      <c r="VVK30" s="545"/>
      <c r="VVL30" s="545"/>
      <c r="VVM30" s="545"/>
      <c r="VVN30" s="545"/>
      <c r="VVO30" s="545"/>
      <c r="VVP30" s="545"/>
      <c r="VVQ30" s="545"/>
      <c r="VVR30" s="545"/>
      <c r="VVS30" s="545"/>
      <c r="VVT30" s="545"/>
      <c r="VVU30" s="545"/>
      <c r="VVV30" s="545"/>
      <c r="VVW30" s="545"/>
      <c r="VVX30" s="545"/>
      <c r="VVY30" s="545"/>
      <c r="VVZ30" s="545"/>
      <c r="VWA30" s="545"/>
      <c r="VWB30" s="545"/>
      <c r="VWC30" s="545"/>
      <c r="VWD30" s="545"/>
      <c r="VWE30" s="545"/>
      <c r="VWF30" s="545"/>
      <c r="VWG30" s="545"/>
      <c r="VWH30" s="545"/>
      <c r="VWI30" s="545"/>
      <c r="VWJ30" s="545"/>
      <c r="VWK30" s="545"/>
      <c r="VWL30" s="545"/>
      <c r="VWM30" s="545"/>
      <c r="VWN30" s="545"/>
      <c r="VWO30" s="545"/>
      <c r="VWP30" s="545"/>
      <c r="VWQ30" s="545"/>
      <c r="VWR30" s="545"/>
      <c r="VWS30" s="545"/>
      <c r="VWT30" s="545"/>
      <c r="VWU30" s="545"/>
      <c r="VWV30" s="545"/>
      <c r="VWW30" s="545"/>
      <c r="VWX30" s="545"/>
      <c r="VWY30" s="545"/>
      <c r="VWZ30" s="545"/>
      <c r="VXA30" s="545"/>
      <c r="VXB30" s="545"/>
      <c r="VXC30" s="545"/>
      <c r="VXD30" s="545"/>
      <c r="VXE30" s="545"/>
      <c r="VXF30" s="545"/>
      <c r="VXG30" s="545"/>
      <c r="VXH30" s="545"/>
      <c r="VXI30" s="545"/>
      <c r="VXJ30" s="545"/>
      <c r="VXK30" s="545"/>
      <c r="VXL30" s="545"/>
      <c r="VXM30" s="545"/>
      <c r="VXN30" s="545"/>
      <c r="VXO30" s="545"/>
      <c r="VXP30" s="545"/>
      <c r="VXQ30" s="545"/>
      <c r="VXR30" s="545"/>
      <c r="VXS30" s="545"/>
      <c r="VXT30" s="545"/>
      <c r="VXU30" s="545"/>
      <c r="VXV30" s="545"/>
      <c r="VXW30" s="545"/>
      <c r="VXX30" s="545"/>
      <c r="VXY30" s="545"/>
      <c r="VXZ30" s="545"/>
      <c r="VYA30" s="545"/>
      <c r="VYB30" s="545"/>
      <c r="VYC30" s="545"/>
      <c r="VYD30" s="545"/>
      <c r="VYE30" s="545"/>
      <c r="VYF30" s="545"/>
      <c r="VYG30" s="545"/>
      <c r="VYH30" s="545"/>
      <c r="VYI30" s="545"/>
      <c r="VYJ30" s="545"/>
      <c r="VYK30" s="545"/>
      <c r="VYL30" s="545"/>
      <c r="VYM30" s="545"/>
      <c r="VYN30" s="545"/>
      <c r="VYO30" s="545"/>
      <c r="VYP30" s="545"/>
      <c r="VYQ30" s="545"/>
      <c r="VYR30" s="545"/>
      <c r="VYS30" s="545"/>
      <c r="VYT30" s="545"/>
      <c r="VYU30" s="545"/>
      <c r="VYV30" s="545"/>
      <c r="VYW30" s="545"/>
      <c r="VYX30" s="545"/>
      <c r="VYY30" s="545"/>
      <c r="VYZ30" s="545"/>
      <c r="VZA30" s="545"/>
      <c r="VZB30" s="545"/>
      <c r="VZC30" s="545"/>
      <c r="VZD30" s="545"/>
      <c r="VZE30" s="545"/>
      <c r="VZF30" s="545"/>
      <c r="VZG30" s="545"/>
      <c r="VZH30" s="545"/>
      <c r="VZI30" s="545"/>
      <c r="VZJ30" s="545"/>
      <c r="VZK30" s="545"/>
      <c r="VZL30" s="545"/>
      <c r="VZM30" s="545"/>
      <c r="VZN30" s="545"/>
      <c r="VZO30" s="545"/>
      <c r="VZP30" s="545"/>
      <c r="VZQ30" s="545"/>
      <c r="VZR30" s="545"/>
      <c r="VZS30" s="545"/>
      <c r="VZT30" s="545"/>
      <c r="VZU30" s="545"/>
      <c r="VZV30" s="545"/>
      <c r="VZW30" s="545"/>
      <c r="VZX30" s="545"/>
      <c r="VZY30" s="545"/>
      <c r="VZZ30" s="545"/>
      <c r="WAA30" s="545"/>
      <c r="WAB30" s="545"/>
      <c r="WAC30" s="545"/>
      <c r="WAD30" s="545"/>
      <c r="WAE30" s="545"/>
      <c r="WAF30" s="545"/>
      <c r="WAG30" s="545"/>
      <c r="WAH30" s="545"/>
      <c r="WAI30" s="545"/>
      <c r="WAJ30" s="545"/>
      <c r="WAK30" s="545"/>
      <c r="WAL30" s="545"/>
      <c r="WAM30" s="545"/>
      <c r="WAN30" s="545"/>
      <c r="WAO30" s="545"/>
      <c r="WAP30" s="545"/>
      <c r="WAQ30" s="545"/>
      <c r="WAR30" s="545"/>
      <c r="WAS30" s="545"/>
      <c r="WAT30" s="545"/>
      <c r="WAU30" s="545"/>
      <c r="WAV30" s="545"/>
      <c r="WAW30" s="545"/>
      <c r="WAX30" s="545"/>
      <c r="WAY30" s="545"/>
      <c r="WAZ30" s="545"/>
      <c r="WBA30" s="545"/>
      <c r="WBB30" s="545"/>
      <c r="WBC30" s="545"/>
      <c r="WBD30" s="545"/>
      <c r="WBE30" s="545"/>
      <c r="WBF30" s="545"/>
      <c r="WBG30" s="545"/>
      <c r="WBH30" s="545"/>
      <c r="WBI30" s="545"/>
      <c r="WBJ30" s="545"/>
      <c r="WBK30" s="545"/>
      <c r="WBL30" s="545"/>
      <c r="WBM30" s="545"/>
      <c r="WBN30" s="545"/>
      <c r="WBO30" s="545"/>
      <c r="WBP30" s="545"/>
      <c r="WBQ30" s="545"/>
      <c r="WBR30" s="545"/>
      <c r="WBS30" s="545"/>
      <c r="WBT30" s="545"/>
      <c r="WBU30" s="545"/>
      <c r="WBV30" s="545"/>
      <c r="WBW30" s="545"/>
      <c r="WBX30" s="545"/>
      <c r="WBY30" s="545"/>
      <c r="WBZ30" s="545"/>
      <c r="WCA30" s="545"/>
      <c r="WCB30" s="545"/>
      <c r="WCC30" s="545"/>
      <c r="WCD30" s="545"/>
      <c r="WCE30" s="545"/>
      <c r="WCF30" s="545"/>
      <c r="WCG30" s="545"/>
      <c r="WCH30" s="545"/>
      <c r="WCI30" s="545"/>
      <c r="WCJ30" s="545"/>
      <c r="WCK30" s="545"/>
      <c r="WCL30" s="545"/>
      <c r="WCM30" s="545"/>
      <c r="WCN30" s="545"/>
      <c r="WCO30" s="545"/>
      <c r="WCP30" s="545"/>
      <c r="WCQ30" s="545"/>
      <c r="WCR30" s="545"/>
      <c r="WCS30" s="545"/>
      <c r="WCT30" s="545"/>
      <c r="WCU30" s="545"/>
      <c r="WCV30" s="545"/>
      <c r="WCW30" s="545"/>
      <c r="WCX30" s="545"/>
      <c r="WCY30" s="545"/>
      <c r="WCZ30" s="545"/>
      <c r="WDA30" s="545"/>
      <c r="WDB30" s="545"/>
      <c r="WDC30" s="545"/>
      <c r="WDD30" s="545"/>
      <c r="WDE30" s="545"/>
      <c r="WDF30" s="545"/>
      <c r="WDG30" s="545"/>
      <c r="WDH30" s="545"/>
      <c r="WDI30" s="545"/>
      <c r="WDJ30" s="545"/>
      <c r="WDK30" s="545"/>
      <c r="WDL30" s="545"/>
      <c r="WDM30" s="545"/>
      <c r="WDN30" s="545"/>
      <c r="WDO30" s="545"/>
      <c r="WDP30" s="545"/>
      <c r="WDQ30" s="545"/>
      <c r="WDR30" s="545"/>
      <c r="WDS30" s="545"/>
      <c r="WDT30" s="545"/>
      <c r="WDU30" s="545"/>
      <c r="WDV30" s="545"/>
      <c r="WDW30" s="545"/>
      <c r="WDX30" s="545"/>
      <c r="WDY30" s="545"/>
      <c r="WDZ30" s="545"/>
      <c r="WEA30" s="545"/>
      <c r="WEB30" s="545"/>
      <c r="WEC30" s="545"/>
      <c r="WED30" s="545"/>
      <c r="WEE30" s="545"/>
      <c r="WEF30" s="545"/>
      <c r="WEG30" s="545"/>
      <c r="WEH30" s="545"/>
      <c r="WEI30" s="545"/>
      <c r="WEJ30" s="545"/>
      <c r="WEK30" s="545"/>
      <c r="WEL30" s="545"/>
      <c r="WEM30" s="545"/>
      <c r="WEN30" s="545"/>
      <c r="WEO30" s="545"/>
      <c r="WEP30" s="545"/>
      <c r="WEQ30" s="545"/>
      <c r="WER30" s="545"/>
      <c r="WES30" s="545"/>
      <c r="WET30" s="545"/>
      <c r="WEU30" s="545"/>
      <c r="WEV30" s="545"/>
      <c r="WEW30" s="545"/>
      <c r="WEX30" s="545"/>
      <c r="WEY30" s="545"/>
      <c r="WEZ30" s="545"/>
      <c r="WFA30" s="545"/>
      <c r="WFB30" s="545"/>
      <c r="WFC30" s="545"/>
      <c r="WFD30" s="545"/>
      <c r="WFE30" s="545"/>
      <c r="WFF30" s="545"/>
      <c r="WFG30" s="545"/>
      <c r="WFH30" s="545"/>
      <c r="WFI30" s="545"/>
      <c r="WFJ30" s="545"/>
      <c r="WFK30" s="545"/>
      <c r="WFL30" s="545"/>
      <c r="WFM30" s="545"/>
      <c r="WFN30" s="545"/>
      <c r="WFO30" s="545"/>
      <c r="WFP30" s="545"/>
      <c r="WFQ30" s="545"/>
      <c r="WFR30" s="545"/>
      <c r="WFS30" s="545"/>
      <c r="WFT30" s="545"/>
      <c r="WFU30" s="545"/>
      <c r="WFV30" s="545"/>
      <c r="WFW30" s="545"/>
      <c r="WFX30" s="545"/>
      <c r="WFY30" s="545"/>
      <c r="WFZ30" s="545"/>
      <c r="WGA30" s="545"/>
      <c r="WGB30" s="545"/>
      <c r="WGC30" s="545"/>
      <c r="WGD30" s="545"/>
      <c r="WGE30" s="545"/>
      <c r="WGF30" s="545"/>
      <c r="WGG30" s="545"/>
      <c r="WGH30" s="545"/>
      <c r="WGI30" s="545"/>
      <c r="WGJ30" s="545"/>
      <c r="WGK30" s="545"/>
      <c r="WGL30" s="545"/>
      <c r="WGM30" s="545"/>
      <c r="WGN30" s="545"/>
      <c r="WGO30" s="545"/>
      <c r="WGP30" s="545"/>
      <c r="WGQ30" s="545"/>
      <c r="WGR30" s="545"/>
      <c r="WGS30" s="545"/>
      <c r="WGT30" s="545"/>
      <c r="WGU30" s="545"/>
      <c r="WGV30" s="545"/>
      <c r="WGW30" s="545"/>
      <c r="WGX30" s="545"/>
      <c r="WGY30" s="545"/>
      <c r="WGZ30" s="545"/>
      <c r="WHA30" s="545"/>
      <c r="WHB30" s="545"/>
      <c r="WHC30" s="545"/>
      <c r="WHD30" s="545"/>
      <c r="WHE30" s="545"/>
      <c r="WHF30" s="545"/>
      <c r="WHG30" s="545"/>
      <c r="WHH30" s="545"/>
      <c r="WHI30" s="545"/>
      <c r="WHJ30" s="545"/>
      <c r="WHK30" s="545"/>
      <c r="WHL30" s="545"/>
      <c r="WHM30" s="545"/>
      <c r="WHN30" s="545"/>
      <c r="WHO30" s="545"/>
      <c r="WHP30" s="545"/>
      <c r="WHQ30" s="545"/>
      <c r="WHR30" s="545"/>
      <c r="WHS30" s="545"/>
      <c r="WHT30" s="545"/>
      <c r="WHU30" s="545"/>
      <c r="WHV30" s="545"/>
      <c r="WHW30" s="545"/>
      <c r="WHX30" s="545"/>
      <c r="WHY30" s="545"/>
      <c r="WHZ30" s="545"/>
      <c r="WIA30" s="545"/>
      <c r="WIB30" s="545"/>
      <c r="WIC30" s="545"/>
      <c r="WID30" s="545"/>
      <c r="WIE30" s="545"/>
      <c r="WIF30" s="545"/>
      <c r="WIG30" s="545"/>
      <c r="WIH30" s="545"/>
      <c r="WII30" s="545"/>
      <c r="WIJ30" s="545"/>
      <c r="WIK30" s="545"/>
      <c r="WIL30" s="545"/>
      <c r="WIM30" s="545"/>
      <c r="WIN30" s="545"/>
      <c r="WIO30" s="545"/>
      <c r="WIP30" s="545"/>
      <c r="WIQ30" s="545"/>
      <c r="WIR30" s="545"/>
      <c r="WIS30" s="545"/>
      <c r="WIT30" s="545"/>
      <c r="WIU30" s="545"/>
      <c r="WIV30" s="545"/>
      <c r="WIW30" s="545"/>
      <c r="WIX30" s="545"/>
      <c r="WIY30" s="545"/>
      <c r="WIZ30" s="545"/>
      <c r="WJA30" s="545"/>
      <c r="WJB30" s="545"/>
      <c r="WJC30" s="545"/>
      <c r="WJD30" s="545"/>
      <c r="WJE30" s="545"/>
      <c r="WJF30" s="545"/>
      <c r="WJG30" s="545"/>
      <c r="WJH30" s="545"/>
      <c r="WJI30" s="545"/>
      <c r="WJJ30" s="545"/>
      <c r="WJK30" s="545"/>
      <c r="WJL30" s="545"/>
      <c r="WJM30" s="545"/>
      <c r="WJN30" s="545"/>
      <c r="WJO30" s="545"/>
      <c r="WJP30" s="545"/>
      <c r="WJQ30" s="545"/>
      <c r="WJR30" s="545"/>
      <c r="WJS30" s="545"/>
      <c r="WJT30" s="545"/>
      <c r="WJU30" s="545"/>
      <c r="WJV30" s="545"/>
      <c r="WJW30" s="545"/>
      <c r="WJX30" s="545"/>
      <c r="WJY30" s="545"/>
      <c r="WJZ30" s="545"/>
      <c r="WKA30" s="545"/>
      <c r="WKB30" s="545"/>
      <c r="WKC30" s="545"/>
      <c r="WKD30" s="545"/>
      <c r="WKE30" s="545"/>
      <c r="WKF30" s="545"/>
      <c r="WKG30" s="545"/>
      <c r="WKH30" s="545"/>
      <c r="WKI30" s="545"/>
      <c r="WKJ30" s="545"/>
      <c r="WKK30" s="545"/>
      <c r="WKL30" s="545"/>
      <c r="WKM30" s="545"/>
      <c r="WKN30" s="545"/>
      <c r="WKO30" s="545"/>
      <c r="WKP30" s="545"/>
      <c r="WKQ30" s="545"/>
      <c r="WKR30" s="545"/>
      <c r="WKS30" s="545"/>
      <c r="WKT30" s="545"/>
      <c r="WKU30" s="545"/>
      <c r="WKV30" s="545"/>
      <c r="WKW30" s="545"/>
      <c r="WKX30" s="545"/>
      <c r="WKY30" s="545"/>
      <c r="WKZ30" s="545"/>
      <c r="WLA30" s="545"/>
      <c r="WLB30" s="545"/>
      <c r="WLC30" s="545"/>
      <c r="WLD30" s="545"/>
      <c r="WLE30" s="545"/>
      <c r="WLF30" s="545"/>
      <c r="WLG30" s="545"/>
      <c r="WLH30" s="545"/>
      <c r="WLI30" s="545"/>
      <c r="WLJ30" s="545"/>
      <c r="WLK30" s="545"/>
      <c r="WLL30" s="545"/>
      <c r="WLM30" s="545"/>
      <c r="WLN30" s="545"/>
      <c r="WLO30" s="545"/>
      <c r="WLP30" s="545"/>
      <c r="WLQ30" s="545"/>
      <c r="WLR30" s="545"/>
      <c r="WLS30" s="545"/>
      <c r="WLT30" s="545"/>
      <c r="WLU30" s="545"/>
      <c r="WLV30" s="545"/>
      <c r="WLW30" s="545"/>
      <c r="WLX30" s="545"/>
      <c r="WLY30" s="545"/>
      <c r="WLZ30" s="545"/>
      <c r="WMA30" s="545"/>
      <c r="WMB30" s="545"/>
      <c r="WMC30" s="545"/>
      <c r="WMD30" s="545"/>
      <c r="WME30" s="545"/>
      <c r="WMF30" s="545"/>
      <c r="WMG30" s="545"/>
      <c r="WMH30" s="545"/>
      <c r="WMI30" s="545"/>
      <c r="WMJ30" s="545"/>
      <c r="WMK30" s="545"/>
      <c r="WML30" s="545"/>
      <c r="WMM30" s="545"/>
      <c r="WMN30" s="545"/>
      <c r="WMO30" s="545"/>
      <c r="WMP30" s="545"/>
      <c r="WMQ30" s="545"/>
      <c r="WMR30" s="545"/>
      <c r="WMS30" s="545"/>
      <c r="WMT30" s="545"/>
      <c r="WMU30" s="545"/>
      <c r="WMV30" s="545"/>
      <c r="WMW30" s="545"/>
      <c r="WMX30" s="545"/>
      <c r="WMY30" s="545"/>
      <c r="WMZ30" s="545"/>
      <c r="WNA30" s="545"/>
      <c r="WNB30" s="545"/>
      <c r="WNC30" s="545"/>
      <c r="WND30" s="545"/>
      <c r="WNE30" s="545"/>
      <c r="WNF30" s="545"/>
      <c r="WNG30" s="545"/>
      <c r="WNH30" s="545"/>
      <c r="WNI30" s="545"/>
      <c r="WNJ30" s="545"/>
      <c r="WNK30" s="545"/>
      <c r="WNL30" s="545"/>
      <c r="WNM30" s="545"/>
      <c r="WNN30" s="545"/>
      <c r="WNO30" s="545"/>
      <c r="WNP30" s="545"/>
      <c r="WNQ30" s="545"/>
      <c r="WNR30" s="545"/>
      <c r="WNS30" s="545"/>
      <c r="WNT30" s="545"/>
      <c r="WNU30" s="545"/>
      <c r="WNV30" s="545"/>
      <c r="WNW30" s="545"/>
      <c r="WNX30" s="545"/>
      <c r="WNY30" s="545"/>
      <c r="WNZ30" s="545"/>
      <c r="WOA30" s="545"/>
      <c r="WOB30" s="545"/>
      <c r="WOC30" s="545"/>
      <c r="WOD30" s="545"/>
      <c r="WOE30" s="545"/>
      <c r="WOF30" s="545"/>
      <c r="WOG30" s="545"/>
      <c r="WOH30" s="545"/>
      <c r="WOI30" s="545"/>
      <c r="WOJ30" s="545"/>
      <c r="WOK30" s="545"/>
      <c r="WOL30" s="545"/>
      <c r="WOM30" s="545"/>
      <c r="WON30" s="545"/>
      <c r="WOO30" s="545"/>
      <c r="WOP30" s="545"/>
      <c r="WOQ30" s="545"/>
      <c r="WOR30" s="545"/>
      <c r="WOS30" s="545"/>
      <c r="WOT30" s="545"/>
      <c r="WOU30" s="545"/>
      <c r="WOV30" s="545"/>
      <c r="WOW30" s="545"/>
      <c r="WOX30" s="545"/>
      <c r="WOY30" s="545"/>
      <c r="WOZ30" s="545"/>
      <c r="WPA30" s="545"/>
      <c r="WPB30" s="545"/>
      <c r="WPC30" s="545"/>
      <c r="WPD30" s="545"/>
      <c r="WPE30" s="545"/>
      <c r="WPF30" s="545"/>
      <c r="WPG30" s="545"/>
      <c r="WPH30" s="545"/>
      <c r="WPI30" s="545"/>
      <c r="WPJ30" s="545"/>
      <c r="WPK30" s="545"/>
      <c r="WPL30" s="545"/>
      <c r="WPM30" s="545"/>
      <c r="WPN30" s="545"/>
      <c r="WPO30" s="545"/>
      <c r="WPP30" s="545"/>
      <c r="WPQ30" s="545"/>
      <c r="WPR30" s="545"/>
      <c r="WPS30" s="545"/>
      <c r="WPT30" s="545"/>
      <c r="WPU30" s="545"/>
      <c r="WPV30" s="545"/>
      <c r="WPW30" s="545"/>
      <c r="WPX30" s="545"/>
      <c r="WPY30" s="545"/>
      <c r="WPZ30" s="545"/>
      <c r="WQA30" s="545"/>
      <c r="WQB30" s="545"/>
      <c r="WQC30" s="545"/>
      <c r="WQD30" s="545"/>
      <c r="WQE30" s="545"/>
      <c r="WQF30" s="545"/>
      <c r="WQG30" s="545"/>
      <c r="WQH30" s="545"/>
      <c r="WQI30" s="545"/>
      <c r="WQJ30" s="545"/>
      <c r="WQK30" s="545"/>
      <c r="WQL30" s="545"/>
      <c r="WQM30" s="545"/>
      <c r="WQN30" s="545"/>
      <c r="WQO30" s="545"/>
      <c r="WQP30" s="545"/>
      <c r="WQQ30" s="545"/>
      <c r="WQR30" s="545"/>
      <c r="WQS30" s="545"/>
      <c r="WQT30" s="545"/>
      <c r="WQU30" s="545"/>
      <c r="WQV30" s="545"/>
      <c r="WQW30" s="545"/>
      <c r="WQX30" s="545"/>
      <c r="WQY30" s="545"/>
      <c r="WQZ30" s="545"/>
      <c r="WRA30" s="545"/>
      <c r="WRB30" s="545"/>
      <c r="WRC30" s="545"/>
      <c r="WRD30" s="545"/>
      <c r="WRE30" s="545"/>
      <c r="WRF30" s="545"/>
      <c r="WRG30" s="545"/>
      <c r="WRH30" s="545"/>
      <c r="WRI30" s="545"/>
      <c r="WRJ30" s="545"/>
      <c r="WRK30" s="545"/>
      <c r="WRL30" s="545"/>
      <c r="WRM30" s="545"/>
      <c r="WRN30" s="545"/>
      <c r="WRO30" s="545"/>
      <c r="WRP30" s="545"/>
      <c r="WRQ30" s="545"/>
      <c r="WRR30" s="545"/>
      <c r="WRS30" s="545"/>
      <c r="WRT30" s="545"/>
      <c r="WRU30" s="545"/>
      <c r="WRV30" s="545"/>
      <c r="WRW30" s="545"/>
      <c r="WRX30" s="545"/>
      <c r="WRY30" s="545"/>
      <c r="WRZ30" s="545"/>
      <c r="WSA30" s="545"/>
      <c r="WSB30" s="545"/>
      <c r="WSC30" s="545"/>
      <c r="WSD30" s="545"/>
      <c r="WSE30" s="545"/>
      <c r="WSF30" s="545"/>
      <c r="WSG30" s="545"/>
      <c r="WSH30" s="545"/>
      <c r="WSI30" s="545"/>
      <c r="WSJ30" s="545"/>
      <c r="WSK30" s="545"/>
      <c r="WSL30" s="545"/>
      <c r="WSM30" s="545"/>
      <c r="WSN30" s="545"/>
      <c r="WSO30" s="545"/>
      <c r="WSP30" s="545"/>
      <c r="WSQ30" s="545"/>
      <c r="WSR30" s="545"/>
      <c r="WSS30" s="545"/>
      <c r="WST30" s="545"/>
      <c r="WSU30" s="545"/>
      <c r="WSV30" s="545"/>
      <c r="WSW30" s="545"/>
      <c r="WSX30" s="545"/>
      <c r="WSY30" s="545"/>
      <c r="WSZ30" s="545"/>
      <c r="WTA30" s="545"/>
      <c r="WTB30" s="545"/>
      <c r="WTC30" s="545"/>
      <c r="WTD30" s="545"/>
      <c r="WTE30" s="545"/>
      <c r="WTF30" s="545"/>
      <c r="WTG30" s="545"/>
      <c r="WTH30" s="545"/>
      <c r="WTI30" s="545"/>
      <c r="WTJ30" s="545"/>
      <c r="WTK30" s="545"/>
      <c r="WTL30" s="545"/>
      <c r="WTM30" s="545"/>
      <c r="WTN30" s="545"/>
      <c r="WTO30" s="545"/>
      <c r="WTP30" s="545"/>
      <c r="WTQ30" s="545"/>
      <c r="WTR30" s="545"/>
      <c r="WTS30" s="545"/>
      <c r="WTT30" s="545"/>
      <c r="WTU30" s="545"/>
      <c r="WTV30" s="545"/>
      <c r="WTW30" s="545"/>
      <c r="WTX30" s="545"/>
      <c r="WTY30" s="545"/>
      <c r="WTZ30" s="545"/>
      <c r="WUA30" s="545"/>
      <c r="WUB30" s="545"/>
      <c r="WUC30" s="545"/>
      <c r="WUD30" s="545"/>
      <c r="WUE30" s="545"/>
      <c r="WUF30" s="545"/>
      <c r="WUG30" s="545"/>
      <c r="WUH30" s="545"/>
      <c r="WUI30" s="545"/>
      <c r="WUJ30" s="545"/>
      <c r="WUK30" s="545"/>
      <c r="WUL30" s="545"/>
      <c r="WUM30" s="545"/>
      <c r="WUN30" s="545"/>
      <c r="WUO30" s="545"/>
      <c r="WUP30" s="545"/>
      <c r="WUQ30" s="545"/>
      <c r="WUR30" s="545"/>
      <c r="WUS30" s="545"/>
      <c r="WUT30" s="545"/>
      <c r="WUU30" s="545"/>
      <c r="WUV30" s="545"/>
      <c r="WUW30" s="545"/>
      <c r="WUX30" s="545"/>
      <c r="WUY30" s="545"/>
      <c r="WUZ30" s="545"/>
      <c r="WVA30" s="545"/>
      <c r="WVB30" s="545"/>
      <c r="WVC30" s="545"/>
      <c r="WVD30" s="545"/>
      <c r="WVE30" s="545"/>
      <c r="WVF30" s="545"/>
      <c r="WVG30" s="545"/>
      <c r="WVH30" s="545"/>
      <c r="WVI30" s="545"/>
      <c r="WVJ30" s="545"/>
      <c r="WVK30" s="545"/>
      <c r="WVL30" s="545"/>
      <c r="WVM30" s="545"/>
      <c r="WVN30" s="545"/>
      <c r="WVO30" s="545"/>
      <c r="WVP30" s="545"/>
      <c r="WVQ30" s="545"/>
      <c r="WVR30" s="545"/>
      <c r="WVS30" s="545"/>
    </row>
    <row r="31" spans="1:16139" s="546" customFormat="1" ht="18" hidden="1" customHeight="1" outlineLevel="1">
      <c r="A31" s="547" t="s">
        <v>23</v>
      </c>
      <c r="B31" s="548" t="s">
        <v>1574</v>
      </c>
      <c r="C31" s="549">
        <f t="shared" si="15"/>
        <v>8500</v>
      </c>
      <c r="D31" s="549">
        <v>5000</v>
      </c>
      <c r="E31" s="549">
        <v>1500</v>
      </c>
      <c r="F31" s="1447"/>
      <c r="G31" s="549"/>
      <c r="H31" s="549"/>
      <c r="I31" s="549">
        <v>500</v>
      </c>
      <c r="J31" s="549"/>
      <c r="K31" s="549"/>
      <c r="L31" s="549">
        <v>1500</v>
      </c>
      <c r="M31" s="549"/>
      <c r="N31" s="1597" t="s">
        <v>2466</v>
      </c>
      <c r="O31" s="667"/>
      <c r="P31" s="545"/>
      <c r="Q31" s="545"/>
      <c r="R31" s="579"/>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c r="IT31" s="545"/>
      <c r="IU31" s="545"/>
      <c r="IV31" s="545"/>
      <c r="IW31" s="545"/>
      <c r="IX31" s="545"/>
      <c r="IY31" s="545"/>
      <c r="IZ31" s="545"/>
      <c r="JA31" s="545"/>
      <c r="JB31" s="545"/>
      <c r="JC31" s="545"/>
      <c r="JD31" s="545"/>
      <c r="JE31" s="545"/>
      <c r="JF31" s="545"/>
      <c r="JG31" s="545"/>
      <c r="JH31" s="545"/>
      <c r="JI31" s="545"/>
      <c r="JJ31" s="545"/>
      <c r="JK31" s="545"/>
      <c r="JL31" s="545"/>
      <c r="JM31" s="545"/>
      <c r="JN31" s="545"/>
      <c r="JO31" s="545"/>
      <c r="JP31" s="545"/>
      <c r="JQ31" s="545"/>
      <c r="JR31" s="545"/>
      <c r="JS31" s="545"/>
      <c r="JT31" s="545"/>
      <c r="JU31" s="545"/>
      <c r="JV31" s="545"/>
      <c r="JW31" s="545"/>
      <c r="JX31" s="545"/>
      <c r="JY31" s="545"/>
      <c r="JZ31" s="545"/>
      <c r="KA31" s="545"/>
      <c r="KB31" s="545"/>
      <c r="KC31" s="545"/>
      <c r="KD31" s="545"/>
      <c r="KE31" s="545"/>
      <c r="KF31" s="545"/>
      <c r="KG31" s="545"/>
      <c r="KH31" s="545"/>
      <c r="KI31" s="545"/>
      <c r="KJ31" s="545"/>
      <c r="KK31" s="545"/>
      <c r="KL31" s="545"/>
      <c r="KM31" s="545"/>
      <c r="KN31" s="545"/>
      <c r="KO31" s="545"/>
      <c r="KP31" s="545"/>
      <c r="KQ31" s="545"/>
      <c r="KR31" s="545"/>
      <c r="KS31" s="545"/>
      <c r="KT31" s="545"/>
      <c r="KU31" s="545"/>
      <c r="KV31" s="545"/>
      <c r="KW31" s="545"/>
      <c r="KX31" s="545"/>
      <c r="KY31" s="545"/>
      <c r="KZ31" s="545"/>
      <c r="LA31" s="545"/>
      <c r="LB31" s="545"/>
      <c r="LC31" s="545"/>
      <c r="LD31" s="545"/>
      <c r="LE31" s="545"/>
      <c r="LF31" s="545"/>
      <c r="LG31" s="545"/>
      <c r="LH31" s="545"/>
      <c r="LI31" s="545"/>
      <c r="LJ31" s="545"/>
      <c r="LK31" s="545"/>
      <c r="LL31" s="545"/>
      <c r="LM31" s="545"/>
      <c r="LN31" s="545"/>
      <c r="LO31" s="545"/>
      <c r="LP31" s="545"/>
      <c r="LQ31" s="545"/>
      <c r="LR31" s="545"/>
      <c r="LS31" s="545"/>
      <c r="LT31" s="545"/>
      <c r="LU31" s="545"/>
      <c r="LV31" s="545"/>
      <c r="LW31" s="545"/>
      <c r="LX31" s="545"/>
      <c r="LY31" s="545"/>
      <c r="LZ31" s="545"/>
      <c r="MA31" s="545"/>
      <c r="MB31" s="545"/>
      <c r="MC31" s="545"/>
      <c r="MD31" s="545"/>
      <c r="ME31" s="545"/>
      <c r="MF31" s="545"/>
      <c r="MG31" s="545"/>
      <c r="MH31" s="545"/>
      <c r="MI31" s="545"/>
      <c r="MJ31" s="545"/>
      <c r="MK31" s="545"/>
      <c r="ML31" s="545"/>
      <c r="MM31" s="545"/>
      <c r="MN31" s="545"/>
      <c r="MO31" s="545"/>
      <c r="MP31" s="545"/>
      <c r="MQ31" s="545"/>
      <c r="MR31" s="545"/>
      <c r="MS31" s="545"/>
      <c r="MT31" s="545"/>
      <c r="MU31" s="545"/>
      <c r="MV31" s="545"/>
      <c r="MW31" s="545"/>
      <c r="MX31" s="545"/>
      <c r="MY31" s="545"/>
      <c r="MZ31" s="545"/>
      <c r="NA31" s="545"/>
      <c r="NB31" s="545"/>
      <c r="NC31" s="545"/>
      <c r="ND31" s="545"/>
      <c r="NE31" s="545"/>
      <c r="NF31" s="545"/>
      <c r="NG31" s="545"/>
      <c r="NH31" s="545"/>
      <c r="NI31" s="545"/>
      <c r="NJ31" s="545"/>
      <c r="NK31" s="545"/>
      <c r="NL31" s="545"/>
      <c r="NM31" s="545"/>
      <c r="NN31" s="545"/>
      <c r="NO31" s="545"/>
      <c r="NP31" s="545"/>
      <c r="NQ31" s="545"/>
      <c r="NR31" s="545"/>
      <c r="NS31" s="545"/>
      <c r="NT31" s="545"/>
      <c r="NU31" s="545"/>
      <c r="NV31" s="545"/>
      <c r="NW31" s="545"/>
      <c r="NX31" s="545"/>
      <c r="NY31" s="545"/>
      <c r="NZ31" s="545"/>
      <c r="OA31" s="545"/>
      <c r="OB31" s="545"/>
      <c r="OC31" s="545"/>
      <c r="OD31" s="545"/>
      <c r="OE31" s="545"/>
      <c r="OF31" s="545"/>
      <c r="OG31" s="545"/>
      <c r="OH31" s="545"/>
      <c r="OI31" s="545"/>
      <c r="OJ31" s="545"/>
      <c r="OK31" s="545"/>
      <c r="OL31" s="545"/>
      <c r="OM31" s="545"/>
      <c r="ON31" s="545"/>
      <c r="OO31" s="545"/>
      <c r="OP31" s="545"/>
      <c r="OQ31" s="545"/>
      <c r="OR31" s="545"/>
      <c r="OS31" s="545"/>
      <c r="OT31" s="545"/>
      <c r="OU31" s="545"/>
      <c r="OV31" s="545"/>
      <c r="OW31" s="545"/>
      <c r="OX31" s="545"/>
      <c r="OY31" s="545"/>
      <c r="OZ31" s="545"/>
      <c r="PA31" s="545"/>
      <c r="PB31" s="545"/>
      <c r="PC31" s="545"/>
      <c r="PD31" s="545"/>
      <c r="PE31" s="545"/>
      <c r="PF31" s="545"/>
      <c r="PG31" s="545"/>
      <c r="PH31" s="545"/>
      <c r="PI31" s="545"/>
      <c r="PJ31" s="545"/>
      <c r="PK31" s="545"/>
      <c r="PL31" s="545"/>
      <c r="PM31" s="545"/>
      <c r="PN31" s="545"/>
      <c r="PO31" s="545"/>
      <c r="PP31" s="545"/>
      <c r="PQ31" s="545"/>
      <c r="PR31" s="545"/>
      <c r="PS31" s="545"/>
      <c r="PT31" s="545"/>
      <c r="PU31" s="545"/>
      <c r="PV31" s="545"/>
      <c r="PW31" s="545"/>
      <c r="PX31" s="545"/>
      <c r="PY31" s="545"/>
      <c r="PZ31" s="545"/>
      <c r="QA31" s="545"/>
      <c r="QB31" s="545"/>
      <c r="QC31" s="545"/>
      <c r="QD31" s="545"/>
      <c r="QE31" s="545"/>
      <c r="QF31" s="545"/>
      <c r="QG31" s="545"/>
      <c r="QH31" s="545"/>
      <c r="QI31" s="545"/>
      <c r="QJ31" s="545"/>
      <c r="QK31" s="545"/>
      <c r="QL31" s="545"/>
      <c r="QM31" s="545"/>
      <c r="QN31" s="545"/>
      <c r="QO31" s="545"/>
      <c r="QP31" s="545"/>
      <c r="QQ31" s="545"/>
      <c r="QR31" s="545"/>
      <c r="QS31" s="545"/>
      <c r="QT31" s="545"/>
      <c r="QU31" s="545"/>
      <c r="QV31" s="545"/>
      <c r="QW31" s="545"/>
      <c r="QX31" s="545"/>
      <c r="QY31" s="545"/>
      <c r="QZ31" s="545"/>
      <c r="RA31" s="545"/>
      <c r="RB31" s="545"/>
      <c r="RC31" s="545"/>
      <c r="RD31" s="545"/>
      <c r="RE31" s="545"/>
      <c r="RF31" s="545"/>
      <c r="RG31" s="545"/>
      <c r="RH31" s="545"/>
      <c r="RI31" s="545"/>
      <c r="RJ31" s="545"/>
      <c r="RK31" s="545"/>
      <c r="RL31" s="545"/>
      <c r="RM31" s="545"/>
      <c r="RN31" s="545"/>
      <c r="RO31" s="545"/>
      <c r="RP31" s="545"/>
      <c r="RQ31" s="545"/>
      <c r="RR31" s="545"/>
      <c r="RS31" s="545"/>
      <c r="RT31" s="545"/>
      <c r="RU31" s="545"/>
      <c r="RV31" s="545"/>
      <c r="RW31" s="545"/>
      <c r="RX31" s="545"/>
      <c r="RY31" s="545"/>
      <c r="RZ31" s="545"/>
      <c r="SA31" s="545"/>
      <c r="SB31" s="545"/>
      <c r="SC31" s="545"/>
      <c r="SD31" s="545"/>
      <c r="SE31" s="545"/>
      <c r="SF31" s="545"/>
      <c r="SG31" s="545"/>
      <c r="SH31" s="545"/>
      <c r="SI31" s="545"/>
      <c r="SJ31" s="545"/>
      <c r="SK31" s="545"/>
      <c r="SL31" s="545"/>
      <c r="SM31" s="545"/>
      <c r="SN31" s="545"/>
      <c r="SO31" s="545"/>
      <c r="SP31" s="545"/>
      <c r="SQ31" s="545"/>
      <c r="SR31" s="545"/>
      <c r="SS31" s="545"/>
      <c r="ST31" s="545"/>
      <c r="SU31" s="545"/>
      <c r="SV31" s="545"/>
      <c r="SW31" s="545"/>
      <c r="SX31" s="545"/>
      <c r="SY31" s="545"/>
      <c r="SZ31" s="545"/>
      <c r="TA31" s="545"/>
      <c r="TB31" s="545"/>
      <c r="TC31" s="545"/>
      <c r="TD31" s="545"/>
      <c r="TE31" s="545"/>
      <c r="TF31" s="545"/>
      <c r="TG31" s="545"/>
      <c r="TH31" s="545"/>
      <c r="TI31" s="545"/>
      <c r="TJ31" s="545"/>
      <c r="TK31" s="545"/>
      <c r="TL31" s="545"/>
      <c r="TM31" s="545"/>
      <c r="TN31" s="545"/>
      <c r="TO31" s="545"/>
      <c r="TP31" s="545"/>
      <c r="TQ31" s="545"/>
      <c r="TR31" s="545"/>
      <c r="TS31" s="545"/>
      <c r="TT31" s="545"/>
      <c r="TU31" s="545"/>
      <c r="TV31" s="545"/>
      <c r="TW31" s="545"/>
      <c r="TX31" s="545"/>
      <c r="TY31" s="545"/>
      <c r="TZ31" s="545"/>
      <c r="UA31" s="545"/>
      <c r="UB31" s="545"/>
      <c r="UC31" s="545"/>
      <c r="UD31" s="545"/>
      <c r="UE31" s="545"/>
      <c r="UF31" s="545"/>
      <c r="UG31" s="545"/>
      <c r="UH31" s="545"/>
      <c r="UI31" s="545"/>
      <c r="UJ31" s="545"/>
      <c r="UK31" s="545"/>
      <c r="UL31" s="545"/>
      <c r="UM31" s="545"/>
      <c r="UN31" s="545"/>
      <c r="UO31" s="545"/>
      <c r="UP31" s="545"/>
      <c r="UQ31" s="545"/>
      <c r="UR31" s="545"/>
      <c r="US31" s="545"/>
      <c r="UT31" s="545"/>
      <c r="UU31" s="545"/>
      <c r="UV31" s="545"/>
      <c r="UW31" s="545"/>
      <c r="UX31" s="545"/>
      <c r="UY31" s="545"/>
      <c r="UZ31" s="545"/>
      <c r="VA31" s="545"/>
      <c r="VB31" s="545"/>
      <c r="VC31" s="545"/>
      <c r="VD31" s="545"/>
      <c r="VE31" s="545"/>
      <c r="VF31" s="545"/>
      <c r="VG31" s="545"/>
      <c r="VH31" s="545"/>
      <c r="VI31" s="545"/>
      <c r="VJ31" s="545"/>
      <c r="VK31" s="545"/>
      <c r="VL31" s="545"/>
      <c r="VM31" s="545"/>
      <c r="VN31" s="545"/>
      <c r="VO31" s="545"/>
      <c r="VP31" s="545"/>
      <c r="VQ31" s="545"/>
      <c r="VR31" s="545"/>
      <c r="VS31" s="545"/>
      <c r="VT31" s="545"/>
      <c r="VU31" s="545"/>
      <c r="VV31" s="545"/>
      <c r="VW31" s="545"/>
      <c r="VX31" s="545"/>
      <c r="VY31" s="545"/>
      <c r="VZ31" s="545"/>
      <c r="WA31" s="545"/>
      <c r="WB31" s="545"/>
      <c r="WC31" s="545"/>
      <c r="WD31" s="545"/>
      <c r="WE31" s="545"/>
      <c r="WF31" s="545"/>
      <c r="WG31" s="545"/>
      <c r="WH31" s="545"/>
      <c r="WI31" s="545"/>
      <c r="WJ31" s="545"/>
      <c r="WK31" s="545"/>
      <c r="WL31" s="545"/>
      <c r="WM31" s="545"/>
      <c r="WN31" s="545"/>
      <c r="WO31" s="545"/>
      <c r="WP31" s="545"/>
      <c r="WQ31" s="545"/>
      <c r="WR31" s="545"/>
      <c r="WS31" s="545"/>
      <c r="WT31" s="545"/>
      <c r="WU31" s="545"/>
      <c r="WV31" s="545"/>
      <c r="WW31" s="545"/>
      <c r="WX31" s="545"/>
      <c r="WY31" s="545"/>
      <c r="WZ31" s="545"/>
      <c r="XA31" s="545"/>
      <c r="XB31" s="545"/>
      <c r="XC31" s="545"/>
      <c r="XD31" s="545"/>
      <c r="XE31" s="545"/>
      <c r="XF31" s="545"/>
      <c r="XG31" s="545"/>
      <c r="XH31" s="545"/>
      <c r="XI31" s="545"/>
      <c r="XJ31" s="545"/>
      <c r="XK31" s="545"/>
      <c r="XL31" s="545"/>
      <c r="XM31" s="545"/>
      <c r="XN31" s="545"/>
      <c r="XO31" s="545"/>
      <c r="XP31" s="545"/>
      <c r="XQ31" s="545"/>
      <c r="XR31" s="545"/>
      <c r="XS31" s="545"/>
      <c r="XT31" s="545"/>
      <c r="XU31" s="545"/>
      <c r="XV31" s="545"/>
      <c r="XW31" s="545"/>
      <c r="XX31" s="545"/>
      <c r="XY31" s="545"/>
      <c r="XZ31" s="545"/>
      <c r="YA31" s="545"/>
      <c r="YB31" s="545"/>
      <c r="YC31" s="545"/>
      <c r="YD31" s="545"/>
      <c r="YE31" s="545"/>
      <c r="YF31" s="545"/>
      <c r="YG31" s="545"/>
      <c r="YH31" s="545"/>
      <c r="YI31" s="545"/>
      <c r="YJ31" s="545"/>
      <c r="YK31" s="545"/>
      <c r="YL31" s="545"/>
      <c r="YM31" s="545"/>
      <c r="YN31" s="545"/>
      <c r="YO31" s="545"/>
      <c r="YP31" s="545"/>
      <c r="YQ31" s="545"/>
      <c r="YR31" s="545"/>
      <c r="YS31" s="545"/>
      <c r="YT31" s="545"/>
      <c r="YU31" s="545"/>
      <c r="YV31" s="545"/>
      <c r="YW31" s="545"/>
      <c r="YX31" s="545"/>
      <c r="YY31" s="545"/>
      <c r="YZ31" s="545"/>
      <c r="ZA31" s="545"/>
      <c r="ZB31" s="545"/>
      <c r="ZC31" s="545"/>
      <c r="ZD31" s="545"/>
      <c r="ZE31" s="545"/>
      <c r="ZF31" s="545"/>
      <c r="ZG31" s="545"/>
      <c r="ZH31" s="545"/>
      <c r="ZI31" s="545"/>
      <c r="ZJ31" s="545"/>
      <c r="ZK31" s="545"/>
      <c r="ZL31" s="545"/>
      <c r="ZM31" s="545"/>
      <c r="ZN31" s="545"/>
      <c r="ZO31" s="545"/>
      <c r="ZP31" s="545"/>
      <c r="ZQ31" s="545"/>
      <c r="ZR31" s="545"/>
      <c r="ZS31" s="545"/>
      <c r="ZT31" s="545"/>
      <c r="ZU31" s="545"/>
      <c r="ZV31" s="545"/>
      <c r="ZW31" s="545"/>
      <c r="ZX31" s="545"/>
      <c r="ZY31" s="545"/>
      <c r="ZZ31" s="545"/>
      <c r="AAA31" s="545"/>
      <c r="AAB31" s="545"/>
      <c r="AAC31" s="545"/>
      <c r="AAD31" s="545"/>
      <c r="AAE31" s="545"/>
      <c r="AAF31" s="545"/>
      <c r="AAG31" s="545"/>
      <c r="AAH31" s="545"/>
      <c r="AAI31" s="545"/>
      <c r="AAJ31" s="545"/>
      <c r="AAK31" s="545"/>
      <c r="AAL31" s="545"/>
      <c r="AAM31" s="545"/>
      <c r="AAN31" s="545"/>
      <c r="AAO31" s="545"/>
      <c r="AAP31" s="545"/>
      <c r="AAQ31" s="545"/>
      <c r="AAR31" s="545"/>
      <c r="AAS31" s="545"/>
      <c r="AAT31" s="545"/>
      <c r="AAU31" s="545"/>
      <c r="AAV31" s="545"/>
      <c r="AAW31" s="545"/>
      <c r="AAX31" s="545"/>
      <c r="AAY31" s="545"/>
      <c r="AAZ31" s="545"/>
      <c r="ABA31" s="545"/>
      <c r="ABB31" s="545"/>
      <c r="ABC31" s="545"/>
      <c r="ABD31" s="545"/>
      <c r="ABE31" s="545"/>
      <c r="ABF31" s="545"/>
      <c r="ABG31" s="545"/>
      <c r="ABH31" s="545"/>
      <c r="ABI31" s="545"/>
      <c r="ABJ31" s="545"/>
      <c r="ABK31" s="545"/>
      <c r="ABL31" s="545"/>
      <c r="ABM31" s="545"/>
      <c r="ABN31" s="545"/>
      <c r="ABO31" s="545"/>
      <c r="ABP31" s="545"/>
      <c r="ABQ31" s="545"/>
      <c r="ABR31" s="545"/>
      <c r="ABS31" s="545"/>
      <c r="ABT31" s="545"/>
      <c r="ABU31" s="545"/>
      <c r="ABV31" s="545"/>
      <c r="ABW31" s="545"/>
      <c r="ABX31" s="545"/>
      <c r="ABY31" s="545"/>
      <c r="ABZ31" s="545"/>
      <c r="ACA31" s="545"/>
      <c r="ACB31" s="545"/>
      <c r="ACC31" s="545"/>
      <c r="ACD31" s="545"/>
      <c r="ACE31" s="545"/>
      <c r="ACF31" s="545"/>
      <c r="ACG31" s="545"/>
      <c r="ACH31" s="545"/>
      <c r="ACI31" s="545"/>
      <c r="ACJ31" s="545"/>
      <c r="ACK31" s="545"/>
      <c r="ACL31" s="545"/>
      <c r="ACM31" s="545"/>
      <c r="ACN31" s="545"/>
      <c r="ACO31" s="545"/>
      <c r="ACP31" s="545"/>
      <c r="ACQ31" s="545"/>
      <c r="ACR31" s="545"/>
      <c r="ACS31" s="545"/>
      <c r="ACT31" s="545"/>
      <c r="ACU31" s="545"/>
      <c r="ACV31" s="545"/>
      <c r="ACW31" s="545"/>
      <c r="ACX31" s="545"/>
      <c r="ACY31" s="545"/>
      <c r="ACZ31" s="545"/>
      <c r="ADA31" s="545"/>
      <c r="ADB31" s="545"/>
      <c r="ADC31" s="545"/>
      <c r="ADD31" s="545"/>
      <c r="ADE31" s="545"/>
      <c r="ADF31" s="545"/>
      <c r="ADG31" s="545"/>
      <c r="ADH31" s="545"/>
      <c r="ADI31" s="545"/>
      <c r="ADJ31" s="545"/>
      <c r="ADK31" s="545"/>
      <c r="ADL31" s="545"/>
      <c r="ADM31" s="545"/>
      <c r="ADN31" s="545"/>
      <c r="ADO31" s="545"/>
      <c r="ADP31" s="545"/>
      <c r="ADQ31" s="545"/>
      <c r="ADR31" s="545"/>
      <c r="ADS31" s="545"/>
      <c r="ADT31" s="545"/>
      <c r="ADU31" s="545"/>
      <c r="ADV31" s="545"/>
      <c r="ADW31" s="545"/>
      <c r="ADX31" s="545"/>
      <c r="ADY31" s="545"/>
      <c r="ADZ31" s="545"/>
      <c r="AEA31" s="545"/>
      <c r="AEB31" s="545"/>
      <c r="AEC31" s="545"/>
      <c r="AED31" s="545"/>
      <c r="AEE31" s="545"/>
      <c r="AEF31" s="545"/>
      <c r="AEG31" s="545"/>
      <c r="AEH31" s="545"/>
      <c r="AEI31" s="545"/>
      <c r="AEJ31" s="545"/>
      <c r="AEK31" s="545"/>
      <c r="AEL31" s="545"/>
      <c r="AEM31" s="545"/>
      <c r="AEN31" s="545"/>
      <c r="AEO31" s="545"/>
      <c r="AEP31" s="545"/>
      <c r="AEQ31" s="545"/>
      <c r="AER31" s="545"/>
      <c r="AES31" s="545"/>
      <c r="AET31" s="545"/>
      <c r="AEU31" s="545"/>
      <c r="AEV31" s="545"/>
      <c r="AEW31" s="545"/>
      <c r="AEX31" s="545"/>
      <c r="AEY31" s="545"/>
      <c r="AEZ31" s="545"/>
      <c r="AFA31" s="545"/>
      <c r="AFB31" s="545"/>
      <c r="AFC31" s="545"/>
      <c r="AFD31" s="545"/>
      <c r="AFE31" s="545"/>
      <c r="AFF31" s="545"/>
      <c r="AFG31" s="545"/>
      <c r="AFH31" s="545"/>
      <c r="AFI31" s="545"/>
      <c r="AFJ31" s="545"/>
      <c r="AFK31" s="545"/>
      <c r="AFL31" s="545"/>
      <c r="AFM31" s="545"/>
      <c r="AFN31" s="545"/>
      <c r="AFO31" s="545"/>
      <c r="AFP31" s="545"/>
      <c r="AFQ31" s="545"/>
      <c r="AFR31" s="545"/>
      <c r="AFS31" s="545"/>
      <c r="AFT31" s="545"/>
      <c r="AFU31" s="545"/>
      <c r="AFV31" s="545"/>
      <c r="AFW31" s="545"/>
      <c r="AFX31" s="545"/>
      <c r="AFY31" s="545"/>
      <c r="AFZ31" s="545"/>
      <c r="AGA31" s="545"/>
      <c r="AGB31" s="545"/>
      <c r="AGC31" s="545"/>
      <c r="AGD31" s="545"/>
      <c r="AGE31" s="545"/>
      <c r="AGF31" s="545"/>
      <c r="AGG31" s="545"/>
      <c r="AGH31" s="545"/>
      <c r="AGI31" s="545"/>
      <c r="AGJ31" s="545"/>
      <c r="AGK31" s="545"/>
      <c r="AGL31" s="545"/>
      <c r="AGM31" s="545"/>
      <c r="AGN31" s="545"/>
      <c r="AGO31" s="545"/>
      <c r="AGP31" s="545"/>
      <c r="AGQ31" s="545"/>
      <c r="AGR31" s="545"/>
      <c r="AGS31" s="545"/>
      <c r="AGT31" s="545"/>
      <c r="AGU31" s="545"/>
      <c r="AGV31" s="545"/>
      <c r="AGW31" s="545"/>
      <c r="AGX31" s="545"/>
      <c r="AGY31" s="545"/>
      <c r="AGZ31" s="545"/>
      <c r="AHA31" s="545"/>
      <c r="AHB31" s="545"/>
      <c r="AHC31" s="545"/>
      <c r="AHD31" s="545"/>
      <c r="AHE31" s="545"/>
      <c r="AHF31" s="545"/>
      <c r="AHG31" s="545"/>
      <c r="AHH31" s="545"/>
      <c r="AHI31" s="545"/>
      <c r="AHJ31" s="545"/>
      <c r="AHK31" s="545"/>
      <c r="AHL31" s="545"/>
      <c r="AHM31" s="545"/>
      <c r="AHN31" s="545"/>
      <c r="AHO31" s="545"/>
      <c r="AHP31" s="545"/>
      <c r="AHQ31" s="545"/>
      <c r="AHR31" s="545"/>
      <c r="AHS31" s="545"/>
      <c r="AHT31" s="545"/>
      <c r="AHU31" s="545"/>
      <c r="AHV31" s="545"/>
      <c r="AHW31" s="545"/>
      <c r="AHX31" s="545"/>
      <c r="AHY31" s="545"/>
      <c r="AHZ31" s="545"/>
      <c r="AIA31" s="545"/>
      <c r="AIB31" s="545"/>
      <c r="AIC31" s="545"/>
      <c r="AID31" s="545"/>
      <c r="AIE31" s="545"/>
      <c r="AIF31" s="545"/>
      <c r="AIG31" s="545"/>
      <c r="AIH31" s="545"/>
      <c r="AII31" s="545"/>
      <c r="AIJ31" s="545"/>
      <c r="AIK31" s="545"/>
      <c r="AIL31" s="545"/>
      <c r="AIM31" s="545"/>
      <c r="AIN31" s="545"/>
      <c r="AIO31" s="545"/>
      <c r="AIP31" s="545"/>
      <c r="AIQ31" s="545"/>
      <c r="AIR31" s="545"/>
      <c r="AIS31" s="545"/>
      <c r="AIT31" s="545"/>
      <c r="AIU31" s="545"/>
      <c r="AIV31" s="545"/>
      <c r="AIW31" s="545"/>
      <c r="AIX31" s="545"/>
      <c r="AIY31" s="545"/>
      <c r="AIZ31" s="545"/>
      <c r="AJA31" s="545"/>
      <c r="AJB31" s="545"/>
      <c r="AJC31" s="545"/>
      <c r="AJD31" s="545"/>
      <c r="AJE31" s="545"/>
      <c r="AJF31" s="545"/>
      <c r="AJG31" s="545"/>
      <c r="AJH31" s="545"/>
      <c r="AJI31" s="545"/>
      <c r="AJJ31" s="545"/>
      <c r="AJK31" s="545"/>
      <c r="AJL31" s="545"/>
      <c r="AJM31" s="545"/>
      <c r="AJN31" s="545"/>
      <c r="AJO31" s="545"/>
      <c r="AJP31" s="545"/>
      <c r="AJQ31" s="545"/>
      <c r="AJR31" s="545"/>
      <c r="AJS31" s="545"/>
      <c r="AJT31" s="545"/>
      <c r="AJU31" s="545"/>
      <c r="AJV31" s="545"/>
      <c r="AJW31" s="545"/>
      <c r="AJX31" s="545"/>
      <c r="AJY31" s="545"/>
      <c r="AJZ31" s="545"/>
      <c r="AKA31" s="545"/>
      <c r="AKB31" s="545"/>
      <c r="AKC31" s="545"/>
      <c r="AKD31" s="545"/>
      <c r="AKE31" s="545"/>
      <c r="AKF31" s="545"/>
      <c r="AKG31" s="545"/>
      <c r="AKH31" s="545"/>
      <c r="AKI31" s="545"/>
      <c r="AKJ31" s="545"/>
      <c r="AKK31" s="545"/>
      <c r="AKL31" s="545"/>
      <c r="AKM31" s="545"/>
      <c r="AKN31" s="545"/>
      <c r="AKO31" s="545"/>
      <c r="AKP31" s="545"/>
      <c r="AKQ31" s="545"/>
      <c r="AKR31" s="545"/>
      <c r="AKS31" s="545"/>
      <c r="AKT31" s="545"/>
      <c r="AKU31" s="545"/>
      <c r="AKV31" s="545"/>
      <c r="AKW31" s="545"/>
      <c r="AKX31" s="545"/>
      <c r="AKY31" s="545"/>
      <c r="AKZ31" s="545"/>
      <c r="ALA31" s="545"/>
      <c r="ALB31" s="545"/>
      <c r="ALC31" s="545"/>
      <c r="ALD31" s="545"/>
      <c r="ALE31" s="545"/>
      <c r="ALF31" s="545"/>
      <c r="ALG31" s="545"/>
      <c r="ALH31" s="545"/>
      <c r="ALI31" s="545"/>
      <c r="ALJ31" s="545"/>
      <c r="ALK31" s="545"/>
      <c r="ALL31" s="545"/>
      <c r="ALM31" s="545"/>
      <c r="ALN31" s="545"/>
      <c r="ALO31" s="545"/>
      <c r="ALP31" s="545"/>
      <c r="ALQ31" s="545"/>
      <c r="ALR31" s="545"/>
      <c r="ALS31" s="545"/>
      <c r="ALT31" s="545"/>
      <c r="ALU31" s="545"/>
      <c r="ALV31" s="545"/>
      <c r="ALW31" s="545"/>
      <c r="ALX31" s="545"/>
      <c r="ALY31" s="545"/>
      <c r="ALZ31" s="545"/>
      <c r="AMA31" s="545"/>
      <c r="AMB31" s="545"/>
      <c r="AMC31" s="545"/>
      <c r="AMD31" s="545"/>
      <c r="AME31" s="545"/>
      <c r="AMF31" s="545"/>
      <c r="AMG31" s="545"/>
      <c r="AMH31" s="545"/>
      <c r="AMI31" s="545"/>
      <c r="AMJ31" s="545"/>
      <c r="AMK31" s="545"/>
      <c r="AML31" s="545"/>
      <c r="AMM31" s="545"/>
      <c r="AMN31" s="545"/>
      <c r="AMO31" s="545"/>
      <c r="AMP31" s="545"/>
      <c r="AMQ31" s="545"/>
      <c r="AMR31" s="545"/>
      <c r="AMS31" s="545"/>
      <c r="AMT31" s="545"/>
      <c r="AMU31" s="545"/>
      <c r="AMV31" s="545"/>
      <c r="AMW31" s="545"/>
      <c r="AMX31" s="545"/>
      <c r="AMY31" s="545"/>
      <c r="AMZ31" s="545"/>
      <c r="ANA31" s="545"/>
      <c r="ANB31" s="545"/>
      <c r="ANC31" s="545"/>
      <c r="AND31" s="545"/>
      <c r="ANE31" s="545"/>
      <c r="ANF31" s="545"/>
      <c r="ANG31" s="545"/>
      <c r="ANH31" s="545"/>
      <c r="ANI31" s="545"/>
      <c r="ANJ31" s="545"/>
      <c r="ANK31" s="545"/>
      <c r="ANL31" s="545"/>
      <c r="ANM31" s="545"/>
      <c r="ANN31" s="545"/>
      <c r="ANO31" s="545"/>
      <c r="ANP31" s="545"/>
      <c r="ANQ31" s="545"/>
      <c r="ANR31" s="545"/>
      <c r="ANS31" s="545"/>
      <c r="ANT31" s="545"/>
      <c r="ANU31" s="545"/>
      <c r="ANV31" s="545"/>
      <c r="ANW31" s="545"/>
      <c r="ANX31" s="545"/>
      <c r="ANY31" s="545"/>
      <c r="ANZ31" s="545"/>
      <c r="AOA31" s="545"/>
      <c r="AOB31" s="545"/>
      <c r="AOC31" s="545"/>
      <c r="AOD31" s="545"/>
      <c r="AOE31" s="545"/>
      <c r="AOF31" s="545"/>
      <c r="AOG31" s="545"/>
      <c r="AOH31" s="545"/>
      <c r="AOI31" s="545"/>
      <c r="AOJ31" s="545"/>
      <c r="AOK31" s="545"/>
      <c r="AOL31" s="545"/>
      <c r="AOM31" s="545"/>
      <c r="AON31" s="545"/>
      <c r="AOO31" s="545"/>
      <c r="AOP31" s="545"/>
      <c r="AOQ31" s="545"/>
      <c r="AOR31" s="545"/>
      <c r="AOS31" s="545"/>
      <c r="AOT31" s="545"/>
      <c r="AOU31" s="545"/>
      <c r="AOV31" s="545"/>
      <c r="AOW31" s="545"/>
      <c r="AOX31" s="545"/>
      <c r="AOY31" s="545"/>
      <c r="AOZ31" s="545"/>
      <c r="APA31" s="545"/>
      <c r="APB31" s="545"/>
      <c r="APC31" s="545"/>
      <c r="APD31" s="545"/>
      <c r="APE31" s="545"/>
      <c r="APF31" s="545"/>
      <c r="APG31" s="545"/>
      <c r="APH31" s="545"/>
      <c r="API31" s="545"/>
      <c r="APJ31" s="545"/>
      <c r="APK31" s="545"/>
      <c r="APL31" s="545"/>
      <c r="APM31" s="545"/>
      <c r="APN31" s="545"/>
      <c r="APO31" s="545"/>
      <c r="APP31" s="545"/>
      <c r="APQ31" s="545"/>
      <c r="APR31" s="545"/>
      <c r="APS31" s="545"/>
      <c r="APT31" s="545"/>
      <c r="APU31" s="545"/>
      <c r="APV31" s="545"/>
      <c r="APW31" s="545"/>
      <c r="APX31" s="545"/>
      <c r="APY31" s="545"/>
      <c r="APZ31" s="545"/>
      <c r="AQA31" s="545"/>
      <c r="AQB31" s="545"/>
      <c r="AQC31" s="545"/>
      <c r="AQD31" s="545"/>
      <c r="AQE31" s="545"/>
      <c r="AQF31" s="545"/>
      <c r="AQG31" s="545"/>
      <c r="AQH31" s="545"/>
      <c r="AQI31" s="545"/>
      <c r="AQJ31" s="545"/>
      <c r="AQK31" s="545"/>
      <c r="AQL31" s="545"/>
      <c r="AQM31" s="545"/>
      <c r="AQN31" s="545"/>
      <c r="AQO31" s="545"/>
      <c r="AQP31" s="545"/>
      <c r="AQQ31" s="545"/>
      <c r="AQR31" s="545"/>
      <c r="AQS31" s="545"/>
      <c r="AQT31" s="545"/>
      <c r="AQU31" s="545"/>
      <c r="AQV31" s="545"/>
      <c r="AQW31" s="545"/>
      <c r="AQX31" s="545"/>
      <c r="AQY31" s="545"/>
      <c r="AQZ31" s="545"/>
      <c r="ARA31" s="545"/>
      <c r="ARB31" s="545"/>
      <c r="ARC31" s="545"/>
      <c r="ARD31" s="545"/>
      <c r="ARE31" s="545"/>
      <c r="ARF31" s="545"/>
      <c r="ARG31" s="545"/>
      <c r="ARH31" s="545"/>
      <c r="ARI31" s="545"/>
      <c r="ARJ31" s="545"/>
      <c r="ARK31" s="545"/>
      <c r="ARL31" s="545"/>
      <c r="ARM31" s="545"/>
      <c r="ARN31" s="545"/>
      <c r="ARO31" s="545"/>
      <c r="ARP31" s="545"/>
      <c r="ARQ31" s="545"/>
      <c r="ARR31" s="545"/>
      <c r="ARS31" s="545"/>
      <c r="ART31" s="545"/>
      <c r="ARU31" s="545"/>
      <c r="ARV31" s="545"/>
      <c r="ARW31" s="545"/>
      <c r="ARX31" s="545"/>
      <c r="ARY31" s="545"/>
      <c r="ARZ31" s="545"/>
      <c r="ASA31" s="545"/>
      <c r="ASB31" s="545"/>
      <c r="ASC31" s="545"/>
      <c r="ASD31" s="545"/>
      <c r="ASE31" s="545"/>
      <c r="ASF31" s="545"/>
      <c r="ASG31" s="545"/>
      <c r="ASH31" s="545"/>
      <c r="ASI31" s="545"/>
      <c r="ASJ31" s="545"/>
      <c r="ASK31" s="545"/>
      <c r="ASL31" s="545"/>
      <c r="ASM31" s="545"/>
      <c r="ASN31" s="545"/>
      <c r="ASO31" s="545"/>
      <c r="ASP31" s="545"/>
      <c r="ASQ31" s="545"/>
      <c r="ASR31" s="545"/>
      <c r="ASS31" s="545"/>
      <c r="AST31" s="545"/>
      <c r="ASU31" s="545"/>
      <c r="ASV31" s="545"/>
      <c r="ASW31" s="545"/>
      <c r="ASX31" s="545"/>
      <c r="ASY31" s="545"/>
      <c r="ASZ31" s="545"/>
      <c r="ATA31" s="545"/>
      <c r="ATB31" s="545"/>
      <c r="ATC31" s="545"/>
      <c r="ATD31" s="545"/>
      <c r="ATE31" s="545"/>
      <c r="ATF31" s="545"/>
      <c r="ATG31" s="545"/>
      <c r="ATH31" s="545"/>
      <c r="ATI31" s="545"/>
      <c r="ATJ31" s="545"/>
      <c r="ATK31" s="545"/>
      <c r="ATL31" s="545"/>
      <c r="ATM31" s="545"/>
      <c r="ATN31" s="545"/>
      <c r="ATO31" s="545"/>
      <c r="ATP31" s="545"/>
      <c r="ATQ31" s="545"/>
      <c r="ATR31" s="545"/>
      <c r="ATS31" s="545"/>
      <c r="ATT31" s="545"/>
      <c r="ATU31" s="545"/>
      <c r="ATV31" s="545"/>
      <c r="ATW31" s="545"/>
      <c r="ATX31" s="545"/>
      <c r="ATY31" s="545"/>
      <c r="ATZ31" s="545"/>
      <c r="AUA31" s="545"/>
      <c r="AUB31" s="545"/>
      <c r="AUC31" s="545"/>
      <c r="AUD31" s="545"/>
      <c r="AUE31" s="545"/>
      <c r="AUF31" s="545"/>
      <c r="AUG31" s="545"/>
      <c r="AUH31" s="545"/>
      <c r="AUI31" s="545"/>
      <c r="AUJ31" s="545"/>
      <c r="AUK31" s="545"/>
      <c r="AUL31" s="545"/>
      <c r="AUM31" s="545"/>
      <c r="AUN31" s="545"/>
      <c r="AUO31" s="545"/>
      <c r="AUP31" s="545"/>
      <c r="AUQ31" s="545"/>
      <c r="AUR31" s="545"/>
      <c r="AUS31" s="545"/>
      <c r="AUT31" s="545"/>
      <c r="AUU31" s="545"/>
      <c r="AUV31" s="545"/>
      <c r="AUW31" s="545"/>
      <c r="AUX31" s="545"/>
      <c r="AUY31" s="545"/>
      <c r="AUZ31" s="545"/>
      <c r="AVA31" s="545"/>
      <c r="AVB31" s="545"/>
      <c r="AVC31" s="545"/>
      <c r="AVD31" s="545"/>
      <c r="AVE31" s="545"/>
      <c r="AVF31" s="545"/>
      <c r="AVG31" s="545"/>
      <c r="AVH31" s="545"/>
      <c r="AVI31" s="545"/>
      <c r="AVJ31" s="545"/>
      <c r="AVK31" s="545"/>
      <c r="AVL31" s="545"/>
      <c r="AVM31" s="545"/>
      <c r="AVN31" s="545"/>
      <c r="AVO31" s="545"/>
      <c r="AVP31" s="545"/>
      <c r="AVQ31" s="545"/>
      <c r="AVR31" s="545"/>
      <c r="AVS31" s="545"/>
      <c r="AVT31" s="545"/>
      <c r="AVU31" s="545"/>
      <c r="AVV31" s="545"/>
      <c r="AVW31" s="545"/>
      <c r="AVX31" s="545"/>
      <c r="AVY31" s="545"/>
      <c r="AVZ31" s="545"/>
      <c r="AWA31" s="545"/>
      <c r="AWB31" s="545"/>
      <c r="AWC31" s="545"/>
      <c r="AWD31" s="545"/>
      <c r="AWE31" s="545"/>
      <c r="AWF31" s="545"/>
      <c r="AWG31" s="545"/>
      <c r="AWH31" s="545"/>
      <c r="AWI31" s="545"/>
      <c r="AWJ31" s="545"/>
      <c r="AWK31" s="545"/>
      <c r="AWL31" s="545"/>
      <c r="AWM31" s="545"/>
      <c r="AWN31" s="545"/>
      <c r="AWO31" s="545"/>
      <c r="AWP31" s="545"/>
      <c r="AWQ31" s="545"/>
      <c r="AWR31" s="545"/>
      <c r="AWS31" s="545"/>
      <c r="AWT31" s="545"/>
      <c r="AWU31" s="545"/>
      <c r="AWV31" s="545"/>
      <c r="AWW31" s="545"/>
      <c r="AWX31" s="545"/>
      <c r="AWY31" s="545"/>
      <c r="AWZ31" s="545"/>
      <c r="AXA31" s="545"/>
      <c r="AXB31" s="545"/>
      <c r="AXC31" s="545"/>
      <c r="AXD31" s="545"/>
      <c r="AXE31" s="545"/>
      <c r="AXF31" s="545"/>
      <c r="AXG31" s="545"/>
      <c r="AXH31" s="545"/>
      <c r="AXI31" s="545"/>
      <c r="AXJ31" s="545"/>
      <c r="AXK31" s="545"/>
      <c r="AXL31" s="545"/>
      <c r="AXM31" s="545"/>
      <c r="AXN31" s="545"/>
      <c r="AXO31" s="545"/>
      <c r="AXP31" s="545"/>
      <c r="AXQ31" s="545"/>
      <c r="AXR31" s="545"/>
      <c r="AXS31" s="545"/>
      <c r="AXT31" s="545"/>
      <c r="AXU31" s="545"/>
      <c r="AXV31" s="545"/>
      <c r="AXW31" s="545"/>
      <c r="AXX31" s="545"/>
      <c r="AXY31" s="545"/>
      <c r="AXZ31" s="545"/>
      <c r="AYA31" s="545"/>
      <c r="AYB31" s="545"/>
      <c r="AYC31" s="545"/>
      <c r="AYD31" s="545"/>
      <c r="AYE31" s="545"/>
      <c r="AYF31" s="545"/>
      <c r="AYG31" s="545"/>
      <c r="AYH31" s="545"/>
      <c r="AYI31" s="545"/>
      <c r="AYJ31" s="545"/>
      <c r="AYK31" s="545"/>
      <c r="AYL31" s="545"/>
      <c r="AYM31" s="545"/>
      <c r="AYN31" s="545"/>
      <c r="AYO31" s="545"/>
      <c r="AYP31" s="545"/>
      <c r="AYQ31" s="545"/>
      <c r="AYR31" s="545"/>
      <c r="AYS31" s="545"/>
      <c r="AYT31" s="545"/>
      <c r="AYU31" s="545"/>
      <c r="AYV31" s="545"/>
      <c r="AYW31" s="545"/>
      <c r="AYX31" s="545"/>
      <c r="AYY31" s="545"/>
      <c r="AYZ31" s="545"/>
      <c r="AZA31" s="545"/>
      <c r="AZB31" s="545"/>
      <c r="AZC31" s="545"/>
      <c r="AZD31" s="545"/>
      <c r="AZE31" s="545"/>
      <c r="AZF31" s="545"/>
      <c r="AZG31" s="545"/>
      <c r="AZH31" s="545"/>
      <c r="AZI31" s="545"/>
      <c r="AZJ31" s="545"/>
      <c r="AZK31" s="545"/>
      <c r="AZL31" s="545"/>
      <c r="AZM31" s="545"/>
      <c r="AZN31" s="545"/>
      <c r="AZO31" s="545"/>
      <c r="AZP31" s="545"/>
      <c r="AZQ31" s="545"/>
      <c r="AZR31" s="545"/>
      <c r="AZS31" s="545"/>
      <c r="AZT31" s="545"/>
      <c r="AZU31" s="545"/>
      <c r="AZV31" s="545"/>
      <c r="AZW31" s="545"/>
      <c r="AZX31" s="545"/>
      <c r="AZY31" s="545"/>
      <c r="AZZ31" s="545"/>
      <c r="BAA31" s="545"/>
      <c r="BAB31" s="545"/>
      <c r="BAC31" s="545"/>
      <c r="BAD31" s="545"/>
      <c r="BAE31" s="545"/>
      <c r="BAF31" s="545"/>
      <c r="BAG31" s="545"/>
      <c r="BAH31" s="545"/>
      <c r="BAI31" s="545"/>
      <c r="BAJ31" s="545"/>
      <c r="BAK31" s="545"/>
      <c r="BAL31" s="545"/>
      <c r="BAM31" s="545"/>
      <c r="BAN31" s="545"/>
      <c r="BAO31" s="545"/>
      <c r="BAP31" s="545"/>
      <c r="BAQ31" s="545"/>
      <c r="BAR31" s="545"/>
      <c r="BAS31" s="545"/>
      <c r="BAT31" s="545"/>
      <c r="BAU31" s="545"/>
      <c r="BAV31" s="545"/>
      <c r="BAW31" s="545"/>
      <c r="BAX31" s="545"/>
      <c r="BAY31" s="545"/>
      <c r="BAZ31" s="545"/>
      <c r="BBA31" s="545"/>
      <c r="BBB31" s="545"/>
      <c r="BBC31" s="545"/>
      <c r="BBD31" s="545"/>
      <c r="BBE31" s="545"/>
      <c r="BBF31" s="545"/>
      <c r="BBG31" s="545"/>
      <c r="BBH31" s="545"/>
      <c r="BBI31" s="545"/>
      <c r="BBJ31" s="545"/>
      <c r="BBK31" s="545"/>
      <c r="BBL31" s="545"/>
      <c r="BBM31" s="545"/>
      <c r="BBN31" s="545"/>
      <c r="BBO31" s="545"/>
      <c r="BBP31" s="545"/>
      <c r="BBQ31" s="545"/>
      <c r="BBR31" s="545"/>
      <c r="BBS31" s="545"/>
      <c r="BBT31" s="545"/>
      <c r="BBU31" s="545"/>
      <c r="BBV31" s="545"/>
      <c r="BBW31" s="545"/>
      <c r="BBX31" s="545"/>
      <c r="BBY31" s="545"/>
      <c r="BBZ31" s="545"/>
      <c r="BCA31" s="545"/>
      <c r="BCB31" s="545"/>
      <c r="BCC31" s="545"/>
      <c r="BCD31" s="545"/>
      <c r="BCE31" s="545"/>
      <c r="BCF31" s="545"/>
      <c r="BCG31" s="545"/>
      <c r="BCH31" s="545"/>
      <c r="BCI31" s="545"/>
      <c r="BCJ31" s="545"/>
      <c r="BCK31" s="545"/>
      <c r="BCL31" s="545"/>
      <c r="BCM31" s="545"/>
      <c r="BCN31" s="545"/>
      <c r="BCO31" s="545"/>
      <c r="BCP31" s="545"/>
      <c r="BCQ31" s="545"/>
      <c r="BCR31" s="545"/>
      <c r="BCS31" s="545"/>
      <c r="BCT31" s="545"/>
      <c r="BCU31" s="545"/>
      <c r="BCV31" s="545"/>
      <c r="BCW31" s="545"/>
      <c r="BCX31" s="545"/>
      <c r="BCY31" s="545"/>
      <c r="BCZ31" s="545"/>
      <c r="BDA31" s="545"/>
      <c r="BDB31" s="545"/>
      <c r="BDC31" s="545"/>
      <c r="BDD31" s="545"/>
      <c r="BDE31" s="545"/>
      <c r="BDF31" s="545"/>
      <c r="BDG31" s="545"/>
      <c r="BDH31" s="545"/>
      <c r="BDI31" s="545"/>
      <c r="BDJ31" s="545"/>
      <c r="BDK31" s="545"/>
      <c r="BDL31" s="545"/>
      <c r="BDM31" s="545"/>
      <c r="BDN31" s="545"/>
      <c r="BDO31" s="545"/>
      <c r="BDP31" s="545"/>
      <c r="BDQ31" s="545"/>
      <c r="BDR31" s="545"/>
      <c r="BDS31" s="545"/>
      <c r="BDT31" s="545"/>
      <c r="BDU31" s="545"/>
      <c r="BDV31" s="545"/>
      <c r="BDW31" s="545"/>
      <c r="BDX31" s="545"/>
      <c r="BDY31" s="545"/>
      <c r="BDZ31" s="545"/>
      <c r="BEA31" s="545"/>
      <c r="BEB31" s="545"/>
      <c r="BEC31" s="545"/>
      <c r="BED31" s="545"/>
      <c r="BEE31" s="545"/>
      <c r="BEF31" s="545"/>
      <c r="BEG31" s="545"/>
      <c r="BEH31" s="545"/>
      <c r="BEI31" s="545"/>
      <c r="BEJ31" s="545"/>
      <c r="BEK31" s="545"/>
      <c r="BEL31" s="545"/>
      <c r="BEM31" s="545"/>
      <c r="BEN31" s="545"/>
      <c r="BEO31" s="545"/>
      <c r="BEP31" s="545"/>
      <c r="BEQ31" s="545"/>
      <c r="BER31" s="545"/>
      <c r="BES31" s="545"/>
      <c r="BET31" s="545"/>
      <c r="BEU31" s="545"/>
      <c r="BEV31" s="545"/>
      <c r="BEW31" s="545"/>
      <c r="BEX31" s="545"/>
      <c r="BEY31" s="545"/>
      <c r="BEZ31" s="545"/>
      <c r="BFA31" s="545"/>
      <c r="BFB31" s="545"/>
      <c r="BFC31" s="545"/>
      <c r="BFD31" s="545"/>
      <c r="BFE31" s="545"/>
      <c r="BFF31" s="545"/>
      <c r="BFG31" s="545"/>
      <c r="BFH31" s="545"/>
      <c r="BFI31" s="545"/>
      <c r="BFJ31" s="545"/>
      <c r="BFK31" s="545"/>
      <c r="BFL31" s="545"/>
      <c r="BFM31" s="545"/>
      <c r="BFN31" s="545"/>
      <c r="BFO31" s="545"/>
      <c r="BFP31" s="545"/>
      <c r="BFQ31" s="545"/>
      <c r="BFR31" s="545"/>
      <c r="BFS31" s="545"/>
      <c r="BFT31" s="545"/>
      <c r="BFU31" s="545"/>
      <c r="BFV31" s="545"/>
      <c r="BFW31" s="545"/>
      <c r="BFX31" s="545"/>
      <c r="BFY31" s="545"/>
      <c r="BFZ31" s="545"/>
      <c r="BGA31" s="545"/>
      <c r="BGB31" s="545"/>
      <c r="BGC31" s="545"/>
      <c r="BGD31" s="545"/>
      <c r="BGE31" s="545"/>
      <c r="BGF31" s="545"/>
      <c r="BGG31" s="545"/>
      <c r="BGH31" s="545"/>
      <c r="BGI31" s="545"/>
      <c r="BGJ31" s="545"/>
      <c r="BGK31" s="545"/>
      <c r="BGL31" s="545"/>
      <c r="BGM31" s="545"/>
      <c r="BGN31" s="545"/>
      <c r="BGO31" s="545"/>
      <c r="BGP31" s="545"/>
      <c r="BGQ31" s="545"/>
      <c r="BGR31" s="545"/>
      <c r="BGS31" s="545"/>
      <c r="BGT31" s="545"/>
      <c r="BGU31" s="545"/>
      <c r="BGV31" s="545"/>
      <c r="BGW31" s="545"/>
      <c r="BGX31" s="545"/>
      <c r="BGY31" s="545"/>
      <c r="BGZ31" s="545"/>
      <c r="BHA31" s="545"/>
      <c r="BHB31" s="545"/>
      <c r="BHC31" s="545"/>
      <c r="BHD31" s="545"/>
      <c r="BHE31" s="545"/>
      <c r="BHF31" s="545"/>
      <c r="BHG31" s="545"/>
      <c r="BHH31" s="545"/>
      <c r="BHI31" s="545"/>
      <c r="BHJ31" s="545"/>
      <c r="BHK31" s="545"/>
      <c r="BHL31" s="545"/>
      <c r="BHM31" s="545"/>
      <c r="BHN31" s="545"/>
      <c r="BHO31" s="545"/>
      <c r="BHP31" s="545"/>
      <c r="BHQ31" s="545"/>
      <c r="BHR31" s="545"/>
      <c r="BHS31" s="545"/>
      <c r="BHT31" s="545"/>
      <c r="BHU31" s="545"/>
      <c r="BHV31" s="545"/>
      <c r="BHW31" s="545"/>
      <c r="BHX31" s="545"/>
      <c r="BHY31" s="545"/>
      <c r="BHZ31" s="545"/>
      <c r="BIA31" s="545"/>
      <c r="BIB31" s="545"/>
      <c r="BIC31" s="545"/>
      <c r="BID31" s="545"/>
      <c r="BIE31" s="545"/>
      <c r="BIF31" s="545"/>
      <c r="BIG31" s="545"/>
      <c r="BIH31" s="545"/>
      <c r="BII31" s="545"/>
      <c r="BIJ31" s="545"/>
      <c r="BIK31" s="545"/>
      <c r="BIL31" s="545"/>
      <c r="BIM31" s="545"/>
      <c r="BIN31" s="545"/>
      <c r="BIO31" s="545"/>
      <c r="BIP31" s="545"/>
      <c r="BIQ31" s="545"/>
      <c r="BIR31" s="545"/>
      <c r="BIS31" s="545"/>
      <c r="BIT31" s="545"/>
      <c r="BIU31" s="545"/>
      <c r="BIV31" s="545"/>
      <c r="BIW31" s="545"/>
      <c r="BIX31" s="545"/>
      <c r="BIY31" s="545"/>
      <c r="BIZ31" s="545"/>
      <c r="BJA31" s="545"/>
      <c r="BJB31" s="545"/>
      <c r="BJC31" s="545"/>
      <c r="BJD31" s="545"/>
      <c r="BJE31" s="545"/>
      <c r="BJF31" s="545"/>
      <c r="BJG31" s="545"/>
      <c r="BJH31" s="545"/>
      <c r="BJI31" s="545"/>
      <c r="BJJ31" s="545"/>
      <c r="BJK31" s="545"/>
      <c r="BJL31" s="545"/>
      <c r="BJM31" s="545"/>
      <c r="BJN31" s="545"/>
      <c r="BJO31" s="545"/>
      <c r="BJP31" s="545"/>
      <c r="BJQ31" s="545"/>
      <c r="BJR31" s="545"/>
      <c r="BJS31" s="545"/>
      <c r="BJT31" s="545"/>
      <c r="BJU31" s="545"/>
      <c r="BJV31" s="545"/>
      <c r="BJW31" s="545"/>
      <c r="BJX31" s="545"/>
      <c r="BJY31" s="545"/>
      <c r="BJZ31" s="545"/>
      <c r="BKA31" s="545"/>
      <c r="BKB31" s="545"/>
      <c r="BKC31" s="545"/>
      <c r="BKD31" s="545"/>
      <c r="BKE31" s="545"/>
      <c r="BKF31" s="545"/>
      <c r="BKG31" s="545"/>
      <c r="BKH31" s="545"/>
      <c r="BKI31" s="545"/>
      <c r="BKJ31" s="545"/>
      <c r="BKK31" s="545"/>
      <c r="BKL31" s="545"/>
      <c r="BKM31" s="545"/>
      <c r="BKN31" s="545"/>
      <c r="BKO31" s="545"/>
      <c r="BKP31" s="545"/>
      <c r="BKQ31" s="545"/>
      <c r="BKR31" s="545"/>
      <c r="BKS31" s="545"/>
      <c r="BKT31" s="545"/>
      <c r="BKU31" s="545"/>
      <c r="BKV31" s="545"/>
      <c r="BKW31" s="545"/>
      <c r="BKX31" s="545"/>
      <c r="BKY31" s="545"/>
      <c r="BKZ31" s="545"/>
      <c r="BLA31" s="545"/>
      <c r="BLB31" s="545"/>
      <c r="BLC31" s="545"/>
      <c r="BLD31" s="545"/>
      <c r="BLE31" s="545"/>
      <c r="BLF31" s="545"/>
      <c r="BLG31" s="545"/>
      <c r="BLH31" s="545"/>
      <c r="BLI31" s="545"/>
      <c r="BLJ31" s="545"/>
      <c r="BLK31" s="545"/>
      <c r="BLL31" s="545"/>
      <c r="BLM31" s="545"/>
      <c r="BLN31" s="545"/>
      <c r="BLO31" s="545"/>
      <c r="BLP31" s="545"/>
      <c r="BLQ31" s="545"/>
      <c r="BLR31" s="545"/>
      <c r="BLS31" s="545"/>
      <c r="BLT31" s="545"/>
      <c r="BLU31" s="545"/>
      <c r="BLV31" s="545"/>
      <c r="BLW31" s="545"/>
      <c r="BLX31" s="545"/>
      <c r="BLY31" s="545"/>
      <c r="BLZ31" s="545"/>
      <c r="BMA31" s="545"/>
      <c r="BMB31" s="545"/>
      <c r="BMC31" s="545"/>
      <c r="BMD31" s="545"/>
      <c r="BME31" s="545"/>
      <c r="BMF31" s="545"/>
      <c r="BMG31" s="545"/>
      <c r="BMH31" s="545"/>
      <c r="BMI31" s="545"/>
      <c r="BMJ31" s="545"/>
      <c r="BMK31" s="545"/>
      <c r="BML31" s="545"/>
      <c r="BMM31" s="545"/>
      <c r="BMN31" s="545"/>
      <c r="BMO31" s="545"/>
      <c r="BMP31" s="545"/>
      <c r="BMQ31" s="545"/>
      <c r="BMR31" s="545"/>
      <c r="BMS31" s="545"/>
      <c r="BMT31" s="545"/>
      <c r="BMU31" s="545"/>
      <c r="BMV31" s="545"/>
      <c r="BMW31" s="545"/>
      <c r="BMX31" s="545"/>
      <c r="BMY31" s="545"/>
      <c r="BMZ31" s="545"/>
      <c r="BNA31" s="545"/>
      <c r="BNB31" s="545"/>
      <c r="BNC31" s="545"/>
      <c r="BND31" s="545"/>
      <c r="BNE31" s="545"/>
      <c r="BNF31" s="545"/>
      <c r="BNG31" s="545"/>
      <c r="BNH31" s="545"/>
      <c r="BNI31" s="545"/>
      <c r="BNJ31" s="545"/>
      <c r="BNK31" s="545"/>
      <c r="BNL31" s="545"/>
      <c r="BNM31" s="545"/>
      <c r="BNN31" s="545"/>
      <c r="BNO31" s="545"/>
      <c r="BNP31" s="545"/>
      <c r="BNQ31" s="545"/>
      <c r="BNR31" s="545"/>
      <c r="BNS31" s="545"/>
      <c r="BNT31" s="545"/>
      <c r="BNU31" s="545"/>
      <c r="BNV31" s="545"/>
      <c r="BNW31" s="545"/>
      <c r="BNX31" s="545"/>
      <c r="BNY31" s="545"/>
      <c r="BNZ31" s="545"/>
      <c r="BOA31" s="545"/>
      <c r="BOB31" s="545"/>
      <c r="BOC31" s="545"/>
      <c r="BOD31" s="545"/>
      <c r="BOE31" s="545"/>
      <c r="BOF31" s="545"/>
      <c r="BOG31" s="545"/>
      <c r="BOH31" s="545"/>
      <c r="BOI31" s="545"/>
      <c r="BOJ31" s="545"/>
      <c r="BOK31" s="545"/>
      <c r="BOL31" s="545"/>
      <c r="BOM31" s="545"/>
      <c r="BON31" s="545"/>
      <c r="BOO31" s="545"/>
      <c r="BOP31" s="545"/>
      <c r="BOQ31" s="545"/>
      <c r="BOR31" s="545"/>
      <c r="BOS31" s="545"/>
      <c r="BOT31" s="545"/>
      <c r="BOU31" s="545"/>
      <c r="BOV31" s="545"/>
      <c r="BOW31" s="545"/>
      <c r="BOX31" s="545"/>
      <c r="BOY31" s="545"/>
      <c r="BOZ31" s="545"/>
      <c r="BPA31" s="545"/>
      <c r="BPB31" s="545"/>
      <c r="BPC31" s="545"/>
      <c r="BPD31" s="545"/>
      <c r="BPE31" s="545"/>
      <c r="BPF31" s="545"/>
      <c r="BPG31" s="545"/>
      <c r="BPH31" s="545"/>
      <c r="BPI31" s="545"/>
      <c r="BPJ31" s="545"/>
      <c r="BPK31" s="545"/>
      <c r="BPL31" s="545"/>
      <c r="BPM31" s="545"/>
      <c r="BPN31" s="545"/>
      <c r="BPO31" s="545"/>
      <c r="BPP31" s="545"/>
      <c r="BPQ31" s="545"/>
      <c r="BPR31" s="545"/>
      <c r="BPS31" s="545"/>
      <c r="BPT31" s="545"/>
      <c r="BPU31" s="545"/>
      <c r="BPV31" s="545"/>
      <c r="BPW31" s="545"/>
      <c r="BPX31" s="545"/>
      <c r="BPY31" s="545"/>
      <c r="BPZ31" s="545"/>
      <c r="BQA31" s="545"/>
      <c r="BQB31" s="545"/>
      <c r="BQC31" s="545"/>
      <c r="BQD31" s="545"/>
      <c r="BQE31" s="545"/>
      <c r="BQF31" s="545"/>
      <c r="BQG31" s="545"/>
      <c r="BQH31" s="545"/>
      <c r="BQI31" s="545"/>
      <c r="BQJ31" s="545"/>
      <c r="BQK31" s="545"/>
      <c r="BQL31" s="545"/>
      <c r="BQM31" s="545"/>
      <c r="BQN31" s="545"/>
      <c r="BQO31" s="545"/>
      <c r="BQP31" s="545"/>
      <c r="BQQ31" s="545"/>
      <c r="BQR31" s="545"/>
      <c r="BQS31" s="545"/>
      <c r="BQT31" s="545"/>
      <c r="BQU31" s="545"/>
      <c r="BQV31" s="545"/>
      <c r="BQW31" s="545"/>
      <c r="BQX31" s="545"/>
      <c r="BQY31" s="545"/>
      <c r="BQZ31" s="545"/>
      <c r="BRA31" s="545"/>
      <c r="BRB31" s="545"/>
      <c r="BRC31" s="545"/>
      <c r="BRD31" s="545"/>
      <c r="BRE31" s="545"/>
      <c r="BRF31" s="545"/>
      <c r="BRG31" s="545"/>
      <c r="BRH31" s="545"/>
      <c r="BRI31" s="545"/>
      <c r="BRJ31" s="545"/>
      <c r="BRK31" s="545"/>
      <c r="BRL31" s="545"/>
      <c r="BRM31" s="545"/>
      <c r="BRN31" s="545"/>
      <c r="BRO31" s="545"/>
      <c r="BRP31" s="545"/>
      <c r="BRQ31" s="545"/>
      <c r="BRR31" s="545"/>
      <c r="BRS31" s="545"/>
      <c r="BRT31" s="545"/>
      <c r="BRU31" s="545"/>
      <c r="BRV31" s="545"/>
      <c r="BRW31" s="545"/>
      <c r="BRX31" s="545"/>
      <c r="BRY31" s="545"/>
      <c r="BRZ31" s="545"/>
      <c r="BSA31" s="545"/>
      <c r="BSB31" s="545"/>
      <c r="BSC31" s="545"/>
      <c r="BSD31" s="545"/>
      <c r="BSE31" s="545"/>
      <c r="BSF31" s="545"/>
      <c r="BSG31" s="545"/>
      <c r="BSH31" s="545"/>
      <c r="BSI31" s="545"/>
      <c r="BSJ31" s="545"/>
      <c r="BSK31" s="545"/>
      <c r="BSL31" s="545"/>
      <c r="BSM31" s="545"/>
      <c r="BSN31" s="545"/>
      <c r="BSO31" s="545"/>
      <c r="BSP31" s="545"/>
      <c r="BSQ31" s="545"/>
      <c r="BSR31" s="545"/>
      <c r="BSS31" s="545"/>
      <c r="BST31" s="545"/>
      <c r="BSU31" s="545"/>
      <c r="BSV31" s="545"/>
      <c r="BSW31" s="545"/>
      <c r="BSX31" s="545"/>
      <c r="BSY31" s="545"/>
      <c r="BSZ31" s="545"/>
      <c r="BTA31" s="545"/>
      <c r="BTB31" s="545"/>
      <c r="BTC31" s="545"/>
      <c r="BTD31" s="545"/>
      <c r="BTE31" s="545"/>
      <c r="BTF31" s="545"/>
      <c r="BTG31" s="545"/>
      <c r="BTH31" s="545"/>
      <c r="BTI31" s="545"/>
      <c r="BTJ31" s="545"/>
      <c r="BTK31" s="545"/>
      <c r="BTL31" s="545"/>
      <c r="BTM31" s="545"/>
      <c r="BTN31" s="545"/>
      <c r="BTO31" s="545"/>
      <c r="BTP31" s="545"/>
      <c r="BTQ31" s="545"/>
      <c r="BTR31" s="545"/>
      <c r="BTS31" s="545"/>
      <c r="BTT31" s="545"/>
      <c r="BTU31" s="545"/>
      <c r="BTV31" s="545"/>
      <c r="BTW31" s="545"/>
      <c r="BTX31" s="545"/>
      <c r="BTY31" s="545"/>
      <c r="BTZ31" s="545"/>
      <c r="BUA31" s="545"/>
      <c r="BUB31" s="545"/>
      <c r="BUC31" s="545"/>
      <c r="BUD31" s="545"/>
      <c r="BUE31" s="545"/>
      <c r="BUF31" s="545"/>
      <c r="BUG31" s="545"/>
      <c r="BUH31" s="545"/>
      <c r="BUI31" s="545"/>
      <c r="BUJ31" s="545"/>
      <c r="BUK31" s="545"/>
      <c r="BUL31" s="545"/>
      <c r="BUM31" s="545"/>
      <c r="BUN31" s="545"/>
      <c r="BUO31" s="545"/>
      <c r="BUP31" s="545"/>
      <c r="BUQ31" s="545"/>
      <c r="BUR31" s="545"/>
      <c r="BUS31" s="545"/>
      <c r="BUT31" s="545"/>
      <c r="BUU31" s="545"/>
      <c r="BUV31" s="545"/>
      <c r="BUW31" s="545"/>
      <c r="BUX31" s="545"/>
      <c r="BUY31" s="545"/>
      <c r="BUZ31" s="545"/>
      <c r="BVA31" s="545"/>
      <c r="BVB31" s="545"/>
      <c r="BVC31" s="545"/>
      <c r="BVD31" s="545"/>
      <c r="BVE31" s="545"/>
      <c r="BVF31" s="545"/>
      <c r="BVG31" s="545"/>
      <c r="BVH31" s="545"/>
      <c r="BVI31" s="545"/>
      <c r="BVJ31" s="545"/>
      <c r="BVK31" s="545"/>
      <c r="BVL31" s="545"/>
      <c r="BVM31" s="545"/>
      <c r="BVN31" s="545"/>
      <c r="BVO31" s="545"/>
      <c r="BVP31" s="545"/>
      <c r="BVQ31" s="545"/>
      <c r="BVR31" s="545"/>
      <c r="BVS31" s="545"/>
      <c r="BVT31" s="545"/>
      <c r="BVU31" s="545"/>
      <c r="BVV31" s="545"/>
      <c r="BVW31" s="545"/>
      <c r="BVX31" s="545"/>
      <c r="BVY31" s="545"/>
      <c r="BVZ31" s="545"/>
      <c r="BWA31" s="545"/>
      <c r="BWB31" s="545"/>
      <c r="BWC31" s="545"/>
      <c r="BWD31" s="545"/>
      <c r="BWE31" s="545"/>
      <c r="BWF31" s="545"/>
      <c r="BWG31" s="545"/>
      <c r="BWH31" s="545"/>
      <c r="BWI31" s="545"/>
      <c r="BWJ31" s="545"/>
      <c r="BWK31" s="545"/>
      <c r="BWL31" s="545"/>
      <c r="BWM31" s="545"/>
      <c r="BWN31" s="545"/>
      <c r="BWO31" s="545"/>
      <c r="BWP31" s="545"/>
      <c r="BWQ31" s="545"/>
      <c r="BWR31" s="545"/>
      <c r="BWS31" s="545"/>
      <c r="BWT31" s="545"/>
      <c r="BWU31" s="545"/>
      <c r="BWV31" s="545"/>
      <c r="BWW31" s="545"/>
      <c r="BWX31" s="545"/>
      <c r="BWY31" s="545"/>
      <c r="BWZ31" s="545"/>
      <c r="BXA31" s="545"/>
      <c r="BXB31" s="545"/>
      <c r="BXC31" s="545"/>
      <c r="BXD31" s="545"/>
      <c r="BXE31" s="545"/>
      <c r="BXF31" s="545"/>
      <c r="BXG31" s="545"/>
      <c r="BXH31" s="545"/>
      <c r="BXI31" s="545"/>
      <c r="BXJ31" s="545"/>
      <c r="BXK31" s="545"/>
      <c r="BXL31" s="545"/>
      <c r="BXM31" s="545"/>
      <c r="BXN31" s="545"/>
      <c r="BXO31" s="545"/>
      <c r="BXP31" s="545"/>
      <c r="BXQ31" s="545"/>
      <c r="BXR31" s="545"/>
      <c r="BXS31" s="545"/>
      <c r="BXT31" s="545"/>
      <c r="BXU31" s="545"/>
      <c r="BXV31" s="545"/>
      <c r="BXW31" s="545"/>
      <c r="BXX31" s="545"/>
      <c r="BXY31" s="545"/>
      <c r="BXZ31" s="545"/>
      <c r="BYA31" s="545"/>
      <c r="BYB31" s="545"/>
      <c r="BYC31" s="545"/>
      <c r="BYD31" s="545"/>
      <c r="BYE31" s="545"/>
      <c r="BYF31" s="545"/>
      <c r="BYG31" s="545"/>
      <c r="BYH31" s="545"/>
      <c r="BYI31" s="545"/>
      <c r="BYJ31" s="545"/>
      <c r="BYK31" s="545"/>
      <c r="BYL31" s="545"/>
      <c r="BYM31" s="545"/>
      <c r="BYN31" s="545"/>
      <c r="BYO31" s="545"/>
      <c r="BYP31" s="545"/>
      <c r="BYQ31" s="545"/>
      <c r="BYR31" s="545"/>
      <c r="BYS31" s="545"/>
      <c r="BYT31" s="545"/>
      <c r="BYU31" s="545"/>
      <c r="BYV31" s="545"/>
      <c r="BYW31" s="545"/>
      <c r="BYX31" s="545"/>
      <c r="BYY31" s="545"/>
      <c r="BYZ31" s="545"/>
      <c r="BZA31" s="545"/>
      <c r="BZB31" s="545"/>
      <c r="BZC31" s="545"/>
      <c r="BZD31" s="545"/>
      <c r="BZE31" s="545"/>
      <c r="BZF31" s="545"/>
      <c r="BZG31" s="545"/>
      <c r="BZH31" s="545"/>
      <c r="BZI31" s="545"/>
      <c r="BZJ31" s="545"/>
      <c r="BZK31" s="545"/>
      <c r="BZL31" s="545"/>
      <c r="BZM31" s="545"/>
      <c r="BZN31" s="545"/>
      <c r="BZO31" s="545"/>
      <c r="BZP31" s="545"/>
      <c r="BZQ31" s="545"/>
      <c r="BZR31" s="545"/>
      <c r="BZS31" s="545"/>
      <c r="BZT31" s="545"/>
      <c r="BZU31" s="545"/>
      <c r="BZV31" s="545"/>
      <c r="BZW31" s="545"/>
      <c r="BZX31" s="545"/>
      <c r="BZY31" s="545"/>
      <c r="BZZ31" s="545"/>
      <c r="CAA31" s="545"/>
      <c r="CAB31" s="545"/>
      <c r="CAC31" s="545"/>
      <c r="CAD31" s="545"/>
      <c r="CAE31" s="545"/>
      <c r="CAF31" s="545"/>
      <c r="CAG31" s="545"/>
      <c r="CAH31" s="545"/>
      <c r="CAI31" s="545"/>
      <c r="CAJ31" s="545"/>
      <c r="CAK31" s="545"/>
      <c r="CAL31" s="545"/>
      <c r="CAM31" s="545"/>
      <c r="CAN31" s="545"/>
      <c r="CAO31" s="545"/>
      <c r="CAP31" s="545"/>
      <c r="CAQ31" s="545"/>
      <c r="CAR31" s="545"/>
      <c r="CAS31" s="545"/>
      <c r="CAT31" s="545"/>
      <c r="CAU31" s="545"/>
      <c r="CAV31" s="545"/>
      <c r="CAW31" s="545"/>
      <c r="CAX31" s="545"/>
      <c r="CAY31" s="545"/>
      <c r="CAZ31" s="545"/>
      <c r="CBA31" s="545"/>
      <c r="CBB31" s="545"/>
      <c r="CBC31" s="545"/>
      <c r="CBD31" s="545"/>
      <c r="CBE31" s="545"/>
      <c r="CBF31" s="545"/>
      <c r="CBG31" s="545"/>
      <c r="CBH31" s="545"/>
      <c r="CBI31" s="545"/>
      <c r="CBJ31" s="545"/>
      <c r="CBK31" s="545"/>
      <c r="CBL31" s="545"/>
      <c r="CBM31" s="545"/>
      <c r="CBN31" s="545"/>
      <c r="CBO31" s="545"/>
      <c r="CBP31" s="545"/>
      <c r="CBQ31" s="545"/>
      <c r="CBR31" s="545"/>
      <c r="CBS31" s="545"/>
      <c r="CBT31" s="545"/>
      <c r="CBU31" s="545"/>
      <c r="CBV31" s="545"/>
      <c r="CBW31" s="545"/>
      <c r="CBX31" s="545"/>
      <c r="CBY31" s="545"/>
      <c r="CBZ31" s="545"/>
      <c r="CCA31" s="545"/>
      <c r="CCB31" s="545"/>
      <c r="CCC31" s="545"/>
      <c r="CCD31" s="545"/>
      <c r="CCE31" s="545"/>
      <c r="CCF31" s="545"/>
      <c r="CCG31" s="545"/>
      <c r="CCH31" s="545"/>
      <c r="CCI31" s="545"/>
      <c r="CCJ31" s="545"/>
      <c r="CCK31" s="545"/>
      <c r="CCL31" s="545"/>
      <c r="CCM31" s="545"/>
      <c r="CCN31" s="545"/>
      <c r="CCO31" s="545"/>
      <c r="CCP31" s="545"/>
      <c r="CCQ31" s="545"/>
      <c r="CCR31" s="545"/>
      <c r="CCS31" s="545"/>
      <c r="CCT31" s="545"/>
      <c r="CCU31" s="545"/>
      <c r="CCV31" s="545"/>
      <c r="CCW31" s="545"/>
      <c r="CCX31" s="545"/>
      <c r="CCY31" s="545"/>
      <c r="CCZ31" s="545"/>
      <c r="CDA31" s="545"/>
      <c r="CDB31" s="545"/>
      <c r="CDC31" s="545"/>
      <c r="CDD31" s="545"/>
      <c r="CDE31" s="545"/>
      <c r="CDF31" s="545"/>
      <c r="CDG31" s="545"/>
      <c r="CDH31" s="545"/>
      <c r="CDI31" s="545"/>
      <c r="CDJ31" s="545"/>
      <c r="CDK31" s="545"/>
      <c r="CDL31" s="545"/>
      <c r="CDM31" s="545"/>
      <c r="CDN31" s="545"/>
      <c r="CDO31" s="545"/>
      <c r="CDP31" s="545"/>
      <c r="CDQ31" s="545"/>
      <c r="CDR31" s="545"/>
      <c r="CDS31" s="545"/>
      <c r="CDT31" s="545"/>
      <c r="CDU31" s="545"/>
      <c r="CDV31" s="545"/>
      <c r="CDW31" s="545"/>
      <c r="CDX31" s="545"/>
      <c r="CDY31" s="545"/>
      <c r="CDZ31" s="545"/>
      <c r="CEA31" s="545"/>
      <c r="CEB31" s="545"/>
      <c r="CEC31" s="545"/>
      <c r="CED31" s="545"/>
      <c r="CEE31" s="545"/>
      <c r="CEF31" s="545"/>
      <c r="CEG31" s="545"/>
      <c r="CEH31" s="545"/>
      <c r="CEI31" s="545"/>
      <c r="CEJ31" s="545"/>
      <c r="CEK31" s="545"/>
      <c r="CEL31" s="545"/>
      <c r="CEM31" s="545"/>
      <c r="CEN31" s="545"/>
      <c r="CEO31" s="545"/>
      <c r="CEP31" s="545"/>
      <c r="CEQ31" s="545"/>
      <c r="CER31" s="545"/>
      <c r="CES31" s="545"/>
      <c r="CET31" s="545"/>
      <c r="CEU31" s="545"/>
      <c r="CEV31" s="545"/>
      <c r="CEW31" s="545"/>
      <c r="CEX31" s="545"/>
      <c r="CEY31" s="545"/>
      <c r="CEZ31" s="545"/>
      <c r="CFA31" s="545"/>
      <c r="CFB31" s="545"/>
      <c r="CFC31" s="545"/>
      <c r="CFD31" s="545"/>
      <c r="CFE31" s="545"/>
      <c r="CFF31" s="545"/>
      <c r="CFG31" s="545"/>
      <c r="CFH31" s="545"/>
      <c r="CFI31" s="545"/>
      <c r="CFJ31" s="545"/>
      <c r="CFK31" s="545"/>
      <c r="CFL31" s="545"/>
      <c r="CFM31" s="545"/>
      <c r="CFN31" s="545"/>
      <c r="CFO31" s="545"/>
      <c r="CFP31" s="545"/>
      <c r="CFQ31" s="545"/>
      <c r="CFR31" s="545"/>
      <c r="CFS31" s="545"/>
      <c r="CFT31" s="545"/>
      <c r="CFU31" s="545"/>
      <c r="CFV31" s="545"/>
      <c r="CFW31" s="545"/>
      <c r="CFX31" s="545"/>
      <c r="CFY31" s="545"/>
      <c r="CFZ31" s="545"/>
      <c r="CGA31" s="545"/>
      <c r="CGB31" s="545"/>
      <c r="CGC31" s="545"/>
      <c r="CGD31" s="545"/>
      <c r="CGE31" s="545"/>
      <c r="CGF31" s="545"/>
      <c r="CGG31" s="545"/>
      <c r="CGH31" s="545"/>
      <c r="CGI31" s="545"/>
      <c r="CGJ31" s="545"/>
      <c r="CGK31" s="545"/>
      <c r="CGL31" s="545"/>
      <c r="CGM31" s="545"/>
      <c r="CGN31" s="545"/>
      <c r="CGO31" s="545"/>
      <c r="CGP31" s="545"/>
      <c r="CGQ31" s="545"/>
      <c r="CGR31" s="545"/>
      <c r="CGS31" s="545"/>
      <c r="CGT31" s="545"/>
      <c r="CGU31" s="545"/>
      <c r="CGV31" s="545"/>
      <c r="CGW31" s="545"/>
      <c r="CGX31" s="545"/>
      <c r="CGY31" s="545"/>
      <c r="CGZ31" s="545"/>
      <c r="CHA31" s="545"/>
      <c r="CHB31" s="545"/>
      <c r="CHC31" s="545"/>
      <c r="CHD31" s="545"/>
      <c r="CHE31" s="545"/>
      <c r="CHF31" s="545"/>
      <c r="CHG31" s="545"/>
      <c r="CHH31" s="545"/>
      <c r="CHI31" s="545"/>
      <c r="CHJ31" s="545"/>
      <c r="CHK31" s="545"/>
      <c r="CHL31" s="545"/>
      <c r="CHM31" s="545"/>
      <c r="CHN31" s="545"/>
      <c r="CHO31" s="545"/>
      <c r="CHP31" s="545"/>
      <c r="CHQ31" s="545"/>
      <c r="CHR31" s="545"/>
      <c r="CHS31" s="545"/>
      <c r="CHT31" s="545"/>
      <c r="CHU31" s="545"/>
      <c r="CHV31" s="545"/>
      <c r="CHW31" s="545"/>
      <c r="CHX31" s="545"/>
      <c r="CHY31" s="545"/>
      <c r="CHZ31" s="545"/>
      <c r="CIA31" s="545"/>
      <c r="CIB31" s="545"/>
      <c r="CIC31" s="545"/>
      <c r="CID31" s="545"/>
      <c r="CIE31" s="545"/>
      <c r="CIF31" s="545"/>
      <c r="CIG31" s="545"/>
      <c r="CIH31" s="545"/>
      <c r="CII31" s="545"/>
      <c r="CIJ31" s="545"/>
      <c r="CIK31" s="545"/>
      <c r="CIL31" s="545"/>
      <c r="CIM31" s="545"/>
      <c r="CIN31" s="545"/>
      <c r="CIO31" s="545"/>
      <c r="CIP31" s="545"/>
      <c r="CIQ31" s="545"/>
      <c r="CIR31" s="545"/>
      <c r="CIS31" s="545"/>
      <c r="CIT31" s="545"/>
      <c r="CIU31" s="545"/>
      <c r="CIV31" s="545"/>
      <c r="CIW31" s="545"/>
      <c r="CIX31" s="545"/>
      <c r="CIY31" s="545"/>
      <c r="CIZ31" s="545"/>
      <c r="CJA31" s="545"/>
      <c r="CJB31" s="545"/>
      <c r="CJC31" s="545"/>
      <c r="CJD31" s="545"/>
      <c r="CJE31" s="545"/>
      <c r="CJF31" s="545"/>
      <c r="CJG31" s="545"/>
      <c r="CJH31" s="545"/>
      <c r="CJI31" s="545"/>
      <c r="CJJ31" s="545"/>
      <c r="CJK31" s="545"/>
      <c r="CJL31" s="545"/>
      <c r="CJM31" s="545"/>
      <c r="CJN31" s="545"/>
      <c r="CJO31" s="545"/>
      <c r="CJP31" s="545"/>
      <c r="CJQ31" s="545"/>
      <c r="CJR31" s="545"/>
      <c r="CJS31" s="545"/>
      <c r="CJT31" s="545"/>
      <c r="CJU31" s="545"/>
      <c r="CJV31" s="545"/>
      <c r="CJW31" s="545"/>
      <c r="CJX31" s="545"/>
      <c r="CJY31" s="545"/>
      <c r="CJZ31" s="545"/>
      <c r="CKA31" s="545"/>
      <c r="CKB31" s="545"/>
      <c r="CKC31" s="545"/>
      <c r="CKD31" s="545"/>
      <c r="CKE31" s="545"/>
      <c r="CKF31" s="545"/>
      <c r="CKG31" s="545"/>
      <c r="CKH31" s="545"/>
      <c r="CKI31" s="545"/>
      <c r="CKJ31" s="545"/>
      <c r="CKK31" s="545"/>
      <c r="CKL31" s="545"/>
      <c r="CKM31" s="545"/>
      <c r="CKN31" s="545"/>
      <c r="CKO31" s="545"/>
      <c r="CKP31" s="545"/>
      <c r="CKQ31" s="545"/>
      <c r="CKR31" s="545"/>
      <c r="CKS31" s="545"/>
      <c r="CKT31" s="545"/>
      <c r="CKU31" s="545"/>
      <c r="CKV31" s="545"/>
      <c r="CKW31" s="545"/>
      <c r="CKX31" s="545"/>
      <c r="CKY31" s="545"/>
      <c r="CKZ31" s="545"/>
      <c r="CLA31" s="545"/>
      <c r="CLB31" s="545"/>
      <c r="CLC31" s="545"/>
      <c r="CLD31" s="545"/>
      <c r="CLE31" s="545"/>
      <c r="CLF31" s="545"/>
      <c r="CLG31" s="545"/>
      <c r="CLH31" s="545"/>
      <c r="CLI31" s="545"/>
      <c r="CLJ31" s="545"/>
      <c r="CLK31" s="545"/>
      <c r="CLL31" s="545"/>
      <c r="CLM31" s="545"/>
      <c r="CLN31" s="545"/>
      <c r="CLO31" s="545"/>
      <c r="CLP31" s="545"/>
      <c r="CLQ31" s="545"/>
      <c r="CLR31" s="545"/>
      <c r="CLS31" s="545"/>
      <c r="CLT31" s="545"/>
      <c r="CLU31" s="545"/>
      <c r="CLV31" s="545"/>
      <c r="CLW31" s="545"/>
      <c r="CLX31" s="545"/>
      <c r="CLY31" s="545"/>
      <c r="CLZ31" s="545"/>
      <c r="CMA31" s="545"/>
      <c r="CMB31" s="545"/>
      <c r="CMC31" s="545"/>
      <c r="CMD31" s="545"/>
      <c r="CME31" s="545"/>
      <c r="CMF31" s="545"/>
      <c r="CMG31" s="545"/>
      <c r="CMH31" s="545"/>
      <c r="CMI31" s="545"/>
      <c r="CMJ31" s="545"/>
      <c r="CMK31" s="545"/>
      <c r="CML31" s="545"/>
      <c r="CMM31" s="545"/>
      <c r="CMN31" s="545"/>
      <c r="CMO31" s="545"/>
      <c r="CMP31" s="545"/>
      <c r="CMQ31" s="545"/>
      <c r="CMR31" s="545"/>
      <c r="CMS31" s="545"/>
      <c r="CMT31" s="545"/>
      <c r="CMU31" s="545"/>
      <c r="CMV31" s="545"/>
      <c r="CMW31" s="545"/>
      <c r="CMX31" s="545"/>
      <c r="CMY31" s="545"/>
      <c r="CMZ31" s="545"/>
      <c r="CNA31" s="545"/>
      <c r="CNB31" s="545"/>
      <c r="CNC31" s="545"/>
      <c r="CND31" s="545"/>
      <c r="CNE31" s="545"/>
      <c r="CNF31" s="545"/>
      <c r="CNG31" s="545"/>
      <c r="CNH31" s="545"/>
      <c r="CNI31" s="545"/>
      <c r="CNJ31" s="545"/>
      <c r="CNK31" s="545"/>
      <c r="CNL31" s="545"/>
      <c r="CNM31" s="545"/>
      <c r="CNN31" s="545"/>
      <c r="CNO31" s="545"/>
      <c r="CNP31" s="545"/>
      <c r="CNQ31" s="545"/>
      <c r="CNR31" s="545"/>
      <c r="CNS31" s="545"/>
      <c r="CNT31" s="545"/>
      <c r="CNU31" s="545"/>
      <c r="CNV31" s="545"/>
      <c r="CNW31" s="545"/>
      <c r="CNX31" s="545"/>
      <c r="CNY31" s="545"/>
      <c r="CNZ31" s="545"/>
      <c r="COA31" s="545"/>
      <c r="COB31" s="545"/>
      <c r="COC31" s="545"/>
      <c r="COD31" s="545"/>
      <c r="COE31" s="545"/>
      <c r="COF31" s="545"/>
      <c r="COG31" s="545"/>
      <c r="COH31" s="545"/>
      <c r="COI31" s="545"/>
      <c r="COJ31" s="545"/>
      <c r="COK31" s="545"/>
      <c r="COL31" s="545"/>
      <c r="COM31" s="545"/>
      <c r="CON31" s="545"/>
      <c r="COO31" s="545"/>
      <c r="COP31" s="545"/>
      <c r="COQ31" s="545"/>
      <c r="COR31" s="545"/>
      <c r="COS31" s="545"/>
      <c r="COT31" s="545"/>
      <c r="COU31" s="545"/>
      <c r="COV31" s="545"/>
      <c r="COW31" s="545"/>
      <c r="COX31" s="545"/>
      <c r="COY31" s="545"/>
      <c r="COZ31" s="545"/>
      <c r="CPA31" s="545"/>
      <c r="CPB31" s="545"/>
      <c r="CPC31" s="545"/>
      <c r="CPD31" s="545"/>
      <c r="CPE31" s="545"/>
      <c r="CPF31" s="545"/>
      <c r="CPG31" s="545"/>
      <c r="CPH31" s="545"/>
      <c r="CPI31" s="545"/>
      <c r="CPJ31" s="545"/>
      <c r="CPK31" s="545"/>
      <c r="CPL31" s="545"/>
      <c r="CPM31" s="545"/>
      <c r="CPN31" s="545"/>
      <c r="CPO31" s="545"/>
      <c r="CPP31" s="545"/>
      <c r="CPQ31" s="545"/>
      <c r="CPR31" s="545"/>
      <c r="CPS31" s="545"/>
      <c r="CPT31" s="545"/>
      <c r="CPU31" s="545"/>
      <c r="CPV31" s="545"/>
      <c r="CPW31" s="545"/>
      <c r="CPX31" s="545"/>
      <c r="CPY31" s="545"/>
      <c r="CPZ31" s="545"/>
      <c r="CQA31" s="545"/>
      <c r="CQB31" s="545"/>
      <c r="CQC31" s="545"/>
      <c r="CQD31" s="545"/>
      <c r="CQE31" s="545"/>
      <c r="CQF31" s="545"/>
      <c r="CQG31" s="545"/>
      <c r="CQH31" s="545"/>
      <c r="CQI31" s="545"/>
      <c r="CQJ31" s="545"/>
      <c r="CQK31" s="545"/>
      <c r="CQL31" s="545"/>
      <c r="CQM31" s="545"/>
      <c r="CQN31" s="545"/>
      <c r="CQO31" s="545"/>
      <c r="CQP31" s="545"/>
      <c r="CQQ31" s="545"/>
      <c r="CQR31" s="545"/>
      <c r="CQS31" s="545"/>
      <c r="CQT31" s="545"/>
      <c r="CQU31" s="545"/>
      <c r="CQV31" s="545"/>
      <c r="CQW31" s="545"/>
      <c r="CQX31" s="545"/>
      <c r="CQY31" s="545"/>
      <c r="CQZ31" s="545"/>
      <c r="CRA31" s="545"/>
      <c r="CRB31" s="545"/>
      <c r="CRC31" s="545"/>
      <c r="CRD31" s="545"/>
      <c r="CRE31" s="545"/>
      <c r="CRF31" s="545"/>
      <c r="CRG31" s="545"/>
      <c r="CRH31" s="545"/>
      <c r="CRI31" s="545"/>
      <c r="CRJ31" s="545"/>
      <c r="CRK31" s="545"/>
      <c r="CRL31" s="545"/>
      <c r="CRM31" s="545"/>
      <c r="CRN31" s="545"/>
      <c r="CRO31" s="545"/>
      <c r="CRP31" s="545"/>
      <c r="CRQ31" s="545"/>
      <c r="CRR31" s="545"/>
      <c r="CRS31" s="545"/>
      <c r="CRT31" s="545"/>
      <c r="CRU31" s="545"/>
      <c r="CRV31" s="545"/>
      <c r="CRW31" s="545"/>
      <c r="CRX31" s="545"/>
      <c r="CRY31" s="545"/>
      <c r="CRZ31" s="545"/>
      <c r="CSA31" s="545"/>
      <c r="CSB31" s="545"/>
      <c r="CSC31" s="545"/>
      <c r="CSD31" s="545"/>
      <c r="CSE31" s="545"/>
      <c r="CSF31" s="545"/>
      <c r="CSG31" s="545"/>
      <c r="CSH31" s="545"/>
      <c r="CSI31" s="545"/>
      <c r="CSJ31" s="545"/>
      <c r="CSK31" s="545"/>
      <c r="CSL31" s="545"/>
      <c r="CSM31" s="545"/>
      <c r="CSN31" s="545"/>
      <c r="CSO31" s="545"/>
      <c r="CSP31" s="545"/>
      <c r="CSQ31" s="545"/>
      <c r="CSR31" s="545"/>
      <c r="CSS31" s="545"/>
      <c r="CST31" s="545"/>
      <c r="CSU31" s="545"/>
      <c r="CSV31" s="545"/>
      <c r="CSW31" s="545"/>
      <c r="CSX31" s="545"/>
      <c r="CSY31" s="545"/>
      <c r="CSZ31" s="545"/>
      <c r="CTA31" s="545"/>
      <c r="CTB31" s="545"/>
      <c r="CTC31" s="545"/>
      <c r="CTD31" s="545"/>
      <c r="CTE31" s="545"/>
      <c r="CTF31" s="545"/>
      <c r="CTG31" s="545"/>
      <c r="CTH31" s="545"/>
      <c r="CTI31" s="545"/>
      <c r="CTJ31" s="545"/>
      <c r="CTK31" s="545"/>
      <c r="CTL31" s="545"/>
      <c r="CTM31" s="545"/>
      <c r="CTN31" s="545"/>
      <c r="CTO31" s="545"/>
      <c r="CTP31" s="545"/>
      <c r="CTQ31" s="545"/>
      <c r="CTR31" s="545"/>
      <c r="CTS31" s="545"/>
      <c r="CTT31" s="545"/>
      <c r="CTU31" s="545"/>
      <c r="CTV31" s="545"/>
      <c r="CTW31" s="545"/>
      <c r="CTX31" s="545"/>
      <c r="CTY31" s="545"/>
      <c r="CTZ31" s="545"/>
      <c r="CUA31" s="545"/>
      <c r="CUB31" s="545"/>
      <c r="CUC31" s="545"/>
      <c r="CUD31" s="545"/>
      <c r="CUE31" s="545"/>
      <c r="CUF31" s="545"/>
      <c r="CUG31" s="545"/>
      <c r="CUH31" s="545"/>
      <c r="CUI31" s="545"/>
      <c r="CUJ31" s="545"/>
      <c r="CUK31" s="545"/>
      <c r="CUL31" s="545"/>
      <c r="CUM31" s="545"/>
      <c r="CUN31" s="545"/>
      <c r="CUO31" s="545"/>
      <c r="CUP31" s="545"/>
      <c r="CUQ31" s="545"/>
      <c r="CUR31" s="545"/>
      <c r="CUS31" s="545"/>
      <c r="CUT31" s="545"/>
      <c r="CUU31" s="545"/>
      <c r="CUV31" s="545"/>
      <c r="CUW31" s="545"/>
      <c r="CUX31" s="545"/>
      <c r="CUY31" s="545"/>
      <c r="CUZ31" s="545"/>
      <c r="CVA31" s="545"/>
      <c r="CVB31" s="545"/>
      <c r="CVC31" s="545"/>
      <c r="CVD31" s="545"/>
      <c r="CVE31" s="545"/>
      <c r="CVF31" s="545"/>
      <c r="CVG31" s="545"/>
      <c r="CVH31" s="545"/>
      <c r="CVI31" s="545"/>
      <c r="CVJ31" s="545"/>
      <c r="CVK31" s="545"/>
      <c r="CVL31" s="545"/>
      <c r="CVM31" s="545"/>
      <c r="CVN31" s="545"/>
      <c r="CVO31" s="545"/>
      <c r="CVP31" s="545"/>
      <c r="CVQ31" s="545"/>
      <c r="CVR31" s="545"/>
      <c r="CVS31" s="545"/>
      <c r="CVT31" s="545"/>
      <c r="CVU31" s="545"/>
      <c r="CVV31" s="545"/>
      <c r="CVW31" s="545"/>
      <c r="CVX31" s="545"/>
      <c r="CVY31" s="545"/>
      <c r="CVZ31" s="545"/>
      <c r="CWA31" s="545"/>
      <c r="CWB31" s="545"/>
      <c r="CWC31" s="545"/>
      <c r="CWD31" s="545"/>
      <c r="CWE31" s="545"/>
      <c r="CWF31" s="545"/>
      <c r="CWG31" s="545"/>
      <c r="CWH31" s="545"/>
      <c r="CWI31" s="545"/>
      <c r="CWJ31" s="545"/>
      <c r="CWK31" s="545"/>
      <c r="CWL31" s="545"/>
      <c r="CWM31" s="545"/>
      <c r="CWN31" s="545"/>
      <c r="CWO31" s="545"/>
      <c r="CWP31" s="545"/>
      <c r="CWQ31" s="545"/>
      <c r="CWR31" s="545"/>
      <c r="CWS31" s="545"/>
      <c r="CWT31" s="545"/>
      <c r="CWU31" s="545"/>
      <c r="CWV31" s="545"/>
      <c r="CWW31" s="545"/>
      <c r="CWX31" s="545"/>
      <c r="CWY31" s="545"/>
      <c r="CWZ31" s="545"/>
      <c r="CXA31" s="545"/>
      <c r="CXB31" s="545"/>
      <c r="CXC31" s="545"/>
      <c r="CXD31" s="545"/>
      <c r="CXE31" s="545"/>
      <c r="CXF31" s="545"/>
      <c r="CXG31" s="545"/>
      <c r="CXH31" s="545"/>
      <c r="CXI31" s="545"/>
      <c r="CXJ31" s="545"/>
      <c r="CXK31" s="545"/>
      <c r="CXL31" s="545"/>
      <c r="CXM31" s="545"/>
      <c r="CXN31" s="545"/>
      <c r="CXO31" s="545"/>
      <c r="CXP31" s="545"/>
      <c r="CXQ31" s="545"/>
      <c r="CXR31" s="545"/>
      <c r="CXS31" s="545"/>
      <c r="CXT31" s="545"/>
      <c r="CXU31" s="545"/>
      <c r="CXV31" s="545"/>
      <c r="CXW31" s="545"/>
      <c r="CXX31" s="545"/>
      <c r="CXY31" s="545"/>
      <c r="CXZ31" s="545"/>
      <c r="CYA31" s="545"/>
      <c r="CYB31" s="545"/>
      <c r="CYC31" s="545"/>
      <c r="CYD31" s="545"/>
      <c r="CYE31" s="545"/>
      <c r="CYF31" s="545"/>
      <c r="CYG31" s="545"/>
      <c r="CYH31" s="545"/>
      <c r="CYI31" s="545"/>
      <c r="CYJ31" s="545"/>
      <c r="CYK31" s="545"/>
      <c r="CYL31" s="545"/>
      <c r="CYM31" s="545"/>
      <c r="CYN31" s="545"/>
      <c r="CYO31" s="545"/>
      <c r="CYP31" s="545"/>
      <c r="CYQ31" s="545"/>
      <c r="CYR31" s="545"/>
      <c r="CYS31" s="545"/>
      <c r="CYT31" s="545"/>
      <c r="CYU31" s="545"/>
      <c r="CYV31" s="545"/>
      <c r="CYW31" s="545"/>
      <c r="CYX31" s="545"/>
      <c r="CYY31" s="545"/>
      <c r="CYZ31" s="545"/>
      <c r="CZA31" s="545"/>
      <c r="CZB31" s="545"/>
      <c r="CZC31" s="545"/>
      <c r="CZD31" s="545"/>
      <c r="CZE31" s="545"/>
      <c r="CZF31" s="545"/>
      <c r="CZG31" s="545"/>
      <c r="CZH31" s="545"/>
      <c r="CZI31" s="545"/>
      <c r="CZJ31" s="545"/>
      <c r="CZK31" s="545"/>
      <c r="CZL31" s="545"/>
      <c r="CZM31" s="545"/>
      <c r="CZN31" s="545"/>
      <c r="CZO31" s="545"/>
      <c r="CZP31" s="545"/>
      <c r="CZQ31" s="545"/>
      <c r="CZR31" s="545"/>
      <c r="CZS31" s="545"/>
      <c r="CZT31" s="545"/>
      <c r="CZU31" s="545"/>
      <c r="CZV31" s="545"/>
      <c r="CZW31" s="545"/>
      <c r="CZX31" s="545"/>
      <c r="CZY31" s="545"/>
      <c r="CZZ31" s="545"/>
      <c r="DAA31" s="545"/>
      <c r="DAB31" s="545"/>
      <c r="DAC31" s="545"/>
      <c r="DAD31" s="545"/>
      <c r="DAE31" s="545"/>
      <c r="DAF31" s="545"/>
      <c r="DAG31" s="545"/>
      <c r="DAH31" s="545"/>
      <c r="DAI31" s="545"/>
      <c r="DAJ31" s="545"/>
      <c r="DAK31" s="545"/>
      <c r="DAL31" s="545"/>
      <c r="DAM31" s="545"/>
      <c r="DAN31" s="545"/>
      <c r="DAO31" s="545"/>
      <c r="DAP31" s="545"/>
      <c r="DAQ31" s="545"/>
      <c r="DAR31" s="545"/>
      <c r="DAS31" s="545"/>
      <c r="DAT31" s="545"/>
      <c r="DAU31" s="545"/>
      <c r="DAV31" s="545"/>
      <c r="DAW31" s="545"/>
      <c r="DAX31" s="545"/>
      <c r="DAY31" s="545"/>
      <c r="DAZ31" s="545"/>
      <c r="DBA31" s="545"/>
      <c r="DBB31" s="545"/>
      <c r="DBC31" s="545"/>
      <c r="DBD31" s="545"/>
      <c r="DBE31" s="545"/>
      <c r="DBF31" s="545"/>
      <c r="DBG31" s="545"/>
      <c r="DBH31" s="545"/>
      <c r="DBI31" s="545"/>
      <c r="DBJ31" s="545"/>
      <c r="DBK31" s="545"/>
      <c r="DBL31" s="545"/>
      <c r="DBM31" s="545"/>
      <c r="DBN31" s="545"/>
      <c r="DBO31" s="545"/>
      <c r="DBP31" s="545"/>
      <c r="DBQ31" s="545"/>
      <c r="DBR31" s="545"/>
      <c r="DBS31" s="545"/>
      <c r="DBT31" s="545"/>
      <c r="DBU31" s="545"/>
      <c r="DBV31" s="545"/>
      <c r="DBW31" s="545"/>
      <c r="DBX31" s="545"/>
      <c r="DBY31" s="545"/>
      <c r="DBZ31" s="545"/>
      <c r="DCA31" s="545"/>
      <c r="DCB31" s="545"/>
      <c r="DCC31" s="545"/>
      <c r="DCD31" s="545"/>
      <c r="DCE31" s="545"/>
      <c r="DCF31" s="545"/>
      <c r="DCG31" s="545"/>
      <c r="DCH31" s="545"/>
      <c r="DCI31" s="545"/>
      <c r="DCJ31" s="545"/>
      <c r="DCK31" s="545"/>
      <c r="DCL31" s="545"/>
      <c r="DCM31" s="545"/>
      <c r="DCN31" s="545"/>
      <c r="DCO31" s="545"/>
      <c r="DCP31" s="545"/>
      <c r="DCQ31" s="545"/>
      <c r="DCR31" s="545"/>
      <c r="DCS31" s="545"/>
      <c r="DCT31" s="545"/>
      <c r="DCU31" s="545"/>
      <c r="DCV31" s="545"/>
      <c r="DCW31" s="545"/>
      <c r="DCX31" s="545"/>
      <c r="DCY31" s="545"/>
      <c r="DCZ31" s="545"/>
      <c r="DDA31" s="545"/>
      <c r="DDB31" s="545"/>
      <c r="DDC31" s="545"/>
      <c r="DDD31" s="545"/>
      <c r="DDE31" s="545"/>
      <c r="DDF31" s="545"/>
      <c r="DDG31" s="545"/>
      <c r="DDH31" s="545"/>
      <c r="DDI31" s="545"/>
      <c r="DDJ31" s="545"/>
      <c r="DDK31" s="545"/>
      <c r="DDL31" s="545"/>
      <c r="DDM31" s="545"/>
      <c r="DDN31" s="545"/>
      <c r="DDO31" s="545"/>
      <c r="DDP31" s="545"/>
      <c r="DDQ31" s="545"/>
      <c r="DDR31" s="545"/>
      <c r="DDS31" s="545"/>
      <c r="DDT31" s="545"/>
      <c r="DDU31" s="545"/>
      <c r="DDV31" s="545"/>
      <c r="DDW31" s="545"/>
      <c r="DDX31" s="545"/>
      <c r="DDY31" s="545"/>
      <c r="DDZ31" s="545"/>
      <c r="DEA31" s="545"/>
      <c r="DEB31" s="545"/>
      <c r="DEC31" s="545"/>
      <c r="DED31" s="545"/>
      <c r="DEE31" s="545"/>
      <c r="DEF31" s="545"/>
      <c r="DEG31" s="545"/>
      <c r="DEH31" s="545"/>
      <c r="DEI31" s="545"/>
      <c r="DEJ31" s="545"/>
      <c r="DEK31" s="545"/>
      <c r="DEL31" s="545"/>
      <c r="DEM31" s="545"/>
      <c r="DEN31" s="545"/>
      <c r="DEO31" s="545"/>
      <c r="DEP31" s="545"/>
      <c r="DEQ31" s="545"/>
      <c r="DER31" s="545"/>
      <c r="DES31" s="545"/>
      <c r="DET31" s="545"/>
      <c r="DEU31" s="545"/>
      <c r="DEV31" s="545"/>
      <c r="DEW31" s="545"/>
      <c r="DEX31" s="545"/>
      <c r="DEY31" s="545"/>
      <c r="DEZ31" s="545"/>
      <c r="DFA31" s="545"/>
      <c r="DFB31" s="545"/>
      <c r="DFC31" s="545"/>
      <c r="DFD31" s="545"/>
      <c r="DFE31" s="545"/>
      <c r="DFF31" s="545"/>
      <c r="DFG31" s="545"/>
      <c r="DFH31" s="545"/>
      <c r="DFI31" s="545"/>
      <c r="DFJ31" s="545"/>
      <c r="DFK31" s="545"/>
      <c r="DFL31" s="545"/>
      <c r="DFM31" s="545"/>
      <c r="DFN31" s="545"/>
      <c r="DFO31" s="545"/>
      <c r="DFP31" s="545"/>
      <c r="DFQ31" s="545"/>
      <c r="DFR31" s="545"/>
      <c r="DFS31" s="545"/>
      <c r="DFT31" s="545"/>
      <c r="DFU31" s="545"/>
      <c r="DFV31" s="545"/>
      <c r="DFW31" s="545"/>
      <c r="DFX31" s="545"/>
      <c r="DFY31" s="545"/>
      <c r="DFZ31" s="545"/>
      <c r="DGA31" s="545"/>
      <c r="DGB31" s="545"/>
      <c r="DGC31" s="545"/>
      <c r="DGD31" s="545"/>
      <c r="DGE31" s="545"/>
      <c r="DGF31" s="545"/>
      <c r="DGG31" s="545"/>
      <c r="DGH31" s="545"/>
      <c r="DGI31" s="545"/>
      <c r="DGJ31" s="545"/>
      <c r="DGK31" s="545"/>
      <c r="DGL31" s="545"/>
      <c r="DGM31" s="545"/>
      <c r="DGN31" s="545"/>
      <c r="DGO31" s="545"/>
      <c r="DGP31" s="545"/>
      <c r="DGQ31" s="545"/>
      <c r="DGR31" s="545"/>
      <c r="DGS31" s="545"/>
      <c r="DGT31" s="545"/>
      <c r="DGU31" s="545"/>
      <c r="DGV31" s="545"/>
      <c r="DGW31" s="545"/>
      <c r="DGX31" s="545"/>
      <c r="DGY31" s="545"/>
      <c r="DGZ31" s="545"/>
      <c r="DHA31" s="545"/>
      <c r="DHB31" s="545"/>
      <c r="DHC31" s="545"/>
      <c r="DHD31" s="545"/>
      <c r="DHE31" s="545"/>
      <c r="DHF31" s="545"/>
      <c r="DHG31" s="545"/>
      <c r="DHH31" s="545"/>
      <c r="DHI31" s="545"/>
      <c r="DHJ31" s="545"/>
      <c r="DHK31" s="545"/>
      <c r="DHL31" s="545"/>
      <c r="DHM31" s="545"/>
      <c r="DHN31" s="545"/>
      <c r="DHO31" s="545"/>
      <c r="DHP31" s="545"/>
      <c r="DHQ31" s="545"/>
      <c r="DHR31" s="545"/>
      <c r="DHS31" s="545"/>
      <c r="DHT31" s="545"/>
      <c r="DHU31" s="545"/>
      <c r="DHV31" s="545"/>
      <c r="DHW31" s="545"/>
      <c r="DHX31" s="545"/>
      <c r="DHY31" s="545"/>
      <c r="DHZ31" s="545"/>
      <c r="DIA31" s="545"/>
      <c r="DIB31" s="545"/>
      <c r="DIC31" s="545"/>
      <c r="DID31" s="545"/>
      <c r="DIE31" s="545"/>
      <c r="DIF31" s="545"/>
      <c r="DIG31" s="545"/>
      <c r="DIH31" s="545"/>
      <c r="DII31" s="545"/>
      <c r="DIJ31" s="545"/>
      <c r="DIK31" s="545"/>
      <c r="DIL31" s="545"/>
      <c r="DIM31" s="545"/>
      <c r="DIN31" s="545"/>
      <c r="DIO31" s="545"/>
      <c r="DIP31" s="545"/>
      <c r="DIQ31" s="545"/>
      <c r="DIR31" s="545"/>
      <c r="DIS31" s="545"/>
      <c r="DIT31" s="545"/>
      <c r="DIU31" s="545"/>
      <c r="DIV31" s="545"/>
      <c r="DIW31" s="545"/>
      <c r="DIX31" s="545"/>
      <c r="DIY31" s="545"/>
      <c r="DIZ31" s="545"/>
      <c r="DJA31" s="545"/>
      <c r="DJB31" s="545"/>
      <c r="DJC31" s="545"/>
      <c r="DJD31" s="545"/>
      <c r="DJE31" s="545"/>
      <c r="DJF31" s="545"/>
      <c r="DJG31" s="545"/>
      <c r="DJH31" s="545"/>
      <c r="DJI31" s="545"/>
      <c r="DJJ31" s="545"/>
      <c r="DJK31" s="545"/>
      <c r="DJL31" s="545"/>
      <c r="DJM31" s="545"/>
      <c r="DJN31" s="545"/>
      <c r="DJO31" s="545"/>
      <c r="DJP31" s="545"/>
      <c r="DJQ31" s="545"/>
      <c r="DJR31" s="545"/>
      <c r="DJS31" s="545"/>
      <c r="DJT31" s="545"/>
      <c r="DJU31" s="545"/>
      <c r="DJV31" s="545"/>
      <c r="DJW31" s="545"/>
      <c r="DJX31" s="545"/>
      <c r="DJY31" s="545"/>
      <c r="DJZ31" s="545"/>
      <c r="DKA31" s="545"/>
      <c r="DKB31" s="545"/>
      <c r="DKC31" s="545"/>
      <c r="DKD31" s="545"/>
      <c r="DKE31" s="545"/>
      <c r="DKF31" s="545"/>
      <c r="DKG31" s="545"/>
      <c r="DKH31" s="545"/>
      <c r="DKI31" s="545"/>
      <c r="DKJ31" s="545"/>
      <c r="DKK31" s="545"/>
      <c r="DKL31" s="545"/>
      <c r="DKM31" s="545"/>
      <c r="DKN31" s="545"/>
      <c r="DKO31" s="545"/>
      <c r="DKP31" s="545"/>
      <c r="DKQ31" s="545"/>
      <c r="DKR31" s="545"/>
      <c r="DKS31" s="545"/>
      <c r="DKT31" s="545"/>
      <c r="DKU31" s="545"/>
      <c r="DKV31" s="545"/>
      <c r="DKW31" s="545"/>
      <c r="DKX31" s="545"/>
      <c r="DKY31" s="545"/>
      <c r="DKZ31" s="545"/>
      <c r="DLA31" s="545"/>
      <c r="DLB31" s="545"/>
      <c r="DLC31" s="545"/>
      <c r="DLD31" s="545"/>
      <c r="DLE31" s="545"/>
      <c r="DLF31" s="545"/>
      <c r="DLG31" s="545"/>
      <c r="DLH31" s="545"/>
      <c r="DLI31" s="545"/>
      <c r="DLJ31" s="545"/>
      <c r="DLK31" s="545"/>
      <c r="DLL31" s="545"/>
      <c r="DLM31" s="545"/>
      <c r="DLN31" s="545"/>
      <c r="DLO31" s="545"/>
      <c r="DLP31" s="545"/>
      <c r="DLQ31" s="545"/>
      <c r="DLR31" s="545"/>
      <c r="DLS31" s="545"/>
      <c r="DLT31" s="545"/>
      <c r="DLU31" s="545"/>
      <c r="DLV31" s="545"/>
      <c r="DLW31" s="545"/>
      <c r="DLX31" s="545"/>
      <c r="DLY31" s="545"/>
      <c r="DLZ31" s="545"/>
      <c r="DMA31" s="545"/>
      <c r="DMB31" s="545"/>
      <c r="DMC31" s="545"/>
      <c r="DMD31" s="545"/>
      <c r="DME31" s="545"/>
      <c r="DMF31" s="545"/>
      <c r="DMG31" s="545"/>
      <c r="DMH31" s="545"/>
      <c r="DMI31" s="545"/>
      <c r="DMJ31" s="545"/>
      <c r="DMK31" s="545"/>
      <c r="DML31" s="545"/>
      <c r="DMM31" s="545"/>
      <c r="DMN31" s="545"/>
      <c r="DMO31" s="545"/>
      <c r="DMP31" s="545"/>
      <c r="DMQ31" s="545"/>
      <c r="DMR31" s="545"/>
      <c r="DMS31" s="545"/>
      <c r="DMT31" s="545"/>
      <c r="DMU31" s="545"/>
      <c r="DMV31" s="545"/>
      <c r="DMW31" s="545"/>
      <c r="DMX31" s="545"/>
      <c r="DMY31" s="545"/>
      <c r="DMZ31" s="545"/>
      <c r="DNA31" s="545"/>
      <c r="DNB31" s="545"/>
      <c r="DNC31" s="545"/>
      <c r="DND31" s="545"/>
      <c r="DNE31" s="545"/>
      <c r="DNF31" s="545"/>
      <c r="DNG31" s="545"/>
      <c r="DNH31" s="545"/>
      <c r="DNI31" s="545"/>
      <c r="DNJ31" s="545"/>
      <c r="DNK31" s="545"/>
      <c r="DNL31" s="545"/>
      <c r="DNM31" s="545"/>
      <c r="DNN31" s="545"/>
      <c r="DNO31" s="545"/>
      <c r="DNP31" s="545"/>
      <c r="DNQ31" s="545"/>
      <c r="DNR31" s="545"/>
      <c r="DNS31" s="545"/>
      <c r="DNT31" s="545"/>
      <c r="DNU31" s="545"/>
      <c r="DNV31" s="545"/>
      <c r="DNW31" s="545"/>
      <c r="DNX31" s="545"/>
      <c r="DNY31" s="545"/>
      <c r="DNZ31" s="545"/>
      <c r="DOA31" s="545"/>
      <c r="DOB31" s="545"/>
      <c r="DOC31" s="545"/>
      <c r="DOD31" s="545"/>
      <c r="DOE31" s="545"/>
      <c r="DOF31" s="545"/>
      <c r="DOG31" s="545"/>
      <c r="DOH31" s="545"/>
      <c r="DOI31" s="545"/>
      <c r="DOJ31" s="545"/>
      <c r="DOK31" s="545"/>
      <c r="DOL31" s="545"/>
      <c r="DOM31" s="545"/>
      <c r="DON31" s="545"/>
      <c r="DOO31" s="545"/>
      <c r="DOP31" s="545"/>
      <c r="DOQ31" s="545"/>
      <c r="DOR31" s="545"/>
      <c r="DOS31" s="545"/>
      <c r="DOT31" s="545"/>
      <c r="DOU31" s="545"/>
      <c r="DOV31" s="545"/>
      <c r="DOW31" s="545"/>
      <c r="DOX31" s="545"/>
      <c r="DOY31" s="545"/>
      <c r="DOZ31" s="545"/>
      <c r="DPA31" s="545"/>
      <c r="DPB31" s="545"/>
      <c r="DPC31" s="545"/>
      <c r="DPD31" s="545"/>
      <c r="DPE31" s="545"/>
      <c r="DPF31" s="545"/>
      <c r="DPG31" s="545"/>
      <c r="DPH31" s="545"/>
      <c r="DPI31" s="545"/>
      <c r="DPJ31" s="545"/>
      <c r="DPK31" s="545"/>
      <c r="DPL31" s="545"/>
      <c r="DPM31" s="545"/>
      <c r="DPN31" s="545"/>
      <c r="DPO31" s="545"/>
      <c r="DPP31" s="545"/>
      <c r="DPQ31" s="545"/>
      <c r="DPR31" s="545"/>
      <c r="DPS31" s="545"/>
      <c r="DPT31" s="545"/>
      <c r="DPU31" s="545"/>
      <c r="DPV31" s="545"/>
      <c r="DPW31" s="545"/>
      <c r="DPX31" s="545"/>
      <c r="DPY31" s="545"/>
      <c r="DPZ31" s="545"/>
      <c r="DQA31" s="545"/>
      <c r="DQB31" s="545"/>
      <c r="DQC31" s="545"/>
      <c r="DQD31" s="545"/>
      <c r="DQE31" s="545"/>
      <c r="DQF31" s="545"/>
      <c r="DQG31" s="545"/>
      <c r="DQH31" s="545"/>
      <c r="DQI31" s="545"/>
      <c r="DQJ31" s="545"/>
      <c r="DQK31" s="545"/>
      <c r="DQL31" s="545"/>
      <c r="DQM31" s="545"/>
      <c r="DQN31" s="545"/>
      <c r="DQO31" s="545"/>
      <c r="DQP31" s="545"/>
      <c r="DQQ31" s="545"/>
      <c r="DQR31" s="545"/>
      <c r="DQS31" s="545"/>
      <c r="DQT31" s="545"/>
      <c r="DQU31" s="545"/>
      <c r="DQV31" s="545"/>
      <c r="DQW31" s="545"/>
      <c r="DQX31" s="545"/>
      <c r="DQY31" s="545"/>
      <c r="DQZ31" s="545"/>
      <c r="DRA31" s="545"/>
      <c r="DRB31" s="545"/>
      <c r="DRC31" s="545"/>
      <c r="DRD31" s="545"/>
      <c r="DRE31" s="545"/>
      <c r="DRF31" s="545"/>
      <c r="DRG31" s="545"/>
      <c r="DRH31" s="545"/>
      <c r="DRI31" s="545"/>
      <c r="DRJ31" s="545"/>
      <c r="DRK31" s="545"/>
      <c r="DRL31" s="545"/>
      <c r="DRM31" s="545"/>
      <c r="DRN31" s="545"/>
      <c r="DRO31" s="545"/>
      <c r="DRP31" s="545"/>
      <c r="DRQ31" s="545"/>
      <c r="DRR31" s="545"/>
      <c r="DRS31" s="545"/>
      <c r="DRT31" s="545"/>
      <c r="DRU31" s="545"/>
      <c r="DRV31" s="545"/>
      <c r="DRW31" s="545"/>
      <c r="DRX31" s="545"/>
      <c r="DRY31" s="545"/>
      <c r="DRZ31" s="545"/>
      <c r="DSA31" s="545"/>
      <c r="DSB31" s="545"/>
      <c r="DSC31" s="545"/>
      <c r="DSD31" s="545"/>
      <c r="DSE31" s="545"/>
      <c r="DSF31" s="545"/>
      <c r="DSG31" s="545"/>
      <c r="DSH31" s="545"/>
      <c r="DSI31" s="545"/>
      <c r="DSJ31" s="545"/>
      <c r="DSK31" s="545"/>
      <c r="DSL31" s="545"/>
      <c r="DSM31" s="545"/>
      <c r="DSN31" s="545"/>
      <c r="DSO31" s="545"/>
      <c r="DSP31" s="545"/>
      <c r="DSQ31" s="545"/>
      <c r="DSR31" s="545"/>
      <c r="DSS31" s="545"/>
      <c r="DST31" s="545"/>
      <c r="DSU31" s="545"/>
      <c r="DSV31" s="545"/>
      <c r="DSW31" s="545"/>
      <c r="DSX31" s="545"/>
      <c r="DSY31" s="545"/>
      <c r="DSZ31" s="545"/>
      <c r="DTA31" s="545"/>
      <c r="DTB31" s="545"/>
      <c r="DTC31" s="545"/>
      <c r="DTD31" s="545"/>
      <c r="DTE31" s="545"/>
      <c r="DTF31" s="545"/>
      <c r="DTG31" s="545"/>
      <c r="DTH31" s="545"/>
      <c r="DTI31" s="545"/>
      <c r="DTJ31" s="545"/>
      <c r="DTK31" s="545"/>
      <c r="DTL31" s="545"/>
      <c r="DTM31" s="545"/>
      <c r="DTN31" s="545"/>
      <c r="DTO31" s="545"/>
      <c r="DTP31" s="545"/>
      <c r="DTQ31" s="545"/>
      <c r="DTR31" s="545"/>
      <c r="DTS31" s="545"/>
      <c r="DTT31" s="545"/>
      <c r="DTU31" s="545"/>
      <c r="DTV31" s="545"/>
      <c r="DTW31" s="545"/>
      <c r="DTX31" s="545"/>
      <c r="DTY31" s="545"/>
      <c r="DTZ31" s="545"/>
      <c r="DUA31" s="545"/>
      <c r="DUB31" s="545"/>
      <c r="DUC31" s="545"/>
      <c r="DUD31" s="545"/>
      <c r="DUE31" s="545"/>
      <c r="DUF31" s="545"/>
      <c r="DUG31" s="545"/>
      <c r="DUH31" s="545"/>
      <c r="DUI31" s="545"/>
      <c r="DUJ31" s="545"/>
      <c r="DUK31" s="545"/>
      <c r="DUL31" s="545"/>
      <c r="DUM31" s="545"/>
      <c r="DUN31" s="545"/>
      <c r="DUO31" s="545"/>
      <c r="DUP31" s="545"/>
      <c r="DUQ31" s="545"/>
      <c r="DUR31" s="545"/>
      <c r="DUS31" s="545"/>
      <c r="DUT31" s="545"/>
      <c r="DUU31" s="545"/>
      <c r="DUV31" s="545"/>
      <c r="DUW31" s="545"/>
      <c r="DUX31" s="545"/>
      <c r="DUY31" s="545"/>
      <c r="DUZ31" s="545"/>
      <c r="DVA31" s="545"/>
      <c r="DVB31" s="545"/>
      <c r="DVC31" s="545"/>
      <c r="DVD31" s="545"/>
      <c r="DVE31" s="545"/>
      <c r="DVF31" s="545"/>
      <c r="DVG31" s="545"/>
      <c r="DVH31" s="545"/>
      <c r="DVI31" s="545"/>
      <c r="DVJ31" s="545"/>
      <c r="DVK31" s="545"/>
      <c r="DVL31" s="545"/>
      <c r="DVM31" s="545"/>
      <c r="DVN31" s="545"/>
      <c r="DVO31" s="545"/>
      <c r="DVP31" s="545"/>
      <c r="DVQ31" s="545"/>
      <c r="DVR31" s="545"/>
      <c r="DVS31" s="545"/>
      <c r="DVT31" s="545"/>
      <c r="DVU31" s="545"/>
      <c r="DVV31" s="545"/>
      <c r="DVW31" s="545"/>
      <c r="DVX31" s="545"/>
      <c r="DVY31" s="545"/>
      <c r="DVZ31" s="545"/>
      <c r="DWA31" s="545"/>
      <c r="DWB31" s="545"/>
      <c r="DWC31" s="545"/>
      <c r="DWD31" s="545"/>
      <c r="DWE31" s="545"/>
      <c r="DWF31" s="545"/>
      <c r="DWG31" s="545"/>
      <c r="DWH31" s="545"/>
      <c r="DWI31" s="545"/>
      <c r="DWJ31" s="545"/>
      <c r="DWK31" s="545"/>
      <c r="DWL31" s="545"/>
      <c r="DWM31" s="545"/>
      <c r="DWN31" s="545"/>
      <c r="DWO31" s="545"/>
      <c r="DWP31" s="545"/>
      <c r="DWQ31" s="545"/>
      <c r="DWR31" s="545"/>
      <c r="DWS31" s="545"/>
      <c r="DWT31" s="545"/>
      <c r="DWU31" s="545"/>
      <c r="DWV31" s="545"/>
      <c r="DWW31" s="545"/>
      <c r="DWX31" s="545"/>
      <c r="DWY31" s="545"/>
      <c r="DWZ31" s="545"/>
      <c r="DXA31" s="545"/>
      <c r="DXB31" s="545"/>
      <c r="DXC31" s="545"/>
      <c r="DXD31" s="545"/>
      <c r="DXE31" s="545"/>
      <c r="DXF31" s="545"/>
      <c r="DXG31" s="545"/>
      <c r="DXH31" s="545"/>
      <c r="DXI31" s="545"/>
      <c r="DXJ31" s="545"/>
      <c r="DXK31" s="545"/>
      <c r="DXL31" s="545"/>
      <c r="DXM31" s="545"/>
      <c r="DXN31" s="545"/>
      <c r="DXO31" s="545"/>
      <c r="DXP31" s="545"/>
      <c r="DXQ31" s="545"/>
      <c r="DXR31" s="545"/>
      <c r="DXS31" s="545"/>
      <c r="DXT31" s="545"/>
      <c r="DXU31" s="545"/>
      <c r="DXV31" s="545"/>
      <c r="DXW31" s="545"/>
      <c r="DXX31" s="545"/>
      <c r="DXY31" s="545"/>
      <c r="DXZ31" s="545"/>
      <c r="DYA31" s="545"/>
      <c r="DYB31" s="545"/>
      <c r="DYC31" s="545"/>
      <c r="DYD31" s="545"/>
      <c r="DYE31" s="545"/>
      <c r="DYF31" s="545"/>
      <c r="DYG31" s="545"/>
      <c r="DYH31" s="545"/>
      <c r="DYI31" s="545"/>
      <c r="DYJ31" s="545"/>
      <c r="DYK31" s="545"/>
      <c r="DYL31" s="545"/>
      <c r="DYM31" s="545"/>
      <c r="DYN31" s="545"/>
      <c r="DYO31" s="545"/>
      <c r="DYP31" s="545"/>
      <c r="DYQ31" s="545"/>
      <c r="DYR31" s="545"/>
      <c r="DYS31" s="545"/>
      <c r="DYT31" s="545"/>
      <c r="DYU31" s="545"/>
      <c r="DYV31" s="545"/>
      <c r="DYW31" s="545"/>
      <c r="DYX31" s="545"/>
      <c r="DYY31" s="545"/>
      <c r="DYZ31" s="545"/>
      <c r="DZA31" s="545"/>
      <c r="DZB31" s="545"/>
      <c r="DZC31" s="545"/>
      <c r="DZD31" s="545"/>
      <c r="DZE31" s="545"/>
      <c r="DZF31" s="545"/>
      <c r="DZG31" s="545"/>
      <c r="DZH31" s="545"/>
      <c r="DZI31" s="545"/>
      <c r="DZJ31" s="545"/>
      <c r="DZK31" s="545"/>
      <c r="DZL31" s="545"/>
      <c r="DZM31" s="545"/>
      <c r="DZN31" s="545"/>
      <c r="DZO31" s="545"/>
      <c r="DZP31" s="545"/>
      <c r="DZQ31" s="545"/>
      <c r="DZR31" s="545"/>
      <c r="DZS31" s="545"/>
      <c r="DZT31" s="545"/>
      <c r="DZU31" s="545"/>
      <c r="DZV31" s="545"/>
      <c r="DZW31" s="545"/>
      <c r="DZX31" s="545"/>
      <c r="DZY31" s="545"/>
      <c r="DZZ31" s="545"/>
      <c r="EAA31" s="545"/>
      <c r="EAB31" s="545"/>
      <c r="EAC31" s="545"/>
      <c r="EAD31" s="545"/>
      <c r="EAE31" s="545"/>
      <c r="EAF31" s="545"/>
      <c r="EAG31" s="545"/>
      <c r="EAH31" s="545"/>
      <c r="EAI31" s="545"/>
      <c r="EAJ31" s="545"/>
      <c r="EAK31" s="545"/>
      <c r="EAL31" s="545"/>
      <c r="EAM31" s="545"/>
      <c r="EAN31" s="545"/>
      <c r="EAO31" s="545"/>
      <c r="EAP31" s="545"/>
      <c r="EAQ31" s="545"/>
      <c r="EAR31" s="545"/>
      <c r="EAS31" s="545"/>
      <c r="EAT31" s="545"/>
      <c r="EAU31" s="545"/>
      <c r="EAV31" s="545"/>
      <c r="EAW31" s="545"/>
      <c r="EAX31" s="545"/>
      <c r="EAY31" s="545"/>
      <c r="EAZ31" s="545"/>
      <c r="EBA31" s="545"/>
      <c r="EBB31" s="545"/>
      <c r="EBC31" s="545"/>
      <c r="EBD31" s="545"/>
      <c r="EBE31" s="545"/>
      <c r="EBF31" s="545"/>
      <c r="EBG31" s="545"/>
      <c r="EBH31" s="545"/>
      <c r="EBI31" s="545"/>
      <c r="EBJ31" s="545"/>
      <c r="EBK31" s="545"/>
      <c r="EBL31" s="545"/>
      <c r="EBM31" s="545"/>
      <c r="EBN31" s="545"/>
      <c r="EBO31" s="545"/>
      <c r="EBP31" s="545"/>
      <c r="EBQ31" s="545"/>
      <c r="EBR31" s="545"/>
      <c r="EBS31" s="545"/>
      <c r="EBT31" s="545"/>
      <c r="EBU31" s="545"/>
      <c r="EBV31" s="545"/>
      <c r="EBW31" s="545"/>
      <c r="EBX31" s="545"/>
      <c r="EBY31" s="545"/>
      <c r="EBZ31" s="545"/>
      <c r="ECA31" s="545"/>
      <c r="ECB31" s="545"/>
      <c r="ECC31" s="545"/>
      <c r="ECD31" s="545"/>
      <c r="ECE31" s="545"/>
      <c r="ECF31" s="545"/>
      <c r="ECG31" s="545"/>
      <c r="ECH31" s="545"/>
      <c r="ECI31" s="545"/>
      <c r="ECJ31" s="545"/>
      <c r="ECK31" s="545"/>
      <c r="ECL31" s="545"/>
      <c r="ECM31" s="545"/>
      <c r="ECN31" s="545"/>
      <c r="ECO31" s="545"/>
      <c r="ECP31" s="545"/>
      <c r="ECQ31" s="545"/>
      <c r="ECR31" s="545"/>
      <c r="ECS31" s="545"/>
      <c r="ECT31" s="545"/>
      <c r="ECU31" s="545"/>
      <c r="ECV31" s="545"/>
      <c r="ECW31" s="545"/>
      <c r="ECX31" s="545"/>
      <c r="ECY31" s="545"/>
      <c r="ECZ31" s="545"/>
      <c r="EDA31" s="545"/>
      <c r="EDB31" s="545"/>
      <c r="EDC31" s="545"/>
      <c r="EDD31" s="545"/>
      <c r="EDE31" s="545"/>
      <c r="EDF31" s="545"/>
      <c r="EDG31" s="545"/>
      <c r="EDH31" s="545"/>
      <c r="EDI31" s="545"/>
      <c r="EDJ31" s="545"/>
      <c r="EDK31" s="545"/>
      <c r="EDL31" s="545"/>
      <c r="EDM31" s="545"/>
      <c r="EDN31" s="545"/>
      <c r="EDO31" s="545"/>
      <c r="EDP31" s="545"/>
      <c r="EDQ31" s="545"/>
      <c r="EDR31" s="545"/>
      <c r="EDS31" s="545"/>
      <c r="EDT31" s="545"/>
      <c r="EDU31" s="545"/>
      <c r="EDV31" s="545"/>
      <c r="EDW31" s="545"/>
      <c r="EDX31" s="545"/>
      <c r="EDY31" s="545"/>
      <c r="EDZ31" s="545"/>
      <c r="EEA31" s="545"/>
      <c r="EEB31" s="545"/>
      <c r="EEC31" s="545"/>
      <c r="EED31" s="545"/>
      <c r="EEE31" s="545"/>
      <c r="EEF31" s="545"/>
      <c r="EEG31" s="545"/>
      <c r="EEH31" s="545"/>
      <c r="EEI31" s="545"/>
      <c r="EEJ31" s="545"/>
      <c r="EEK31" s="545"/>
      <c r="EEL31" s="545"/>
      <c r="EEM31" s="545"/>
      <c r="EEN31" s="545"/>
      <c r="EEO31" s="545"/>
      <c r="EEP31" s="545"/>
      <c r="EEQ31" s="545"/>
      <c r="EER31" s="545"/>
      <c r="EES31" s="545"/>
      <c r="EET31" s="545"/>
      <c r="EEU31" s="545"/>
      <c r="EEV31" s="545"/>
      <c r="EEW31" s="545"/>
      <c r="EEX31" s="545"/>
      <c r="EEY31" s="545"/>
      <c r="EEZ31" s="545"/>
      <c r="EFA31" s="545"/>
      <c r="EFB31" s="545"/>
      <c r="EFC31" s="545"/>
      <c r="EFD31" s="545"/>
      <c r="EFE31" s="545"/>
      <c r="EFF31" s="545"/>
      <c r="EFG31" s="545"/>
      <c r="EFH31" s="545"/>
      <c r="EFI31" s="545"/>
      <c r="EFJ31" s="545"/>
      <c r="EFK31" s="545"/>
      <c r="EFL31" s="545"/>
      <c r="EFM31" s="545"/>
      <c r="EFN31" s="545"/>
      <c r="EFO31" s="545"/>
      <c r="EFP31" s="545"/>
      <c r="EFQ31" s="545"/>
      <c r="EFR31" s="545"/>
      <c r="EFS31" s="545"/>
      <c r="EFT31" s="545"/>
      <c r="EFU31" s="545"/>
      <c r="EFV31" s="545"/>
      <c r="EFW31" s="545"/>
      <c r="EFX31" s="545"/>
      <c r="EFY31" s="545"/>
      <c r="EFZ31" s="545"/>
      <c r="EGA31" s="545"/>
      <c r="EGB31" s="545"/>
      <c r="EGC31" s="545"/>
      <c r="EGD31" s="545"/>
      <c r="EGE31" s="545"/>
      <c r="EGF31" s="545"/>
      <c r="EGG31" s="545"/>
      <c r="EGH31" s="545"/>
      <c r="EGI31" s="545"/>
      <c r="EGJ31" s="545"/>
      <c r="EGK31" s="545"/>
      <c r="EGL31" s="545"/>
      <c r="EGM31" s="545"/>
      <c r="EGN31" s="545"/>
      <c r="EGO31" s="545"/>
      <c r="EGP31" s="545"/>
      <c r="EGQ31" s="545"/>
      <c r="EGR31" s="545"/>
      <c r="EGS31" s="545"/>
      <c r="EGT31" s="545"/>
      <c r="EGU31" s="545"/>
      <c r="EGV31" s="545"/>
      <c r="EGW31" s="545"/>
      <c r="EGX31" s="545"/>
      <c r="EGY31" s="545"/>
      <c r="EGZ31" s="545"/>
      <c r="EHA31" s="545"/>
      <c r="EHB31" s="545"/>
      <c r="EHC31" s="545"/>
      <c r="EHD31" s="545"/>
      <c r="EHE31" s="545"/>
      <c r="EHF31" s="545"/>
      <c r="EHG31" s="545"/>
      <c r="EHH31" s="545"/>
      <c r="EHI31" s="545"/>
      <c r="EHJ31" s="545"/>
      <c r="EHK31" s="545"/>
      <c r="EHL31" s="545"/>
      <c r="EHM31" s="545"/>
      <c r="EHN31" s="545"/>
      <c r="EHO31" s="545"/>
      <c r="EHP31" s="545"/>
      <c r="EHQ31" s="545"/>
      <c r="EHR31" s="545"/>
      <c r="EHS31" s="545"/>
      <c r="EHT31" s="545"/>
      <c r="EHU31" s="545"/>
      <c r="EHV31" s="545"/>
      <c r="EHW31" s="545"/>
      <c r="EHX31" s="545"/>
      <c r="EHY31" s="545"/>
      <c r="EHZ31" s="545"/>
      <c r="EIA31" s="545"/>
      <c r="EIB31" s="545"/>
      <c r="EIC31" s="545"/>
      <c r="EID31" s="545"/>
      <c r="EIE31" s="545"/>
      <c r="EIF31" s="545"/>
      <c r="EIG31" s="545"/>
      <c r="EIH31" s="545"/>
      <c r="EII31" s="545"/>
      <c r="EIJ31" s="545"/>
      <c r="EIK31" s="545"/>
      <c r="EIL31" s="545"/>
      <c r="EIM31" s="545"/>
      <c r="EIN31" s="545"/>
      <c r="EIO31" s="545"/>
      <c r="EIP31" s="545"/>
      <c r="EIQ31" s="545"/>
      <c r="EIR31" s="545"/>
      <c r="EIS31" s="545"/>
      <c r="EIT31" s="545"/>
      <c r="EIU31" s="545"/>
      <c r="EIV31" s="545"/>
      <c r="EIW31" s="545"/>
      <c r="EIX31" s="545"/>
      <c r="EIY31" s="545"/>
      <c r="EIZ31" s="545"/>
      <c r="EJA31" s="545"/>
      <c r="EJB31" s="545"/>
      <c r="EJC31" s="545"/>
      <c r="EJD31" s="545"/>
      <c r="EJE31" s="545"/>
      <c r="EJF31" s="545"/>
      <c r="EJG31" s="545"/>
      <c r="EJH31" s="545"/>
      <c r="EJI31" s="545"/>
      <c r="EJJ31" s="545"/>
      <c r="EJK31" s="545"/>
      <c r="EJL31" s="545"/>
      <c r="EJM31" s="545"/>
      <c r="EJN31" s="545"/>
      <c r="EJO31" s="545"/>
      <c r="EJP31" s="545"/>
      <c r="EJQ31" s="545"/>
      <c r="EJR31" s="545"/>
      <c r="EJS31" s="545"/>
      <c r="EJT31" s="545"/>
      <c r="EJU31" s="545"/>
      <c r="EJV31" s="545"/>
      <c r="EJW31" s="545"/>
      <c r="EJX31" s="545"/>
      <c r="EJY31" s="545"/>
      <c r="EJZ31" s="545"/>
      <c r="EKA31" s="545"/>
      <c r="EKB31" s="545"/>
      <c r="EKC31" s="545"/>
      <c r="EKD31" s="545"/>
      <c r="EKE31" s="545"/>
      <c r="EKF31" s="545"/>
      <c r="EKG31" s="545"/>
      <c r="EKH31" s="545"/>
      <c r="EKI31" s="545"/>
      <c r="EKJ31" s="545"/>
      <c r="EKK31" s="545"/>
      <c r="EKL31" s="545"/>
      <c r="EKM31" s="545"/>
      <c r="EKN31" s="545"/>
      <c r="EKO31" s="545"/>
      <c r="EKP31" s="545"/>
      <c r="EKQ31" s="545"/>
      <c r="EKR31" s="545"/>
      <c r="EKS31" s="545"/>
      <c r="EKT31" s="545"/>
      <c r="EKU31" s="545"/>
      <c r="EKV31" s="545"/>
      <c r="EKW31" s="545"/>
      <c r="EKX31" s="545"/>
      <c r="EKY31" s="545"/>
      <c r="EKZ31" s="545"/>
      <c r="ELA31" s="545"/>
      <c r="ELB31" s="545"/>
      <c r="ELC31" s="545"/>
      <c r="ELD31" s="545"/>
      <c r="ELE31" s="545"/>
      <c r="ELF31" s="545"/>
      <c r="ELG31" s="545"/>
      <c r="ELH31" s="545"/>
      <c r="ELI31" s="545"/>
      <c r="ELJ31" s="545"/>
      <c r="ELK31" s="545"/>
      <c r="ELL31" s="545"/>
      <c r="ELM31" s="545"/>
      <c r="ELN31" s="545"/>
      <c r="ELO31" s="545"/>
      <c r="ELP31" s="545"/>
      <c r="ELQ31" s="545"/>
      <c r="ELR31" s="545"/>
      <c r="ELS31" s="545"/>
      <c r="ELT31" s="545"/>
      <c r="ELU31" s="545"/>
      <c r="ELV31" s="545"/>
      <c r="ELW31" s="545"/>
      <c r="ELX31" s="545"/>
      <c r="ELY31" s="545"/>
      <c r="ELZ31" s="545"/>
      <c r="EMA31" s="545"/>
      <c r="EMB31" s="545"/>
      <c r="EMC31" s="545"/>
      <c r="EMD31" s="545"/>
      <c r="EME31" s="545"/>
      <c r="EMF31" s="545"/>
      <c r="EMG31" s="545"/>
      <c r="EMH31" s="545"/>
      <c r="EMI31" s="545"/>
      <c r="EMJ31" s="545"/>
      <c r="EMK31" s="545"/>
      <c r="EML31" s="545"/>
      <c r="EMM31" s="545"/>
      <c r="EMN31" s="545"/>
      <c r="EMO31" s="545"/>
      <c r="EMP31" s="545"/>
      <c r="EMQ31" s="545"/>
      <c r="EMR31" s="545"/>
      <c r="EMS31" s="545"/>
      <c r="EMT31" s="545"/>
      <c r="EMU31" s="545"/>
      <c r="EMV31" s="545"/>
      <c r="EMW31" s="545"/>
      <c r="EMX31" s="545"/>
      <c r="EMY31" s="545"/>
      <c r="EMZ31" s="545"/>
      <c r="ENA31" s="545"/>
      <c r="ENB31" s="545"/>
      <c r="ENC31" s="545"/>
      <c r="END31" s="545"/>
      <c r="ENE31" s="545"/>
      <c r="ENF31" s="545"/>
      <c r="ENG31" s="545"/>
      <c r="ENH31" s="545"/>
      <c r="ENI31" s="545"/>
      <c r="ENJ31" s="545"/>
      <c r="ENK31" s="545"/>
      <c r="ENL31" s="545"/>
      <c r="ENM31" s="545"/>
      <c r="ENN31" s="545"/>
      <c r="ENO31" s="545"/>
      <c r="ENP31" s="545"/>
      <c r="ENQ31" s="545"/>
      <c r="ENR31" s="545"/>
      <c r="ENS31" s="545"/>
      <c r="ENT31" s="545"/>
      <c r="ENU31" s="545"/>
      <c r="ENV31" s="545"/>
      <c r="ENW31" s="545"/>
      <c r="ENX31" s="545"/>
      <c r="ENY31" s="545"/>
      <c r="ENZ31" s="545"/>
      <c r="EOA31" s="545"/>
      <c r="EOB31" s="545"/>
      <c r="EOC31" s="545"/>
      <c r="EOD31" s="545"/>
      <c r="EOE31" s="545"/>
      <c r="EOF31" s="545"/>
      <c r="EOG31" s="545"/>
      <c r="EOH31" s="545"/>
      <c r="EOI31" s="545"/>
      <c r="EOJ31" s="545"/>
      <c r="EOK31" s="545"/>
      <c r="EOL31" s="545"/>
      <c r="EOM31" s="545"/>
      <c r="EON31" s="545"/>
      <c r="EOO31" s="545"/>
      <c r="EOP31" s="545"/>
      <c r="EOQ31" s="545"/>
      <c r="EOR31" s="545"/>
      <c r="EOS31" s="545"/>
      <c r="EOT31" s="545"/>
      <c r="EOU31" s="545"/>
      <c r="EOV31" s="545"/>
      <c r="EOW31" s="545"/>
      <c r="EOX31" s="545"/>
      <c r="EOY31" s="545"/>
      <c r="EOZ31" s="545"/>
      <c r="EPA31" s="545"/>
      <c r="EPB31" s="545"/>
      <c r="EPC31" s="545"/>
      <c r="EPD31" s="545"/>
      <c r="EPE31" s="545"/>
      <c r="EPF31" s="545"/>
      <c r="EPG31" s="545"/>
      <c r="EPH31" s="545"/>
      <c r="EPI31" s="545"/>
      <c r="EPJ31" s="545"/>
      <c r="EPK31" s="545"/>
      <c r="EPL31" s="545"/>
      <c r="EPM31" s="545"/>
      <c r="EPN31" s="545"/>
      <c r="EPO31" s="545"/>
      <c r="EPP31" s="545"/>
      <c r="EPQ31" s="545"/>
      <c r="EPR31" s="545"/>
      <c r="EPS31" s="545"/>
      <c r="EPT31" s="545"/>
      <c r="EPU31" s="545"/>
      <c r="EPV31" s="545"/>
      <c r="EPW31" s="545"/>
      <c r="EPX31" s="545"/>
      <c r="EPY31" s="545"/>
      <c r="EPZ31" s="545"/>
      <c r="EQA31" s="545"/>
      <c r="EQB31" s="545"/>
      <c r="EQC31" s="545"/>
      <c r="EQD31" s="545"/>
      <c r="EQE31" s="545"/>
      <c r="EQF31" s="545"/>
      <c r="EQG31" s="545"/>
      <c r="EQH31" s="545"/>
      <c r="EQI31" s="545"/>
      <c r="EQJ31" s="545"/>
      <c r="EQK31" s="545"/>
      <c r="EQL31" s="545"/>
      <c r="EQM31" s="545"/>
      <c r="EQN31" s="545"/>
      <c r="EQO31" s="545"/>
      <c r="EQP31" s="545"/>
      <c r="EQQ31" s="545"/>
      <c r="EQR31" s="545"/>
      <c r="EQS31" s="545"/>
      <c r="EQT31" s="545"/>
      <c r="EQU31" s="545"/>
      <c r="EQV31" s="545"/>
      <c r="EQW31" s="545"/>
      <c r="EQX31" s="545"/>
      <c r="EQY31" s="545"/>
      <c r="EQZ31" s="545"/>
      <c r="ERA31" s="545"/>
      <c r="ERB31" s="545"/>
      <c r="ERC31" s="545"/>
      <c r="ERD31" s="545"/>
      <c r="ERE31" s="545"/>
      <c r="ERF31" s="545"/>
      <c r="ERG31" s="545"/>
      <c r="ERH31" s="545"/>
      <c r="ERI31" s="545"/>
      <c r="ERJ31" s="545"/>
      <c r="ERK31" s="545"/>
      <c r="ERL31" s="545"/>
      <c r="ERM31" s="545"/>
      <c r="ERN31" s="545"/>
      <c r="ERO31" s="545"/>
      <c r="ERP31" s="545"/>
      <c r="ERQ31" s="545"/>
      <c r="ERR31" s="545"/>
      <c r="ERS31" s="545"/>
      <c r="ERT31" s="545"/>
      <c r="ERU31" s="545"/>
      <c r="ERV31" s="545"/>
      <c r="ERW31" s="545"/>
      <c r="ERX31" s="545"/>
      <c r="ERY31" s="545"/>
      <c r="ERZ31" s="545"/>
      <c r="ESA31" s="545"/>
      <c r="ESB31" s="545"/>
      <c r="ESC31" s="545"/>
      <c r="ESD31" s="545"/>
      <c r="ESE31" s="545"/>
      <c r="ESF31" s="545"/>
      <c r="ESG31" s="545"/>
      <c r="ESH31" s="545"/>
      <c r="ESI31" s="545"/>
      <c r="ESJ31" s="545"/>
      <c r="ESK31" s="545"/>
      <c r="ESL31" s="545"/>
      <c r="ESM31" s="545"/>
      <c r="ESN31" s="545"/>
      <c r="ESO31" s="545"/>
      <c r="ESP31" s="545"/>
      <c r="ESQ31" s="545"/>
      <c r="ESR31" s="545"/>
      <c r="ESS31" s="545"/>
      <c r="EST31" s="545"/>
      <c r="ESU31" s="545"/>
      <c r="ESV31" s="545"/>
      <c r="ESW31" s="545"/>
      <c r="ESX31" s="545"/>
      <c r="ESY31" s="545"/>
      <c r="ESZ31" s="545"/>
      <c r="ETA31" s="545"/>
      <c r="ETB31" s="545"/>
      <c r="ETC31" s="545"/>
      <c r="ETD31" s="545"/>
      <c r="ETE31" s="545"/>
      <c r="ETF31" s="545"/>
      <c r="ETG31" s="545"/>
      <c r="ETH31" s="545"/>
      <c r="ETI31" s="545"/>
      <c r="ETJ31" s="545"/>
      <c r="ETK31" s="545"/>
      <c r="ETL31" s="545"/>
      <c r="ETM31" s="545"/>
      <c r="ETN31" s="545"/>
      <c r="ETO31" s="545"/>
      <c r="ETP31" s="545"/>
      <c r="ETQ31" s="545"/>
      <c r="ETR31" s="545"/>
      <c r="ETS31" s="545"/>
      <c r="ETT31" s="545"/>
      <c r="ETU31" s="545"/>
      <c r="ETV31" s="545"/>
      <c r="ETW31" s="545"/>
      <c r="ETX31" s="545"/>
      <c r="ETY31" s="545"/>
      <c r="ETZ31" s="545"/>
      <c r="EUA31" s="545"/>
      <c r="EUB31" s="545"/>
      <c r="EUC31" s="545"/>
      <c r="EUD31" s="545"/>
      <c r="EUE31" s="545"/>
      <c r="EUF31" s="545"/>
      <c r="EUG31" s="545"/>
      <c r="EUH31" s="545"/>
      <c r="EUI31" s="545"/>
      <c r="EUJ31" s="545"/>
      <c r="EUK31" s="545"/>
      <c r="EUL31" s="545"/>
      <c r="EUM31" s="545"/>
      <c r="EUN31" s="545"/>
      <c r="EUO31" s="545"/>
      <c r="EUP31" s="545"/>
      <c r="EUQ31" s="545"/>
      <c r="EUR31" s="545"/>
      <c r="EUS31" s="545"/>
      <c r="EUT31" s="545"/>
      <c r="EUU31" s="545"/>
      <c r="EUV31" s="545"/>
      <c r="EUW31" s="545"/>
      <c r="EUX31" s="545"/>
      <c r="EUY31" s="545"/>
      <c r="EUZ31" s="545"/>
      <c r="EVA31" s="545"/>
      <c r="EVB31" s="545"/>
      <c r="EVC31" s="545"/>
      <c r="EVD31" s="545"/>
      <c r="EVE31" s="545"/>
      <c r="EVF31" s="545"/>
      <c r="EVG31" s="545"/>
      <c r="EVH31" s="545"/>
      <c r="EVI31" s="545"/>
      <c r="EVJ31" s="545"/>
      <c r="EVK31" s="545"/>
      <c r="EVL31" s="545"/>
      <c r="EVM31" s="545"/>
      <c r="EVN31" s="545"/>
      <c r="EVO31" s="545"/>
      <c r="EVP31" s="545"/>
      <c r="EVQ31" s="545"/>
      <c r="EVR31" s="545"/>
      <c r="EVS31" s="545"/>
      <c r="EVT31" s="545"/>
      <c r="EVU31" s="545"/>
      <c r="EVV31" s="545"/>
      <c r="EVW31" s="545"/>
      <c r="EVX31" s="545"/>
      <c r="EVY31" s="545"/>
      <c r="EVZ31" s="545"/>
      <c r="EWA31" s="545"/>
      <c r="EWB31" s="545"/>
      <c r="EWC31" s="545"/>
      <c r="EWD31" s="545"/>
      <c r="EWE31" s="545"/>
      <c r="EWF31" s="545"/>
      <c r="EWG31" s="545"/>
      <c r="EWH31" s="545"/>
      <c r="EWI31" s="545"/>
      <c r="EWJ31" s="545"/>
      <c r="EWK31" s="545"/>
      <c r="EWL31" s="545"/>
      <c r="EWM31" s="545"/>
      <c r="EWN31" s="545"/>
      <c r="EWO31" s="545"/>
      <c r="EWP31" s="545"/>
      <c r="EWQ31" s="545"/>
      <c r="EWR31" s="545"/>
      <c r="EWS31" s="545"/>
      <c r="EWT31" s="545"/>
      <c r="EWU31" s="545"/>
      <c r="EWV31" s="545"/>
      <c r="EWW31" s="545"/>
      <c r="EWX31" s="545"/>
      <c r="EWY31" s="545"/>
      <c r="EWZ31" s="545"/>
      <c r="EXA31" s="545"/>
      <c r="EXB31" s="545"/>
      <c r="EXC31" s="545"/>
      <c r="EXD31" s="545"/>
      <c r="EXE31" s="545"/>
      <c r="EXF31" s="545"/>
      <c r="EXG31" s="545"/>
      <c r="EXH31" s="545"/>
      <c r="EXI31" s="545"/>
      <c r="EXJ31" s="545"/>
      <c r="EXK31" s="545"/>
      <c r="EXL31" s="545"/>
      <c r="EXM31" s="545"/>
      <c r="EXN31" s="545"/>
      <c r="EXO31" s="545"/>
      <c r="EXP31" s="545"/>
      <c r="EXQ31" s="545"/>
      <c r="EXR31" s="545"/>
      <c r="EXS31" s="545"/>
      <c r="EXT31" s="545"/>
      <c r="EXU31" s="545"/>
      <c r="EXV31" s="545"/>
      <c r="EXW31" s="545"/>
      <c r="EXX31" s="545"/>
      <c r="EXY31" s="545"/>
      <c r="EXZ31" s="545"/>
      <c r="EYA31" s="545"/>
      <c r="EYB31" s="545"/>
      <c r="EYC31" s="545"/>
      <c r="EYD31" s="545"/>
      <c r="EYE31" s="545"/>
      <c r="EYF31" s="545"/>
      <c r="EYG31" s="545"/>
      <c r="EYH31" s="545"/>
      <c r="EYI31" s="545"/>
      <c r="EYJ31" s="545"/>
      <c r="EYK31" s="545"/>
      <c r="EYL31" s="545"/>
      <c r="EYM31" s="545"/>
      <c r="EYN31" s="545"/>
      <c r="EYO31" s="545"/>
      <c r="EYP31" s="545"/>
      <c r="EYQ31" s="545"/>
      <c r="EYR31" s="545"/>
      <c r="EYS31" s="545"/>
      <c r="EYT31" s="545"/>
      <c r="EYU31" s="545"/>
      <c r="EYV31" s="545"/>
      <c r="EYW31" s="545"/>
      <c r="EYX31" s="545"/>
      <c r="EYY31" s="545"/>
      <c r="EYZ31" s="545"/>
      <c r="EZA31" s="545"/>
      <c r="EZB31" s="545"/>
      <c r="EZC31" s="545"/>
      <c r="EZD31" s="545"/>
      <c r="EZE31" s="545"/>
      <c r="EZF31" s="545"/>
      <c r="EZG31" s="545"/>
      <c r="EZH31" s="545"/>
      <c r="EZI31" s="545"/>
      <c r="EZJ31" s="545"/>
      <c r="EZK31" s="545"/>
      <c r="EZL31" s="545"/>
      <c r="EZM31" s="545"/>
      <c r="EZN31" s="545"/>
      <c r="EZO31" s="545"/>
      <c r="EZP31" s="545"/>
      <c r="EZQ31" s="545"/>
      <c r="EZR31" s="545"/>
      <c r="EZS31" s="545"/>
      <c r="EZT31" s="545"/>
      <c r="EZU31" s="545"/>
      <c r="EZV31" s="545"/>
      <c r="EZW31" s="545"/>
      <c r="EZX31" s="545"/>
      <c r="EZY31" s="545"/>
      <c r="EZZ31" s="545"/>
      <c r="FAA31" s="545"/>
      <c r="FAB31" s="545"/>
      <c r="FAC31" s="545"/>
      <c r="FAD31" s="545"/>
      <c r="FAE31" s="545"/>
      <c r="FAF31" s="545"/>
      <c r="FAG31" s="545"/>
      <c r="FAH31" s="545"/>
      <c r="FAI31" s="545"/>
      <c r="FAJ31" s="545"/>
      <c r="FAK31" s="545"/>
      <c r="FAL31" s="545"/>
      <c r="FAM31" s="545"/>
      <c r="FAN31" s="545"/>
      <c r="FAO31" s="545"/>
      <c r="FAP31" s="545"/>
      <c r="FAQ31" s="545"/>
      <c r="FAR31" s="545"/>
      <c r="FAS31" s="545"/>
      <c r="FAT31" s="545"/>
      <c r="FAU31" s="545"/>
      <c r="FAV31" s="545"/>
      <c r="FAW31" s="545"/>
      <c r="FAX31" s="545"/>
      <c r="FAY31" s="545"/>
      <c r="FAZ31" s="545"/>
      <c r="FBA31" s="545"/>
      <c r="FBB31" s="545"/>
      <c r="FBC31" s="545"/>
      <c r="FBD31" s="545"/>
      <c r="FBE31" s="545"/>
      <c r="FBF31" s="545"/>
      <c r="FBG31" s="545"/>
      <c r="FBH31" s="545"/>
      <c r="FBI31" s="545"/>
      <c r="FBJ31" s="545"/>
      <c r="FBK31" s="545"/>
      <c r="FBL31" s="545"/>
      <c r="FBM31" s="545"/>
      <c r="FBN31" s="545"/>
      <c r="FBO31" s="545"/>
      <c r="FBP31" s="545"/>
      <c r="FBQ31" s="545"/>
      <c r="FBR31" s="545"/>
      <c r="FBS31" s="545"/>
      <c r="FBT31" s="545"/>
      <c r="FBU31" s="545"/>
      <c r="FBV31" s="545"/>
      <c r="FBW31" s="545"/>
      <c r="FBX31" s="545"/>
      <c r="FBY31" s="545"/>
      <c r="FBZ31" s="545"/>
      <c r="FCA31" s="545"/>
      <c r="FCB31" s="545"/>
      <c r="FCC31" s="545"/>
      <c r="FCD31" s="545"/>
      <c r="FCE31" s="545"/>
      <c r="FCF31" s="545"/>
      <c r="FCG31" s="545"/>
      <c r="FCH31" s="545"/>
      <c r="FCI31" s="545"/>
      <c r="FCJ31" s="545"/>
      <c r="FCK31" s="545"/>
      <c r="FCL31" s="545"/>
      <c r="FCM31" s="545"/>
      <c r="FCN31" s="545"/>
      <c r="FCO31" s="545"/>
      <c r="FCP31" s="545"/>
      <c r="FCQ31" s="545"/>
      <c r="FCR31" s="545"/>
      <c r="FCS31" s="545"/>
      <c r="FCT31" s="545"/>
      <c r="FCU31" s="545"/>
      <c r="FCV31" s="545"/>
      <c r="FCW31" s="545"/>
      <c r="FCX31" s="545"/>
      <c r="FCY31" s="545"/>
      <c r="FCZ31" s="545"/>
      <c r="FDA31" s="545"/>
      <c r="FDB31" s="545"/>
      <c r="FDC31" s="545"/>
      <c r="FDD31" s="545"/>
      <c r="FDE31" s="545"/>
      <c r="FDF31" s="545"/>
      <c r="FDG31" s="545"/>
      <c r="FDH31" s="545"/>
      <c r="FDI31" s="545"/>
      <c r="FDJ31" s="545"/>
      <c r="FDK31" s="545"/>
      <c r="FDL31" s="545"/>
      <c r="FDM31" s="545"/>
      <c r="FDN31" s="545"/>
      <c r="FDO31" s="545"/>
      <c r="FDP31" s="545"/>
      <c r="FDQ31" s="545"/>
      <c r="FDR31" s="545"/>
      <c r="FDS31" s="545"/>
      <c r="FDT31" s="545"/>
      <c r="FDU31" s="545"/>
      <c r="FDV31" s="545"/>
      <c r="FDW31" s="545"/>
      <c r="FDX31" s="545"/>
      <c r="FDY31" s="545"/>
      <c r="FDZ31" s="545"/>
      <c r="FEA31" s="545"/>
      <c r="FEB31" s="545"/>
      <c r="FEC31" s="545"/>
      <c r="FED31" s="545"/>
      <c r="FEE31" s="545"/>
      <c r="FEF31" s="545"/>
      <c r="FEG31" s="545"/>
      <c r="FEH31" s="545"/>
      <c r="FEI31" s="545"/>
      <c r="FEJ31" s="545"/>
      <c r="FEK31" s="545"/>
      <c r="FEL31" s="545"/>
      <c r="FEM31" s="545"/>
      <c r="FEN31" s="545"/>
      <c r="FEO31" s="545"/>
      <c r="FEP31" s="545"/>
      <c r="FEQ31" s="545"/>
      <c r="FER31" s="545"/>
      <c r="FES31" s="545"/>
      <c r="FET31" s="545"/>
      <c r="FEU31" s="545"/>
      <c r="FEV31" s="545"/>
      <c r="FEW31" s="545"/>
      <c r="FEX31" s="545"/>
      <c r="FEY31" s="545"/>
      <c r="FEZ31" s="545"/>
      <c r="FFA31" s="545"/>
      <c r="FFB31" s="545"/>
      <c r="FFC31" s="545"/>
      <c r="FFD31" s="545"/>
      <c r="FFE31" s="545"/>
      <c r="FFF31" s="545"/>
      <c r="FFG31" s="545"/>
      <c r="FFH31" s="545"/>
      <c r="FFI31" s="545"/>
      <c r="FFJ31" s="545"/>
      <c r="FFK31" s="545"/>
      <c r="FFL31" s="545"/>
      <c r="FFM31" s="545"/>
      <c r="FFN31" s="545"/>
      <c r="FFO31" s="545"/>
      <c r="FFP31" s="545"/>
      <c r="FFQ31" s="545"/>
      <c r="FFR31" s="545"/>
      <c r="FFS31" s="545"/>
      <c r="FFT31" s="545"/>
      <c r="FFU31" s="545"/>
      <c r="FFV31" s="545"/>
      <c r="FFW31" s="545"/>
      <c r="FFX31" s="545"/>
      <c r="FFY31" s="545"/>
      <c r="FFZ31" s="545"/>
      <c r="FGA31" s="545"/>
      <c r="FGB31" s="545"/>
      <c r="FGC31" s="545"/>
      <c r="FGD31" s="545"/>
      <c r="FGE31" s="545"/>
      <c r="FGF31" s="545"/>
      <c r="FGG31" s="545"/>
      <c r="FGH31" s="545"/>
      <c r="FGI31" s="545"/>
      <c r="FGJ31" s="545"/>
      <c r="FGK31" s="545"/>
      <c r="FGL31" s="545"/>
      <c r="FGM31" s="545"/>
      <c r="FGN31" s="545"/>
      <c r="FGO31" s="545"/>
      <c r="FGP31" s="545"/>
      <c r="FGQ31" s="545"/>
      <c r="FGR31" s="545"/>
      <c r="FGS31" s="545"/>
      <c r="FGT31" s="545"/>
      <c r="FGU31" s="545"/>
      <c r="FGV31" s="545"/>
      <c r="FGW31" s="545"/>
      <c r="FGX31" s="545"/>
      <c r="FGY31" s="545"/>
      <c r="FGZ31" s="545"/>
      <c r="FHA31" s="545"/>
      <c r="FHB31" s="545"/>
      <c r="FHC31" s="545"/>
      <c r="FHD31" s="545"/>
      <c r="FHE31" s="545"/>
      <c r="FHF31" s="545"/>
      <c r="FHG31" s="545"/>
      <c r="FHH31" s="545"/>
      <c r="FHI31" s="545"/>
      <c r="FHJ31" s="545"/>
      <c r="FHK31" s="545"/>
      <c r="FHL31" s="545"/>
      <c r="FHM31" s="545"/>
      <c r="FHN31" s="545"/>
      <c r="FHO31" s="545"/>
      <c r="FHP31" s="545"/>
      <c r="FHQ31" s="545"/>
      <c r="FHR31" s="545"/>
      <c r="FHS31" s="545"/>
      <c r="FHT31" s="545"/>
      <c r="FHU31" s="545"/>
      <c r="FHV31" s="545"/>
      <c r="FHW31" s="545"/>
      <c r="FHX31" s="545"/>
      <c r="FHY31" s="545"/>
      <c r="FHZ31" s="545"/>
      <c r="FIA31" s="545"/>
      <c r="FIB31" s="545"/>
      <c r="FIC31" s="545"/>
      <c r="FID31" s="545"/>
      <c r="FIE31" s="545"/>
      <c r="FIF31" s="545"/>
      <c r="FIG31" s="545"/>
      <c r="FIH31" s="545"/>
      <c r="FII31" s="545"/>
      <c r="FIJ31" s="545"/>
      <c r="FIK31" s="545"/>
      <c r="FIL31" s="545"/>
      <c r="FIM31" s="545"/>
      <c r="FIN31" s="545"/>
      <c r="FIO31" s="545"/>
      <c r="FIP31" s="545"/>
      <c r="FIQ31" s="545"/>
      <c r="FIR31" s="545"/>
      <c r="FIS31" s="545"/>
      <c r="FIT31" s="545"/>
      <c r="FIU31" s="545"/>
      <c r="FIV31" s="545"/>
      <c r="FIW31" s="545"/>
      <c r="FIX31" s="545"/>
      <c r="FIY31" s="545"/>
      <c r="FIZ31" s="545"/>
      <c r="FJA31" s="545"/>
      <c r="FJB31" s="545"/>
      <c r="FJC31" s="545"/>
      <c r="FJD31" s="545"/>
      <c r="FJE31" s="545"/>
      <c r="FJF31" s="545"/>
      <c r="FJG31" s="545"/>
      <c r="FJH31" s="545"/>
      <c r="FJI31" s="545"/>
      <c r="FJJ31" s="545"/>
      <c r="FJK31" s="545"/>
      <c r="FJL31" s="545"/>
      <c r="FJM31" s="545"/>
      <c r="FJN31" s="545"/>
      <c r="FJO31" s="545"/>
      <c r="FJP31" s="545"/>
      <c r="FJQ31" s="545"/>
      <c r="FJR31" s="545"/>
      <c r="FJS31" s="545"/>
      <c r="FJT31" s="545"/>
      <c r="FJU31" s="545"/>
      <c r="FJV31" s="545"/>
      <c r="FJW31" s="545"/>
      <c r="FJX31" s="545"/>
      <c r="FJY31" s="545"/>
      <c r="FJZ31" s="545"/>
      <c r="FKA31" s="545"/>
      <c r="FKB31" s="545"/>
      <c r="FKC31" s="545"/>
      <c r="FKD31" s="545"/>
      <c r="FKE31" s="545"/>
      <c r="FKF31" s="545"/>
      <c r="FKG31" s="545"/>
      <c r="FKH31" s="545"/>
      <c r="FKI31" s="545"/>
      <c r="FKJ31" s="545"/>
      <c r="FKK31" s="545"/>
      <c r="FKL31" s="545"/>
      <c r="FKM31" s="545"/>
      <c r="FKN31" s="545"/>
      <c r="FKO31" s="545"/>
      <c r="FKP31" s="545"/>
      <c r="FKQ31" s="545"/>
      <c r="FKR31" s="545"/>
      <c r="FKS31" s="545"/>
      <c r="FKT31" s="545"/>
      <c r="FKU31" s="545"/>
      <c r="FKV31" s="545"/>
      <c r="FKW31" s="545"/>
      <c r="FKX31" s="545"/>
      <c r="FKY31" s="545"/>
      <c r="FKZ31" s="545"/>
      <c r="FLA31" s="545"/>
      <c r="FLB31" s="545"/>
      <c r="FLC31" s="545"/>
      <c r="FLD31" s="545"/>
      <c r="FLE31" s="545"/>
      <c r="FLF31" s="545"/>
      <c r="FLG31" s="545"/>
      <c r="FLH31" s="545"/>
      <c r="FLI31" s="545"/>
      <c r="FLJ31" s="545"/>
      <c r="FLK31" s="545"/>
      <c r="FLL31" s="545"/>
      <c r="FLM31" s="545"/>
      <c r="FLN31" s="545"/>
      <c r="FLO31" s="545"/>
      <c r="FLP31" s="545"/>
      <c r="FLQ31" s="545"/>
      <c r="FLR31" s="545"/>
      <c r="FLS31" s="545"/>
      <c r="FLT31" s="545"/>
      <c r="FLU31" s="545"/>
      <c r="FLV31" s="545"/>
      <c r="FLW31" s="545"/>
      <c r="FLX31" s="545"/>
      <c r="FLY31" s="545"/>
      <c r="FLZ31" s="545"/>
      <c r="FMA31" s="545"/>
      <c r="FMB31" s="545"/>
      <c r="FMC31" s="545"/>
      <c r="FMD31" s="545"/>
      <c r="FME31" s="545"/>
      <c r="FMF31" s="545"/>
      <c r="FMG31" s="545"/>
      <c r="FMH31" s="545"/>
      <c r="FMI31" s="545"/>
      <c r="FMJ31" s="545"/>
      <c r="FMK31" s="545"/>
      <c r="FML31" s="545"/>
      <c r="FMM31" s="545"/>
      <c r="FMN31" s="545"/>
      <c r="FMO31" s="545"/>
      <c r="FMP31" s="545"/>
      <c r="FMQ31" s="545"/>
      <c r="FMR31" s="545"/>
      <c r="FMS31" s="545"/>
      <c r="FMT31" s="545"/>
      <c r="FMU31" s="545"/>
      <c r="FMV31" s="545"/>
      <c r="FMW31" s="545"/>
      <c r="FMX31" s="545"/>
      <c r="FMY31" s="545"/>
      <c r="FMZ31" s="545"/>
      <c r="FNA31" s="545"/>
      <c r="FNB31" s="545"/>
      <c r="FNC31" s="545"/>
      <c r="FND31" s="545"/>
      <c r="FNE31" s="545"/>
      <c r="FNF31" s="545"/>
      <c r="FNG31" s="545"/>
      <c r="FNH31" s="545"/>
      <c r="FNI31" s="545"/>
      <c r="FNJ31" s="545"/>
      <c r="FNK31" s="545"/>
      <c r="FNL31" s="545"/>
      <c r="FNM31" s="545"/>
      <c r="FNN31" s="545"/>
      <c r="FNO31" s="545"/>
      <c r="FNP31" s="545"/>
      <c r="FNQ31" s="545"/>
      <c r="FNR31" s="545"/>
      <c r="FNS31" s="545"/>
      <c r="FNT31" s="545"/>
      <c r="FNU31" s="545"/>
      <c r="FNV31" s="545"/>
      <c r="FNW31" s="545"/>
      <c r="FNX31" s="545"/>
      <c r="FNY31" s="545"/>
      <c r="FNZ31" s="545"/>
      <c r="FOA31" s="545"/>
      <c r="FOB31" s="545"/>
      <c r="FOC31" s="545"/>
      <c r="FOD31" s="545"/>
      <c r="FOE31" s="545"/>
      <c r="FOF31" s="545"/>
      <c r="FOG31" s="545"/>
      <c r="FOH31" s="545"/>
      <c r="FOI31" s="545"/>
      <c r="FOJ31" s="545"/>
      <c r="FOK31" s="545"/>
      <c r="FOL31" s="545"/>
      <c r="FOM31" s="545"/>
      <c r="FON31" s="545"/>
      <c r="FOO31" s="545"/>
      <c r="FOP31" s="545"/>
      <c r="FOQ31" s="545"/>
      <c r="FOR31" s="545"/>
      <c r="FOS31" s="545"/>
      <c r="FOT31" s="545"/>
      <c r="FOU31" s="545"/>
      <c r="FOV31" s="545"/>
      <c r="FOW31" s="545"/>
      <c r="FOX31" s="545"/>
      <c r="FOY31" s="545"/>
      <c r="FOZ31" s="545"/>
      <c r="FPA31" s="545"/>
      <c r="FPB31" s="545"/>
      <c r="FPC31" s="545"/>
      <c r="FPD31" s="545"/>
      <c r="FPE31" s="545"/>
      <c r="FPF31" s="545"/>
      <c r="FPG31" s="545"/>
      <c r="FPH31" s="545"/>
      <c r="FPI31" s="545"/>
      <c r="FPJ31" s="545"/>
      <c r="FPK31" s="545"/>
      <c r="FPL31" s="545"/>
      <c r="FPM31" s="545"/>
      <c r="FPN31" s="545"/>
      <c r="FPO31" s="545"/>
      <c r="FPP31" s="545"/>
      <c r="FPQ31" s="545"/>
      <c r="FPR31" s="545"/>
      <c r="FPS31" s="545"/>
      <c r="FPT31" s="545"/>
      <c r="FPU31" s="545"/>
      <c r="FPV31" s="545"/>
      <c r="FPW31" s="545"/>
      <c r="FPX31" s="545"/>
      <c r="FPY31" s="545"/>
      <c r="FPZ31" s="545"/>
      <c r="FQA31" s="545"/>
      <c r="FQB31" s="545"/>
      <c r="FQC31" s="545"/>
      <c r="FQD31" s="545"/>
      <c r="FQE31" s="545"/>
      <c r="FQF31" s="545"/>
      <c r="FQG31" s="545"/>
      <c r="FQH31" s="545"/>
      <c r="FQI31" s="545"/>
      <c r="FQJ31" s="545"/>
      <c r="FQK31" s="545"/>
      <c r="FQL31" s="545"/>
      <c r="FQM31" s="545"/>
      <c r="FQN31" s="545"/>
      <c r="FQO31" s="545"/>
      <c r="FQP31" s="545"/>
      <c r="FQQ31" s="545"/>
      <c r="FQR31" s="545"/>
      <c r="FQS31" s="545"/>
      <c r="FQT31" s="545"/>
      <c r="FQU31" s="545"/>
      <c r="FQV31" s="545"/>
      <c r="FQW31" s="545"/>
      <c r="FQX31" s="545"/>
      <c r="FQY31" s="545"/>
      <c r="FQZ31" s="545"/>
      <c r="FRA31" s="545"/>
      <c r="FRB31" s="545"/>
      <c r="FRC31" s="545"/>
      <c r="FRD31" s="545"/>
      <c r="FRE31" s="545"/>
      <c r="FRF31" s="545"/>
      <c r="FRG31" s="545"/>
      <c r="FRH31" s="545"/>
      <c r="FRI31" s="545"/>
      <c r="FRJ31" s="545"/>
      <c r="FRK31" s="545"/>
      <c r="FRL31" s="545"/>
      <c r="FRM31" s="545"/>
      <c r="FRN31" s="545"/>
      <c r="FRO31" s="545"/>
      <c r="FRP31" s="545"/>
      <c r="FRQ31" s="545"/>
      <c r="FRR31" s="545"/>
      <c r="FRS31" s="545"/>
      <c r="FRT31" s="545"/>
      <c r="FRU31" s="545"/>
      <c r="FRV31" s="545"/>
      <c r="FRW31" s="545"/>
      <c r="FRX31" s="545"/>
      <c r="FRY31" s="545"/>
      <c r="FRZ31" s="545"/>
      <c r="FSA31" s="545"/>
      <c r="FSB31" s="545"/>
      <c r="FSC31" s="545"/>
      <c r="FSD31" s="545"/>
      <c r="FSE31" s="545"/>
      <c r="FSF31" s="545"/>
      <c r="FSG31" s="545"/>
      <c r="FSH31" s="545"/>
      <c r="FSI31" s="545"/>
      <c r="FSJ31" s="545"/>
      <c r="FSK31" s="545"/>
      <c r="FSL31" s="545"/>
      <c r="FSM31" s="545"/>
      <c r="FSN31" s="545"/>
      <c r="FSO31" s="545"/>
      <c r="FSP31" s="545"/>
      <c r="FSQ31" s="545"/>
      <c r="FSR31" s="545"/>
      <c r="FSS31" s="545"/>
      <c r="FST31" s="545"/>
      <c r="FSU31" s="545"/>
      <c r="FSV31" s="545"/>
      <c r="FSW31" s="545"/>
      <c r="FSX31" s="545"/>
      <c r="FSY31" s="545"/>
      <c r="FSZ31" s="545"/>
      <c r="FTA31" s="545"/>
      <c r="FTB31" s="545"/>
      <c r="FTC31" s="545"/>
      <c r="FTD31" s="545"/>
      <c r="FTE31" s="545"/>
      <c r="FTF31" s="545"/>
      <c r="FTG31" s="545"/>
      <c r="FTH31" s="545"/>
      <c r="FTI31" s="545"/>
      <c r="FTJ31" s="545"/>
      <c r="FTK31" s="545"/>
      <c r="FTL31" s="545"/>
      <c r="FTM31" s="545"/>
      <c r="FTN31" s="545"/>
      <c r="FTO31" s="545"/>
      <c r="FTP31" s="545"/>
      <c r="FTQ31" s="545"/>
      <c r="FTR31" s="545"/>
      <c r="FTS31" s="545"/>
      <c r="FTT31" s="545"/>
      <c r="FTU31" s="545"/>
      <c r="FTV31" s="545"/>
      <c r="FTW31" s="545"/>
      <c r="FTX31" s="545"/>
      <c r="FTY31" s="545"/>
      <c r="FTZ31" s="545"/>
      <c r="FUA31" s="545"/>
      <c r="FUB31" s="545"/>
      <c r="FUC31" s="545"/>
      <c r="FUD31" s="545"/>
      <c r="FUE31" s="545"/>
      <c r="FUF31" s="545"/>
      <c r="FUG31" s="545"/>
      <c r="FUH31" s="545"/>
      <c r="FUI31" s="545"/>
      <c r="FUJ31" s="545"/>
      <c r="FUK31" s="545"/>
      <c r="FUL31" s="545"/>
      <c r="FUM31" s="545"/>
      <c r="FUN31" s="545"/>
      <c r="FUO31" s="545"/>
      <c r="FUP31" s="545"/>
      <c r="FUQ31" s="545"/>
      <c r="FUR31" s="545"/>
      <c r="FUS31" s="545"/>
      <c r="FUT31" s="545"/>
      <c r="FUU31" s="545"/>
      <c r="FUV31" s="545"/>
      <c r="FUW31" s="545"/>
      <c r="FUX31" s="545"/>
      <c r="FUY31" s="545"/>
      <c r="FUZ31" s="545"/>
      <c r="FVA31" s="545"/>
      <c r="FVB31" s="545"/>
      <c r="FVC31" s="545"/>
      <c r="FVD31" s="545"/>
      <c r="FVE31" s="545"/>
      <c r="FVF31" s="545"/>
      <c r="FVG31" s="545"/>
      <c r="FVH31" s="545"/>
      <c r="FVI31" s="545"/>
      <c r="FVJ31" s="545"/>
      <c r="FVK31" s="545"/>
      <c r="FVL31" s="545"/>
      <c r="FVM31" s="545"/>
      <c r="FVN31" s="545"/>
      <c r="FVO31" s="545"/>
      <c r="FVP31" s="545"/>
      <c r="FVQ31" s="545"/>
      <c r="FVR31" s="545"/>
      <c r="FVS31" s="545"/>
      <c r="FVT31" s="545"/>
      <c r="FVU31" s="545"/>
      <c r="FVV31" s="545"/>
      <c r="FVW31" s="545"/>
      <c r="FVX31" s="545"/>
      <c r="FVY31" s="545"/>
      <c r="FVZ31" s="545"/>
      <c r="FWA31" s="545"/>
      <c r="FWB31" s="545"/>
      <c r="FWC31" s="545"/>
      <c r="FWD31" s="545"/>
      <c r="FWE31" s="545"/>
      <c r="FWF31" s="545"/>
      <c r="FWG31" s="545"/>
      <c r="FWH31" s="545"/>
      <c r="FWI31" s="545"/>
      <c r="FWJ31" s="545"/>
      <c r="FWK31" s="545"/>
      <c r="FWL31" s="545"/>
      <c r="FWM31" s="545"/>
      <c r="FWN31" s="545"/>
      <c r="FWO31" s="545"/>
      <c r="FWP31" s="545"/>
      <c r="FWQ31" s="545"/>
      <c r="FWR31" s="545"/>
      <c r="FWS31" s="545"/>
      <c r="FWT31" s="545"/>
      <c r="FWU31" s="545"/>
      <c r="FWV31" s="545"/>
      <c r="FWW31" s="545"/>
      <c r="FWX31" s="545"/>
      <c r="FWY31" s="545"/>
      <c r="FWZ31" s="545"/>
      <c r="FXA31" s="545"/>
      <c r="FXB31" s="545"/>
      <c r="FXC31" s="545"/>
      <c r="FXD31" s="545"/>
      <c r="FXE31" s="545"/>
      <c r="FXF31" s="545"/>
      <c r="FXG31" s="545"/>
      <c r="FXH31" s="545"/>
      <c r="FXI31" s="545"/>
      <c r="FXJ31" s="545"/>
      <c r="FXK31" s="545"/>
      <c r="FXL31" s="545"/>
      <c r="FXM31" s="545"/>
      <c r="FXN31" s="545"/>
      <c r="FXO31" s="545"/>
      <c r="FXP31" s="545"/>
      <c r="FXQ31" s="545"/>
      <c r="FXR31" s="545"/>
      <c r="FXS31" s="545"/>
      <c r="FXT31" s="545"/>
      <c r="FXU31" s="545"/>
      <c r="FXV31" s="545"/>
      <c r="FXW31" s="545"/>
      <c r="FXX31" s="545"/>
      <c r="FXY31" s="545"/>
      <c r="FXZ31" s="545"/>
      <c r="FYA31" s="545"/>
      <c r="FYB31" s="545"/>
      <c r="FYC31" s="545"/>
      <c r="FYD31" s="545"/>
      <c r="FYE31" s="545"/>
      <c r="FYF31" s="545"/>
      <c r="FYG31" s="545"/>
      <c r="FYH31" s="545"/>
      <c r="FYI31" s="545"/>
      <c r="FYJ31" s="545"/>
      <c r="FYK31" s="545"/>
      <c r="FYL31" s="545"/>
      <c r="FYM31" s="545"/>
      <c r="FYN31" s="545"/>
      <c r="FYO31" s="545"/>
      <c r="FYP31" s="545"/>
      <c r="FYQ31" s="545"/>
      <c r="FYR31" s="545"/>
      <c r="FYS31" s="545"/>
      <c r="FYT31" s="545"/>
      <c r="FYU31" s="545"/>
      <c r="FYV31" s="545"/>
      <c r="FYW31" s="545"/>
      <c r="FYX31" s="545"/>
      <c r="FYY31" s="545"/>
      <c r="FYZ31" s="545"/>
      <c r="FZA31" s="545"/>
      <c r="FZB31" s="545"/>
      <c r="FZC31" s="545"/>
      <c r="FZD31" s="545"/>
      <c r="FZE31" s="545"/>
      <c r="FZF31" s="545"/>
      <c r="FZG31" s="545"/>
      <c r="FZH31" s="545"/>
      <c r="FZI31" s="545"/>
      <c r="FZJ31" s="545"/>
      <c r="FZK31" s="545"/>
      <c r="FZL31" s="545"/>
      <c r="FZM31" s="545"/>
      <c r="FZN31" s="545"/>
      <c r="FZO31" s="545"/>
      <c r="FZP31" s="545"/>
      <c r="FZQ31" s="545"/>
      <c r="FZR31" s="545"/>
      <c r="FZS31" s="545"/>
      <c r="FZT31" s="545"/>
      <c r="FZU31" s="545"/>
      <c r="FZV31" s="545"/>
      <c r="FZW31" s="545"/>
      <c r="FZX31" s="545"/>
      <c r="FZY31" s="545"/>
      <c r="FZZ31" s="545"/>
      <c r="GAA31" s="545"/>
      <c r="GAB31" s="545"/>
      <c r="GAC31" s="545"/>
      <c r="GAD31" s="545"/>
      <c r="GAE31" s="545"/>
      <c r="GAF31" s="545"/>
      <c r="GAG31" s="545"/>
      <c r="GAH31" s="545"/>
      <c r="GAI31" s="545"/>
      <c r="GAJ31" s="545"/>
      <c r="GAK31" s="545"/>
      <c r="GAL31" s="545"/>
      <c r="GAM31" s="545"/>
      <c r="GAN31" s="545"/>
      <c r="GAO31" s="545"/>
      <c r="GAP31" s="545"/>
      <c r="GAQ31" s="545"/>
      <c r="GAR31" s="545"/>
      <c r="GAS31" s="545"/>
      <c r="GAT31" s="545"/>
      <c r="GAU31" s="545"/>
      <c r="GAV31" s="545"/>
      <c r="GAW31" s="545"/>
      <c r="GAX31" s="545"/>
      <c r="GAY31" s="545"/>
      <c r="GAZ31" s="545"/>
      <c r="GBA31" s="545"/>
      <c r="GBB31" s="545"/>
      <c r="GBC31" s="545"/>
      <c r="GBD31" s="545"/>
      <c r="GBE31" s="545"/>
      <c r="GBF31" s="545"/>
      <c r="GBG31" s="545"/>
      <c r="GBH31" s="545"/>
      <c r="GBI31" s="545"/>
      <c r="GBJ31" s="545"/>
      <c r="GBK31" s="545"/>
      <c r="GBL31" s="545"/>
      <c r="GBM31" s="545"/>
      <c r="GBN31" s="545"/>
      <c r="GBO31" s="545"/>
      <c r="GBP31" s="545"/>
      <c r="GBQ31" s="545"/>
      <c r="GBR31" s="545"/>
      <c r="GBS31" s="545"/>
      <c r="GBT31" s="545"/>
      <c r="GBU31" s="545"/>
      <c r="GBV31" s="545"/>
      <c r="GBW31" s="545"/>
      <c r="GBX31" s="545"/>
      <c r="GBY31" s="545"/>
      <c r="GBZ31" s="545"/>
      <c r="GCA31" s="545"/>
      <c r="GCB31" s="545"/>
      <c r="GCC31" s="545"/>
      <c r="GCD31" s="545"/>
      <c r="GCE31" s="545"/>
      <c r="GCF31" s="545"/>
      <c r="GCG31" s="545"/>
      <c r="GCH31" s="545"/>
      <c r="GCI31" s="545"/>
      <c r="GCJ31" s="545"/>
      <c r="GCK31" s="545"/>
      <c r="GCL31" s="545"/>
      <c r="GCM31" s="545"/>
      <c r="GCN31" s="545"/>
      <c r="GCO31" s="545"/>
      <c r="GCP31" s="545"/>
      <c r="GCQ31" s="545"/>
      <c r="GCR31" s="545"/>
      <c r="GCS31" s="545"/>
      <c r="GCT31" s="545"/>
      <c r="GCU31" s="545"/>
      <c r="GCV31" s="545"/>
      <c r="GCW31" s="545"/>
      <c r="GCX31" s="545"/>
      <c r="GCY31" s="545"/>
      <c r="GCZ31" s="545"/>
      <c r="GDA31" s="545"/>
      <c r="GDB31" s="545"/>
      <c r="GDC31" s="545"/>
      <c r="GDD31" s="545"/>
      <c r="GDE31" s="545"/>
      <c r="GDF31" s="545"/>
      <c r="GDG31" s="545"/>
      <c r="GDH31" s="545"/>
      <c r="GDI31" s="545"/>
      <c r="GDJ31" s="545"/>
      <c r="GDK31" s="545"/>
      <c r="GDL31" s="545"/>
      <c r="GDM31" s="545"/>
      <c r="GDN31" s="545"/>
      <c r="GDO31" s="545"/>
      <c r="GDP31" s="545"/>
      <c r="GDQ31" s="545"/>
      <c r="GDR31" s="545"/>
      <c r="GDS31" s="545"/>
      <c r="GDT31" s="545"/>
      <c r="GDU31" s="545"/>
      <c r="GDV31" s="545"/>
      <c r="GDW31" s="545"/>
      <c r="GDX31" s="545"/>
      <c r="GDY31" s="545"/>
      <c r="GDZ31" s="545"/>
      <c r="GEA31" s="545"/>
      <c r="GEB31" s="545"/>
      <c r="GEC31" s="545"/>
      <c r="GED31" s="545"/>
      <c r="GEE31" s="545"/>
      <c r="GEF31" s="545"/>
      <c r="GEG31" s="545"/>
      <c r="GEH31" s="545"/>
      <c r="GEI31" s="545"/>
      <c r="GEJ31" s="545"/>
      <c r="GEK31" s="545"/>
      <c r="GEL31" s="545"/>
      <c r="GEM31" s="545"/>
      <c r="GEN31" s="545"/>
      <c r="GEO31" s="545"/>
      <c r="GEP31" s="545"/>
      <c r="GEQ31" s="545"/>
      <c r="GER31" s="545"/>
      <c r="GES31" s="545"/>
      <c r="GET31" s="545"/>
      <c r="GEU31" s="545"/>
      <c r="GEV31" s="545"/>
      <c r="GEW31" s="545"/>
      <c r="GEX31" s="545"/>
      <c r="GEY31" s="545"/>
      <c r="GEZ31" s="545"/>
      <c r="GFA31" s="545"/>
      <c r="GFB31" s="545"/>
      <c r="GFC31" s="545"/>
      <c r="GFD31" s="545"/>
      <c r="GFE31" s="545"/>
      <c r="GFF31" s="545"/>
      <c r="GFG31" s="545"/>
      <c r="GFH31" s="545"/>
      <c r="GFI31" s="545"/>
      <c r="GFJ31" s="545"/>
      <c r="GFK31" s="545"/>
      <c r="GFL31" s="545"/>
      <c r="GFM31" s="545"/>
      <c r="GFN31" s="545"/>
      <c r="GFO31" s="545"/>
      <c r="GFP31" s="545"/>
      <c r="GFQ31" s="545"/>
      <c r="GFR31" s="545"/>
      <c r="GFS31" s="545"/>
      <c r="GFT31" s="545"/>
      <c r="GFU31" s="545"/>
      <c r="GFV31" s="545"/>
      <c r="GFW31" s="545"/>
      <c r="GFX31" s="545"/>
      <c r="GFY31" s="545"/>
      <c r="GFZ31" s="545"/>
      <c r="GGA31" s="545"/>
      <c r="GGB31" s="545"/>
      <c r="GGC31" s="545"/>
      <c r="GGD31" s="545"/>
      <c r="GGE31" s="545"/>
      <c r="GGF31" s="545"/>
      <c r="GGG31" s="545"/>
      <c r="GGH31" s="545"/>
      <c r="GGI31" s="545"/>
      <c r="GGJ31" s="545"/>
      <c r="GGK31" s="545"/>
      <c r="GGL31" s="545"/>
      <c r="GGM31" s="545"/>
      <c r="GGN31" s="545"/>
      <c r="GGO31" s="545"/>
      <c r="GGP31" s="545"/>
      <c r="GGQ31" s="545"/>
      <c r="GGR31" s="545"/>
      <c r="GGS31" s="545"/>
      <c r="GGT31" s="545"/>
      <c r="GGU31" s="545"/>
      <c r="GGV31" s="545"/>
      <c r="GGW31" s="545"/>
      <c r="GGX31" s="545"/>
      <c r="GGY31" s="545"/>
      <c r="GGZ31" s="545"/>
      <c r="GHA31" s="545"/>
      <c r="GHB31" s="545"/>
      <c r="GHC31" s="545"/>
      <c r="GHD31" s="545"/>
      <c r="GHE31" s="545"/>
      <c r="GHF31" s="545"/>
      <c r="GHG31" s="545"/>
      <c r="GHH31" s="545"/>
      <c r="GHI31" s="545"/>
      <c r="GHJ31" s="545"/>
      <c r="GHK31" s="545"/>
      <c r="GHL31" s="545"/>
      <c r="GHM31" s="545"/>
      <c r="GHN31" s="545"/>
      <c r="GHO31" s="545"/>
      <c r="GHP31" s="545"/>
      <c r="GHQ31" s="545"/>
      <c r="GHR31" s="545"/>
      <c r="GHS31" s="545"/>
      <c r="GHT31" s="545"/>
      <c r="GHU31" s="545"/>
      <c r="GHV31" s="545"/>
      <c r="GHW31" s="545"/>
      <c r="GHX31" s="545"/>
      <c r="GHY31" s="545"/>
      <c r="GHZ31" s="545"/>
      <c r="GIA31" s="545"/>
      <c r="GIB31" s="545"/>
      <c r="GIC31" s="545"/>
      <c r="GID31" s="545"/>
      <c r="GIE31" s="545"/>
      <c r="GIF31" s="545"/>
      <c r="GIG31" s="545"/>
      <c r="GIH31" s="545"/>
      <c r="GII31" s="545"/>
      <c r="GIJ31" s="545"/>
      <c r="GIK31" s="545"/>
      <c r="GIL31" s="545"/>
      <c r="GIM31" s="545"/>
      <c r="GIN31" s="545"/>
      <c r="GIO31" s="545"/>
      <c r="GIP31" s="545"/>
      <c r="GIQ31" s="545"/>
      <c r="GIR31" s="545"/>
      <c r="GIS31" s="545"/>
      <c r="GIT31" s="545"/>
      <c r="GIU31" s="545"/>
      <c r="GIV31" s="545"/>
      <c r="GIW31" s="545"/>
      <c r="GIX31" s="545"/>
      <c r="GIY31" s="545"/>
      <c r="GIZ31" s="545"/>
      <c r="GJA31" s="545"/>
      <c r="GJB31" s="545"/>
      <c r="GJC31" s="545"/>
      <c r="GJD31" s="545"/>
      <c r="GJE31" s="545"/>
      <c r="GJF31" s="545"/>
      <c r="GJG31" s="545"/>
      <c r="GJH31" s="545"/>
      <c r="GJI31" s="545"/>
      <c r="GJJ31" s="545"/>
      <c r="GJK31" s="545"/>
      <c r="GJL31" s="545"/>
      <c r="GJM31" s="545"/>
      <c r="GJN31" s="545"/>
      <c r="GJO31" s="545"/>
      <c r="GJP31" s="545"/>
      <c r="GJQ31" s="545"/>
      <c r="GJR31" s="545"/>
      <c r="GJS31" s="545"/>
      <c r="GJT31" s="545"/>
      <c r="GJU31" s="545"/>
      <c r="GJV31" s="545"/>
      <c r="GJW31" s="545"/>
      <c r="GJX31" s="545"/>
      <c r="GJY31" s="545"/>
      <c r="GJZ31" s="545"/>
      <c r="GKA31" s="545"/>
      <c r="GKB31" s="545"/>
      <c r="GKC31" s="545"/>
      <c r="GKD31" s="545"/>
      <c r="GKE31" s="545"/>
      <c r="GKF31" s="545"/>
      <c r="GKG31" s="545"/>
      <c r="GKH31" s="545"/>
      <c r="GKI31" s="545"/>
      <c r="GKJ31" s="545"/>
      <c r="GKK31" s="545"/>
      <c r="GKL31" s="545"/>
      <c r="GKM31" s="545"/>
      <c r="GKN31" s="545"/>
      <c r="GKO31" s="545"/>
      <c r="GKP31" s="545"/>
      <c r="GKQ31" s="545"/>
      <c r="GKR31" s="545"/>
      <c r="GKS31" s="545"/>
      <c r="GKT31" s="545"/>
      <c r="GKU31" s="545"/>
      <c r="GKV31" s="545"/>
      <c r="GKW31" s="545"/>
      <c r="GKX31" s="545"/>
      <c r="GKY31" s="545"/>
      <c r="GKZ31" s="545"/>
      <c r="GLA31" s="545"/>
      <c r="GLB31" s="545"/>
      <c r="GLC31" s="545"/>
      <c r="GLD31" s="545"/>
      <c r="GLE31" s="545"/>
      <c r="GLF31" s="545"/>
      <c r="GLG31" s="545"/>
      <c r="GLH31" s="545"/>
      <c r="GLI31" s="545"/>
      <c r="GLJ31" s="545"/>
      <c r="GLK31" s="545"/>
      <c r="GLL31" s="545"/>
      <c r="GLM31" s="545"/>
      <c r="GLN31" s="545"/>
      <c r="GLO31" s="545"/>
      <c r="GLP31" s="545"/>
      <c r="GLQ31" s="545"/>
      <c r="GLR31" s="545"/>
      <c r="GLS31" s="545"/>
      <c r="GLT31" s="545"/>
      <c r="GLU31" s="545"/>
      <c r="GLV31" s="545"/>
      <c r="GLW31" s="545"/>
      <c r="GLX31" s="545"/>
      <c r="GLY31" s="545"/>
      <c r="GLZ31" s="545"/>
      <c r="GMA31" s="545"/>
      <c r="GMB31" s="545"/>
      <c r="GMC31" s="545"/>
      <c r="GMD31" s="545"/>
      <c r="GME31" s="545"/>
      <c r="GMF31" s="545"/>
      <c r="GMG31" s="545"/>
      <c r="GMH31" s="545"/>
      <c r="GMI31" s="545"/>
      <c r="GMJ31" s="545"/>
      <c r="GMK31" s="545"/>
      <c r="GML31" s="545"/>
      <c r="GMM31" s="545"/>
      <c r="GMN31" s="545"/>
      <c r="GMO31" s="545"/>
      <c r="GMP31" s="545"/>
      <c r="GMQ31" s="545"/>
      <c r="GMR31" s="545"/>
      <c r="GMS31" s="545"/>
      <c r="GMT31" s="545"/>
      <c r="GMU31" s="545"/>
      <c r="GMV31" s="545"/>
      <c r="GMW31" s="545"/>
      <c r="GMX31" s="545"/>
      <c r="GMY31" s="545"/>
      <c r="GMZ31" s="545"/>
      <c r="GNA31" s="545"/>
      <c r="GNB31" s="545"/>
      <c r="GNC31" s="545"/>
      <c r="GND31" s="545"/>
      <c r="GNE31" s="545"/>
      <c r="GNF31" s="545"/>
      <c r="GNG31" s="545"/>
      <c r="GNH31" s="545"/>
      <c r="GNI31" s="545"/>
      <c r="GNJ31" s="545"/>
      <c r="GNK31" s="545"/>
      <c r="GNL31" s="545"/>
      <c r="GNM31" s="545"/>
      <c r="GNN31" s="545"/>
      <c r="GNO31" s="545"/>
      <c r="GNP31" s="545"/>
      <c r="GNQ31" s="545"/>
      <c r="GNR31" s="545"/>
      <c r="GNS31" s="545"/>
      <c r="GNT31" s="545"/>
      <c r="GNU31" s="545"/>
      <c r="GNV31" s="545"/>
      <c r="GNW31" s="545"/>
      <c r="GNX31" s="545"/>
      <c r="GNY31" s="545"/>
      <c r="GNZ31" s="545"/>
      <c r="GOA31" s="545"/>
      <c r="GOB31" s="545"/>
      <c r="GOC31" s="545"/>
      <c r="GOD31" s="545"/>
      <c r="GOE31" s="545"/>
      <c r="GOF31" s="545"/>
      <c r="GOG31" s="545"/>
      <c r="GOH31" s="545"/>
      <c r="GOI31" s="545"/>
      <c r="GOJ31" s="545"/>
      <c r="GOK31" s="545"/>
      <c r="GOL31" s="545"/>
      <c r="GOM31" s="545"/>
      <c r="GON31" s="545"/>
      <c r="GOO31" s="545"/>
      <c r="GOP31" s="545"/>
      <c r="GOQ31" s="545"/>
      <c r="GOR31" s="545"/>
      <c r="GOS31" s="545"/>
      <c r="GOT31" s="545"/>
      <c r="GOU31" s="545"/>
      <c r="GOV31" s="545"/>
      <c r="GOW31" s="545"/>
      <c r="GOX31" s="545"/>
      <c r="GOY31" s="545"/>
      <c r="GOZ31" s="545"/>
      <c r="GPA31" s="545"/>
      <c r="GPB31" s="545"/>
      <c r="GPC31" s="545"/>
      <c r="GPD31" s="545"/>
      <c r="GPE31" s="545"/>
      <c r="GPF31" s="545"/>
      <c r="GPG31" s="545"/>
      <c r="GPH31" s="545"/>
      <c r="GPI31" s="545"/>
      <c r="GPJ31" s="545"/>
      <c r="GPK31" s="545"/>
      <c r="GPL31" s="545"/>
      <c r="GPM31" s="545"/>
      <c r="GPN31" s="545"/>
      <c r="GPO31" s="545"/>
      <c r="GPP31" s="545"/>
      <c r="GPQ31" s="545"/>
      <c r="GPR31" s="545"/>
      <c r="GPS31" s="545"/>
      <c r="GPT31" s="545"/>
      <c r="GPU31" s="545"/>
      <c r="GPV31" s="545"/>
      <c r="GPW31" s="545"/>
      <c r="GPX31" s="545"/>
      <c r="GPY31" s="545"/>
      <c r="GPZ31" s="545"/>
      <c r="GQA31" s="545"/>
      <c r="GQB31" s="545"/>
      <c r="GQC31" s="545"/>
      <c r="GQD31" s="545"/>
      <c r="GQE31" s="545"/>
      <c r="GQF31" s="545"/>
      <c r="GQG31" s="545"/>
      <c r="GQH31" s="545"/>
      <c r="GQI31" s="545"/>
      <c r="GQJ31" s="545"/>
      <c r="GQK31" s="545"/>
      <c r="GQL31" s="545"/>
      <c r="GQM31" s="545"/>
      <c r="GQN31" s="545"/>
      <c r="GQO31" s="545"/>
      <c r="GQP31" s="545"/>
      <c r="GQQ31" s="545"/>
      <c r="GQR31" s="545"/>
      <c r="GQS31" s="545"/>
      <c r="GQT31" s="545"/>
      <c r="GQU31" s="545"/>
      <c r="GQV31" s="545"/>
      <c r="GQW31" s="545"/>
      <c r="GQX31" s="545"/>
      <c r="GQY31" s="545"/>
      <c r="GQZ31" s="545"/>
      <c r="GRA31" s="545"/>
      <c r="GRB31" s="545"/>
      <c r="GRC31" s="545"/>
      <c r="GRD31" s="545"/>
      <c r="GRE31" s="545"/>
      <c r="GRF31" s="545"/>
      <c r="GRG31" s="545"/>
      <c r="GRH31" s="545"/>
      <c r="GRI31" s="545"/>
      <c r="GRJ31" s="545"/>
      <c r="GRK31" s="545"/>
      <c r="GRL31" s="545"/>
      <c r="GRM31" s="545"/>
      <c r="GRN31" s="545"/>
      <c r="GRO31" s="545"/>
      <c r="GRP31" s="545"/>
      <c r="GRQ31" s="545"/>
      <c r="GRR31" s="545"/>
      <c r="GRS31" s="545"/>
      <c r="GRT31" s="545"/>
      <c r="GRU31" s="545"/>
      <c r="GRV31" s="545"/>
      <c r="GRW31" s="545"/>
      <c r="GRX31" s="545"/>
      <c r="GRY31" s="545"/>
      <c r="GRZ31" s="545"/>
      <c r="GSA31" s="545"/>
      <c r="GSB31" s="545"/>
      <c r="GSC31" s="545"/>
      <c r="GSD31" s="545"/>
      <c r="GSE31" s="545"/>
      <c r="GSF31" s="545"/>
      <c r="GSG31" s="545"/>
      <c r="GSH31" s="545"/>
      <c r="GSI31" s="545"/>
      <c r="GSJ31" s="545"/>
      <c r="GSK31" s="545"/>
      <c r="GSL31" s="545"/>
      <c r="GSM31" s="545"/>
      <c r="GSN31" s="545"/>
      <c r="GSO31" s="545"/>
      <c r="GSP31" s="545"/>
      <c r="GSQ31" s="545"/>
      <c r="GSR31" s="545"/>
      <c r="GSS31" s="545"/>
      <c r="GST31" s="545"/>
      <c r="GSU31" s="545"/>
      <c r="GSV31" s="545"/>
      <c r="GSW31" s="545"/>
      <c r="GSX31" s="545"/>
      <c r="GSY31" s="545"/>
      <c r="GSZ31" s="545"/>
      <c r="GTA31" s="545"/>
      <c r="GTB31" s="545"/>
      <c r="GTC31" s="545"/>
      <c r="GTD31" s="545"/>
      <c r="GTE31" s="545"/>
      <c r="GTF31" s="545"/>
      <c r="GTG31" s="545"/>
      <c r="GTH31" s="545"/>
      <c r="GTI31" s="545"/>
      <c r="GTJ31" s="545"/>
      <c r="GTK31" s="545"/>
      <c r="GTL31" s="545"/>
      <c r="GTM31" s="545"/>
      <c r="GTN31" s="545"/>
      <c r="GTO31" s="545"/>
      <c r="GTP31" s="545"/>
      <c r="GTQ31" s="545"/>
      <c r="GTR31" s="545"/>
      <c r="GTS31" s="545"/>
      <c r="GTT31" s="545"/>
      <c r="GTU31" s="545"/>
      <c r="GTV31" s="545"/>
      <c r="GTW31" s="545"/>
      <c r="GTX31" s="545"/>
      <c r="GTY31" s="545"/>
      <c r="GTZ31" s="545"/>
      <c r="GUA31" s="545"/>
      <c r="GUB31" s="545"/>
      <c r="GUC31" s="545"/>
      <c r="GUD31" s="545"/>
      <c r="GUE31" s="545"/>
      <c r="GUF31" s="545"/>
      <c r="GUG31" s="545"/>
      <c r="GUH31" s="545"/>
      <c r="GUI31" s="545"/>
      <c r="GUJ31" s="545"/>
      <c r="GUK31" s="545"/>
      <c r="GUL31" s="545"/>
      <c r="GUM31" s="545"/>
      <c r="GUN31" s="545"/>
      <c r="GUO31" s="545"/>
      <c r="GUP31" s="545"/>
      <c r="GUQ31" s="545"/>
      <c r="GUR31" s="545"/>
      <c r="GUS31" s="545"/>
      <c r="GUT31" s="545"/>
      <c r="GUU31" s="545"/>
      <c r="GUV31" s="545"/>
      <c r="GUW31" s="545"/>
      <c r="GUX31" s="545"/>
      <c r="GUY31" s="545"/>
      <c r="GUZ31" s="545"/>
      <c r="GVA31" s="545"/>
      <c r="GVB31" s="545"/>
      <c r="GVC31" s="545"/>
      <c r="GVD31" s="545"/>
      <c r="GVE31" s="545"/>
      <c r="GVF31" s="545"/>
      <c r="GVG31" s="545"/>
      <c r="GVH31" s="545"/>
      <c r="GVI31" s="545"/>
      <c r="GVJ31" s="545"/>
      <c r="GVK31" s="545"/>
      <c r="GVL31" s="545"/>
      <c r="GVM31" s="545"/>
      <c r="GVN31" s="545"/>
      <c r="GVO31" s="545"/>
      <c r="GVP31" s="545"/>
      <c r="GVQ31" s="545"/>
      <c r="GVR31" s="545"/>
      <c r="GVS31" s="545"/>
      <c r="GVT31" s="545"/>
      <c r="GVU31" s="545"/>
      <c r="GVV31" s="545"/>
      <c r="GVW31" s="545"/>
      <c r="GVX31" s="545"/>
      <c r="GVY31" s="545"/>
      <c r="GVZ31" s="545"/>
      <c r="GWA31" s="545"/>
      <c r="GWB31" s="545"/>
      <c r="GWC31" s="545"/>
      <c r="GWD31" s="545"/>
      <c r="GWE31" s="545"/>
      <c r="GWF31" s="545"/>
      <c r="GWG31" s="545"/>
      <c r="GWH31" s="545"/>
      <c r="GWI31" s="545"/>
      <c r="GWJ31" s="545"/>
      <c r="GWK31" s="545"/>
      <c r="GWL31" s="545"/>
      <c r="GWM31" s="545"/>
      <c r="GWN31" s="545"/>
      <c r="GWO31" s="545"/>
      <c r="GWP31" s="545"/>
      <c r="GWQ31" s="545"/>
      <c r="GWR31" s="545"/>
      <c r="GWS31" s="545"/>
      <c r="GWT31" s="545"/>
      <c r="GWU31" s="545"/>
      <c r="GWV31" s="545"/>
      <c r="GWW31" s="545"/>
      <c r="GWX31" s="545"/>
      <c r="GWY31" s="545"/>
      <c r="GWZ31" s="545"/>
      <c r="GXA31" s="545"/>
      <c r="GXB31" s="545"/>
      <c r="GXC31" s="545"/>
      <c r="GXD31" s="545"/>
      <c r="GXE31" s="545"/>
      <c r="GXF31" s="545"/>
      <c r="GXG31" s="545"/>
      <c r="GXH31" s="545"/>
      <c r="GXI31" s="545"/>
      <c r="GXJ31" s="545"/>
      <c r="GXK31" s="545"/>
      <c r="GXL31" s="545"/>
      <c r="GXM31" s="545"/>
      <c r="GXN31" s="545"/>
      <c r="GXO31" s="545"/>
      <c r="GXP31" s="545"/>
      <c r="GXQ31" s="545"/>
      <c r="GXR31" s="545"/>
      <c r="GXS31" s="545"/>
      <c r="GXT31" s="545"/>
      <c r="GXU31" s="545"/>
      <c r="GXV31" s="545"/>
      <c r="GXW31" s="545"/>
      <c r="GXX31" s="545"/>
      <c r="GXY31" s="545"/>
      <c r="GXZ31" s="545"/>
      <c r="GYA31" s="545"/>
      <c r="GYB31" s="545"/>
      <c r="GYC31" s="545"/>
      <c r="GYD31" s="545"/>
      <c r="GYE31" s="545"/>
      <c r="GYF31" s="545"/>
      <c r="GYG31" s="545"/>
      <c r="GYH31" s="545"/>
      <c r="GYI31" s="545"/>
      <c r="GYJ31" s="545"/>
      <c r="GYK31" s="545"/>
      <c r="GYL31" s="545"/>
      <c r="GYM31" s="545"/>
      <c r="GYN31" s="545"/>
      <c r="GYO31" s="545"/>
      <c r="GYP31" s="545"/>
      <c r="GYQ31" s="545"/>
      <c r="GYR31" s="545"/>
      <c r="GYS31" s="545"/>
      <c r="GYT31" s="545"/>
      <c r="GYU31" s="545"/>
      <c r="GYV31" s="545"/>
      <c r="GYW31" s="545"/>
      <c r="GYX31" s="545"/>
      <c r="GYY31" s="545"/>
      <c r="GYZ31" s="545"/>
      <c r="GZA31" s="545"/>
      <c r="GZB31" s="545"/>
      <c r="GZC31" s="545"/>
      <c r="GZD31" s="545"/>
      <c r="GZE31" s="545"/>
      <c r="GZF31" s="545"/>
      <c r="GZG31" s="545"/>
      <c r="GZH31" s="545"/>
      <c r="GZI31" s="545"/>
      <c r="GZJ31" s="545"/>
      <c r="GZK31" s="545"/>
      <c r="GZL31" s="545"/>
      <c r="GZM31" s="545"/>
      <c r="GZN31" s="545"/>
      <c r="GZO31" s="545"/>
      <c r="GZP31" s="545"/>
      <c r="GZQ31" s="545"/>
      <c r="GZR31" s="545"/>
      <c r="GZS31" s="545"/>
      <c r="GZT31" s="545"/>
      <c r="GZU31" s="545"/>
      <c r="GZV31" s="545"/>
      <c r="GZW31" s="545"/>
      <c r="GZX31" s="545"/>
      <c r="GZY31" s="545"/>
      <c r="GZZ31" s="545"/>
      <c r="HAA31" s="545"/>
      <c r="HAB31" s="545"/>
      <c r="HAC31" s="545"/>
      <c r="HAD31" s="545"/>
      <c r="HAE31" s="545"/>
      <c r="HAF31" s="545"/>
      <c r="HAG31" s="545"/>
      <c r="HAH31" s="545"/>
      <c r="HAI31" s="545"/>
      <c r="HAJ31" s="545"/>
      <c r="HAK31" s="545"/>
      <c r="HAL31" s="545"/>
      <c r="HAM31" s="545"/>
      <c r="HAN31" s="545"/>
      <c r="HAO31" s="545"/>
      <c r="HAP31" s="545"/>
      <c r="HAQ31" s="545"/>
      <c r="HAR31" s="545"/>
      <c r="HAS31" s="545"/>
      <c r="HAT31" s="545"/>
      <c r="HAU31" s="545"/>
      <c r="HAV31" s="545"/>
      <c r="HAW31" s="545"/>
      <c r="HAX31" s="545"/>
      <c r="HAY31" s="545"/>
      <c r="HAZ31" s="545"/>
      <c r="HBA31" s="545"/>
      <c r="HBB31" s="545"/>
      <c r="HBC31" s="545"/>
      <c r="HBD31" s="545"/>
      <c r="HBE31" s="545"/>
      <c r="HBF31" s="545"/>
      <c r="HBG31" s="545"/>
      <c r="HBH31" s="545"/>
      <c r="HBI31" s="545"/>
      <c r="HBJ31" s="545"/>
      <c r="HBK31" s="545"/>
      <c r="HBL31" s="545"/>
      <c r="HBM31" s="545"/>
      <c r="HBN31" s="545"/>
      <c r="HBO31" s="545"/>
      <c r="HBP31" s="545"/>
      <c r="HBQ31" s="545"/>
      <c r="HBR31" s="545"/>
      <c r="HBS31" s="545"/>
      <c r="HBT31" s="545"/>
      <c r="HBU31" s="545"/>
      <c r="HBV31" s="545"/>
      <c r="HBW31" s="545"/>
      <c r="HBX31" s="545"/>
      <c r="HBY31" s="545"/>
      <c r="HBZ31" s="545"/>
      <c r="HCA31" s="545"/>
      <c r="HCB31" s="545"/>
      <c r="HCC31" s="545"/>
      <c r="HCD31" s="545"/>
      <c r="HCE31" s="545"/>
      <c r="HCF31" s="545"/>
      <c r="HCG31" s="545"/>
      <c r="HCH31" s="545"/>
      <c r="HCI31" s="545"/>
      <c r="HCJ31" s="545"/>
      <c r="HCK31" s="545"/>
      <c r="HCL31" s="545"/>
      <c r="HCM31" s="545"/>
      <c r="HCN31" s="545"/>
      <c r="HCO31" s="545"/>
      <c r="HCP31" s="545"/>
      <c r="HCQ31" s="545"/>
      <c r="HCR31" s="545"/>
      <c r="HCS31" s="545"/>
      <c r="HCT31" s="545"/>
      <c r="HCU31" s="545"/>
      <c r="HCV31" s="545"/>
      <c r="HCW31" s="545"/>
      <c r="HCX31" s="545"/>
      <c r="HCY31" s="545"/>
      <c r="HCZ31" s="545"/>
      <c r="HDA31" s="545"/>
      <c r="HDB31" s="545"/>
      <c r="HDC31" s="545"/>
      <c r="HDD31" s="545"/>
      <c r="HDE31" s="545"/>
      <c r="HDF31" s="545"/>
      <c r="HDG31" s="545"/>
      <c r="HDH31" s="545"/>
      <c r="HDI31" s="545"/>
      <c r="HDJ31" s="545"/>
      <c r="HDK31" s="545"/>
      <c r="HDL31" s="545"/>
      <c r="HDM31" s="545"/>
      <c r="HDN31" s="545"/>
      <c r="HDO31" s="545"/>
      <c r="HDP31" s="545"/>
      <c r="HDQ31" s="545"/>
      <c r="HDR31" s="545"/>
      <c r="HDS31" s="545"/>
      <c r="HDT31" s="545"/>
      <c r="HDU31" s="545"/>
      <c r="HDV31" s="545"/>
      <c r="HDW31" s="545"/>
      <c r="HDX31" s="545"/>
      <c r="HDY31" s="545"/>
      <c r="HDZ31" s="545"/>
      <c r="HEA31" s="545"/>
      <c r="HEB31" s="545"/>
      <c r="HEC31" s="545"/>
      <c r="HED31" s="545"/>
      <c r="HEE31" s="545"/>
      <c r="HEF31" s="545"/>
      <c r="HEG31" s="545"/>
      <c r="HEH31" s="545"/>
      <c r="HEI31" s="545"/>
      <c r="HEJ31" s="545"/>
      <c r="HEK31" s="545"/>
      <c r="HEL31" s="545"/>
      <c r="HEM31" s="545"/>
      <c r="HEN31" s="545"/>
      <c r="HEO31" s="545"/>
      <c r="HEP31" s="545"/>
      <c r="HEQ31" s="545"/>
      <c r="HER31" s="545"/>
      <c r="HES31" s="545"/>
      <c r="HET31" s="545"/>
      <c r="HEU31" s="545"/>
      <c r="HEV31" s="545"/>
      <c r="HEW31" s="545"/>
      <c r="HEX31" s="545"/>
      <c r="HEY31" s="545"/>
      <c r="HEZ31" s="545"/>
      <c r="HFA31" s="545"/>
      <c r="HFB31" s="545"/>
      <c r="HFC31" s="545"/>
      <c r="HFD31" s="545"/>
      <c r="HFE31" s="545"/>
      <c r="HFF31" s="545"/>
      <c r="HFG31" s="545"/>
      <c r="HFH31" s="545"/>
      <c r="HFI31" s="545"/>
      <c r="HFJ31" s="545"/>
      <c r="HFK31" s="545"/>
      <c r="HFL31" s="545"/>
      <c r="HFM31" s="545"/>
      <c r="HFN31" s="545"/>
      <c r="HFO31" s="545"/>
      <c r="HFP31" s="545"/>
      <c r="HFQ31" s="545"/>
      <c r="HFR31" s="545"/>
      <c r="HFS31" s="545"/>
      <c r="HFT31" s="545"/>
      <c r="HFU31" s="545"/>
      <c r="HFV31" s="545"/>
      <c r="HFW31" s="545"/>
      <c r="HFX31" s="545"/>
      <c r="HFY31" s="545"/>
      <c r="HFZ31" s="545"/>
      <c r="HGA31" s="545"/>
      <c r="HGB31" s="545"/>
      <c r="HGC31" s="545"/>
      <c r="HGD31" s="545"/>
      <c r="HGE31" s="545"/>
      <c r="HGF31" s="545"/>
      <c r="HGG31" s="545"/>
      <c r="HGH31" s="545"/>
      <c r="HGI31" s="545"/>
      <c r="HGJ31" s="545"/>
      <c r="HGK31" s="545"/>
      <c r="HGL31" s="545"/>
      <c r="HGM31" s="545"/>
      <c r="HGN31" s="545"/>
      <c r="HGO31" s="545"/>
      <c r="HGP31" s="545"/>
      <c r="HGQ31" s="545"/>
      <c r="HGR31" s="545"/>
      <c r="HGS31" s="545"/>
      <c r="HGT31" s="545"/>
      <c r="HGU31" s="545"/>
      <c r="HGV31" s="545"/>
      <c r="HGW31" s="545"/>
      <c r="HGX31" s="545"/>
      <c r="HGY31" s="545"/>
      <c r="HGZ31" s="545"/>
      <c r="HHA31" s="545"/>
      <c r="HHB31" s="545"/>
      <c r="HHC31" s="545"/>
      <c r="HHD31" s="545"/>
      <c r="HHE31" s="545"/>
      <c r="HHF31" s="545"/>
      <c r="HHG31" s="545"/>
      <c r="HHH31" s="545"/>
      <c r="HHI31" s="545"/>
      <c r="HHJ31" s="545"/>
      <c r="HHK31" s="545"/>
      <c r="HHL31" s="545"/>
      <c r="HHM31" s="545"/>
      <c r="HHN31" s="545"/>
      <c r="HHO31" s="545"/>
      <c r="HHP31" s="545"/>
      <c r="HHQ31" s="545"/>
      <c r="HHR31" s="545"/>
      <c r="HHS31" s="545"/>
      <c r="HHT31" s="545"/>
      <c r="HHU31" s="545"/>
      <c r="HHV31" s="545"/>
      <c r="HHW31" s="545"/>
      <c r="HHX31" s="545"/>
      <c r="HHY31" s="545"/>
      <c r="HHZ31" s="545"/>
      <c r="HIA31" s="545"/>
      <c r="HIB31" s="545"/>
      <c r="HIC31" s="545"/>
      <c r="HID31" s="545"/>
      <c r="HIE31" s="545"/>
      <c r="HIF31" s="545"/>
      <c r="HIG31" s="545"/>
      <c r="HIH31" s="545"/>
      <c r="HII31" s="545"/>
      <c r="HIJ31" s="545"/>
      <c r="HIK31" s="545"/>
      <c r="HIL31" s="545"/>
      <c r="HIM31" s="545"/>
      <c r="HIN31" s="545"/>
      <c r="HIO31" s="545"/>
      <c r="HIP31" s="545"/>
      <c r="HIQ31" s="545"/>
      <c r="HIR31" s="545"/>
      <c r="HIS31" s="545"/>
      <c r="HIT31" s="545"/>
      <c r="HIU31" s="545"/>
      <c r="HIV31" s="545"/>
      <c r="HIW31" s="545"/>
      <c r="HIX31" s="545"/>
      <c r="HIY31" s="545"/>
      <c r="HIZ31" s="545"/>
      <c r="HJA31" s="545"/>
      <c r="HJB31" s="545"/>
      <c r="HJC31" s="545"/>
      <c r="HJD31" s="545"/>
      <c r="HJE31" s="545"/>
      <c r="HJF31" s="545"/>
      <c r="HJG31" s="545"/>
      <c r="HJH31" s="545"/>
      <c r="HJI31" s="545"/>
      <c r="HJJ31" s="545"/>
      <c r="HJK31" s="545"/>
      <c r="HJL31" s="545"/>
      <c r="HJM31" s="545"/>
      <c r="HJN31" s="545"/>
      <c r="HJO31" s="545"/>
      <c r="HJP31" s="545"/>
      <c r="HJQ31" s="545"/>
      <c r="HJR31" s="545"/>
      <c r="HJS31" s="545"/>
      <c r="HJT31" s="545"/>
      <c r="HJU31" s="545"/>
      <c r="HJV31" s="545"/>
      <c r="HJW31" s="545"/>
      <c r="HJX31" s="545"/>
      <c r="HJY31" s="545"/>
      <c r="HJZ31" s="545"/>
      <c r="HKA31" s="545"/>
      <c r="HKB31" s="545"/>
      <c r="HKC31" s="545"/>
      <c r="HKD31" s="545"/>
      <c r="HKE31" s="545"/>
      <c r="HKF31" s="545"/>
      <c r="HKG31" s="545"/>
      <c r="HKH31" s="545"/>
      <c r="HKI31" s="545"/>
      <c r="HKJ31" s="545"/>
      <c r="HKK31" s="545"/>
      <c r="HKL31" s="545"/>
      <c r="HKM31" s="545"/>
      <c r="HKN31" s="545"/>
      <c r="HKO31" s="545"/>
      <c r="HKP31" s="545"/>
      <c r="HKQ31" s="545"/>
      <c r="HKR31" s="545"/>
      <c r="HKS31" s="545"/>
      <c r="HKT31" s="545"/>
      <c r="HKU31" s="545"/>
      <c r="HKV31" s="545"/>
      <c r="HKW31" s="545"/>
      <c r="HKX31" s="545"/>
      <c r="HKY31" s="545"/>
      <c r="HKZ31" s="545"/>
      <c r="HLA31" s="545"/>
      <c r="HLB31" s="545"/>
      <c r="HLC31" s="545"/>
      <c r="HLD31" s="545"/>
      <c r="HLE31" s="545"/>
      <c r="HLF31" s="545"/>
      <c r="HLG31" s="545"/>
      <c r="HLH31" s="545"/>
      <c r="HLI31" s="545"/>
      <c r="HLJ31" s="545"/>
      <c r="HLK31" s="545"/>
      <c r="HLL31" s="545"/>
      <c r="HLM31" s="545"/>
      <c r="HLN31" s="545"/>
      <c r="HLO31" s="545"/>
      <c r="HLP31" s="545"/>
      <c r="HLQ31" s="545"/>
      <c r="HLR31" s="545"/>
      <c r="HLS31" s="545"/>
      <c r="HLT31" s="545"/>
      <c r="HLU31" s="545"/>
      <c r="HLV31" s="545"/>
      <c r="HLW31" s="545"/>
      <c r="HLX31" s="545"/>
      <c r="HLY31" s="545"/>
      <c r="HLZ31" s="545"/>
      <c r="HMA31" s="545"/>
      <c r="HMB31" s="545"/>
      <c r="HMC31" s="545"/>
      <c r="HMD31" s="545"/>
      <c r="HME31" s="545"/>
      <c r="HMF31" s="545"/>
      <c r="HMG31" s="545"/>
      <c r="HMH31" s="545"/>
      <c r="HMI31" s="545"/>
      <c r="HMJ31" s="545"/>
      <c r="HMK31" s="545"/>
      <c r="HML31" s="545"/>
      <c r="HMM31" s="545"/>
      <c r="HMN31" s="545"/>
      <c r="HMO31" s="545"/>
      <c r="HMP31" s="545"/>
      <c r="HMQ31" s="545"/>
      <c r="HMR31" s="545"/>
      <c r="HMS31" s="545"/>
      <c r="HMT31" s="545"/>
      <c r="HMU31" s="545"/>
      <c r="HMV31" s="545"/>
      <c r="HMW31" s="545"/>
      <c r="HMX31" s="545"/>
      <c r="HMY31" s="545"/>
      <c r="HMZ31" s="545"/>
      <c r="HNA31" s="545"/>
      <c r="HNB31" s="545"/>
      <c r="HNC31" s="545"/>
      <c r="HND31" s="545"/>
      <c r="HNE31" s="545"/>
      <c r="HNF31" s="545"/>
      <c r="HNG31" s="545"/>
      <c r="HNH31" s="545"/>
      <c r="HNI31" s="545"/>
      <c r="HNJ31" s="545"/>
      <c r="HNK31" s="545"/>
      <c r="HNL31" s="545"/>
      <c r="HNM31" s="545"/>
      <c r="HNN31" s="545"/>
      <c r="HNO31" s="545"/>
      <c r="HNP31" s="545"/>
      <c r="HNQ31" s="545"/>
      <c r="HNR31" s="545"/>
      <c r="HNS31" s="545"/>
      <c r="HNT31" s="545"/>
      <c r="HNU31" s="545"/>
      <c r="HNV31" s="545"/>
      <c r="HNW31" s="545"/>
      <c r="HNX31" s="545"/>
      <c r="HNY31" s="545"/>
      <c r="HNZ31" s="545"/>
      <c r="HOA31" s="545"/>
      <c r="HOB31" s="545"/>
      <c r="HOC31" s="545"/>
      <c r="HOD31" s="545"/>
      <c r="HOE31" s="545"/>
      <c r="HOF31" s="545"/>
      <c r="HOG31" s="545"/>
      <c r="HOH31" s="545"/>
      <c r="HOI31" s="545"/>
      <c r="HOJ31" s="545"/>
      <c r="HOK31" s="545"/>
      <c r="HOL31" s="545"/>
      <c r="HOM31" s="545"/>
      <c r="HON31" s="545"/>
      <c r="HOO31" s="545"/>
      <c r="HOP31" s="545"/>
      <c r="HOQ31" s="545"/>
      <c r="HOR31" s="545"/>
      <c r="HOS31" s="545"/>
      <c r="HOT31" s="545"/>
      <c r="HOU31" s="545"/>
      <c r="HOV31" s="545"/>
      <c r="HOW31" s="545"/>
      <c r="HOX31" s="545"/>
      <c r="HOY31" s="545"/>
      <c r="HOZ31" s="545"/>
      <c r="HPA31" s="545"/>
      <c r="HPB31" s="545"/>
      <c r="HPC31" s="545"/>
      <c r="HPD31" s="545"/>
      <c r="HPE31" s="545"/>
      <c r="HPF31" s="545"/>
      <c r="HPG31" s="545"/>
      <c r="HPH31" s="545"/>
      <c r="HPI31" s="545"/>
      <c r="HPJ31" s="545"/>
      <c r="HPK31" s="545"/>
      <c r="HPL31" s="545"/>
      <c r="HPM31" s="545"/>
      <c r="HPN31" s="545"/>
      <c r="HPO31" s="545"/>
      <c r="HPP31" s="545"/>
      <c r="HPQ31" s="545"/>
      <c r="HPR31" s="545"/>
      <c r="HPS31" s="545"/>
      <c r="HPT31" s="545"/>
      <c r="HPU31" s="545"/>
      <c r="HPV31" s="545"/>
      <c r="HPW31" s="545"/>
      <c r="HPX31" s="545"/>
      <c r="HPY31" s="545"/>
      <c r="HPZ31" s="545"/>
      <c r="HQA31" s="545"/>
      <c r="HQB31" s="545"/>
      <c r="HQC31" s="545"/>
      <c r="HQD31" s="545"/>
      <c r="HQE31" s="545"/>
      <c r="HQF31" s="545"/>
      <c r="HQG31" s="545"/>
      <c r="HQH31" s="545"/>
      <c r="HQI31" s="545"/>
      <c r="HQJ31" s="545"/>
      <c r="HQK31" s="545"/>
      <c r="HQL31" s="545"/>
      <c r="HQM31" s="545"/>
      <c r="HQN31" s="545"/>
      <c r="HQO31" s="545"/>
      <c r="HQP31" s="545"/>
      <c r="HQQ31" s="545"/>
      <c r="HQR31" s="545"/>
      <c r="HQS31" s="545"/>
      <c r="HQT31" s="545"/>
      <c r="HQU31" s="545"/>
      <c r="HQV31" s="545"/>
      <c r="HQW31" s="545"/>
      <c r="HQX31" s="545"/>
      <c r="HQY31" s="545"/>
      <c r="HQZ31" s="545"/>
      <c r="HRA31" s="545"/>
      <c r="HRB31" s="545"/>
      <c r="HRC31" s="545"/>
      <c r="HRD31" s="545"/>
      <c r="HRE31" s="545"/>
      <c r="HRF31" s="545"/>
      <c r="HRG31" s="545"/>
      <c r="HRH31" s="545"/>
      <c r="HRI31" s="545"/>
      <c r="HRJ31" s="545"/>
      <c r="HRK31" s="545"/>
      <c r="HRL31" s="545"/>
      <c r="HRM31" s="545"/>
      <c r="HRN31" s="545"/>
      <c r="HRO31" s="545"/>
      <c r="HRP31" s="545"/>
      <c r="HRQ31" s="545"/>
      <c r="HRR31" s="545"/>
      <c r="HRS31" s="545"/>
      <c r="HRT31" s="545"/>
      <c r="HRU31" s="545"/>
      <c r="HRV31" s="545"/>
      <c r="HRW31" s="545"/>
      <c r="HRX31" s="545"/>
      <c r="HRY31" s="545"/>
      <c r="HRZ31" s="545"/>
      <c r="HSA31" s="545"/>
      <c r="HSB31" s="545"/>
      <c r="HSC31" s="545"/>
      <c r="HSD31" s="545"/>
      <c r="HSE31" s="545"/>
      <c r="HSF31" s="545"/>
      <c r="HSG31" s="545"/>
      <c r="HSH31" s="545"/>
      <c r="HSI31" s="545"/>
      <c r="HSJ31" s="545"/>
      <c r="HSK31" s="545"/>
      <c r="HSL31" s="545"/>
      <c r="HSM31" s="545"/>
      <c r="HSN31" s="545"/>
      <c r="HSO31" s="545"/>
      <c r="HSP31" s="545"/>
      <c r="HSQ31" s="545"/>
      <c r="HSR31" s="545"/>
      <c r="HSS31" s="545"/>
      <c r="HST31" s="545"/>
      <c r="HSU31" s="545"/>
      <c r="HSV31" s="545"/>
      <c r="HSW31" s="545"/>
      <c r="HSX31" s="545"/>
      <c r="HSY31" s="545"/>
      <c r="HSZ31" s="545"/>
      <c r="HTA31" s="545"/>
      <c r="HTB31" s="545"/>
      <c r="HTC31" s="545"/>
      <c r="HTD31" s="545"/>
      <c r="HTE31" s="545"/>
      <c r="HTF31" s="545"/>
      <c r="HTG31" s="545"/>
      <c r="HTH31" s="545"/>
      <c r="HTI31" s="545"/>
      <c r="HTJ31" s="545"/>
      <c r="HTK31" s="545"/>
      <c r="HTL31" s="545"/>
      <c r="HTM31" s="545"/>
      <c r="HTN31" s="545"/>
      <c r="HTO31" s="545"/>
      <c r="HTP31" s="545"/>
      <c r="HTQ31" s="545"/>
      <c r="HTR31" s="545"/>
      <c r="HTS31" s="545"/>
      <c r="HTT31" s="545"/>
      <c r="HTU31" s="545"/>
      <c r="HTV31" s="545"/>
      <c r="HTW31" s="545"/>
      <c r="HTX31" s="545"/>
      <c r="HTY31" s="545"/>
      <c r="HTZ31" s="545"/>
      <c r="HUA31" s="545"/>
      <c r="HUB31" s="545"/>
      <c r="HUC31" s="545"/>
      <c r="HUD31" s="545"/>
      <c r="HUE31" s="545"/>
      <c r="HUF31" s="545"/>
      <c r="HUG31" s="545"/>
      <c r="HUH31" s="545"/>
      <c r="HUI31" s="545"/>
      <c r="HUJ31" s="545"/>
      <c r="HUK31" s="545"/>
      <c r="HUL31" s="545"/>
      <c r="HUM31" s="545"/>
      <c r="HUN31" s="545"/>
      <c r="HUO31" s="545"/>
      <c r="HUP31" s="545"/>
      <c r="HUQ31" s="545"/>
      <c r="HUR31" s="545"/>
      <c r="HUS31" s="545"/>
      <c r="HUT31" s="545"/>
      <c r="HUU31" s="545"/>
      <c r="HUV31" s="545"/>
      <c r="HUW31" s="545"/>
      <c r="HUX31" s="545"/>
      <c r="HUY31" s="545"/>
      <c r="HUZ31" s="545"/>
      <c r="HVA31" s="545"/>
      <c r="HVB31" s="545"/>
      <c r="HVC31" s="545"/>
      <c r="HVD31" s="545"/>
      <c r="HVE31" s="545"/>
      <c r="HVF31" s="545"/>
      <c r="HVG31" s="545"/>
      <c r="HVH31" s="545"/>
      <c r="HVI31" s="545"/>
      <c r="HVJ31" s="545"/>
      <c r="HVK31" s="545"/>
      <c r="HVL31" s="545"/>
      <c r="HVM31" s="545"/>
      <c r="HVN31" s="545"/>
      <c r="HVO31" s="545"/>
      <c r="HVP31" s="545"/>
      <c r="HVQ31" s="545"/>
      <c r="HVR31" s="545"/>
      <c r="HVS31" s="545"/>
      <c r="HVT31" s="545"/>
      <c r="HVU31" s="545"/>
      <c r="HVV31" s="545"/>
      <c r="HVW31" s="545"/>
      <c r="HVX31" s="545"/>
      <c r="HVY31" s="545"/>
      <c r="HVZ31" s="545"/>
      <c r="HWA31" s="545"/>
      <c r="HWB31" s="545"/>
      <c r="HWC31" s="545"/>
      <c r="HWD31" s="545"/>
      <c r="HWE31" s="545"/>
      <c r="HWF31" s="545"/>
      <c r="HWG31" s="545"/>
      <c r="HWH31" s="545"/>
      <c r="HWI31" s="545"/>
      <c r="HWJ31" s="545"/>
      <c r="HWK31" s="545"/>
      <c r="HWL31" s="545"/>
      <c r="HWM31" s="545"/>
      <c r="HWN31" s="545"/>
      <c r="HWO31" s="545"/>
      <c r="HWP31" s="545"/>
      <c r="HWQ31" s="545"/>
      <c r="HWR31" s="545"/>
      <c r="HWS31" s="545"/>
      <c r="HWT31" s="545"/>
      <c r="HWU31" s="545"/>
      <c r="HWV31" s="545"/>
      <c r="HWW31" s="545"/>
      <c r="HWX31" s="545"/>
      <c r="HWY31" s="545"/>
      <c r="HWZ31" s="545"/>
      <c r="HXA31" s="545"/>
      <c r="HXB31" s="545"/>
      <c r="HXC31" s="545"/>
      <c r="HXD31" s="545"/>
      <c r="HXE31" s="545"/>
      <c r="HXF31" s="545"/>
      <c r="HXG31" s="545"/>
      <c r="HXH31" s="545"/>
      <c r="HXI31" s="545"/>
      <c r="HXJ31" s="545"/>
      <c r="HXK31" s="545"/>
      <c r="HXL31" s="545"/>
      <c r="HXM31" s="545"/>
      <c r="HXN31" s="545"/>
      <c r="HXO31" s="545"/>
      <c r="HXP31" s="545"/>
      <c r="HXQ31" s="545"/>
      <c r="HXR31" s="545"/>
      <c r="HXS31" s="545"/>
      <c r="HXT31" s="545"/>
      <c r="HXU31" s="545"/>
      <c r="HXV31" s="545"/>
      <c r="HXW31" s="545"/>
      <c r="HXX31" s="545"/>
      <c r="HXY31" s="545"/>
      <c r="HXZ31" s="545"/>
      <c r="HYA31" s="545"/>
      <c r="HYB31" s="545"/>
      <c r="HYC31" s="545"/>
      <c r="HYD31" s="545"/>
      <c r="HYE31" s="545"/>
      <c r="HYF31" s="545"/>
      <c r="HYG31" s="545"/>
      <c r="HYH31" s="545"/>
      <c r="HYI31" s="545"/>
      <c r="HYJ31" s="545"/>
      <c r="HYK31" s="545"/>
      <c r="HYL31" s="545"/>
      <c r="HYM31" s="545"/>
      <c r="HYN31" s="545"/>
      <c r="HYO31" s="545"/>
      <c r="HYP31" s="545"/>
      <c r="HYQ31" s="545"/>
      <c r="HYR31" s="545"/>
      <c r="HYS31" s="545"/>
      <c r="HYT31" s="545"/>
      <c r="HYU31" s="545"/>
      <c r="HYV31" s="545"/>
      <c r="HYW31" s="545"/>
      <c r="HYX31" s="545"/>
      <c r="HYY31" s="545"/>
      <c r="HYZ31" s="545"/>
      <c r="HZA31" s="545"/>
      <c r="HZB31" s="545"/>
      <c r="HZC31" s="545"/>
      <c r="HZD31" s="545"/>
      <c r="HZE31" s="545"/>
      <c r="HZF31" s="545"/>
      <c r="HZG31" s="545"/>
      <c r="HZH31" s="545"/>
      <c r="HZI31" s="545"/>
      <c r="HZJ31" s="545"/>
      <c r="HZK31" s="545"/>
      <c r="HZL31" s="545"/>
      <c r="HZM31" s="545"/>
      <c r="HZN31" s="545"/>
      <c r="HZO31" s="545"/>
      <c r="HZP31" s="545"/>
      <c r="HZQ31" s="545"/>
      <c r="HZR31" s="545"/>
      <c r="HZS31" s="545"/>
      <c r="HZT31" s="545"/>
      <c r="HZU31" s="545"/>
      <c r="HZV31" s="545"/>
      <c r="HZW31" s="545"/>
      <c r="HZX31" s="545"/>
      <c r="HZY31" s="545"/>
      <c r="HZZ31" s="545"/>
      <c r="IAA31" s="545"/>
      <c r="IAB31" s="545"/>
      <c r="IAC31" s="545"/>
      <c r="IAD31" s="545"/>
      <c r="IAE31" s="545"/>
      <c r="IAF31" s="545"/>
      <c r="IAG31" s="545"/>
      <c r="IAH31" s="545"/>
      <c r="IAI31" s="545"/>
      <c r="IAJ31" s="545"/>
      <c r="IAK31" s="545"/>
      <c r="IAL31" s="545"/>
      <c r="IAM31" s="545"/>
      <c r="IAN31" s="545"/>
      <c r="IAO31" s="545"/>
      <c r="IAP31" s="545"/>
      <c r="IAQ31" s="545"/>
      <c r="IAR31" s="545"/>
      <c r="IAS31" s="545"/>
      <c r="IAT31" s="545"/>
      <c r="IAU31" s="545"/>
      <c r="IAV31" s="545"/>
      <c r="IAW31" s="545"/>
      <c r="IAX31" s="545"/>
      <c r="IAY31" s="545"/>
      <c r="IAZ31" s="545"/>
      <c r="IBA31" s="545"/>
      <c r="IBB31" s="545"/>
      <c r="IBC31" s="545"/>
      <c r="IBD31" s="545"/>
      <c r="IBE31" s="545"/>
      <c r="IBF31" s="545"/>
      <c r="IBG31" s="545"/>
      <c r="IBH31" s="545"/>
      <c r="IBI31" s="545"/>
      <c r="IBJ31" s="545"/>
      <c r="IBK31" s="545"/>
      <c r="IBL31" s="545"/>
      <c r="IBM31" s="545"/>
      <c r="IBN31" s="545"/>
      <c r="IBO31" s="545"/>
      <c r="IBP31" s="545"/>
      <c r="IBQ31" s="545"/>
      <c r="IBR31" s="545"/>
      <c r="IBS31" s="545"/>
      <c r="IBT31" s="545"/>
      <c r="IBU31" s="545"/>
      <c r="IBV31" s="545"/>
      <c r="IBW31" s="545"/>
      <c r="IBX31" s="545"/>
      <c r="IBY31" s="545"/>
      <c r="IBZ31" s="545"/>
      <c r="ICA31" s="545"/>
      <c r="ICB31" s="545"/>
      <c r="ICC31" s="545"/>
      <c r="ICD31" s="545"/>
      <c r="ICE31" s="545"/>
      <c r="ICF31" s="545"/>
      <c r="ICG31" s="545"/>
      <c r="ICH31" s="545"/>
      <c r="ICI31" s="545"/>
      <c r="ICJ31" s="545"/>
      <c r="ICK31" s="545"/>
      <c r="ICL31" s="545"/>
      <c r="ICM31" s="545"/>
      <c r="ICN31" s="545"/>
      <c r="ICO31" s="545"/>
      <c r="ICP31" s="545"/>
      <c r="ICQ31" s="545"/>
      <c r="ICR31" s="545"/>
      <c r="ICS31" s="545"/>
      <c r="ICT31" s="545"/>
      <c r="ICU31" s="545"/>
      <c r="ICV31" s="545"/>
      <c r="ICW31" s="545"/>
      <c r="ICX31" s="545"/>
      <c r="ICY31" s="545"/>
      <c r="ICZ31" s="545"/>
      <c r="IDA31" s="545"/>
      <c r="IDB31" s="545"/>
      <c r="IDC31" s="545"/>
      <c r="IDD31" s="545"/>
      <c r="IDE31" s="545"/>
      <c r="IDF31" s="545"/>
      <c r="IDG31" s="545"/>
      <c r="IDH31" s="545"/>
      <c r="IDI31" s="545"/>
      <c r="IDJ31" s="545"/>
      <c r="IDK31" s="545"/>
      <c r="IDL31" s="545"/>
      <c r="IDM31" s="545"/>
      <c r="IDN31" s="545"/>
      <c r="IDO31" s="545"/>
      <c r="IDP31" s="545"/>
      <c r="IDQ31" s="545"/>
      <c r="IDR31" s="545"/>
      <c r="IDS31" s="545"/>
      <c r="IDT31" s="545"/>
      <c r="IDU31" s="545"/>
      <c r="IDV31" s="545"/>
      <c r="IDW31" s="545"/>
      <c r="IDX31" s="545"/>
      <c r="IDY31" s="545"/>
      <c r="IDZ31" s="545"/>
      <c r="IEA31" s="545"/>
      <c r="IEB31" s="545"/>
      <c r="IEC31" s="545"/>
      <c r="IED31" s="545"/>
      <c r="IEE31" s="545"/>
      <c r="IEF31" s="545"/>
      <c r="IEG31" s="545"/>
      <c r="IEH31" s="545"/>
      <c r="IEI31" s="545"/>
      <c r="IEJ31" s="545"/>
      <c r="IEK31" s="545"/>
      <c r="IEL31" s="545"/>
      <c r="IEM31" s="545"/>
      <c r="IEN31" s="545"/>
      <c r="IEO31" s="545"/>
      <c r="IEP31" s="545"/>
      <c r="IEQ31" s="545"/>
      <c r="IER31" s="545"/>
      <c r="IES31" s="545"/>
      <c r="IET31" s="545"/>
      <c r="IEU31" s="545"/>
      <c r="IEV31" s="545"/>
      <c r="IEW31" s="545"/>
      <c r="IEX31" s="545"/>
      <c r="IEY31" s="545"/>
      <c r="IEZ31" s="545"/>
      <c r="IFA31" s="545"/>
      <c r="IFB31" s="545"/>
      <c r="IFC31" s="545"/>
      <c r="IFD31" s="545"/>
      <c r="IFE31" s="545"/>
      <c r="IFF31" s="545"/>
      <c r="IFG31" s="545"/>
      <c r="IFH31" s="545"/>
      <c r="IFI31" s="545"/>
      <c r="IFJ31" s="545"/>
      <c r="IFK31" s="545"/>
      <c r="IFL31" s="545"/>
      <c r="IFM31" s="545"/>
      <c r="IFN31" s="545"/>
      <c r="IFO31" s="545"/>
      <c r="IFP31" s="545"/>
      <c r="IFQ31" s="545"/>
      <c r="IFR31" s="545"/>
      <c r="IFS31" s="545"/>
      <c r="IFT31" s="545"/>
      <c r="IFU31" s="545"/>
      <c r="IFV31" s="545"/>
      <c r="IFW31" s="545"/>
      <c r="IFX31" s="545"/>
      <c r="IFY31" s="545"/>
      <c r="IFZ31" s="545"/>
      <c r="IGA31" s="545"/>
      <c r="IGB31" s="545"/>
      <c r="IGC31" s="545"/>
      <c r="IGD31" s="545"/>
      <c r="IGE31" s="545"/>
      <c r="IGF31" s="545"/>
      <c r="IGG31" s="545"/>
      <c r="IGH31" s="545"/>
      <c r="IGI31" s="545"/>
      <c r="IGJ31" s="545"/>
      <c r="IGK31" s="545"/>
      <c r="IGL31" s="545"/>
      <c r="IGM31" s="545"/>
      <c r="IGN31" s="545"/>
      <c r="IGO31" s="545"/>
      <c r="IGP31" s="545"/>
      <c r="IGQ31" s="545"/>
      <c r="IGR31" s="545"/>
      <c r="IGS31" s="545"/>
      <c r="IGT31" s="545"/>
      <c r="IGU31" s="545"/>
      <c r="IGV31" s="545"/>
      <c r="IGW31" s="545"/>
      <c r="IGX31" s="545"/>
      <c r="IGY31" s="545"/>
      <c r="IGZ31" s="545"/>
      <c r="IHA31" s="545"/>
      <c r="IHB31" s="545"/>
      <c r="IHC31" s="545"/>
      <c r="IHD31" s="545"/>
      <c r="IHE31" s="545"/>
      <c r="IHF31" s="545"/>
      <c r="IHG31" s="545"/>
      <c r="IHH31" s="545"/>
      <c r="IHI31" s="545"/>
      <c r="IHJ31" s="545"/>
      <c r="IHK31" s="545"/>
      <c r="IHL31" s="545"/>
      <c r="IHM31" s="545"/>
      <c r="IHN31" s="545"/>
      <c r="IHO31" s="545"/>
      <c r="IHP31" s="545"/>
      <c r="IHQ31" s="545"/>
      <c r="IHR31" s="545"/>
      <c r="IHS31" s="545"/>
      <c r="IHT31" s="545"/>
      <c r="IHU31" s="545"/>
      <c r="IHV31" s="545"/>
      <c r="IHW31" s="545"/>
      <c r="IHX31" s="545"/>
      <c r="IHY31" s="545"/>
      <c r="IHZ31" s="545"/>
      <c r="IIA31" s="545"/>
      <c r="IIB31" s="545"/>
      <c r="IIC31" s="545"/>
      <c r="IID31" s="545"/>
      <c r="IIE31" s="545"/>
      <c r="IIF31" s="545"/>
      <c r="IIG31" s="545"/>
      <c r="IIH31" s="545"/>
      <c r="III31" s="545"/>
      <c r="IIJ31" s="545"/>
      <c r="IIK31" s="545"/>
      <c r="IIL31" s="545"/>
      <c r="IIM31" s="545"/>
      <c r="IIN31" s="545"/>
      <c r="IIO31" s="545"/>
      <c r="IIP31" s="545"/>
      <c r="IIQ31" s="545"/>
      <c r="IIR31" s="545"/>
      <c r="IIS31" s="545"/>
      <c r="IIT31" s="545"/>
      <c r="IIU31" s="545"/>
      <c r="IIV31" s="545"/>
      <c r="IIW31" s="545"/>
      <c r="IIX31" s="545"/>
      <c r="IIY31" s="545"/>
      <c r="IIZ31" s="545"/>
      <c r="IJA31" s="545"/>
      <c r="IJB31" s="545"/>
      <c r="IJC31" s="545"/>
      <c r="IJD31" s="545"/>
      <c r="IJE31" s="545"/>
      <c r="IJF31" s="545"/>
      <c r="IJG31" s="545"/>
      <c r="IJH31" s="545"/>
      <c r="IJI31" s="545"/>
      <c r="IJJ31" s="545"/>
      <c r="IJK31" s="545"/>
      <c r="IJL31" s="545"/>
      <c r="IJM31" s="545"/>
      <c r="IJN31" s="545"/>
      <c r="IJO31" s="545"/>
      <c r="IJP31" s="545"/>
      <c r="IJQ31" s="545"/>
      <c r="IJR31" s="545"/>
      <c r="IJS31" s="545"/>
      <c r="IJT31" s="545"/>
      <c r="IJU31" s="545"/>
      <c r="IJV31" s="545"/>
      <c r="IJW31" s="545"/>
      <c r="IJX31" s="545"/>
      <c r="IJY31" s="545"/>
      <c r="IJZ31" s="545"/>
      <c r="IKA31" s="545"/>
      <c r="IKB31" s="545"/>
      <c r="IKC31" s="545"/>
      <c r="IKD31" s="545"/>
      <c r="IKE31" s="545"/>
      <c r="IKF31" s="545"/>
      <c r="IKG31" s="545"/>
      <c r="IKH31" s="545"/>
      <c r="IKI31" s="545"/>
      <c r="IKJ31" s="545"/>
      <c r="IKK31" s="545"/>
      <c r="IKL31" s="545"/>
      <c r="IKM31" s="545"/>
      <c r="IKN31" s="545"/>
      <c r="IKO31" s="545"/>
      <c r="IKP31" s="545"/>
      <c r="IKQ31" s="545"/>
      <c r="IKR31" s="545"/>
      <c r="IKS31" s="545"/>
      <c r="IKT31" s="545"/>
      <c r="IKU31" s="545"/>
      <c r="IKV31" s="545"/>
      <c r="IKW31" s="545"/>
      <c r="IKX31" s="545"/>
      <c r="IKY31" s="545"/>
      <c r="IKZ31" s="545"/>
      <c r="ILA31" s="545"/>
      <c r="ILB31" s="545"/>
      <c r="ILC31" s="545"/>
      <c r="ILD31" s="545"/>
      <c r="ILE31" s="545"/>
      <c r="ILF31" s="545"/>
      <c r="ILG31" s="545"/>
      <c r="ILH31" s="545"/>
      <c r="ILI31" s="545"/>
      <c r="ILJ31" s="545"/>
      <c r="ILK31" s="545"/>
      <c r="ILL31" s="545"/>
      <c r="ILM31" s="545"/>
      <c r="ILN31" s="545"/>
      <c r="ILO31" s="545"/>
      <c r="ILP31" s="545"/>
      <c r="ILQ31" s="545"/>
      <c r="ILR31" s="545"/>
      <c r="ILS31" s="545"/>
      <c r="ILT31" s="545"/>
      <c r="ILU31" s="545"/>
      <c r="ILV31" s="545"/>
      <c r="ILW31" s="545"/>
      <c r="ILX31" s="545"/>
      <c r="ILY31" s="545"/>
      <c r="ILZ31" s="545"/>
      <c r="IMA31" s="545"/>
      <c r="IMB31" s="545"/>
      <c r="IMC31" s="545"/>
      <c r="IMD31" s="545"/>
      <c r="IME31" s="545"/>
      <c r="IMF31" s="545"/>
      <c r="IMG31" s="545"/>
      <c r="IMH31" s="545"/>
      <c r="IMI31" s="545"/>
      <c r="IMJ31" s="545"/>
      <c r="IMK31" s="545"/>
      <c r="IML31" s="545"/>
      <c r="IMM31" s="545"/>
      <c r="IMN31" s="545"/>
      <c r="IMO31" s="545"/>
      <c r="IMP31" s="545"/>
      <c r="IMQ31" s="545"/>
      <c r="IMR31" s="545"/>
      <c r="IMS31" s="545"/>
      <c r="IMT31" s="545"/>
      <c r="IMU31" s="545"/>
      <c r="IMV31" s="545"/>
      <c r="IMW31" s="545"/>
      <c r="IMX31" s="545"/>
      <c r="IMY31" s="545"/>
      <c r="IMZ31" s="545"/>
      <c r="INA31" s="545"/>
      <c r="INB31" s="545"/>
      <c r="INC31" s="545"/>
      <c r="IND31" s="545"/>
      <c r="INE31" s="545"/>
      <c r="INF31" s="545"/>
      <c r="ING31" s="545"/>
      <c r="INH31" s="545"/>
      <c r="INI31" s="545"/>
      <c r="INJ31" s="545"/>
      <c r="INK31" s="545"/>
      <c r="INL31" s="545"/>
      <c r="INM31" s="545"/>
      <c r="INN31" s="545"/>
      <c r="INO31" s="545"/>
      <c r="INP31" s="545"/>
      <c r="INQ31" s="545"/>
      <c r="INR31" s="545"/>
      <c r="INS31" s="545"/>
      <c r="INT31" s="545"/>
      <c r="INU31" s="545"/>
      <c r="INV31" s="545"/>
      <c r="INW31" s="545"/>
      <c r="INX31" s="545"/>
      <c r="INY31" s="545"/>
      <c r="INZ31" s="545"/>
      <c r="IOA31" s="545"/>
      <c r="IOB31" s="545"/>
      <c r="IOC31" s="545"/>
      <c r="IOD31" s="545"/>
      <c r="IOE31" s="545"/>
      <c r="IOF31" s="545"/>
      <c r="IOG31" s="545"/>
      <c r="IOH31" s="545"/>
      <c r="IOI31" s="545"/>
      <c r="IOJ31" s="545"/>
      <c r="IOK31" s="545"/>
      <c r="IOL31" s="545"/>
      <c r="IOM31" s="545"/>
      <c r="ION31" s="545"/>
      <c r="IOO31" s="545"/>
      <c r="IOP31" s="545"/>
      <c r="IOQ31" s="545"/>
      <c r="IOR31" s="545"/>
      <c r="IOS31" s="545"/>
      <c r="IOT31" s="545"/>
      <c r="IOU31" s="545"/>
      <c r="IOV31" s="545"/>
      <c r="IOW31" s="545"/>
      <c r="IOX31" s="545"/>
      <c r="IOY31" s="545"/>
      <c r="IOZ31" s="545"/>
      <c r="IPA31" s="545"/>
      <c r="IPB31" s="545"/>
      <c r="IPC31" s="545"/>
      <c r="IPD31" s="545"/>
      <c r="IPE31" s="545"/>
      <c r="IPF31" s="545"/>
      <c r="IPG31" s="545"/>
      <c r="IPH31" s="545"/>
      <c r="IPI31" s="545"/>
      <c r="IPJ31" s="545"/>
      <c r="IPK31" s="545"/>
      <c r="IPL31" s="545"/>
      <c r="IPM31" s="545"/>
      <c r="IPN31" s="545"/>
      <c r="IPO31" s="545"/>
      <c r="IPP31" s="545"/>
      <c r="IPQ31" s="545"/>
      <c r="IPR31" s="545"/>
      <c r="IPS31" s="545"/>
      <c r="IPT31" s="545"/>
      <c r="IPU31" s="545"/>
      <c r="IPV31" s="545"/>
      <c r="IPW31" s="545"/>
      <c r="IPX31" s="545"/>
      <c r="IPY31" s="545"/>
      <c r="IPZ31" s="545"/>
      <c r="IQA31" s="545"/>
      <c r="IQB31" s="545"/>
      <c r="IQC31" s="545"/>
      <c r="IQD31" s="545"/>
      <c r="IQE31" s="545"/>
      <c r="IQF31" s="545"/>
      <c r="IQG31" s="545"/>
      <c r="IQH31" s="545"/>
      <c r="IQI31" s="545"/>
      <c r="IQJ31" s="545"/>
      <c r="IQK31" s="545"/>
      <c r="IQL31" s="545"/>
      <c r="IQM31" s="545"/>
      <c r="IQN31" s="545"/>
      <c r="IQO31" s="545"/>
      <c r="IQP31" s="545"/>
      <c r="IQQ31" s="545"/>
      <c r="IQR31" s="545"/>
      <c r="IQS31" s="545"/>
      <c r="IQT31" s="545"/>
      <c r="IQU31" s="545"/>
      <c r="IQV31" s="545"/>
      <c r="IQW31" s="545"/>
      <c r="IQX31" s="545"/>
      <c r="IQY31" s="545"/>
      <c r="IQZ31" s="545"/>
      <c r="IRA31" s="545"/>
      <c r="IRB31" s="545"/>
      <c r="IRC31" s="545"/>
      <c r="IRD31" s="545"/>
      <c r="IRE31" s="545"/>
      <c r="IRF31" s="545"/>
      <c r="IRG31" s="545"/>
      <c r="IRH31" s="545"/>
      <c r="IRI31" s="545"/>
      <c r="IRJ31" s="545"/>
      <c r="IRK31" s="545"/>
      <c r="IRL31" s="545"/>
      <c r="IRM31" s="545"/>
      <c r="IRN31" s="545"/>
      <c r="IRO31" s="545"/>
      <c r="IRP31" s="545"/>
      <c r="IRQ31" s="545"/>
      <c r="IRR31" s="545"/>
      <c r="IRS31" s="545"/>
      <c r="IRT31" s="545"/>
      <c r="IRU31" s="545"/>
      <c r="IRV31" s="545"/>
      <c r="IRW31" s="545"/>
      <c r="IRX31" s="545"/>
      <c r="IRY31" s="545"/>
      <c r="IRZ31" s="545"/>
      <c r="ISA31" s="545"/>
      <c r="ISB31" s="545"/>
      <c r="ISC31" s="545"/>
      <c r="ISD31" s="545"/>
      <c r="ISE31" s="545"/>
      <c r="ISF31" s="545"/>
      <c r="ISG31" s="545"/>
      <c r="ISH31" s="545"/>
      <c r="ISI31" s="545"/>
      <c r="ISJ31" s="545"/>
      <c r="ISK31" s="545"/>
      <c r="ISL31" s="545"/>
      <c r="ISM31" s="545"/>
      <c r="ISN31" s="545"/>
      <c r="ISO31" s="545"/>
      <c r="ISP31" s="545"/>
      <c r="ISQ31" s="545"/>
      <c r="ISR31" s="545"/>
      <c r="ISS31" s="545"/>
      <c r="IST31" s="545"/>
      <c r="ISU31" s="545"/>
      <c r="ISV31" s="545"/>
      <c r="ISW31" s="545"/>
      <c r="ISX31" s="545"/>
      <c r="ISY31" s="545"/>
      <c r="ISZ31" s="545"/>
      <c r="ITA31" s="545"/>
      <c r="ITB31" s="545"/>
      <c r="ITC31" s="545"/>
      <c r="ITD31" s="545"/>
      <c r="ITE31" s="545"/>
      <c r="ITF31" s="545"/>
      <c r="ITG31" s="545"/>
      <c r="ITH31" s="545"/>
      <c r="ITI31" s="545"/>
      <c r="ITJ31" s="545"/>
      <c r="ITK31" s="545"/>
      <c r="ITL31" s="545"/>
      <c r="ITM31" s="545"/>
      <c r="ITN31" s="545"/>
      <c r="ITO31" s="545"/>
      <c r="ITP31" s="545"/>
      <c r="ITQ31" s="545"/>
      <c r="ITR31" s="545"/>
      <c r="ITS31" s="545"/>
      <c r="ITT31" s="545"/>
      <c r="ITU31" s="545"/>
      <c r="ITV31" s="545"/>
      <c r="ITW31" s="545"/>
      <c r="ITX31" s="545"/>
      <c r="ITY31" s="545"/>
      <c r="ITZ31" s="545"/>
      <c r="IUA31" s="545"/>
      <c r="IUB31" s="545"/>
      <c r="IUC31" s="545"/>
      <c r="IUD31" s="545"/>
      <c r="IUE31" s="545"/>
      <c r="IUF31" s="545"/>
      <c r="IUG31" s="545"/>
      <c r="IUH31" s="545"/>
      <c r="IUI31" s="545"/>
      <c r="IUJ31" s="545"/>
      <c r="IUK31" s="545"/>
      <c r="IUL31" s="545"/>
      <c r="IUM31" s="545"/>
      <c r="IUN31" s="545"/>
      <c r="IUO31" s="545"/>
      <c r="IUP31" s="545"/>
      <c r="IUQ31" s="545"/>
      <c r="IUR31" s="545"/>
      <c r="IUS31" s="545"/>
      <c r="IUT31" s="545"/>
      <c r="IUU31" s="545"/>
      <c r="IUV31" s="545"/>
      <c r="IUW31" s="545"/>
      <c r="IUX31" s="545"/>
      <c r="IUY31" s="545"/>
      <c r="IUZ31" s="545"/>
      <c r="IVA31" s="545"/>
      <c r="IVB31" s="545"/>
      <c r="IVC31" s="545"/>
      <c r="IVD31" s="545"/>
      <c r="IVE31" s="545"/>
      <c r="IVF31" s="545"/>
      <c r="IVG31" s="545"/>
      <c r="IVH31" s="545"/>
      <c r="IVI31" s="545"/>
      <c r="IVJ31" s="545"/>
      <c r="IVK31" s="545"/>
      <c r="IVL31" s="545"/>
      <c r="IVM31" s="545"/>
      <c r="IVN31" s="545"/>
      <c r="IVO31" s="545"/>
      <c r="IVP31" s="545"/>
      <c r="IVQ31" s="545"/>
      <c r="IVR31" s="545"/>
      <c r="IVS31" s="545"/>
      <c r="IVT31" s="545"/>
      <c r="IVU31" s="545"/>
      <c r="IVV31" s="545"/>
      <c r="IVW31" s="545"/>
      <c r="IVX31" s="545"/>
      <c r="IVY31" s="545"/>
      <c r="IVZ31" s="545"/>
      <c r="IWA31" s="545"/>
      <c r="IWB31" s="545"/>
      <c r="IWC31" s="545"/>
      <c r="IWD31" s="545"/>
      <c r="IWE31" s="545"/>
      <c r="IWF31" s="545"/>
      <c r="IWG31" s="545"/>
      <c r="IWH31" s="545"/>
      <c r="IWI31" s="545"/>
      <c r="IWJ31" s="545"/>
      <c r="IWK31" s="545"/>
      <c r="IWL31" s="545"/>
      <c r="IWM31" s="545"/>
      <c r="IWN31" s="545"/>
      <c r="IWO31" s="545"/>
      <c r="IWP31" s="545"/>
      <c r="IWQ31" s="545"/>
      <c r="IWR31" s="545"/>
      <c r="IWS31" s="545"/>
      <c r="IWT31" s="545"/>
      <c r="IWU31" s="545"/>
      <c r="IWV31" s="545"/>
      <c r="IWW31" s="545"/>
      <c r="IWX31" s="545"/>
      <c r="IWY31" s="545"/>
      <c r="IWZ31" s="545"/>
      <c r="IXA31" s="545"/>
      <c r="IXB31" s="545"/>
      <c r="IXC31" s="545"/>
      <c r="IXD31" s="545"/>
      <c r="IXE31" s="545"/>
      <c r="IXF31" s="545"/>
      <c r="IXG31" s="545"/>
      <c r="IXH31" s="545"/>
      <c r="IXI31" s="545"/>
      <c r="IXJ31" s="545"/>
      <c r="IXK31" s="545"/>
      <c r="IXL31" s="545"/>
      <c r="IXM31" s="545"/>
      <c r="IXN31" s="545"/>
      <c r="IXO31" s="545"/>
      <c r="IXP31" s="545"/>
      <c r="IXQ31" s="545"/>
      <c r="IXR31" s="545"/>
      <c r="IXS31" s="545"/>
      <c r="IXT31" s="545"/>
      <c r="IXU31" s="545"/>
      <c r="IXV31" s="545"/>
      <c r="IXW31" s="545"/>
      <c r="IXX31" s="545"/>
      <c r="IXY31" s="545"/>
      <c r="IXZ31" s="545"/>
      <c r="IYA31" s="545"/>
      <c r="IYB31" s="545"/>
      <c r="IYC31" s="545"/>
      <c r="IYD31" s="545"/>
      <c r="IYE31" s="545"/>
      <c r="IYF31" s="545"/>
      <c r="IYG31" s="545"/>
      <c r="IYH31" s="545"/>
      <c r="IYI31" s="545"/>
      <c r="IYJ31" s="545"/>
      <c r="IYK31" s="545"/>
      <c r="IYL31" s="545"/>
      <c r="IYM31" s="545"/>
      <c r="IYN31" s="545"/>
      <c r="IYO31" s="545"/>
      <c r="IYP31" s="545"/>
      <c r="IYQ31" s="545"/>
      <c r="IYR31" s="545"/>
      <c r="IYS31" s="545"/>
      <c r="IYT31" s="545"/>
      <c r="IYU31" s="545"/>
      <c r="IYV31" s="545"/>
      <c r="IYW31" s="545"/>
      <c r="IYX31" s="545"/>
      <c r="IYY31" s="545"/>
      <c r="IYZ31" s="545"/>
      <c r="IZA31" s="545"/>
      <c r="IZB31" s="545"/>
      <c r="IZC31" s="545"/>
      <c r="IZD31" s="545"/>
      <c r="IZE31" s="545"/>
      <c r="IZF31" s="545"/>
      <c r="IZG31" s="545"/>
      <c r="IZH31" s="545"/>
      <c r="IZI31" s="545"/>
      <c r="IZJ31" s="545"/>
      <c r="IZK31" s="545"/>
      <c r="IZL31" s="545"/>
      <c r="IZM31" s="545"/>
      <c r="IZN31" s="545"/>
      <c r="IZO31" s="545"/>
      <c r="IZP31" s="545"/>
      <c r="IZQ31" s="545"/>
      <c r="IZR31" s="545"/>
      <c r="IZS31" s="545"/>
      <c r="IZT31" s="545"/>
      <c r="IZU31" s="545"/>
      <c r="IZV31" s="545"/>
      <c r="IZW31" s="545"/>
      <c r="IZX31" s="545"/>
      <c r="IZY31" s="545"/>
      <c r="IZZ31" s="545"/>
      <c r="JAA31" s="545"/>
      <c r="JAB31" s="545"/>
      <c r="JAC31" s="545"/>
      <c r="JAD31" s="545"/>
      <c r="JAE31" s="545"/>
      <c r="JAF31" s="545"/>
      <c r="JAG31" s="545"/>
      <c r="JAH31" s="545"/>
      <c r="JAI31" s="545"/>
      <c r="JAJ31" s="545"/>
      <c r="JAK31" s="545"/>
      <c r="JAL31" s="545"/>
      <c r="JAM31" s="545"/>
      <c r="JAN31" s="545"/>
      <c r="JAO31" s="545"/>
      <c r="JAP31" s="545"/>
      <c r="JAQ31" s="545"/>
      <c r="JAR31" s="545"/>
      <c r="JAS31" s="545"/>
      <c r="JAT31" s="545"/>
      <c r="JAU31" s="545"/>
      <c r="JAV31" s="545"/>
      <c r="JAW31" s="545"/>
      <c r="JAX31" s="545"/>
      <c r="JAY31" s="545"/>
      <c r="JAZ31" s="545"/>
      <c r="JBA31" s="545"/>
      <c r="JBB31" s="545"/>
      <c r="JBC31" s="545"/>
      <c r="JBD31" s="545"/>
      <c r="JBE31" s="545"/>
      <c r="JBF31" s="545"/>
      <c r="JBG31" s="545"/>
      <c r="JBH31" s="545"/>
      <c r="JBI31" s="545"/>
      <c r="JBJ31" s="545"/>
      <c r="JBK31" s="545"/>
      <c r="JBL31" s="545"/>
      <c r="JBM31" s="545"/>
      <c r="JBN31" s="545"/>
      <c r="JBO31" s="545"/>
      <c r="JBP31" s="545"/>
      <c r="JBQ31" s="545"/>
      <c r="JBR31" s="545"/>
      <c r="JBS31" s="545"/>
      <c r="JBT31" s="545"/>
      <c r="JBU31" s="545"/>
      <c r="JBV31" s="545"/>
      <c r="JBW31" s="545"/>
      <c r="JBX31" s="545"/>
      <c r="JBY31" s="545"/>
      <c r="JBZ31" s="545"/>
      <c r="JCA31" s="545"/>
      <c r="JCB31" s="545"/>
      <c r="JCC31" s="545"/>
      <c r="JCD31" s="545"/>
      <c r="JCE31" s="545"/>
      <c r="JCF31" s="545"/>
      <c r="JCG31" s="545"/>
      <c r="JCH31" s="545"/>
      <c r="JCI31" s="545"/>
      <c r="JCJ31" s="545"/>
      <c r="JCK31" s="545"/>
      <c r="JCL31" s="545"/>
      <c r="JCM31" s="545"/>
      <c r="JCN31" s="545"/>
      <c r="JCO31" s="545"/>
      <c r="JCP31" s="545"/>
      <c r="JCQ31" s="545"/>
      <c r="JCR31" s="545"/>
      <c r="JCS31" s="545"/>
      <c r="JCT31" s="545"/>
      <c r="JCU31" s="545"/>
      <c r="JCV31" s="545"/>
      <c r="JCW31" s="545"/>
      <c r="JCX31" s="545"/>
      <c r="JCY31" s="545"/>
      <c r="JCZ31" s="545"/>
      <c r="JDA31" s="545"/>
      <c r="JDB31" s="545"/>
      <c r="JDC31" s="545"/>
      <c r="JDD31" s="545"/>
      <c r="JDE31" s="545"/>
      <c r="JDF31" s="545"/>
      <c r="JDG31" s="545"/>
      <c r="JDH31" s="545"/>
      <c r="JDI31" s="545"/>
      <c r="JDJ31" s="545"/>
      <c r="JDK31" s="545"/>
      <c r="JDL31" s="545"/>
      <c r="JDM31" s="545"/>
      <c r="JDN31" s="545"/>
      <c r="JDO31" s="545"/>
      <c r="JDP31" s="545"/>
      <c r="JDQ31" s="545"/>
      <c r="JDR31" s="545"/>
      <c r="JDS31" s="545"/>
      <c r="JDT31" s="545"/>
      <c r="JDU31" s="545"/>
      <c r="JDV31" s="545"/>
      <c r="JDW31" s="545"/>
      <c r="JDX31" s="545"/>
      <c r="JDY31" s="545"/>
      <c r="JDZ31" s="545"/>
      <c r="JEA31" s="545"/>
      <c r="JEB31" s="545"/>
      <c r="JEC31" s="545"/>
      <c r="JED31" s="545"/>
      <c r="JEE31" s="545"/>
      <c r="JEF31" s="545"/>
      <c r="JEG31" s="545"/>
      <c r="JEH31" s="545"/>
      <c r="JEI31" s="545"/>
      <c r="JEJ31" s="545"/>
      <c r="JEK31" s="545"/>
      <c r="JEL31" s="545"/>
      <c r="JEM31" s="545"/>
      <c r="JEN31" s="545"/>
      <c r="JEO31" s="545"/>
      <c r="JEP31" s="545"/>
      <c r="JEQ31" s="545"/>
      <c r="JER31" s="545"/>
      <c r="JES31" s="545"/>
      <c r="JET31" s="545"/>
      <c r="JEU31" s="545"/>
      <c r="JEV31" s="545"/>
      <c r="JEW31" s="545"/>
      <c r="JEX31" s="545"/>
      <c r="JEY31" s="545"/>
      <c r="JEZ31" s="545"/>
      <c r="JFA31" s="545"/>
      <c r="JFB31" s="545"/>
      <c r="JFC31" s="545"/>
      <c r="JFD31" s="545"/>
      <c r="JFE31" s="545"/>
      <c r="JFF31" s="545"/>
      <c r="JFG31" s="545"/>
      <c r="JFH31" s="545"/>
      <c r="JFI31" s="545"/>
      <c r="JFJ31" s="545"/>
      <c r="JFK31" s="545"/>
      <c r="JFL31" s="545"/>
      <c r="JFM31" s="545"/>
      <c r="JFN31" s="545"/>
      <c r="JFO31" s="545"/>
      <c r="JFP31" s="545"/>
      <c r="JFQ31" s="545"/>
      <c r="JFR31" s="545"/>
      <c r="JFS31" s="545"/>
      <c r="JFT31" s="545"/>
      <c r="JFU31" s="545"/>
      <c r="JFV31" s="545"/>
      <c r="JFW31" s="545"/>
      <c r="JFX31" s="545"/>
      <c r="JFY31" s="545"/>
      <c r="JFZ31" s="545"/>
      <c r="JGA31" s="545"/>
      <c r="JGB31" s="545"/>
      <c r="JGC31" s="545"/>
      <c r="JGD31" s="545"/>
      <c r="JGE31" s="545"/>
      <c r="JGF31" s="545"/>
      <c r="JGG31" s="545"/>
      <c r="JGH31" s="545"/>
      <c r="JGI31" s="545"/>
      <c r="JGJ31" s="545"/>
      <c r="JGK31" s="545"/>
      <c r="JGL31" s="545"/>
      <c r="JGM31" s="545"/>
      <c r="JGN31" s="545"/>
      <c r="JGO31" s="545"/>
      <c r="JGP31" s="545"/>
      <c r="JGQ31" s="545"/>
      <c r="JGR31" s="545"/>
      <c r="JGS31" s="545"/>
      <c r="JGT31" s="545"/>
      <c r="JGU31" s="545"/>
      <c r="JGV31" s="545"/>
      <c r="JGW31" s="545"/>
      <c r="JGX31" s="545"/>
      <c r="JGY31" s="545"/>
      <c r="JGZ31" s="545"/>
      <c r="JHA31" s="545"/>
      <c r="JHB31" s="545"/>
      <c r="JHC31" s="545"/>
      <c r="JHD31" s="545"/>
      <c r="JHE31" s="545"/>
      <c r="JHF31" s="545"/>
      <c r="JHG31" s="545"/>
      <c r="JHH31" s="545"/>
      <c r="JHI31" s="545"/>
      <c r="JHJ31" s="545"/>
      <c r="JHK31" s="545"/>
      <c r="JHL31" s="545"/>
      <c r="JHM31" s="545"/>
      <c r="JHN31" s="545"/>
      <c r="JHO31" s="545"/>
      <c r="JHP31" s="545"/>
      <c r="JHQ31" s="545"/>
      <c r="JHR31" s="545"/>
      <c r="JHS31" s="545"/>
      <c r="JHT31" s="545"/>
      <c r="JHU31" s="545"/>
      <c r="JHV31" s="545"/>
      <c r="JHW31" s="545"/>
      <c r="JHX31" s="545"/>
      <c r="JHY31" s="545"/>
      <c r="JHZ31" s="545"/>
      <c r="JIA31" s="545"/>
      <c r="JIB31" s="545"/>
      <c r="JIC31" s="545"/>
      <c r="JID31" s="545"/>
      <c r="JIE31" s="545"/>
      <c r="JIF31" s="545"/>
      <c r="JIG31" s="545"/>
      <c r="JIH31" s="545"/>
      <c r="JII31" s="545"/>
      <c r="JIJ31" s="545"/>
      <c r="JIK31" s="545"/>
      <c r="JIL31" s="545"/>
      <c r="JIM31" s="545"/>
      <c r="JIN31" s="545"/>
      <c r="JIO31" s="545"/>
      <c r="JIP31" s="545"/>
      <c r="JIQ31" s="545"/>
      <c r="JIR31" s="545"/>
      <c r="JIS31" s="545"/>
      <c r="JIT31" s="545"/>
      <c r="JIU31" s="545"/>
      <c r="JIV31" s="545"/>
      <c r="JIW31" s="545"/>
      <c r="JIX31" s="545"/>
      <c r="JIY31" s="545"/>
      <c r="JIZ31" s="545"/>
      <c r="JJA31" s="545"/>
      <c r="JJB31" s="545"/>
      <c r="JJC31" s="545"/>
      <c r="JJD31" s="545"/>
      <c r="JJE31" s="545"/>
      <c r="JJF31" s="545"/>
      <c r="JJG31" s="545"/>
      <c r="JJH31" s="545"/>
      <c r="JJI31" s="545"/>
      <c r="JJJ31" s="545"/>
      <c r="JJK31" s="545"/>
      <c r="JJL31" s="545"/>
      <c r="JJM31" s="545"/>
      <c r="JJN31" s="545"/>
      <c r="JJO31" s="545"/>
      <c r="JJP31" s="545"/>
      <c r="JJQ31" s="545"/>
      <c r="JJR31" s="545"/>
      <c r="JJS31" s="545"/>
      <c r="JJT31" s="545"/>
      <c r="JJU31" s="545"/>
      <c r="JJV31" s="545"/>
      <c r="JJW31" s="545"/>
      <c r="JJX31" s="545"/>
      <c r="JJY31" s="545"/>
      <c r="JJZ31" s="545"/>
      <c r="JKA31" s="545"/>
      <c r="JKB31" s="545"/>
      <c r="JKC31" s="545"/>
      <c r="JKD31" s="545"/>
      <c r="JKE31" s="545"/>
      <c r="JKF31" s="545"/>
      <c r="JKG31" s="545"/>
      <c r="JKH31" s="545"/>
      <c r="JKI31" s="545"/>
      <c r="JKJ31" s="545"/>
      <c r="JKK31" s="545"/>
      <c r="JKL31" s="545"/>
      <c r="JKM31" s="545"/>
      <c r="JKN31" s="545"/>
      <c r="JKO31" s="545"/>
      <c r="JKP31" s="545"/>
      <c r="JKQ31" s="545"/>
      <c r="JKR31" s="545"/>
      <c r="JKS31" s="545"/>
      <c r="JKT31" s="545"/>
      <c r="JKU31" s="545"/>
      <c r="JKV31" s="545"/>
      <c r="JKW31" s="545"/>
      <c r="JKX31" s="545"/>
      <c r="JKY31" s="545"/>
      <c r="JKZ31" s="545"/>
      <c r="JLA31" s="545"/>
      <c r="JLB31" s="545"/>
      <c r="JLC31" s="545"/>
      <c r="JLD31" s="545"/>
      <c r="JLE31" s="545"/>
      <c r="JLF31" s="545"/>
      <c r="JLG31" s="545"/>
      <c r="JLH31" s="545"/>
      <c r="JLI31" s="545"/>
      <c r="JLJ31" s="545"/>
      <c r="JLK31" s="545"/>
      <c r="JLL31" s="545"/>
      <c r="JLM31" s="545"/>
      <c r="JLN31" s="545"/>
      <c r="JLO31" s="545"/>
      <c r="JLP31" s="545"/>
      <c r="JLQ31" s="545"/>
      <c r="JLR31" s="545"/>
      <c r="JLS31" s="545"/>
      <c r="JLT31" s="545"/>
      <c r="JLU31" s="545"/>
      <c r="JLV31" s="545"/>
      <c r="JLW31" s="545"/>
      <c r="JLX31" s="545"/>
      <c r="JLY31" s="545"/>
      <c r="JLZ31" s="545"/>
      <c r="JMA31" s="545"/>
      <c r="JMB31" s="545"/>
      <c r="JMC31" s="545"/>
      <c r="JMD31" s="545"/>
      <c r="JME31" s="545"/>
      <c r="JMF31" s="545"/>
      <c r="JMG31" s="545"/>
      <c r="JMH31" s="545"/>
      <c r="JMI31" s="545"/>
      <c r="JMJ31" s="545"/>
      <c r="JMK31" s="545"/>
      <c r="JML31" s="545"/>
      <c r="JMM31" s="545"/>
      <c r="JMN31" s="545"/>
      <c r="JMO31" s="545"/>
      <c r="JMP31" s="545"/>
      <c r="JMQ31" s="545"/>
      <c r="JMR31" s="545"/>
      <c r="JMS31" s="545"/>
      <c r="JMT31" s="545"/>
      <c r="JMU31" s="545"/>
      <c r="JMV31" s="545"/>
      <c r="JMW31" s="545"/>
      <c r="JMX31" s="545"/>
      <c r="JMY31" s="545"/>
      <c r="JMZ31" s="545"/>
      <c r="JNA31" s="545"/>
      <c r="JNB31" s="545"/>
      <c r="JNC31" s="545"/>
      <c r="JND31" s="545"/>
      <c r="JNE31" s="545"/>
      <c r="JNF31" s="545"/>
      <c r="JNG31" s="545"/>
      <c r="JNH31" s="545"/>
      <c r="JNI31" s="545"/>
      <c r="JNJ31" s="545"/>
      <c r="JNK31" s="545"/>
      <c r="JNL31" s="545"/>
      <c r="JNM31" s="545"/>
      <c r="JNN31" s="545"/>
      <c r="JNO31" s="545"/>
      <c r="JNP31" s="545"/>
      <c r="JNQ31" s="545"/>
      <c r="JNR31" s="545"/>
      <c r="JNS31" s="545"/>
      <c r="JNT31" s="545"/>
      <c r="JNU31" s="545"/>
      <c r="JNV31" s="545"/>
      <c r="JNW31" s="545"/>
      <c r="JNX31" s="545"/>
      <c r="JNY31" s="545"/>
      <c r="JNZ31" s="545"/>
      <c r="JOA31" s="545"/>
      <c r="JOB31" s="545"/>
      <c r="JOC31" s="545"/>
      <c r="JOD31" s="545"/>
      <c r="JOE31" s="545"/>
      <c r="JOF31" s="545"/>
      <c r="JOG31" s="545"/>
      <c r="JOH31" s="545"/>
      <c r="JOI31" s="545"/>
      <c r="JOJ31" s="545"/>
      <c r="JOK31" s="545"/>
      <c r="JOL31" s="545"/>
      <c r="JOM31" s="545"/>
      <c r="JON31" s="545"/>
      <c r="JOO31" s="545"/>
      <c r="JOP31" s="545"/>
      <c r="JOQ31" s="545"/>
      <c r="JOR31" s="545"/>
      <c r="JOS31" s="545"/>
      <c r="JOT31" s="545"/>
      <c r="JOU31" s="545"/>
      <c r="JOV31" s="545"/>
      <c r="JOW31" s="545"/>
      <c r="JOX31" s="545"/>
      <c r="JOY31" s="545"/>
      <c r="JOZ31" s="545"/>
      <c r="JPA31" s="545"/>
      <c r="JPB31" s="545"/>
      <c r="JPC31" s="545"/>
      <c r="JPD31" s="545"/>
      <c r="JPE31" s="545"/>
      <c r="JPF31" s="545"/>
      <c r="JPG31" s="545"/>
      <c r="JPH31" s="545"/>
      <c r="JPI31" s="545"/>
      <c r="JPJ31" s="545"/>
      <c r="JPK31" s="545"/>
      <c r="JPL31" s="545"/>
      <c r="JPM31" s="545"/>
      <c r="JPN31" s="545"/>
      <c r="JPO31" s="545"/>
      <c r="JPP31" s="545"/>
      <c r="JPQ31" s="545"/>
      <c r="JPR31" s="545"/>
      <c r="JPS31" s="545"/>
      <c r="JPT31" s="545"/>
      <c r="JPU31" s="545"/>
      <c r="JPV31" s="545"/>
      <c r="JPW31" s="545"/>
      <c r="JPX31" s="545"/>
      <c r="JPY31" s="545"/>
      <c r="JPZ31" s="545"/>
      <c r="JQA31" s="545"/>
      <c r="JQB31" s="545"/>
      <c r="JQC31" s="545"/>
      <c r="JQD31" s="545"/>
      <c r="JQE31" s="545"/>
      <c r="JQF31" s="545"/>
      <c r="JQG31" s="545"/>
      <c r="JQH31" s="545"/>
      <c r="JQI31" s="545"/>
      <c r="JQJ31" s="545"/>
      <c r="JQK31" s="545"/>
      <c r="JQL31" s="545"/>
      <c r="JQM31" s="545"/>
      <c r="JQN31" s="545"/>
      <c r="JQO31" s="545"/>
      <c r="JQP31" s="545"/>
      <c r="JQQ31" s="545"/>
      <c r="JQR31" s="545"/>
      <c r="JQS31" s="545"/>
      <c r="JQT31" s="545"/>
      <c r="JQU31" s="545"/>
      <c r="JQV31" s="545"/>
      <c r="JQW31" s="545"/>
      <c r="JQX31" s="545"/>
      <c r="JQY31" s="545"/>
      <c r="JQZ31" s="545"/>
      <c r="JRA31" s="545"/>
      <c r="JRB31" s="545"/>
      <c r="JRC31" s="545"/>
      <c r="JRD31" s="545"/>
      <c r="JRE31" s="545"/>
      <c r="JRF31" s="545"/>
      <c r="JRG31" s="545"/>
      <c r="JRH31" s="545"/>
      <c r="JRI31" s="545"/>
      <c r="JRJ31" s="545"/>
      <c r="JRK31" s="545"/>
      <c r="JRL31" s="545"/>
      <c r="JRM31" s="545"/>
      <c r="JRN31" s="545"/>
      <c r="JRO31" s="545"/>
      <c r="JRP31" s="545"/>
      <c r="JRQ31" s="545"/>
      <c r="JRR31" s="545"/>
      <c r="JRS31" s="545"/>
      <c r="JRT31" s="545"/>
      <c r="JRU31" s="545"/>
      <c r="JRV31" s="545"/>
      <c r="JRW31" s="545"/>
      <c r="JRX31" s="545"/>
      <c r="JRY31" s="545"/>
      <c r="JRZ31" s="545"/>
      <c r="JSA31" s="545"/>
      <c r="JSB31" s="545"/>
      <c r="JSC31" s="545"/>
      <c r="JSD31" s="545"/>
      <c r="JSE31" s="545"/>
      <c r="JSF31" s="545"/>
      <c r="JSG31" s="545"/>
      <c r="JSH31" s="545"/>
      <c r="JSI31" s="545"/>
      <c r="JSJ31" s="545"/>
      <c r="JSK31" s="545"/>
      <c r="JSL31" s="545"/>
      <c r="JSM31" s="545"/>
      <c r="JSN31" s="545"/>
      <c r="JSO31" s="545"/>
      <c r="JSP31" s="545"/>
      <c r="JSQ31" s="545"/>
      <c r="JSR31" s="545"/>
      <c r="JSS31" s="545"/>
      <c r="JST31" s="545"/>
      <c r="JSU31" s="545"/>
      <c r="JSV31" s="545"/>
      <c r="JSW31" s="545"/>
      <c r="JSX31" s="545"/>
      <c r="JSY31" s="545"/>
      <c r="JSZ31" s="545"/>
      <c r="JTA31" s="545"/>
      <c r="JTB31" s="545"/>
      <c r="JTC31" s="545"/>
      <c r="JTD31" s="545"/>
      <c r="JTE31" s="545"/>
      <c r="JTF31" s="545"/>
      <c r="JTG31" s="545"/>
      <c r="JTH31" s="545"/>
      <c r="JTI31" s="545"/>
      <c r="JTJ31" s="545"/>
      <c r="JTK31" s="545"/>
      <c r="JTL31" s="545"/>
      <c r="JTM31" s="545"/>
      <c r="JTN31" s="545"/>
      <c r="JTO31" s="545"/>
      <c r="JTP31" s="545"/>
      <c r="JTQ31" s="545"/>
      <c r="JTR31" s="545"/>
      <c r="JTS31" s="545"/>
      <c r="JTT31" s="545"/>
      <c r="JTU31" s="545"/>
      <c r="JTV31" s="545"/>
      <c r="JTW31" s="545"/>
      <c r="JTX31" s="545"/>
      <c r="JTY31" s="545"/>
      <c r="JTZ31" s="545"/>
      <c r="JUA31" s="545"/>
      <c r="JUB31" s="545"/>
      <c r="JUC31" s="545"/>
      <c r="JUD31" s="545"/>
      <c r="JUE31" s="545"/>
      <c r="JUF31" s="545"/>
      <c r="JUG31" s="545"/>
      <c r="JUH31" s="545"/>
      <c r="JUI31" s="545"/>
      <c r="JUJ31" s="545"/>
      <c r="JUK31" s="545"/>
      <c r="JUL31" s="545"/>
      <c r="JUM31" s="545"/>
      <c r="JUN31" s="545"/>
      <c r="JUO31" s="545"/>
      <c r="JUP31" s="545"/>
      <c r="JUQ31" s="545"/>
      <c r="JUR31" s="545"/>
      <c r="JUS31" s="545"/>
      <c r="JUT31" s="545"/>
      <c r="JUU31" s="545"/>
      <c r="JUV31" s="545"/>
      <c r="JUW31" s="545"/>
      <c r="JUX31" s="545"/>
      <c r="JUY31" s="545"/>
      <c r="JUZ31" s="545"/>
      <c r="JVA31" s="545"/>
      <c r="JVB31" s="545"/>
      <c r="JVC31" s="545"/>
      <c r="JVD31" s="545"/>
      <c r="JVE31" s="545"/>
      <c r="JVF31" s="545"/>
      <c r="JVG31" s="545"/>
      <c r="JVH31" s="545"/>
      <c r="JVI31" s="545"/>
      <c r="JVJ31" s="545"/>
      <c r="JVK31" s="545"/>
      <c r="JVL31" s="545"/>
      <c r="JVM31" s="545"/>
      <c r="JVN31" s="545"/>
      <c r="JVO31" s="545"/>
      <c r="JVP31" s="545"/>
      <c r="JVQ31" s="545"/>
      <c r="JVR31" s="545"/>
      <c r="JVS31" s="545"/>
      <c r="JVT31" s="545"/>
      <c r="JVU31" s="545"/>
      <c r="JVV31" s="545"/>
      <c r="JVW31" s="545"/>
      <c r="JVX31" s="545"/>
      <c r="JVY31" s="545"/>
      <c r="JVZ31" s="545"/>
      <c r="JWA31" s="545"/>
      <c r="JWB31" s="545"/>
      <c r="JWC31" s="545"/>
      <c r="JWD31" s="545"/>
      <c r="JWE31" s="545"/>
      <c r="JWF31" s="545"/>
      <c r="JWG31" s="545"/>
      <c r="JWH31" s="545"/>
      <c r="JWI31" s="545"/>
      <c r="JWJ31" s="545"/>
      <c r="JWK31" s="545"/>
      <c r="JWL31" s="545"/>
      <c r="JWM31" s="545"/>
      <c r="JWN31" s="545"/>
      <c r="JWO31" s="545"/>
      <c r="JWP31" s="545"/>
      <c r="JWQ31" s="545"/>
      <c r="JWR31" s="545"/>
      <c r="JWS31" s="545"/>
      <c r="JWT31" s="545"/>
      <c r="JWU31" s="545"/>
      <c r="JWV31" s="545"/>
      <c r="JWW31" s="545"/>
      <c r="JWX31" s="545"/>
      <c r="JWY31" s="545"/>
      <c r="JWZ31" s="545"/>
      <c r="JXA31" s="545"/>
      <c r="JXB31" s="545"/>
      <c r="JXC31" s="545"/>
      <c r="JXD31" s="545"/>
      <c r="JXE31" s="545"/>
      <c r="JXF31" s="545"/>
      <c r="JXG31" s="545"/>
      <c r="JXH31" s="545"/>
      <c r="JXI31" s="545"/>
      <c r="JXJ31" s="545"/>
      <c r="JXK31" s="545"/>
      <c r="JXL31" s="545"/>
      <c r="JXM31" s="545"/>
      <c r="JXN31" s="545"/>
      <c r="JXO31" s="545"/>
      <c r="JXP31" s="545"/>
      <c r="JXQ31" s="545"/>
      <c r="JXR31" s="545"/>
      <c r="JXS31" s="545"/>
      <c r="JXT31" s="545"/>
      <c r="JXU31" s="545"/>
      <c r="JXV31" s="545"/>
      <c r="JXW31" s="545"/>
      <c r="JXX31" s="545"/>
      <c r="JXY31" s="545"/>
      <c r="JXZ31" s="545"/>
      <c r="JYA31" s="545"/>
      <c r="JYB31" s="545"/>
      <c r="JYC31" s="545"/>
      <c r="JYD31" s="545"/>
      <c r="JYE31" s="545"/>
      <c r="JYF31" s="545"/>
      <c r="JYG31" s="545"/>
      <c r="JYH31" s="545"/>
      <c r="JYI31" s="545"/>
      <c r="JYJ31" s="545"/>
      <c r="JYK31" s="545"/>
      <c r="JYL31" s="545"/>
      <c r="JYM31" s="545"/>
      <c r="JYN31" s="545"/>
      <c r="JYO31" s="545"/>
      <c r="JYP31" s="545"/>
      <c r="JYQ31" s="545"/>
      <c r="JYR31" s="545"/>
      <c r="JYS31" s="545"/>
      <c r="JYT31" s="545"/>
      <c r="JYU31" s="545"/>
      <c r="JYV31" s="545"/>
      <c r="JYW31" s="545"/>
      <c r="JYX31" s="545"/>
      <c r="JYY31" s="545"/>
      <c r="JYZ31" s="545"/>
      <c r="JZA31" s="545"/>
      <c r="JZB31" s="545"/>
      <c r="JZC31" s="545"/>
      <c r="JZD31" s="545"/>
      <c r="JZE31" s="545"/>
      <c r="JZF31" s="545"/>
      <c r="JZG31" s="545"/>
      <c r="JZH31" s="545"/>
      <c r="JZI31" s="545"/>
      <c r="JZJ31" s="545"/>
      <c r="JZK31" s="545"/>
      <c r="JZL31" s="545"/>
      <c r="JZM31" s="545"/>
      <c r="JZN31" s="545"/>
      <c r="JZO31" s="545"/>
      <c r="JZP31" s="545"/>
      <c r="JZQ31" s="545"/>
      <c r="JZR31" s="545"/>
      <c r="JZS31" s="545"/>
      <c r="JZT31" s="545"/>
      <c r="JZU31" s="545"/>
      <c r="JZV31" s="545"/>
      <c r="JZW31" s="545"/>
      <c r="JZX31" s="545"/>
      <c r="JZY31" s="545"/>
      <c r="JZZ31" s="545"/>
      <c r="KAA31" s="545"/>
      <c r="KAB31" s="545"/>
      <c r="KAC31" s="545"/>
      <c r="KAD31" s="545"/>
      <c r="KAE31" s="545"/>
      <c r="KAF31" s="545"/>
      <c r="KAG31" s="545"/>
      <c r="KAH31" s="545"/>
      <c r="KAI31" s="545"/>
      <c r="KAJ31" s="545"/>
      <c r="KAK31" s="545"/>
      <c r="KAL31" s="545"/>
      <c r="KAM31" s="545"/>
      <c r="KAN31" s="545"/>
      <c r="KAO31" s="545"/>
      <c r="KAP31" s="545"/>
      <c r="KAQ31" s="545"/>
      <c r="KAR31" s="545"/>
      <c r="KAS31" s="545"/>
      <c r="KAT31" s="545"/>
      <c r="KAU31" s="545"/>
      <c r="KAV31" s="545"/>
      <c r="KAW31" s="545"/>
      <c r="KAX31" s="545"/>
      <c r="KAY31" s="545"/>
      <c r="KAZ31" s="545"/>
      <c r="KBA31" s="545"/>
      <c r="KBB31" s="545"/>
      <c r="KBC31" s="545"/>
      <c r="KBD31" s="545"/>
      <c r="KBE31" s="545"/>
      <c r="KBF31" s="545"/>
      <c r="KBG31" s="545"/>
      <c r="KBH31" s="545"/>
      <c r="KBI31" s="545"/>
      <c r="KBJ31" s="545"/>
      <c r="KBK31" s="545"/>
      <c r="KBL31" s="545"/>
      <c r="KBM31" s="545"/>
      <c r="KBN31" s="545"/>
      <c r="KBO31" s="545"/>
      <c r="KBP31" s="545"/>
      <c r="KBQ31" s="545"/>
      <c r="KBR31" s="545"/>
      <c r="KBS31" s="545"/>
      <c r="KBT31" s="545"/>
      <c r="KBU31" s="545"/>
      <c r="KBV31" s="545"/>
      <c r="KBW31" s="545"/>
      <c r="KBX31" s="545"/>
      <c r="KBY31" s="545"/>
      <c r="KBZ31" s="545"/>
      <c r="KCA31" s="545"/>
      <c r="KCB31" s="545"/>
      <c r="KCC31" s="545"/>
      <c r="KCD31" s="545"/>
      <c r="KCE31" s="545"/>
      <c r="KCF31" s="545"/>
      <c r="KCG31" s="545"/>
      <c r="KCH31" s="545"/>
      <c r="KCI31" s="545"/>
      <c r="KCJ31" s="545"/>
      <c r="KCK31" s="545"/>
      <c r="KCL31" s="545"/>
      <c r="KCM31" s="545"/>
      <c r="KCN31" s="545"/>
      <c r="KCO31" s="545"/>
      <c r="KCP31" s="545"/>
      <c r="KCQ31" s="545"/>
      <c r="KCR31" s="545"/>
      <c r="KCS31" s="545"/>
      <c r="KCT31" s="545"/>
      <c r="KCU31" s="545"/>
      <c r="KCV31" s="545"/>
      <c r="KCW31" s="545"/>
      <c r="KCX31" s="545"/>
      <c r="KCY31" s="545"/>
      <c r="KCZ31" s="545"/>
      <c r="KDA31" s="545"/>
      <c r="KDB31" s="545"/>
      <c r="KDC31" s="545"/>
      <c r="KDD31" s="545"/>
      <c r="KDE31" s="545"/>
      <c r="KDF31" s="545"/>
      <c r="KDG31" s="545"/>
      <c r="KDH31" s="545"/>
      <c r="KDI31" s="545"/>
      <c r="KDJ31" s="545"/>
      <c r="KDK31" s="545"/>
      <c r="KDL31" s="545"/>
      <c r="KDM31" s="545"/>
      <c r="KDN31" s="545"/>
      <c r="KDO31" s="545"/>
      <c r="KDP31" s="545"/>
      <c r="KDQ31" s="545"/>
      <c r="KDR31" s="545"/>
      <c r="KDS31" s="545"/>
      <c r="KDT31" s="545"/>
      <c r="KDU31" s="545"/>
      <c r="KDV31" s="545"/>
      <c r="KDW31" s="545"/>
      <c r="KDX31" s="545"/>
      <c r="KDY31" s="545"/>
      <c r="KDZ31" s="545"/>
      <c r="KEA31" s="545"/>
      <c r="KEB31" s="545"/>
      <c r="KEC31" s="545"/>
      <c r="KED31" s="545"/>
      <c r="KEE31" s="545"/>
      <c r="KEF31" s="545"/>
      <c r="KEG31" s="545"/>
      <c r="KEH31" s="545"/>
      <c r="KEI31" s="545"/>
      <c r="KEJ31" s="545"/>
      <c r="KEK31" s="545"/>
      <c r="KEL31" s="545"/>
      <c r="KEM31" s="545"/>
      <c r="KEN31" s="545"/>
      <c r="KEO31" s="545"/>
      <c r="KEP31" s="545"/>
      <c r="KEQ31" s="545"/>
      <c r="KER31" s="545"/>
      <c r="KES31" s="545"/>
      <c r="KET31" s="545"/>
      <c r="KEU31" s="545"/>
      <c r="KEV31" s="545"/>
      <c r="KEW31" s="545"/>
      <c r="KEX31" s="545"/>
      <c r="KEY31" s="545"/>
      <c r="KEZ31" s="545"/>
      <c r="KFA31" s="545"/>
      <c r="KFB31" s="545"/>
      <c r="KFC31" s="545"/>
      <c r="KFD31" s="545"/>
      <c r="KFE31" s="545"/>
      <c r="KFF31" s="545"/>
      <c r="KFG31" s="545"/>
      <c r="KFH31" s="545"/>
      <c r="KFI31" s="545"/>
      <c r="KFJ31" s="545"/>
      <c r="KFK31" s="545"/>
      <c r="KFL31" s="545"/>
      <c r="KFM31" s="545"/>
      <c r="KFN31" s="545"/>
      <c r="KFO31" s="545"/>
      <c r="KFP31" s="545"/>
      <c r="KFQ31" s="545"/>
      <c r="KFR31" s="545"/>
      <c r="KFS31" s="545"/>
      <c r="KFT31" s="545"/>
      <c r="KFU31" s="545"/>
      <c r="KFV31" s="545"/>
      <c r="KFW31" s="545"/>
      <c r="KFX31" s="545"/>
      <c r="KFY31" s="545"/>
      <c r="KFZ31" s="545"/>
      <c r="KGA31" s="545"/>
      <c r="KGB31" s="545"/>
      <c r="KGC31" s="545"/>
      <c r="KGD31" s="545"/>
      <c r="KGE31" s="545"/>
      <c r="KGF31" s="545"/>
      <c r="KGG31" s="545"/>
      <c r="KGH31" s="545"/>
      <c r="KGI31" s="545"/>
      <c r="KGJ31" s="545"/>
      <c r="KGK31" s="545"/>
      <c r="KGL31" s="545"/>
      <c r="KGM31" s="545"/>
      <c r="KGN31" s="545"/>
      <c r="KGO31" s="545"/>
      <c r="KGP31" s="545"/>
      <c r="KGQ31" s="545"/>
      <c r="KGR31" s="545"/>
      <c r="KGS31" s="545"/>
      <c r="KGT31" s="545"/>
      <c r="KGU31" s="545"/>
      <c r="KGV31" s="545"/>
      <c r="KGW31" s="545"/>
      <c r="KGX31" s="545"/>
      <c r="KGY31" s="545"/>
      <c r="KGZ31" s="545"/>
      <c r="KHA31" s="545"/>
      <c r="KHB31" s="545"/>
      <c r="KHC31" s="545"/>
      <c r="KHD31" s="545"/>
      <c r="KHE31" s="545"/>
      <c r="KHF31" s="545"/>
      <c r="KHG31" s="545"/>
      <c r="KHH31" s="545"/>
      <c r="KHI31" s="545"/>
      <c r="KHJ31" s="545"/>
      <c r="KHK31" s="545"/>
      <c r="KHL31" s="545"/>
      <c r="KHM31" s="545"/>
      <c r="KHN31" s="545"/>
      <c r="KHO31" s="545"/>
      <c r="KHP31" s="545"/>
      <c r="KHQ31" s="545"/>
      <c r="KHR31" s="545"/>
      <c r="KHS31" s="545"/>
      <c r="KHT31" s="545"/>
      <c r="KHU31" s="545"/>
      <c r="KHV31" s="545"/>
      <c r="KHW31" s="545"/>
      <c r="KHX31" s="545"/>
      <c r="KHY31" s="545"/>
      <c r="KHZ31" s="545"/>
      <c r="KIA31" s="545"/>
      <c r="KIB31" s="545"/>
      <c r="KIC31" s="545"/>
      <c r="KID31" s="545"/>
      <c r="KIE31" s="545"/>
      <c r="KIF31" s="545"/>
      <c r="KIG31" s="545"/>
      <c r="KIH31" s="545"/>
      <c r="KII31" s="545"/>
      <c r="KIJ31" s="545"/>
      <c r="KIK31" s="545"/>
      <c r="KIL31" s="545"/>
      <c r="KIM31" s="545"/>
      <c r="KIN31" s="545"/>
      <c r="KIO31" s="545"/>
      <c r="KIP31" s="545"/>
      <c r="KIQ31" s="545"/>
      <c r="KIR31" s="545"/>
      <c r="KIS31" s="545"/>
      <c r="KIT31" s="545"/>
      <c r="KIU31" s="545"/>
      <c r="KIV31" s="545"/>
      <c r="KIW31" s="545"/>
      <c r="KIX31" s="545"/>
      <c r="KIY31" s="545"/>
      <c r="KIZ31" s="545"/>
      <c r="KJA31" s="545"/>
      <c r="KJB31" s="545"/>
      <c r="KJC31" s="545"/>
      <c r="KJD31" s="545"/>
      <c r="KJE31" s="545"/>
      <c r="KJF31" s="545"/>
      <c r="KJG31" s="545"/>
      <c r="KJH31" s="545"/>
      <c r="KJI31" s="545"/>
      <c r="KJJ31" s="545"/>
      <c r="KJK31" s="545"/>
      <c r="KJL31" s="545"/>
      <c r="KJM31" s="545"/>
      <c r="KJN31" s="545"/>
      <c r="KJO31" s="545"/>
      <c r="KJP31" s="545"/>
      <c r="KJQ31" s="545"/>
      <c r="KJR31" s="545"/>
      <c r="KJS31" s="545"/>
      <c r="KJT31" s="545"/>
      <c r="KJU31" s="545"/>
      <c r="KJV31" s="545"/>
      <c r="KJW31" s="545"/>
      <c r="KJX31" s="545"/>
      <c r="KJY31" s="545"/>
      <c r="KJZ31" s="545"/>
      <c r="KKA31" s="545"/>
      <c r="KKB31" s="545"/>
      <c r="KKC31" s="545"/>
      <c r="KKD31" s="545"/>
      <c r="KKE31" s="545"/>
      <c r="KKF31" s="545"/>
      <c r="KKG31" s="545"/>
      <c r="KKH31" s="545"/>
      <c r="KKI31" s="545"/>
      <c r="KKJ31" s="545"/>
      <c r="KKK31" s="545"/>
      <c r="KKL31" s="545"/>
      <c r="KKM31" s="545"/>
      <c r="KKN31" s="545"/>
      <c r="KKO31" s="545"/>
      <c r="KKP31" s="545"/>
      <c r="KKQ31" s="545"/>
      <c r="KKR31" s="545"/>
      <c r="KKS31" s="545"/>
      <c r="KKT31" s="545"/>
      <c r="KKU31" s="545"/>
      <c r="KKV31" s="545"/>
      <c r="KKW31" s="545"/>
      <c r="KKX31" s="545"/>
      <c r="KKY31" s="545"/>
      <c r="KKZ31" s="545"/>
      <c r="KLA31" s="545"/>
      <c r="KLB31" s="545"/>
      <c r="KLC31" s="545"/>
      <c r="KLD31" s="545"/>
      <c r="KLE31" s="545"/>
      <c r="KLF31" s="545"/>
      <c r="KLG31" s="545"/>
      <c r="KLH31" s="545"/>
      <c r="KLI31" s="545"/>
      <c r="KLJ31" s="545"/>
      <c r="KLK31" s="545"/>
      <c r="KLL31" s="545"/>
      <c r="KLM31" s="545"/>
      <c r="KLN31" s="545"/>
      <c r="KLO31" s="545"/>
      <c r="KLP31" s="545"/>
      <c r="KLQ31" s="545"/>
      <c r="KLR31" s="545"/>
      <c r="KLS31" s="545"/>
      <c r="KLT31" s="545"/>
      <c r="KLU31" s="545"/>
      <c r="KLV31" s="545"/>
      <c r="KLW31" s="545"/>
      <c r="KLX31" s="545"/>
      <c r="KLY31" s="545"/>
      <c r="KLZ31" s="545"/>
      <c r="KMA31" s="545"/>
      <c r="KMB31" s="545"/>
      <c r="KMC31" s="545"/>
      <c r="KMD31" s="545"/>
      <c r="KME31" s="545"/>
      <c r="KMF31" s="545"/>
      <c r="KMG31" s="545"/>
      <c r="KMH31" s="545"/>
      <c r="KMI31" s="545"/>
      <c r="KMJ31" s="545"/>
      <c r="KMK31" s="545"/>
      <c r="KML31" s="545"/>
      <c r="KMM31" s="545"/>
      <c r="KMN31" s="545"/>
      <c r="KMO31" s="545"/>
      <c r="KMP31" s="545"/>
      <c r="KMQ31" s="545"/>
      <c r="KMR31" s="545"/>
      <c r="KMS31" s="545"/>
      <c r="KMT31" s="545"/>
      <c r="KMU31" s="545"/>
      <c r="KMV31" s="545"/>
      <c r="KMW31" s="545"/>
      <c r="KMX31" s="545"/>
      <c r="KMY31" s="545"/>
      <c r="KMZ31" s="545"/>
      <c r="KNA31" s="545"/>
      <c r="KNB31" s="545"/>
      <c r="KNC31" s="545"/>
      <c r="KND31" s="545"/>
      <c r="KNE31" s="545"/>
      <c r="KNF31" s="545"/>
      <c r="KNG31" s="545"/>
      <c r="KNH31" s="545"/>
      <c r="KNI31" s="545"/>
      <c r="KNJ31" s="545"/>
      <c r="KNK31" s="545"/>
      <c r="KNL31" s="545"/>
      <c r="KNM31" s="545"/>
      <c r="KNN31" s="545"/>
      <c r="KNO31" s="545"/>
      <c r="KNP31" s="545"/>
      <c r="KNQ31" s="545"/>
      <c r="KNR31" s="545"/>
      <c r="KNS31" s="545"/>
      <c r="KNT31" s="545"/>
      <c r="KNU31" s="545"/>
      <c r="KNV31" s="545"/>
      <c r="KNW31" s="545"/>
      <c r="KNX31" s="545"/>
      <c r="KNY31" s="545"/>
      <c r="KNZ31" s="545"/>
      <c r="KOA31" s="545"/>
      <c r="KOB31" s="545"/>
      <c r="KOC31" s="545"/>
      <c r="KOD31" s="545"/>
      <c r="KOE31" s="545"/>
      <c r="KOF31" s="545"/>
      <c r="KOG31" s="545"/>
      <c r="KOH31" s="545"/>
      <c r="KOI31" s="545"/>
      <c r="KOJ31" s="545"/>
      <c r="KOK31" s="545"/>
      <c r="KOL31" s="545"/>
      <c r="KOM31" s="545"/>
      <c r="KON31" s="545"/>
      <c r="KOO31" s="545"/>
      <c r="KOP31" s="545"/>
      <c r="KOQ31" s="545"/>
      <c r="KOR31" s="545"/>
      <c r="KOS31" s="545"/>
      <c r="KOT31" s="545"/>
      <c r="KOU31" s="545"/>
      <c r="KOV31" s="545"/>
      <c r="KOW31" s="545"/>
      <c r="KOX31" s="545"/>
      <c r="KOY31" s="545"/>
      <c r="KOZ31" s="545"/>
      <c r="KPA31" s="545"/>
      <c r="KPB31" s="545"/>
      <c r="KPC31" s="545"/>
      <c r="KPD31" s="545"/>
      <c r="KPE31" s="545"/>
      <c r="KPF31" s="545"/>
      <c r="KPG31" s="545"/>
      <c r="KPH31" s="545"/>
      <c r="KPI31" s="545"/>
      <c r="KPJ31" s="545"/>
      <c r="KPK31" s="545"/>
      <c r="KPL31" s="545"/>
      <c r="KPM31" s="545"/>
      <c r="KPN31" s="545"/>
      <c r="KPO31" s="545"/>
      <c r="KPP31" s="545"/>
      <c r="KPQ31" s="545"/>
      <c r="KPR31" s="545"/>
      <c r="KPS31" s="545"/>
      <c r="KPT31" s="545"/>
      <c r="KPU31" s="545"/>
      <c r="KPV31" s="545"/>
      <c r="KPW31" s="545"/>
      <c r="KPX31" s="545"/>
      <c r="KPY31" s="545"/>
      <c r="KPZ31" s="545"/>
      <c r="KQA31" s="545"/>
      <c r="KQB31" s="545"/>
      <c r="KQC31" s="545"/>
      <c r="KQD31" s="545"/>
      <c r="KQE31" s="545"/>
      <c r="KQF31" s="545"/>
      <c r="KQG31" s="545"/>
      <c r="KQH31" s="545"/>
      <c r="KQI31" s="545"/>
      <c r="KQJ31" s="545"/>
      <c r="KQK31" s="545"/>
      <c r="KQL31" s="545"/>
      <c r="KQM31" s="545"/>
      <c r="KQN31" s="545"/>
      <c r="KQO31" s="545"/>
      <c r="KQP31" s="545"/>
      <c r="KQQ31" s="545"/>
      <c r="KQR31" s="545"/>
      <c r="KQS31" s="545"/>
      <c r="KQT31" s="545"/>
      <c r="KQU31" s="545"/>
      <c r="KQV31" s="545"/>
      <c r="KQW31" s="545"/>
      <c r="KQX31" s="545"/>
      <c r="KQY31" s="545"/>
      <c r="KQZ31" s="545"/>
      <c r="KRA31" s="545"/>
      <c r="KRB31" s="545"/>
      <c r="KRC31" s="545"/>
      <c r="KRD31" s="545"/>
      <c r="KRE31" s="545"/>
      <c r="KRF31" s="545"/>
      <c r="KRG31" s="545"/>
      <c r="KRH31" s="545"/>
      <c r="KRI31" s="545"/>
      <c r="KRJ31" s="545"/>
      <c r="KRK31" s="545"/>
      <c r="KRL31" s="545"/>
      <c r="KRM31" s="545"/>
      <c r="KRN31" s="545"/>
      <c r="KRO31" s="545"/>
      <c r="KRP31" s="545"/>
      <c r="KRQ31" s="545"/>
      <c r="KRR31" s="545"/>
      <c r="KRS31" s="545"/>
      <c r="KRT31" s="545"/>
      <c r="KRU31" s="545"/>
      <c r="KRV31" s="545"/>
      <c r="KRW31" s="545"/>
      <c r="KRX31" s="545"/>
      <c r="KRY31" s="545"/>
      <c r="KRZ31" s="545"/>
      <c r="KSA31" s="545"/>
      <c r="KSB31" s="545"/>
      <c r="KSC31" s="545"/>
      <c r="KSD31" s="545"/>
      <c r="KSE31" s="545"/>
      <c r="KSF31" s="545"/>
      <c r="KSG31" s="545"/>
      <c r="KSH31" s="545"/>
      <c r="KSI31" s="545"/>
      <c r="KSJ31" s="545"/>
      <c r="KSK31" s="545"/>
      <c r="KSL31" s="545"/>
      <c r="KSM31" s="545"/>
      <c r="KSN31" s="545"/>
      <c r="KSO31" s="545"/>
      <c r="KSP31" s="545"/>
      <c r="KSQ31" s="545"/>
      <c r="KSR31" s="545"/>
      <c r="KSS31" s="545"/>
      <c r="KST31" s="545"/>
      <c r="KSU31" s="545"/>
      <c r="KSV31" s="545"/>
      <c r="KSW31" s="545"/>
      <c r="KSX31" s="545"/>
      <c r="KSY31" s="545"/>
      <c r="KSZ31" s="545"/>
      <c r="KTA31" s="545"/>
      <c r="KTB31" s="545"/>
      <c r="KTC31" s="545"/>
      <c r="KTD31" s="545"/>
      <c r="KTE31" s="545"/>
      <c r="KTF31" s="545"/>
      <c r="KTG31" s="545"/>
      <c r="KTH31" s="545"/>
      <c r="KTI31" s="545"/>
      <c r="KTJ31" s="545"/>
      <c r="KTK31" s="545"/>
      <c r="KTL31" s="545"/>
      <c r="KTM31" s="545"/>
      <c r="KTN31" s="545"/>
      <c r="KTO31" s="545"/>
      <c r="KTP31" s="545"/>
      <c r="KTQ31" s="545"/>
      <c r="KTR31" s="545"/>
      <c r="KTS31" s="545"/>
      <c r="KTT31" s="545"/>
      <c r="KTU31" s="545"/>
      <c r="KTV31" s="545"/>
      <c r="KTW31" s="545"/>
      <c r="KTX31" s="545"/>
      <c r="KTY31" s="545"/>
      <c r="KTZ31" s="545"/>
      <c r="KUA31" s="545"/>
      <c r="KUB31" s="545"/>
      <c r="KUC31" s="545"/>
      <c r="KUD31" s="545"/>
      <c r="KUE31" s="545"/>
      <c r="KUF31" s="545"/>
      <c r="KUG31" s="545"/>
      <c r="KUH31" s="545"/>
      <c r="KUI31" s="545"/>
      <c r="KUJ31" s="545"/>
      <c r="KUK31" s="545"/>
      <c r="KUL31" s="545"/>
      <c r="KUM31" s="545"/>
      <c r="KUN31" s="545"/>
      <c r="KUO31" s="545"/>
      <c r="KUP31" s="545"/>
      <c r="KUQ31" s="545"/>
      <c r="KUR31" s="545"/>
      <c r="KUS31" s="545"/>
      <c r="KUT31" s="545"/>
      <c r="KUU31" s="545"/>
      <c r="KUV31" s="545"/>
      <c r="KUW31" s="545"/>
      <c r="KUX31" s="545"/>
      <c r="KUY31" s="545"/>
      <c r="KUZ31" s="545"/>
      <c r="KVA31" s="545"/>
      <c r="KVB31" s="545"/>
      <c r="KVC31" s="545"/>
      <c r="KVD31" s="545"/>
      <c r="KVE31" s="545"/>
      <c r="KVF31" s="545"/>
      <c r="KVG31" s="545"/>
      <c r="KVH31" s="545"/>
      <c r="KVI31" s="545"/>
      <c r="KVJ31" s="545"/>
      <c r="KVK31" s="545"/>
      <c r="KVL31" s="545"/>
      <c r="KVM31" s="545"/>
      <c r="KVN31" s="545"/>
      <c r="KVO31" s="545"/>
      <c r="KVP31" s="545"/>
      <c r="KVQ31" s="545"/>
      <c r="KVR31" s="545"/>
      <c r="KVS31" s="545"/>
      <c r="KVT31" s="545"/>
      <c r="KVU31" s="545"/>
      <c r="KVV31" s="545"/>
      <c r="KVW31" s="545"/>
      <c r="KVX31" s="545"/>
      <c r="KVY31" s="545"/>
      <c r="KVZ31" s="545"/>
      <c r="KWA31" s="545"/>
      <c r="KWB31" s="545"/>
      <c r="KWC31" s="545"/>
      <c r="KWD31" s="545"/>
      <c r="KWE31" s="545"/>
      <c r="KWF31" s="545"/>
      <c r="KWG31" s="545"/>
      <c r="KWH31" s="545"/>
      <c r="KWI31" s="545"/>
      <c r="KWJ31" s="545"/>
      <c r="KWK31" s="545"/>
      <c r="KWL31" s="545"/>
      <c r="KWM31" s="545"/>
      <c r="KWN31" s="545"/>
      <c r="KWO31" s="545"/>
      <c r="KWP31" s="545"/>
      <c r="KWQ31" s="545"/>
      <c r="KWR31" s="545"/>
      <c r="KWS31" s="545"/>
      <c r="KWT31" s="545"/>
      <c r="KWU31" s="545"/>
      <c r="KWV31" s="545"/>
      <c r="KWW31" s="545"/>
      <c r="KWX31" s="545"/>
      <c r="KWY31" s="545"/>
      <c r="KWZ31" s="545"/>
      <c r="KXA31" s="545"/>
      <c r="KXB31" s="545"/>
      <c r="KXC31" s="545"/>
      <c r="KXD31" s="545"/>
      <c r="KXE31" s="545"/>
      <c r="KXF31" s="545"/>
      <c r="KXG31" s="545"/>
      <c r="KXH31" s="545"/>
      <c r="KXI31" s="545"/>
      <c r="KXJ31" s="545"/>
      <c r="KXK31" s="545"/>
      <c r="KXL31" s="545"/>
      <c r="KXM31" s="545"/>
      <c r="KXN31" s="545"/>
      <c r="KXO31" s="545"/>
      <c r="KXP31" s="545"/>
      <c r="KXQ31" s="545"/>
      <c r="KXR31" s="545"/>
      <c r="KXS31" s="545"/>
      <c r="KXT31" s="545"/>
      <c r="KXU31" s="545"/>
      <c r="KXV31" s="545"/>
      <c r="KXW31" s="545"/>
      <c r="KXX31" s="545"/>
      <c r="KXY31" s="545"/>
      <c r="KXZ31" s="545"/>
      <c r="KYA31" s="545"/>
      <c r="KYB31" s="545"/>
      <c r="KYC31" s="545"/>
      <c r="KYD31" s="545"/>
      <c r="KYE31" s="545"/>
      <c r="KYF31" s="545"/>
      <c r="KYG31" s="545"/>
      <c r="KYH31" s="545"/>
      <c r="KYI31" s="545"/>
      <c r="KYJ31" s="545"/>
      <c r="KYK31" s="545"/>
      <c r="KYL31" s="545"/>
      <c r="KYM31" s="545"/>
      <c r="KYN31" s="545"/>
      <c r="KYO31" s="545"/>
      <c r="KYP31" s="545"/>
      <c r="KYQ31" s="545"/>
      <c r="KYR31" s="545"/>
      <c r="KYS31" s="545"/>
      <c r="KYT31" s="545"/>
      <c r="KYU31" s="545"/>
      <c r="KYV31" s="545"/>
      <c r="KYW31" s="545"/>
      <c r="KYX31" s="545"/>
      <c r="KYY31" s="545"/>
      <c r="KYZ31" s="545"/>
      <c r="KZA31" s="545"/>
      <c r="KZB31" s="545"/>
      <c r="KZC31" s="545"/>
      <c r="KZD31" s="545"/>
      <c r="KZE31" s="545"/>
      <c r="KZF31" s="545"/>
      <c r="KZG31" s="545"/>
      <c r="KZH31" s="545"/>
      <c r="KZI31" s="545"/>
      <c r="KZJ31" s="545"/>
      <c r="KZK31" s="545"/>
      <c r="KZL31" s="545"/>
      <c r="KZM31" s="545"/>
      <c r="KZN31" s="545"/>
      <c r="KZO31" s="545"/>
      <c r="KZP31" s="545"/>
      <c r="KZQ31" s="545"/>
      <c r="KZR31" s="545"/>
      <c r="KZS31" s="545"/>
      <c r="KZT31" s="545"/>
      <c r="KZU31" s="545"/>
      <c r="KZV31" s="545"/>
      <c r="KZW31" s="545"/>
      <c r="KZX31" s="545"/>
      <c r="KZY31" s="545"/>
      <c r="KZZ31" s="545"/>
      <c r="LAA31" s="545"/>
      <c r="LAB31" s="545"/>
      <c r="LAC31" s="545"/>
      <c r="LAD31" s="545"/>
      <c r="LAE31" s="545"/>
      <c r="LAF31" s="545"/>
      <c r="LAG31" s="545"/>
      <c r="LAH31" s="545"/>
      <c r="LAI31" s="545"/>
      <c r="LAJ31" s="545"/>
      <c r="LAK31" s="545"/>
      <c r="LAL31" s="545"/>
      <c r="LAM31" s="545"/>
      <c r="LAN31" s="545"/>
      <c r="LAO31" s="545"/>
      <c r="LAP31" s="545"/>
      <c r="LAQ31" s="545"/>
      <c r="LAR31" s="545"/>
      <c r="LAS31" s="545"/>
      <c r="LAT31" s="545"/>
      <c r="LAU31" s="545"/>
      <c r="LAV31" s="545"/>
      <c r="LAW31" s="545"/>
      <c r="LAX31" s="545"/>
      <c r="LAY31" s="545"/>
      <c r="LAZ31" s="545"/>
      <c r="LBA31" s="545"/>
      <c r="LBB31" s="545"/>
      <c r="LBC31" s="545"/>
      <c r="LBD31" s="545"/>
      <c r="LBE31" s="545"/>
      <c r="LBF31" s="545"/>
      <c r="LBG31" s="545"/>
      <c r="LBH31" s="545"/>
      <c r="LBI31" s="545"/>
      <c r="LBJ31" s="545"/>
      <c r="LBK31" s="545"/>
      <c r="LBL31" s="545"/>
      <c r="LBM31" s="545"/>
      <c r="LBN31" s="545"/>
      <c r="LBO31" s="545"/>
      <c r="LBP31" s="545"/>
      <c r="LBQ31" s="545"/>
      <c r="LBR31" s="545"/>
      <c r="LBS31" s="545"/>
      <c r="LBT31" s="545"/>
      <c r="LBU31" s="545"/>
      <c r="LBV31" s="545"/>
      <c r="LBW31" s="545"/>
      <c r="LBX31" s="545"/>
      <c r="LBY31" s="545"/>
      <c r="LBZ31" s="545"/>
      <c r="LCA31" s="545"/>
      <c r="LCB31" s="545"/>
      <c r="LCC31" s="545"/>
      <c r="LCD31" s="545"/>
      <c r="LCE31" s="545"/>
      <c r="LCF31" s="545"/>
      <c r="LCG31" s="545"/>
      <c r="LCH31" s="545"/>
      <c r="LCI31" s="545"/>
      <c r="LCJ31" s="545"/>
      <c r="LCK31" s="545"/>
      <c r="LCL31" s="545"/>
      <c r="LCM31" s="545"/>
      <c r="LCN31" s="545"/>
      <c r="LCO31" s="545"/>
      <c r="LCP31" s="545"/>
      <c r="LCQ31" s="545"/>
      <c r="LCR31" s="545"/>
      <c r="LCS31" s="545"/>
      <c r="LCT31" s="545"/>
      <c r="LCU31" s="545"/>
      <c r="LCV31" s="545"/>
      <c r="LCW31" s="545"/>
      <c r="LCX31" s="545"/>
      <c r="LCY31" s="545"/>
      <c r="LCZ31" s="545"/>
      <c r="LDA31" s="545"/>
      <c r="LDB31" s="545"/>
      <c r="LDC31" s="545"/>
      <c r="LDD31" s="545"/>
      <c r="LDE31" s="545"/>
      <c r="LDF31" s="545"/>
      <c r="LDG31" s="545"/>
      <c r="LDH31" s="545"/>
      <c r="LDI31" s="545"/>
      <c r="LDJ31" s="545"/>
      <c r="LDK31" s="545"/>
      <c r="LDL31" s="545"/>
      <c r="LDM31" s="545"/>
      <c r="LDN31" s="545"/>
      <c r="LDO31" s="545"/>
      <c r="LDP31" s="545"/>
      <c r="LDQ31" s="545"/>
      <c r="LDR31" s="545"/>
      <c r="LDS31" s="545"/>
      <c r="LDT31" s="545"/>
      <c r="LDU31" s="545"/>
      <c r="LDV31" s="545"/>
      <c r="LDW31" s="545"/>
      <c r="LDX31" s="545"/>
      <c r="LDY31" s="545"/>
      <c r="LDZ31" s="545"/>
      <c r="LEA31" s="545"/>
      <c r="LEB31" s="545"/>
      <c r="LEC31" s="545"/>
      <c r="LED31" s="545"/>
      <c r="LEE31" s="545"/>
      <c r="LEF31" s="545"/>
      <c r="LEG31" s="545"/>
      <c r="LEH31" s="545"/>
      <c r="LEI31" s="545"/>
      <c r="LEJ31" s="545"/>
      <c r="LEK31" s="545"/>
      <c r="LEL31" s="545"/>
      <c r="LEM31" s="545"/>
      <c r="LEN31" s="545"/>
      <c r="LEO31" s="545"/>
      <c r="LEP31" s="545"/>
      <c r="LEQ31" s="545"/>
      <c r="LER31" s="545"/>
      <c r="LES31" s="545"/>
      <c r="LET31" s="545"/>
      <c r="LEU31" s="545"/>
      <c r="LEV31" s="545"/>
      <c r="LEW31" s="545"/>
      <c r="LEX31" s="545"/>
      <c r="LEY31" s="545"/>
      <c r="LEZ31" s="545"/>
      <c r="LFA31" s="545"/>
      <c r="LFB31" s="545"/>
      <c r="LFC31" s="545"/>
      <c r="LFD31" s="545"/>
      <c r="LFE31" s="545"/>
      <c r="LFF31" s="545"/>
      <c r="LFG31" s="545"/>
      <c r="LFH31" s="545"/>
      <c r="LFI31" s="545"/>
      <c r="LFJ31" s="545"/>
      <c r="LFK31" s="545"/>
      <c r="LFL31" s="545"/>
      <c r="LFM31" s="545"/>
      <c r="LFN31" s="545"/>
      <c r="LFO31" s="545"/>
      <c r="LFP31" s="545"/>
      <c r="LFQ31" s="545"/>
      <c r="LFR31" s="545"/>
      <c r="LFS31" s="545"/>
      <c r="LFT31" s="545"/>
      <c r="LFU31" s="545"/>
      <c r="LFV31" s="545"/>
      <c r="LFW31" s="545"/>
      <c r="LFX31" s="545"/>
      <c r="LFY31" s="545"/>
      <c r="LFZ31" s="545"/>
      <c r="LGA31" s="545"/>
      <c r="LGB31" s="545"/>
      <c r="LGC31" s="545"/>
      <c r="LGD31" s="545"/>
      <c r="LGE31" s="545"/>
      <c r="LGF31" s="545"/>
      <c r="LGG31" s="545"/>
      <c r="LGH31" s="545"/>
      <c r="LGI31" s="545"/>
      <c r="LGJ31" s="545"/>
      <c r="LGK31" s="545"/>
      <c r="LGL31" s="545"/>
      <c r="LGM31" s="545"/>
      <c r="LGN31" s="545"/>
      <c r="LGO31" s="545"/>
      <c r="LGP31" s="545"/>
      <c r="LGQ31" s="545"/>
      <c r="LGR31" s="545"/>
      <c r="LGS31" s="545"/>
      <c r="LGT31" s="545"/>
      <c r="LGU31" s="545"/>
      <c r="LGV31" s="545"/>
      <c r="LGW31" s="545"/>
      <c r="LGX31" s="545"/>
      <c r="LGY31" s="545"/>
      <c r="LGZ31" s="545"/>
      <c r="LHA31" s="545"/>
      <c r="LHB31" s="545"/>
      <c r="LHC31" s="545"/>
      <c r="LHD31" s="545"/>
      <c r="LHE31" s="545"/>
      <c r="LHF31" s="545"/>
      <c r="LHG31" s="545"/>
      <c r="LHH31" s="545"/>
      <c r="LHI31" s="545"/>
      <c r="LHJ31" s="545"/>
      <c r="LHK31" s="545"/>
      <c r="LHL31" s="545"/>
      <c r="LHM31" s="545"/>
      <c r="LHN31" s="545"/>
      <c r="LHO31" s="545"/>
      <c r="LHP31" s="545"/>
      <c r="LHQ31" s="545"/>
      <c r="LHR31" s="545"/>
      <c r="LHS31" s="545"/>
      <c r="LHT31" s="545"/>
      <c r="LHU31" s="545"/>
      <c r="LHV31" s="545"/>
      <c r="LHW31" s="545"/>
      <c r="LHX31" s="545"/>
      <c r="LHY31" s="545"/>
      <c r="LHZ31" s="545"/>
      <c r="LIA31" s="545"/>
      <c r="LIB31" s="545"/>
      <c r="LIC31" s="545"/>
      <c r="LID31" s="545"/>
      <c r="LIE31" s="545"/>
      <c r="LIF31" s="545"/>
      <c r="LIG31" s="545"/>
      <c r="LIH31" s="545"/>
      <c r="LII31" s="545"/>
      <c r="LIJ31" s="545"/>
      <c r="LIK31" s="545"/>
      <c r="LIL31" s="545"/>
      <c r="LIM31" s="545"/>
      <c r="LIN31" s="545"/>
      <c r="LIO31" s="545"/>
      <c r="LIP31" s="545"/>
      <c r="LIQ31" s="545"/>
      <c r="LIR31" s="545"/>
      <c r="LIS31" s="545"/>
      <c r="LIT31" s="545"/>
      <c r="LIU31" s="545"/>
      <c r="LIV31" s="545"/>
      <c r="LIW31" s="545"/>
      <c r="LIX31" s="545"/>
      <c r="LIY31" s="545"/>
      <c r="LIZ31" s="545"/>
      <c r="LJA31" s="545"/>
      <c r="LJB31" s="545"/>
      <c r="LJC31" s="545"/>
      <c r="LJD31" s="545"/>
      <c r="LJE31" s="545"/>
      <c r="LJF31" s="545"/>
      <c r="LJG31" s="545"/>
      <c r="LJH31" s="545"/>
      <c r="LJI31" s="545"/>
      <c r="LJJ31" s="545"/>
      <c r="LJK31" s="545"/>
      <c r="LJL31" s="545"/>
      <c r="LJM31" s="545"/>
      <c r="LJN31" s="545"/>
      <c r="LJO31" s="545"/>
      <c r="LJP31" s="545"/>
      <c r="LJQ31" s="545"/>
      <c r="LJR31" s="545"/>
      <c r="LJS31" s="545"/>
      <c r="LJT31" s="545"/>
      <c r="LJU31" s="545"/>
      <c r="LJV31" s="545"/>
      <c r="LJW31" s="545"/>
      <c r="LJX31" s="545"/>
      <c r="LJY31" s="545"/>
      <c r="LJZ31" s="545"/>
      <c r="LKA31" s="545"/>
      <c r="LKB31" s="545"/>
      <c r="LKC31" s="545"/>
      <c r="LKD31" s="545"/>
      <c r="LKE31" s="545"/>
      <c r="LKF31" s="545"/>
      <c r="LKG31" s="545"/>
      <c r="LKH31" s="545"/>
      <c r="LKI31" s="545"/>
      <c r="LKJ31" s="545"/>
      <c r="LKK31" s="545"/>
      <c r="LKL31" s="545"/>
      <c r="LKM31" s="545"/>
      <c r="LKN31" s="545"/>
      <c r="LKO31" s="545"/>
      <c r="LKP31" s="545"/>
      <c r="LKQ31" s="545"/>
      <c r="LKR31" s="545"/>
      <c r="LKS31" s="545"/>
      <c r="LKT31" s="545"/>
      <c r="LKU31" s="545"/>
      <c r="LKV31" s="545"/>
      <c r="LKW31" s="545"/>
      <c r="LKX31" s="545"/>
      <c r="LKY31" s="545"/>
      <c r="LKZ31" s="545"/>
      <c r="LLA31" s="545"/>
      <c r="LLB31" s="545"/>
      <c r="LLC31" s="545"/>
      <c r="LLD31" s="545"/>
      <c r="LLE31" s="545"/>
      <c r="LLF31" s="545"/>
      <c r="LLG31" s="545"/>
      <c r="LLH31" s="545"/>
      <c r="LLI31" s="545"/>
      <c r="LLJ31" s="545"/>
      <c r="LLK31" s="545"/>
      <c r="LLL31" s="545"/>
      <c r="LLM31" s="545"/>
      <c r="LLN31" s="545"/>
      <c r="LLO31" s="545"/>
      <c r="LLP31" s="545"/>
      <c r="LLQ31" s="545"/>
      <c r="LLR31" s="545"/>
      <c r="LLS31" s="545"/>
      <c r="LLT31" s="545"/>
      <c r="LLU31" s="545"/>
      <c r="LLV31" s="545"/>
      <c r="LLW31" s="545"/>
      <c r="LLX31" s="545"/>
      <c r="LLY31" s="545"/>
      <c r="LLZ31" s="545"/>
      <c r="LMA31" s="545"/>
      <c r="LMB31" s="545"/>
      <c r="LMC31" s="545"/>
      <c r="LMD31" s="545"/>
      <c r="LME31" s="545"/>
      <c r="LMF31" s="545"/>
      <c r="LMG31" s="545"/>
      <c r="LMH31" s="545"/>
      <c r="LMI31" s="545"/>
      <c r="LMJ31" s="545"/>
      <c r="LMK31" s="545"/>
      <c r="LML31" s="545"/>
      <c r="LMM31" s="545"/>
      <c r="LMN31" s="545"/>
      <c r="LMO31" s="545"/>
      <c r="LMP31" s="545"/>
      <c r="LMQ31" s="545"/>
      <c r="LMR31" s="545"/>
      <c r="LMS31" s="545"/>
      <c r="LMT31" s="545"/>
      <c r="LMU31" s="545"/>
      <c r="LMV31" s="545"/>
      <c r="LMW31" s="545"/>
      <c r="LMX31" s="545"/>
      <c r="LMY31" s="545"/>
      <c r="LMZ31" s="545"/>
      <c r="LNA31" s="545"/>
      <c r="LNB31" s="545"/>
      <c r="LNC31" s="545"/>
      <c r="LND31" s="545"/>
      <c r="LNE31" s="545"/>
      <c r="LNF31" s="545"/>
      <c r="LNG31" s="545"/>
      <c r="LNH31" s="545"/>
      <c r="LNI31" s="545"/>
      <c r="LNJ31" s="545"/>
      <c r="LNK31" s="545"/>
      <c r="LNL31" s="545"/>
      <c r="LNM31" s="545"/>
      <c r="LNN31" s="545"/>
      <c r="LNO31" s="545"/>
      <c r="LNP31" s="545"/>
      <c r="LNQ31" s="545"/>
      <c r="LNR31" s="545"/>
      <c r="LNS31" s="545"/>
      <c r="LNT31" s="545"/>
      <c r="LNU31" s="545"/>
      <c r="LNV31" s="545"/>
      <c r="LNW31" s="545"/>
      <c r="LNX31" s="545"/>
      <c r="LNY31" s="545"/>
      <c r="LNZ31" s="545"/>
      <c r="LOA31" s="545"/>
      <c r="LOB31" s="545"/>
      <c r="LOC31" s="545"/>
      <c r="LOD31" s="545"/>
      <c r="LOE31" s="545"/>
      <c r="LOF31" s="545"/>
      <c r="LOG31" s="545"/>
      <c r="LOH31" s="545"/>
      <c r="LOI31" s="545"/>
      <c r="LOJ31" s="545"/>
      <c r="LOK31" s="545"/>
      <c r="LOL31" s="545"/>
      <c r="LOM31" s="545"/>
      <c r="LON31" s="545"/>
      <c r="LOO31" s="545"/>
      <c r="LOP31" s="545"/>
      <c r="LOQ31" s="545"/>
      <c r="LOR31" s="545"/>
      <c r="LOS31" s="545"/>
      <c r="LOT31" s="545"/>
      <c r="LOU31" s="545"/>
      <c r="LOV31" s="545"/>
      <c r="LOW31" s="545"/>
      <c r="LOX31" s="545"/>
      <c r="LOY31" s="545"/>
      <c r="LOZ31" s="545"/>
      <c r="LPA31" s="545"/>
      <c r="LPB31" s="545"/>
      <c r="LPC31" s="545"/>
      <c r="LPD31" s="545"/>
      <c r="LPE31" s="545"/>
      <c r="LPF31" s="545"/>
      <c r="LPG31" s="545"/>
      <c r="LPH31" s="545"/>
      <c r="LPI31" s="545"/>
      <c r="LPJ31" s="545"/>
      <c r="LPK31" s="545"/>
      <c r="LPL31" s="545"/>
      <c r="LPM31" s="545"/>
      <c r="LPN31" s="545"/>
      <c r="LPO31" s="545"/>
      <c r="LPP31" s="545"/>
      <c r="LPQ31" s="545"/>
      <c r="LPR31" s="545"/>
      <c r="LPS31" s="545"/>
      <c r="LPT31" s="545"/>
      <c r="LPU31" s="545"/>
      <c r="LPV31" s="545"/>
      <c r="LPW31" s="545"/>
      <c r="LPX31" s="545"/>
      <c r="LPY31" s="545"/>
      <c r="LPZ31" s="545"/>
      <c r="LQA31" s="545"/>
      <c r="LQB31" s="545"/>
      <c r="LQC31" s="545"/>
      <c r="LQD31" s="545"/>
      <c r="LQE31" s="545"/>
      <c r="LQF31" s="545"/>
      <c r="LQG31" s="545"/>
      <c r="LQH31" s="545"/>
      <c r="LQI31" s="545"/>
      <c r="LQJ31" s="545"/>
      <c r="LQK31" s="545"/>
      <c r="LQL31" s="545"/>
      <c r="LQM31" s="545"/>
      <c r="LQN31" s="545"/>
      <c r="LQO31" s="545"/>
      <c r="LQP31" s="545"/>
      <c r="LQQ31" s="545"/>
      <c r="LQR31" s="545"/>
      <c r="LQS31" s="545"/>
      <c r="LQT31" s="545"/>
      <c r="LQU31" s="545"/>
      <c r="LQV31" s="545"/>
      <c r="LQW31" s="545"/>
      <c r="LQX31" s="545"/>
      <c r="LQY31" s="545"/>
      <c r="LQZ31" s="545"/>
      <c r="LRA31" s="545"/>
      <c r="LRB31" s="545"/>
      <c r="LRC31" s="545"/>
      <c r="LRD31" s="545"/>
      <c r="LRE31" s="545"/>
      <c r="LRF31" s="545"/>
      <c r="LRG31" s="545"/>
      <c r="LRH31" s="545"/>
      <c r="LRI31" s="545"/>
      <c r="LRJ31" s="545"/>
      <c r="LRK31" s="545"/>
      <c r="LRL31" s="545"/>
      <c r="LRM31" s="545"/>
      <c r="LRN31" s="545"/>
      <c r="LRO31" s="545"/>
      <c r="LRP31" s="545"/>
      <c r="LRQ31" s="545"/>
      <c r="LRR31" s="545"/>
      <c r="LRS31" s="545"/>
      <c r="LRT31" s="545"/>
      <c r="LRU31" s="545"/>
      <c r="LRV31" s="545"/>
      <c r="LRW31" s="545"/>
      <c r="LRX31" s="545"/>
      <c r="LRY31" s="545"/>
      <c r="LRZ31" s="545"/>
      <c r="LSA31" s="545"/>
      <c r="LSB31" s="545"/>
      <c r="LSC31" s="545"/>
      <c r="LSD31" s="545"/>
      <c r="LSE31" s="545"/>
      <c r="LSF31" s="545"/>
      <c r="LSG31" s="545"/>
      <c r="LSH31" s="545"/>
      <c r="LSI31" s="545"/>
      <c r="LSJ31" s="545"/>
      <c r="LSK31" s="545"/>
      <c r="LSL31" s="545"/>
      <c r="LSM31" s="545"/>
      <c r="LSN31" s="545"/>
      <c r="LSO31" s="545"/>
      <c r="LSP31" s="545"/>
      <c r="LSQ31" s="545"/>
      <c r="LSR31" s="545"/>
      <c r="LSS31" s="545"/>
      <c r="LST31" s="545"/>
      <c r="LSU31" s="545"/>
      <c r="LSV31" s="545"/>
      <c r="LSW31" s="545"/>
      <c r="LSX31" s="545"/>
      <c r="LSY31" s="545"/>
      <c r="LSZ31" s="545"/>
      <c r="LTA31" s="545"/>
      <c r="LTB31" s="545"/>
      <c r="LTC31" s="545"/>
      <c r="LTD31" s="545"/>
      <c r="LTE31" s="545"/>
      <c r="LTF31" s="545"/>
      <c r="LTG31" s="545"/>
      <c r="LTH31" s="545"/>
      <c r="LTI31" s="545"/>
      <c r="LTJ31" s="545"/>
      <c r="LTK31" s="545"/>
      <c r="LTL31" s="545"/>
      <c r="LTM31" s="545"/>
      <c r="LTN31" s="545"/>
      <c r="LTO31" s="545"/>
      <c r="LTP31" s="545"/>
      <c r="LTQ31" s="545"/>
      <c r="LTR31" s="545"/>
      <c r="LTS31" s="545"/>
      <c r="LTT31" s="545"/>
      <c r="LTU31" s="545"/>
      <c r="LTV31" s="545"/>
      <c r="LTW31" s="545"/>
      <c r="LTX31" s="545"/>
      <c r="LTY31" s="545"/>
      <c r="LTZ31" s="545"/>
      <c r="LUA31" s="545"/>
      <c r="LUB31" s="545"/>
      <c r="LUC31" s="545"/>
      <c r="LUD31" s="545"/>
      <c r="LUE31" s="545"/>
      <c r="LUF31" s="545"/>
      <c r="LUG31" s="545"/>
      <c r="LUH31" s="545"/>
      <c r="LUI31" s="545"/>
      <c r="LUJ31" s="545"/>
      <c r="LUK31" s="545"/>
      <c r="LUL31" s="545"/>
      <c r="LUM31" s="545"/>
      <c r="LUN31" s="545"/>
      <c r="LUO31" s="545"/>
      <c r="LUP31" s="545"/>
      <c r="LUQ31" s="545"/>
      <c r="LUR31" s="545"/>
      <c r="LUS31" s="545"/>
      <c r="LUT31" s="545"/>
      <c r="LUU31" s="545"/>
      <c r="LUV31" s="545"/>
      <c r="LUW31" s="545"/>
      <c r="LUX31" s="545"/>
      <c r="LUY31" s="545"/>
      <c r="LUZ31" s="545"/>
      <c r="LVA31" s="545"/>
      <c r="LVB31" s="545"/>
      <c r="LVC31" s="545"/>
      <c r="LVD31" s="545"/>
      <c r="LVE31" s="545"/>
      <c r="LVF31" s="545"/>
      <c r="LVG31" s="545"/>
      <c r="LVH31" s="545"/>
      <c r="LVI31" s="545"/>
      <c r="LVJ31" s="545"/>
      <c r="LVK31" s="545"/>
      <c r="LVL31" s="545"/>
      <c r="LVM31" s="545"/>
      <c r="LVN31" s="545"/>
      <c r="LVO31" s="545"/>
      <c r="LVP31" s="545"/>
      <c r="LVQ31" s="545"/>
      <c r="LVR31" s="545"/>
      <c r="LVS31" s="545"/>
      <c r="LVT31" s="545"/>
      <c r="LVU31" s="545"/>
      <c r="LVV31" s="545"/>
      <c r="LVW31" s="545"/>
      <c r="LVX31" s="545"/>
      <c r="LVY31" s="545"/>
      <c r="LVZ31" s="545"/>
      <c r="LWA31" s="545"/>
      <c r="LWB31" s="545"/>
      <c r="LWC31" s="545"/>
      <c r="LWD31" s="545"/>
      <c r="LWE31" s="545"/>
      <c r="LWF31" s="545"/>
      <c r="LWG31" s="545"/>
      <c r="LWH31" s="545"/>
      <c r="LWI31" s="545"/>
      <c r="LWJ31" s="545"/>
      <c r="LWK31" s="545"/>
      <c r="LWL31" s="545"/>
      <c r="LWM31" s="545"/>
      <c r="LWN31" s="545"/>
      <c r="LWO31" s="545"/>
      <c r="LWP31" s="545"/>
      <c r="LWQ31" s="545"/>
      <c r="LWR31" s="545"/>
      <c r="LWS31" s="545"/>
      <c r="LWT31" s="545"/>
      <c r="LWU31" s="545"/>
      <c r="LWV31" s="545"/>
      <c r="LWW31" s="545"/>
      <c r="LWX31" s="545"/>
      <c r="LWY31" s="545"/>
      <c r="LWZ31" s="545"/>
      <c r="LXA31" s="545"/>
      <c r="LXB31" s="545"/>
      <c r="LXC31" s="545"/>
      <c r="LXD31" s="545"/>
      <c r="LXE31" s="545"/>
      <c r="LXF31" s="545"/>
      <c r="LXG31" s="545"/>
      <c r="LXH31" s="545"/>
      <c r="LXI31" s="545"/>
      <c r="LXJ31" s="545"/>
      <c r="LXK31" s="545"/>
      <c r="LXL31" s="545"/>
      <c r="LXM31" s="545"/>
      <c r="LXN31" s="545"/>
      <c r="LXO31" s="545"/>
      <c r="LXP31" s="545"/>
      <c r="LXQ31" s="545"/>
      <c r="LXR31" s="545"/>
      <c r="LXS31" s="545"/>
      <c r="LXT31" s="545"/>
      <c r="LXU31" s="545"/>
      <c r="LXV31" s="545"/>
      <c r="LXW31" s="545"/>
      <c r="LXX31" s="545"/>
      <c r="LXY31" s="545"/>
      <c r="LXZ31" s="545"/>
      <c r="LYA31" s="545"/>
      <c r="LYB31" s="545"/>
      <c r="LYC31" s="545"/>
      <c r="LYD31" s="545"/>
      <c r="LYE31" s="545"/>
      <c r="LYF31" s="545"/>
      <c r="LYG31" s="545"/>
      <c r="LYH31" s="545"/>
      <c r="LYI31" s="545"/>
      <c r="LYJ31" s="545"/>
      <c r="LYK31" s="545"/>
      <c r="LYL31" s="545"/>
      <c r="LYM31" s="545"/>
      <c r="LYN31" s="545"/>
      <c r="LYO31" s="545"/>
      <c r="LYP31" s="545"/>
      <c r="LYQ31" s="545"/>
      <c r="LYR31" s="545"/>
      <c r="LYS31" s="545"/>
      <c r="LYT31" s="545"/>
      <c r="LYU31" s="545"/>
      <c r="LYV31" s="545"/>
      <c r="LYW31" s="545"/>
      <c r="LYX31" s="545"/>
      <c r="LYY31" s="545"/>
      <c r="LYZ31" s="545"/>
      <c r="LZA31" s="545"/>
      <c r="LZB31" s="545"/>
      <c r="LZC31" s="545"/>
      <c r="LZD31" s="545"/>
      <c r="LZE31" s="545"/>
      <c r="LZF31" s="545"/>
      <c r="LZG31" s="545"/>
      <c r="LZH31" s="545"/>
      <c r="LZI31" s="545"/>
      <c r="LZJ31" s="545"/>
      <c r="LZK31" s="545"/>
      <c r="LZL31" s="545"/>
      <c r="LZM31" s="545"/>
      <c r="LZN31" s="545"/>
      <c r="LZO31" s="545"/>
      <c r="LZP31" s="545"/>
      <c r="LZQ31" s="545"/>
      <c r="LZR31" s="545"/>
      <c r="LZS31" s="545"/>
      <c r="LZT31" s="545"/>
      <c r="LZU31" s="545"/>
      <c r="LZV31" s="545"/>
      <c r="LZW31" s="545"/>
      <c r="LZX31" s="545"/>
      <c r="LZY31" s="545"/>
      <c r="LZZ31" s="545"/>
      <c r="MAA31" s="545"/>
      <c r="MAB31" s="545"/>
      <c r="MAC31" s="545"/>
      <c r="MAD31" s="545"/>
      <c r="MAE31" s="545"/>
      <c r="MAF31" s="545"/>
      <c r="MAG31" s="545"/>
      <c r="MAH31" s="545"/>
      <c r="MAI31" s="545"/>
      <c r="MAJ31" s="545"/>
      <c r="MAK31" s="545"/>
      <c r="MAL31" s="545"/>
      <c r="MAM31" s="545"/>
      <c r="MAN31" s="545"/>
      <c r="MAO31" s="545"/>
      <c r="MAP31" s="545"/>
      <c r="MAQ31" s="545"/>
      <c r="MAR31" s="545"/>
      <c r="MAS31" s="545"/>
      <c r="MAT31" s="545"/>
      <c r="MAU31" s="545"/>
      <c r="MAV31" s="545"/>
      <c r="MAW31" s="545"/>
      <c r="MAX31" s="545"/>
      <c r="MAY31" s="545"/>
      <c r="MAZ31" s="545"/>
      <c r="MBA31" s="545"/>
      <c r="MBB31" s="545"/>
      <c r="MBC31" s="545"/>
      <c r="MBD31" s="545"/>
      <c r="MBE31" s="545"/>
      <c r="MBF31" s="545"/>
      <c r="MBG31" s="545"/>
      <c r="MBH31" s="545"/>
      <c r="MBI31" s="545"/>
      <c r="MBJ31" s="545"/>
      <c r="MBK31" s="545"/>
      <c r="MBL31" s="545"/>
      <c r="MBM31" s="545"/>
      <c r="MBN31" s="545"/>
      <c r="MBO31" s="545"/>
      <c r="MBP31" s="545"/>
      <c r="MBQ31" s="545"/>
      <c r="MBR31" s="545"/>
      <c r="MBS31" s="545"/>
      <c r="MBT31" s="545"/>
      <c r="MBU31" s="545"/>
      <c r="MBV31" s="545"/>
      <c r="MBW31" s="545"/>
      <c r="MBX31" s="545"/>
      <c r="MBY31" s="545"/>
      <c r="MBZ31" s="545"/>
      <c r="MCA31" s="545"/>
      <c r="MCB31" s="545"/>
      <c r="MCC31" s="545"/>
      <c r="MCD31" s="545"/>
      <c r="MCE31" s="545"/>
      <c r="MCF31" s="545"/>
      <c r="MCG31" s="545"/>
      <c r="MCH31" s="545"/>
      <c r="MCI31" s="545"/>
      <c r="MCJ31" s="545"/>
      <c r="MCK31" s="545"/>
      <c r="MCL31" s="545"/>
      <c r="MCM31" s="545"/>
      <c r="MCN31" s="545"/>
      <c r="MCO31" s="545"/>
      <c r="MCP31" s="545"/>
      <c r="MCQ31" s="545"/>
      <c r="MCR31" s="545"/>
      <c r="MCS31" s="545"/>
      <c r="MCT31" s="545"/>
      <c r="MCU31" s="545"/>
      <c r="MCV31" s="545"/>
      <c r="MCW31" s="545"/>
      <c r="MCX31" s="545"/>
      <c r="MCY31" s="545"/>
      <c r="MCZ31" s="545"/>
      <c r="MDA31" s="545"/>
      <c r="MDB31" s="545"/>
      <c r="MDC31" s="545"/>
      <c r="MDD31" s="545"/>
      <c r="MDE31" s="545"/>
      <c r="MDF31" s="545"/>
      <c r="MDG31" s="545"/>
      <c r="MDH31" s="545"/>
      <c r="MDI31" s="545"/>
      <c r="MDJ31" s="545"/>
      <c r="MDK31" s="545"/>
      <c r="MDL31" s="545"/>
      <c r="MDM31" s="545"/>
      <c r="MDN31" s="545"/>
      <c r="MDO31" s="545"/>
      <c r="MDP31" s="545"/>
      <c r="MDQ31" s="545"/>
      <c r="MDR31" s="545"/>
      <c r="MDS31" s="545"/>
      <c r="MDT31" s="545"/>
      <c r="MDU31" s="545"/>
      <c r="MDV31" s="545"/>
      <c r="MDW31" s="545"/>
      <c r="MDX31" s="545"/>
      <c r="MDY31" s="545"/>
      <c r="MDZ31" s="545"/>
      <c r="MEA31" s="545"/>
      <c r="MEB31" s="545"/>
      <c r="MEC31" s="545"/>
      <c r="MED31" s="545"/>
      <c r="MEE31" s="545"/>
      <c r="MEF31" s="545"/>
      <c r="MEG31" s="545"/>
      <c r="MEH31" s="545"/>
      <c r="MEI31" s="545"/>
      <c r="MEJ31" s="545"/>
      <c r="MEK31" s="545"/>
      <c r="MEL31" s="545"/>
      <c r="MEM31" s="545"/>
      <c r="MEN31" s="545"/>
      <c r="MEO31" s="545"/>
      <c r="MEP31" s="545"/>
      <c r="MEQ31" s="545"/>
      <c r="MER31" s="545"/>
      <c r="MES31" s="545"/>
      <c r="MET31" s="545"/>
      <c r="MEU31" s="545"/>
      <c r="MEV31" s="545"/>
      <c r="MEW31" s="545"/>
      <c r="MEX31" s="545"/>
      <c r="MEY31" s="545"/>
      <c r="MEZ31" s="545"/>
      <c r="MFA31" s="545"/>
      <c r="MFB31" s="545"/>
      <c r="MFC31" s="545"/>
      <c r="MFD31" s="545"/>
      <c r="MFE31" s="545"/>
      <c r="MFF31" s="545"/>
      <c r="MFG31" s="545"/>
      <c r="MFH31" s="545"/>
      <c r="MFI31" s="545"/>
      <c r="MFJ31" s="545"/>
      <c r="MFK31" s="545"/>
      <c r="MFL31" s="545"/>
      <c r="MFM31" s="545"/>
      <c r="MFN31" s="545"/>
      <c r="MFO31" s="545"/>
      <c r="MFP31" s="545"/>
      <c r="MFQ31" s="545"/>
      <c r="MFR31" s="545"/>
      <c r="MFS31" s="545"/>
      <c r="MFT31" s="545"/>
      <c r="MFU31" s="545"/>
      <c r="MFV31" s="545"/>
      <c r="MFW31" s="545"/>
      <c r="MFX31" s="545"/>
      <c r="MFY31" s="545"/>
      <c r="MFZ31" s="545"/>
      <c r="MGA31" s="545"/>
      <c r="MGB31" s="545"/>
      <c r="MGC31" s="545"/>
      <c r="MGD31" s="545"/>
      <c r="MGE31" s="545"/>
      <c r="MGF31" s="545"/>
      <c r="MGG31" s="545"/>
      <c r="MGH31" s="545"/>
      <c r="MGI31" s="545"/>
      <c r="MGJ31" s="545"/>
      <c r="MGK31" s="545"/>
      <c r="MGL31" s="545"/>
      <c r="MGM31" s="545"/>
      <c r="MGN31" s="545"/>
      <c r="MGO31" s="545"/>
      <c r="MGP31" s="545"/>
      <c r="MGQ31" s="545"/>
      <c r="MGR31" s="545"/>
      <c r="MGS31" s="545"/>
      <c r="MGT31" s="545"/>
      <c r="MGU31" s="545"/>
      <c r="MGV31" s="545"/>
      <c r="MGW31" s="545"/>
      <c r="MGX31" s="545"/>
      <c r="MGY31" s="545"/>
      <c r="MGZ31" s="545"/>
      <c r="MHA31" s="545"/>
      <c r="MHB31" s="545"/>
      <c r="MHC31" s="545"/>
      <c r="MHD31" s="545"/>
      <c r="MHE31" s="545"/>
      <c r="MHF31" s="545"/>
      <c r="MHG31" s="545"/>
      <c r="MHH31" s="545"/>
      <c r="MHI31" s="545"/>
      <c r="MHJ31" s="545"/>
      <c r="MHK31" s="545"/>
      <c r="MHL31" s="545"/>
      <c r="MHM31" s="545"/>
      <c r="MHN31" s="545"/>
      <c r="MHO31" s="545"/>
      <c r="MHP31" s="545"/>
      <c r="MHQ31" s="545"/>
      <c r="MHR31" s="545"/>
      <c r="MHS31" s="545"/>
      <c r="MHT31" s="545"/>
      <c r="MHU31" s="545"/>
      <c r="MHV31" s="545"/>
      <c r="MHW31" s="545"/>
      <c r="MHX31" s="545"/>
      <c r="MHY31" s="545"/>
      <c r="MHZ31" s="545"/>
      <c r="MIA31" s="545"/>
      <c r="MIB31" s="545"/>
      <c r="MIC31" s="545"/>
      <c r="MID31" s="545"/>
      <c r="MIE31" s="545"/>
      <c r="MIF31" s="545"/>
      <c r="MIG31" s="545"/>
      <c r="MIH31" s="545"/>
      <c r="MII31" s="545"/>
      <c r="MIJ31" s="545"/>
      <c r="MIK31" s="545"/>
      <c r="MIL31" s="545"/>
      <c r="MIM31" s="545"/>
      <c r="MIN31" s="545"/>
      <c r="MIO31" s="545"/>
      <c r="MIP31" s="545"/>
      <c r="MIQ31" s="545"/>
      <c r="MIR31" s="545"/>
      <c r="MIS31" s="545"/>
      <c r="MIT31" s="545"/>
      <c r="MIU31" s="545"/>
      <c r="MIV31" s="545"/>
      <c r="MIW31" s="545"/>
      <c r="MIX31" s="545"/>
      <c r="MIY31" s="545"/>
      <c r="MIZ31" s="545"/>
      <c r="MJA31" s="545"/>
      <c r="MJB31" s="545"/>
      <c r="MJC31" s="545"/>
      <c r="MJD31" s="545"/>
      <c r="MJE31" s="545"/>
      <c r="MJF31" s="545"/>
      <c r="MJG31" s="545"/>
      <c r="MJH31" s="545"/>
      <c r="MJI31" s="545"/>
      <c r="MJJ31" s="545"/>
      <c r="MJK31" s="545"/>
      <c r="MJL31" s="545"/>
      <c r="MJM31" s="545"/>
      <c r="MJN31" s="545"/>
      <c r="MJO31" s="545"/>
      <c r="MJP31" s="545"/>
      <c r="MJQ31" s="545"/>
      <c r="MJR31" s="545"/>
      <c r="MJS31" s="545"/>
      <c r="MJT31" s="545"/>
      <c r="MJU31" s="545"/>
      <c r="MJV31" s="545"/>
      <c r="MJW31" s="545"/>
      <c r="MJX31" s="545"/>
      <c r="MJY31" s="545"/>
      <c r="MJZ31" s="545"/>
      <c r="MKA31" s="545"/>
      <c r="MKB31" s="545"/>
      <c r="MKC31" s="545"/>
      <c r="MKD31" s="545"/>
      <c r="MKE31" s="545"/>
      <c r="MKF31" s="545"/>
      <c r="MKG31" s="545"/>
      <c r="MKH31" s="545"/>
      <c r="MKI31" s="545"/>
      <c r="MKJ31" s="545"/>
      <c r="MKK31" s="545"/>
      <c r="MKL31" s="545"/>
      <c r="MKM31" s="545"/>
      <c r="MKN31" s="545"/>
      <c r="MKO31" s="545"/>
      <c r="MKP31" s="545"/>
      <c r="MKQ31" s="545"/>
      <c r="MKR31" s="545"/>
      <c r="MKS31" s="545"/>
      <c r="MKT31" s="545"/>
      <c r="MKU31" s="545"/>
      <c r="MKV31" s="545"/>
      <c r="MKW31" s="545"/>
      <c r="MKX31" s="545"/>
      <c r="MKY31" s="545"/>
      <c r="MKZ31" s="545"/>
      <c r="MLA31" s="545"/>
      <c r="MLB31" s="545"/>
      <c r="MLC31" s="545"/>
      <c r="MLD31" s="545"/>
      <c r="MLE31" s="545"/>
      <c r="MLF31" s="545"/>
      <c r="MLG31" s="545"/>
      <c r="MLH31" s="545"/>
      <c r="MLI31" s="545"/>
      <c r="MLJ31" s="545"/>
      <c r="MLK31" s="545"/>
      <c r="MLL31" s="545"/>
      <c r="MLM31" s="545"/>
      <c r="MLN31" s="545"/>
      <c r="MLO31" s="545"/>
      <c r="MLP31" s="545"/>
      <c r="MLQ31" s="545"/>
      <c r="MLR31" s="545"/>
      <c r="MLS31" s="545"/>
      <c r="MLT31" s="545"/>
      <c r="MLU31" s="545"/>
      <c r="MLV31" s="545"/>
      <c r="MLW31" s="545"/>
      <c r="MLX31" s="545"/>
      <c r="MLY31" s="545"/>
      <c r="MLZ31" s="545"/>
      <c r="MMA31" s="545"/>
      <c r="MMB31" s="545"/>
      <c r="MMC31" s="545"/>
      <c r="MMD31" s="545"/>
      <c r="MME31" s="545"/>
      <c r="MMF31" s="545"/>
      <c r="MMG31" s="545"/>
      <c r="MMH31" s="545"/>
      <c r="MMI31" s="545"/>
      <c r="MMJ31" s="545"/>
      <c r="MMK31" s="545"/>
      <c r="MML31" s="545"/>
      <c r="MMM31" s="545"/>
      <c r="MMN31" s="545"/>
      <c r="MMO31" s="545"/>
      <c r="MMP31" s="545"/>
      <c r="MMQ31" s="545"/>
      <c r="MMR31" s="545"/>
      <c r="MMS31" s="545"/>
      <c r="MMT31" s="545"/>
      <c r="MMU31" s="545"/>
      <c r="MMV31" s="545"/>
      <c r="MMW31" s="545"/>
      <c r="MMX31" s="545"/>
      <c r="MMY31" s="545"/>
      <c r="MMZ31" s="545"/>
      <c r="MNA31" s="545"/>
      <c r="MNB31" s="545"/>
      <c r="MNC31" s="545"/>
      <c r="MND31" s="545"/>
      <c r="MNE31" s="545"/>
      <c r="MNF31" s="545"/>
      <c r="MNG31" s="545"/>
      <c r="MNH31" s="545"/>
      <c r="MNI31" s="545"/>
      <c r="MNJ31" s="545"/>
      <c r="MNK31" s="545"/>
      <c r="MNL31" s="545"/>
      <c r="MNM31" s="545"/>
      <c r="MNN31" s="545"/>
      <c r="MNO31" s="545"/>
      <c r="MNP31" s="545"/>
      <c r="MNQ31" s="545"/>
      <c r="MNR31" s="545"/>
      <c r="MNS31" s="545"/>
      <c r="MNT31" s="545"/>
      <c r="MNU31" s="545"/>
      <c r="MNV31" s="545"/>
      <c r="MNW31" s="545"/>
      <c r="MNX31" s="545"/>
      <c r="MNY31" s="545"/>
      <c r="MNZ31" s="545"/>
      <c r="MOA31" s="545"/>
      <c r="MOB31" s="545"/>
      <c r="MOC31" s="545"/>
      <c r="MOD31" s="545"/>
      <c r="MOE31" s="545"/>
      <c r="MOF31" s="545"/>
      <c r="MOG31" s="545"/>
      <c r="MOH31" s="545"/>
      <c r="MOI31" s="545"/>
      <c r="MOJ31" s="545"/>
      <c r="MOK31" s="545"/>
      <c r="MOL31" s="545"/>
      <c r="MOM31" s="545"/>
      <c r="MON31" s="545"/>
      <c r="MOO31" s="545"/>
      <c r="MOP31" s="545"/>
      <c r="MOQ31" s="545"/>
      <c r="MOR31" s="545"/>
      <c r="MOS31" s="545"/>
      <c r="MOT31" s="545"/>
      <c r="MOU31" s="545"/>
      <c r="MOV31" s="545"/>
      <c r="MOW31" s="545"/>
      <c r="MOX31" s="545"/>
      <c r="MOY31" s="545"/>
      <c r="MOZ31" s="545"/>
      <c r="MPA31" s="545"/>
      <c r="MPB31" s="545"/>
      <c r="MPC31" s="545"/>
      <c r="MPD31" s="545"/>
      <c r="MPE31" s="545"/>
      <c r="MPF31" s="545"/>
      <c r="MPG31" s="545"/>
      <c r="MPH31" s="545"/>
      <c r="MPI31" s="545"/>
      <c r="MPJ31" s="545"/>
      <c r="MPK31" s="545"/>
      <c r="MPL31" s="545"/>
      <c r="MPM31" s="545"/>
      <c r="MPN31" s="545"/>
      <c r="MPO31" s="545"/>
      <c r="MPP31" s="545"/>
      <c r="MPQ31" s="545"/>
      <c r="MPR31" s="545"/>
      <c r="MPS31" s="545"/>
      <c r="MPT31" s="545"/>
      <c r="MPU31" s="545"/>
      <c r="MPV31" s="545"/>
      <c r="MPW31" s="545"/>
      <c r="MPX31" s="545"/>
      <c r="MPY31" s="545"/>
      <c r="MPZ31" s="545"/>
      <c r="MQA31" s="545"/>
      <c r="MQB31" s="545"/>
      <c r="MQC31" s="545"/>
      <c r="MQD31" s="545"/>
      <c r="MQE31" s="545"/>
      <c r="MQF31" s="545"/>
      <c r="MQG31" s="545"/>
      <c r="MQH31" s="545"/>
      <c r="MQI31" s="545"/>
      <c r="MQJ31" s="545"/>
      <c r="MQK31" s="545"/>
      <c r="MQL31" s="545"/>
      <c r="MQM31" s="545"/>
      <c r="MQN31" s="545"/>
      <c r="MQO31" s="545"/>
      <c r="MQP31" s="545"/>
      <c r="MQQ31" s="545"/>
      <c r="MQR31" s="545"/>
      <c r="MQS31" s="545"/>
      <c r="MQT31" s="545"/>
      <c r="MQU31" s="545"/>
      <c r="MQV31" s="545"/>
      <c r="MQW31" s="545"/>
      <c r="MQX31" s="545"/>
      <c r="MQY31" s="545"/>
      <c r="MQZ31" s="545"/>
      <c r="MRA31" s="545"/>
      <c r="MRB31" s="545"/>
      <c r="MRC31" s="545"/>
      <c r="MRD31" s="545"/>
      <c r="MRE31" s="545"/>
      <c r="MRF31" s="545"/>
      <c r="MRG31" s="545"/>
      <c r="MRH31" s="545"/>
      <c r="MRI31" s="545"/>
      <c r="MRJ31" s="545"/>
      <c r="MRK31" s="545"/>
      <c r="MRL31" s="545"/>
      <c r="MRM31" s="545"/>
      <c r="MRN31" s="545"/>
      <c r="MRO31" s="545"/>
      <c r="MRP31" s="545"/>
      <c r="MRQ31" s="545"/>
      <c r="MRR31" s="545"/>
      <c r="MRS31" s="545"/>
      <c r="MRT31" s="545"/>
      <c r="MRU31" s="545"/>
      <c r="MRV31" s="545"/>
      <c r="MRW31" s="545"/>
      <c r="MRX31" s="545"/>
      <c r="MRY31" s="545"/>
      <c r="MRZ31" s="545"/>
      <c r="MSA31" s="545"/>
      <c r="MSB31" s="545"/>
      <c r="MSC31" s="545"/>
      <c r="MSD31" s="545"/>
      <c r="MSE31" s="545"/>
      <c r="MSF31" s="545"/>
      <c r="MSG31" s="545"/>
      <c r="MSH31" s="545"/>
      <c r="MSI31" s="545"/>
      <c r="MSJ31" s="545"/>
      <c r="MSK31" s="545"/>
      <c r="MSL31" s="545"/>
      <c r="MSM31" s="545"/>
      <c r="MSN31" s="545"/>
      <c r="MSO31" s="545"/>
      <c r="MSP31" s="545"/>
      <c r="MSQ31" s="545"/>
      <c r="MSR31" s="545"/>
      <c r="MSS31" s="545"/>
      <c r="MST31" s="545"/>
      <c r="MSU31" s="545"/>
      <c r="MSV31" s="545"/>
      <c r="MSW31" s="545"/>
      <c r="MSX31" s="545"/>
      <c r="MSY31" s="545"/>
      <c r="MSZ31" s="545"/>
      <c r="MTA31" s="545"/>
      <c r="MTB31" s="545"/>
      <c r="MTC31" s="545"/>
      <c r="MTD31" s="545"/>
      <c r="MTE31" s="545"/>
      <c r="MTF31" s="545"/>
      <c r="MTG31" s="545"/>
      <c r="MTH31" s="545"/>
      <c r="MTI31" s="545"/>
      <c r="MTJ31" s="545"/>
      <c r="MTK31" s="545"/>
      <c r="MTL31" s="545"/>
      <c r="MTM31" s="545"/>
      <c r="MTN31" s="545"/>
      <c r="MTO31" s="545"/>
      <c r="MTP31" s="545"/>
      <c r="MTQ31" s="545"/>
      <c r="MTR31" s="545"/>
      <c r="MTS31" s="545"/>
      <c r="MTT31" s="545"/>
      <c r="MTU31" s="545"/>
      <c r="MTV31" s="545"/>
      <c r="MTW31" s="545"/>
      <c r="MTX31" s="545"/>
      <c r="MTY31" s="545"/>
      <c r="MTZ31" s="545"/>
      <c r="MUA31" s="545"/>
      <c r="MUB31" s="545"/>
      <c r="MUC31" s="545"/>
      <c r="MUD31" s="545"/>
      <c r="MUE31" s="545"/>
      <c r="MUF31" s="545"/>
      <c r="MUG31" s="545"/>
      <c r="MUH31" s="545"/>
      <c r="MUI31" s="545"/>
      <c r="MUJ31" s="545"/>
      <c r="MUK31" s="545"/>
      <c r="MUL31" s="545"/>
      <c r="MUM31" s="545"/>
      <c r="MUN31" s="545"/>
      <c r="MUO31" s="545"/>
      <c r="MUP31" s="545"/>
      <c r="MUQ31" s="545"/>
      <c r="MUR31" s="545"/>
      <c r="MUS31" s="545"/>
      <c r="MUT31" s="545"/>
      <c r="MUU31" s="545"/>
      <c r="MUV31" s="545"/>
      <c r="MUW31" s="545"/>
      <c r="MUX31" s="545"/>
      <c r="MUY31" s="545"/>
      <c r="MUZ31" s="545"/>
      <c r="MVA31" s="545"/>
      <c r="MVB31" s="545"/>
      <c r="MVC31" s="545"/>
      <c r="MVD31" s="545"/>
      <c r="MVE31" s="545"/>
      <c r="MVF31" s="545"/>
      <c r="MVG31" s="545"/>
      <c r="MVH31" s="545"/>
      <c r="MVI31" s="545"/>
      <c r="MVJ31" s="545"/>
      <c r="MVK31" s="545"/>
      <c r="MVL31" s="545"/>
      <c r="MVM31" s="545"/>
      <c r="MVN31" s="545"/>
      <c r="MVO31" s="545"/>
      <c r="MVP31" s="545"/>
      <c r="MVQ31" s="545"/>
      <c r="MVR31" s="545"/>
      <c r="MVS31" s="545"/>
      <c r="MVT31" s="545"/>
      <c r="MVU31" s="545"/>
      <c r="MVV31" s="545"/>
      <c r="MVW31" s="545"/>
      <c r="MVX31" s="545"/>
      <c r="MVY31" s="545"/>
      <c r="MVZ31" s="545"/>
      <c r="MWA31" s="545"/>
      <c r="MWB31" s="545"/>
      <c r="MWC31" s="545"/>
      <c r="MWD31" s="545"/>
      <c r="MWE31" s="545"/>
      <c r="MWF31" s="545"/>
      <c r="MWG31" s="545"/>
      <c r="MWH31" s="545"/>
      <c r="MWI31" s="545"/>
      <c r="MWJ31" s="545"/>
      <c r="MWK31" s="545"/>
      <c r="MWL31" s="545"/>
      <c r="MWM31" s="545"/>
      <c r="MWN31" s="545"/>
      <c r="MWO31" s="545"/>
      <c r="MWP31" s="545"/>
      <c r="MWQ31" s="545"/>
      <c r="MWR31" s="545"/>
      <c r="MWS31" s="545"/>
      <c r="MWT31" s="545"/>
      <c r="MWU31" s="545"/>
      <c r="MWV31" s="545"/>
      <c r="MWW31" s="545"/>
      <c r="MWX31" s="545"/>
      <c r="MWY31" s="545"/>
      <c r="MWZ31" s="545"/>
      <c r="MXA31" s="545"/>
      <c r="MXB31" s="545"/>
      <c r="MXC31" s="545"/>
      <c r="MXD31" s="545"/>
      <c r="MXE31" s="545"/>
      <c r="MXF31" s="545"/>
      <c r="MXG31" s="545"/>
      <c r="MXH31" s="545"/>
      <c r="MXI31" s="545"/>
      <c r="MXJ31" s="545"/>
      <c r="MXK31" s="545"/>
      <c r="MXL31" s="545"/>
      <c r="MXM31" s="545"/>
      <c r="MXN31" s="545"/>
      <c r="MXO31" s="545"/>
      <c r="MXP31" s="545"/>
      <c r="MXQ31" s="545"/>
      <c r="MXR31" s="545"/>
      <c r="MXS31" s="545"/>
      <c r="MXT31" s="545"/>
      <c r="MXU31" s="545"/>
      <c r="MXV31" s="545"/>
      <c r="MXW31" s="545"/>
      <c r="MXX31" s="545"/>
      <c r="MXY31" s="545"/>
      <c r="MXZ31" s="545"/>
      <c r="MYA31" s="545"/>
      <c r="MYB31" s="545"/>
      <c r="MYC31" s="545"/>
      <c r="MYD31" s="545"/>
      <c r="MYE31" s="545"/>
      <c r="MYF31" s="545"/>
      <c r="MYG31" s="545"/>
      <c r="MYH31" s="545"/>
      <c r="MYI31" s="545"/>
      <c r="MYJ31" s="545"/>
      <c r="MYK31" s="545"/>
      <c r="MYL31" s="545"/>
      <c r="MYM31" s="545"/>
      <c r="MYN31" s="545"/>
      <c r="MYO31" s="545"/>
      <c r="MYP31" s="545"/>
      <c r="MYQ31" s="545"/>
      <c r="MYR31" s="545"/>
      <c r="MYS31" s="545"/>
      <c r="MYT31" s="545"/>
      <c r="MYU31" s="545"/>
      <c r="MYV31" s="545"/>
      <c r="MYW31" s="545"/>
      <c r="MYX31" s="545"/>
      <c r="MYY31" s="545"/>
      <c r="MYZ31" s="545"/>
      <c r="MZA31" s="545"/>
      <c r="MZB31" s="545"/>
      <c r="MZC31" s="545"/>
      <c r="MZD31" s="545"/>
      <c r="MZE31" s="545"/>
      <c r="MZF31" s="545"/>
      <c r="MZG31" s="545"/>
      <c r="MZH31" s="545"/>
      <c r="MZI31" s="545"/>
      <c r="MZJ31" s="545"/>
      <c r="MZK31" s="545"/>
      <c r="MZL31" s="545"/>
      <c r="MZM31" s="545"/>
      <c r="MZN31" s="545"/>
      <c r="MZO31" s="545"/>
      <c r="MZP31" s="545"/>
      <c r="MZQ31" s="545"/>
      <c r="MZR31" s="545"/>
      <c r="MZS31" s="545"/>
      <c r="MZT31" s="545"/>
      <c r="MZU31" s="545"/>
      <c r="MZV31" s="545"/>
      <c r="MZW31" s="545"/>
      <c r="MZX31" s="545"/>
      <c r="MZY31" s="545"/>
      <c r="MZZ31" s="545"/>
      <c r="NAA31" s="545"/>
      <c r="NAB31" s="545"/>
      <c r="NAC31" s="545"/>
      <c r="NAD31" s="545"/>
      <c r="NAE31" s="545"/>
      <c r="NAF31" s="545"/>
      <c r="NAG31" s="545"/>
      <c r="NAH31" s="545"/>
      <c r="NAI31" s="545"/>
      <c r="NAJ31" s="545"/>
      <c r="NAK31" s="545"/>
      <c r="NAL31" s="545"/>
      <c r="NAM31" s="545"/>
      <c r="NAN31" s="545"/>
      <c r="NAO31" s="545"/>
      <c r="NAP31" s="545"/>
      <c r="NAQ31" s="545"/>
      <c r="NAR31" s="545"/>
      <c r="NAS31" s="545"/>
      <c r="NAT31" s="545"/>
      <c r="NAU31" s="545"/>
      <c r="NAV31" s="545"/>
      <c r="NAW31" s="545"/>
      <c r="NAX31" s="545"/>
      <c r="NAY31" s="545"/>
      <c r="NAZ31" s="545"/>
      <c r="NBA31" s="545"/>
      <c r="NBB31" s="545"/>
      <c r="NBC31" s="545"/>
      <c r="NBD31" s="545"/>
      <c r="NBE31" s="545"/>
      <c r="NBF31" s="545"/>
      <c r="NBG31" s="545"/>
      <c r="NBH31" s="545"/>
      <c r="NBI31" s="545"/>
      <c r="NBJ31" s="545"/>
      <c r="NBK31" s="545"/>
      <c r="NBL31" s="545"/>
      <c r="NBM31" s="545"/>
      <c r="NBN31" s="545"/>
      <c r="NBO31" s="545"/>
      <c r="NBP31" s="545"/>
      <c r="NBQ31" s="545"/>
      <c r="NBR31" s="545"/>
      <c r="NBS31" s="545"/>
      <c r="NBT31" s="545"/>
      <c r="NBU31" s="545"/>
      <c r="NBV31" s="545"/>
      <c r="NBW31" s="545"/>
      <c r="NBX31" s="545"/>
      <c r="NBY31" s="545"/>
      <c r="NBZ31" s="545"/>
      <c r="NCA31" s="545"/>
      <c r="NCB31" s="545"/>
      <c r="NCC31" s="545"/>
      <c r="NCD31" s="545"/>
      <c r="NCE31" s="545"/>
      <c r="NCF31" s="545"/>
      <c r="NCG31" s="545"/>
      <c r="NCH31" s="545"/>
      <c r="NCI31" s="545"/>
      <c r="NCJ31" s="545"/>
      <c r="NCK31" s="545"/>
      <c r="NCL31" s="545"/>
      <c r="NCM31" s="545"/>
      <c r="NCN31" s="545"/>
      <c r="NCO31" s="545"/>
      <c r="NCP31" s="545"/>
      <c r="NCQ31" s="545"/>
      <c r="NCR31" s="545"/>
      <c r="NCS31" s="545"/>
      <c r="NCT31" s="545"/>
      <c r="NCU31" s="545"/>
      <c r="NCV31" s="545"/>
      <c r="NCW31" s="545"/>
      <c r="NCX31" s="545"/>
      <c r="NCY31" s="545"/>
      <c r="NCZ31" s="545"/>
      <c r="NDA31" s="545"/>
      <c r="NDB31" s="545"/>
      <c r="NDC31" s="545"/>
      <c r="NDD31" s="545"/>
      <c r="NDE31" s="545"/>
      <c r="NDF31" s="545"/>
      <c r="NDG31" s="545"/>
      <c r="NDH31" s="545"/>
      <c r="NDI31" s="545"/>
      <c r="NDJ31" s="545"/>
      <c r="NDK31" s="545"/>
      <c r="NDL31" s="545"/>
      <c r="NDM31" s="545"/>
      <c r="NDN31" s="545"/>
      <c r="NDO31" s="545"/>
      <c r="NDP31" s="545"/>
      <c r="NDQ31" s="545"/>
      <c r="NDR31" s="545"/>
      <c r="NDS31" s="545"/>
      <c r="NDT31" s="545"/>
      <c r="NDU31" s="545"/>
      <c r="NDV31" s="545"/>
      <c r="NDW31" s="545"/>
      <c r="NDX31" s="545"/>
      <c r="NDY31" s="545"/>
      <c r="NDZ31" s="545"/>
      <c r="NEA31" s="545"/>
      <c r="NEB31" s="545"/>
      <c r="NEC31" s="545"/>
      <c r="NED31" s="545"/>
      <c r="NEE31" s="545"/>
      <c r="NEF31" s="545"/>
      <c r="NEG31" s="545"/>
      <c r="NEH31" s="545"/>
      <c r="NEI31" s="545"/>
      <c r="NEJ31" s="545"/>
      <c r="NEK31" s="545"/>
      <c r="NEL31" s="545"/>
      <c r="NEM31" s="545"/>
      <c r="NEN31" s="545"/>
      <c r="NEO31" s="545"/>
      <c r="NEP31" s="545"/>
      <c r="NEQ31" s="545"/>
      <c r="NER31" s="545"/>
      <c r="NES31" s="545"/>
      <c r="NET31" s="545"/>
      <c r="NEU31" s="545"/>
      <c r="NEV31" s="545"/>
      <c r="NEW31" s="545"/>
      <c r="NEX31" s="545"/>
      <c r="NEY31" s="545"/>
      <c r="NEZ31" s="545"/>
      <c r="NFA31" s="545"/>
      <c r="NFB31" s="545"/>
      <c r="NFC31" s="545"/>
      <c r="NFD31" s="545"/>
      <c r="NFE31" s="545"/>
      <c r="NFF31" s="545"/>
      <c r="NFG31" s="545"/>
      <c r="NFH31" s="545"/>
      <c r="NFI31" s="545"/>
      <c r="NFJ31" s="545"/>
      <c r="NFK31" s="545"/>
      <c r="NFL31" s="545"/>
      <c r="NFM31" s="545"/>
      <c r="NFN31" s="545"/>
      <c r="NFO31" s="545"/>
      <c r="NFP31" s="545"/>
      <c r="NFQ31" s="545"/>
      <c r="NFR31" s="545"/>
      <c r="NFS31" s="545"/>
      <c r="NFT31" s="545"/>
      <c r="NFU31" s="545"/>
      <c r="NFV31" s="545"/>
      <c r="NFW31" s="545"/>
      <c r="NFX31" s="545"/>
      <c r="NFY31" s="545"/>
      <c r="NFZ31" s="545"/>
      <c r="NGA31" s="545"/>
      <c r="NGB31" s="545"/>
      <c r="NGC31" s="545"/>
      <c r="NGD31" s="545"/>
      <c r="NGE31" s="545"/>
      <c r="NGF31" s="545"/>
      <c r="NGG31" s="545"/>
      <c r="NGH31" s="545"/>
      <c r="NGI31" s="545"/>
      <c r="NGJ31" s="545"/>
      <c r="NGK31" s="545"/>
      <c r="NGL31" s="545"/>
      <c r="NGM31" s="545"/>
      <c r="NGN31" s="545"/>
      <c r="NGO31" s="545"/>
      <c r="NGP31" s="545"/>
      <c r="NGQ31" s="545"/>
      <c r="NGR31" s="545"/>
      <c r="NGS31" s="545"/>
      <c r="NGT31" s="545"/>
      <c r="NGU31" s="545"/>
      <c r="NGV31" s="545"/>
      <c r="NGW31" s="545"/>
      <c r="NGX31" s="545"/>
      <c r="NGY31" s="545"/>
      <c r="NGZ31" s="545"/>
      <c r="NHA31" s="545"/>
      <c r="NHB31" s="545"/>
      <c r="NHC31" s="545"/>
      <c r="NHD31" s="545"/>
      <c r="NHE31" s="545"/>
      <c r="NHF31" s="545"/>
      <c r="NHG31" s="545"/>
      <c r="NHH31" s="545"/>
      <c r="NHI31" s="545"/>
      <c r="NHJ31" s="545"/>
      <c r="NHK31" s="545"/>
      <c r="NHL31" s="545"/>
      <c r="NHM31" s="545"/>
      <c r="NHN31" s="545"/>
      <c r="NHO31" s="545"/>
      <c r="NHP31" s="545"/>
      <c r="NHQ31" s="545"/>
      <c r="NHR31" s="545"/>
      <c r="NHS31" s="545"/>
      <c r="NHT31" s="545"/>
      <c r="NHU31" s="545"/>
      <c r="NHV31" s="545"/>
      <c r="NHW31" s="545"/>
      <c r="NHX31" s="545"/>
      <c r="NHY31" s="545"/>
      <c r="NHZ31" s="545"/>
      <c r="NIA31" s="545"/>
      <c r="NIB31" s="545"/>
      <c r="NIC31" s="545"/>
      <c r="NID31" s="545"/>
      <c r="NIE31" s="545"/>
      <c r="NIF31" s="545"/>
      <c r="NIG31" s="545"/>
      <c r="NIH31" s="545"/>
      <c r="NII31" s="545"/>
      <c r="NIJ31" s="545"/>
      <c r="NIK31" s="545"/>
      <c r="NIL31" s="545"/>
      <c r="NIM31" s="545"/>
      <c r="NIN31" s="545"/>
      <c r="NIO31" s="545"/>
      <c r="NIP31" s="545"/>
      <c r="NIQ31" s="545"/>
      <c r="NIR31" s="545"/>
      <c r="NIS31" s="545"/>
      <c r="NIT31" s="545"/>
      <c r="NIU31" s="545"/>
      <c r="NIV31" s="545"/>
      <c r="NIW31" s="545"/>
      <c r="NIX31" s="545"/>
      <c r="NIY31" s="545"/>
      <c r="NIZ31" s="545"/>
      <c r="NJA31" s="545"/>
      <c r="NJB31" s="545"/>
      <c r="NJC31" s="545"/>
      <c r="NJD31" s="545"/>
      <c r="NJE31" s="545"/>
      <c r="NJF31" s="545"/>
      <c r="NJG31" s="545"/>
      <c r="NJH31" s="545"/>
      <c r="NJI31" s="545"/>
      <c r="NJJ31" s="545"/>
      <c r="NJK31" s="545"/>
      <c r="NJL31" s="545"/>
      <c r="NJM31" s="545"/>
      <c r="NJN31" s="545"/>
      <c r="NJO31" s="545"/>
      <c r="NJP31" s="545"/>
      <c r="NJQ31" s="545"/>
      <c r="NJR31" s="545"/>
      <c r="NJS31" s="545"/>
      <c r="NJT31" s="545"/>
      <c r="NJU31" s="545"/>
      <c r="NJV31" s="545"/>
      <c r="NJW31" s="545"/>
      <c r="NJX31" s="545"/>
      <c r="NJY31" s="545"/>
      <c r="NJZ31" s="545"/>
      <c r="NKA31" s="545"/>
      <c r="NKB31" s="545"/>
      <c r="NKC31" s="545"/>
      <c r="NKD31" s="545"/>
      <c r="NKE31" s="545"/>
      <c r="NKF31" s="545"/>
      <c r="NKG31" s="545"/>
      <c r="NKH31" s="545"/>
      <c r="NKI31" s="545"/>
      <c r="NKJ31" s="545"/>
      <c r="NKK31" s="545"/>
      <c r="NKL31" s="545"/>
      <c r="NKM31" s="545"/>
      <c r="NKN31" s="545"/>
      <c r="NKO31" s="545"/>
      <c r="NKP31" s="545"/>
      <c r="NKQ31" s="545"/>
      <c r="NKR31" s="545"/>
      <c r="NKS31" s="545"/>
      <c r="NKT31" s="545"/>
      <c r="NKU31" s="545"/>
      <c r="NKV31" s="545"/>
      <c r="NKW31" s="545"/>
      <c r="NKX31" s="545"/>
      <c r="NKY31" s="545"/>
      <c r="NKZ31" s="545"/>
      <c r="NLA31" s="545"/>
      <c r="NLB31" s="545"/>
      <c r="NLC31" s="545"/>
      <c r="NLD31" s="545"/>
      <c r="NLE31" s="545"/>
      <c r="NLF31" s="545"/>
      <c r="NLG31" s="545"/>
      <c r="NLH31" s="545"/>
      <c r="NLI31" s="545"/>
      <c r="NLJ31" s="545"/>
      <c r="NLK31" s="545"/>
      <c r="NLL31" s="545"/>
      <c r="NLM31" s="545"/>
      <c r="NLN31" s="545"/>
      <c r="NLO31" s="545"/>
      <c r="NLP31" s="545"/>
      <c r="NLQ31" s="545"/>
      <c r="NLR31" s="545"/>
      <c r="NLS31" s="545"/>
      <c r="NLT31" s="545"/>
      <c r="NLU31" s="545"/>
      <c r="NLV31" s="545"/>
      <c r="NLW31" s="545"/>
      <c r="NLX31" s="545"/>
      <c r="NLY31" s="545"/>
      <c r="NLZ31" s="545"/>
      <c r="NMA31" s="545"/>
      <c r="NMB31" s="545"/>
      <c r="NMC31" s="545"/>
      <c r="NMD31" s="545"/>
      <c r="NME31" s="545"/>
      <c r="NMF31" s="545"/>
      <c r="NMG31" s="545"/>
      <c r="NMH31" s="545"/>
      <c r="NMI31" s="545"/>
      <c r="NMJ31" s="545"/>
      <c r="NMK31" s="545"/>
      <c r="NML31" s="545"/>
      <c r="NMM31" s="545"/>
      <c r="NMN31" s="545"/>
      <c r="NMO31" s="545"/>
      <c r="NMP31" s="545"/>
      <c r="NMQ31" s="545"/>
      <c r="NMR31" s="545"/>
      <c r="NMS31" s="545"/>
      <c r="NMT31" s="545"/>
      <c r="NMU31" s="545"/>
      <c r="NMV31" s="545"/>
      <c r="NMW31" s="545"/>
      <c r="NMX31" s="545"/>
      <c r="NMY31" s="545"/>
      <c r="NMZ31" s="545"/>
      <c r="NNA31" s="545"/>
      <c r="NNB31" s="545"/>
      <c r="NNC31" s="545"/>
      <c r="NND31" s="545"/>
      <c r="NNE31" s="545"/>
      <c r="NNF31" s="545"/>
      <c r="NNG31" s="545"/>
      <c r="NNH31" s="545"/>
      <c r="NNI31" s="545"/>
      <c r="NNJ31" s="545"/>
      <c r="NNK31" s="545"/>
      <c r="NNL31" s="545"/>
      <c r="NNM31" s="545"/>
      <c r="NNN31" s="545"/>
      <c r="NNO31" s="545"/>
      <c r="NNP31" s="545"/>
      <c r="NNQ31" s="545"/>
      <c r="NNR31" s="545"/>
      <c r="NNS31" s="545"/>
      <c r="NNT31" s="545"/>
      <c r="NNU31" s="545"/>
      <c r="NNV31" s="545"/>
      <c r="NNW31" s="545"/>
      <c r="NNX31" s="545"/>
      <c r="NNY31" s="545"/>
      <c r="NNZ31" s="545"/>
      <c r="NOA31" s="545"/>
      <c r="NOB31" s="545"/>
      <c r="NOC31" s="545"/>
      <c r="NOD31" s="545"/>
      <c r="NOE31" s="545"/>
      <c r="NOF31" s="545"/>
      <c r="NOG31" s="545"/>
      <c r="NOH31" s="545"/>
      <c r="NOI31" s="545"/>
      <c r="NOJ31" s="545"/>
      <c r="NOK31" s="545"/>
      <c r="NOL31" s="545"/>
      <c r="NOM31" s="545"/>
      <c r="NON31" s="545"/>
      <c r="NOO31" s="545"/>
      <c r="NOP31" s="545"/>
      <c r="NOQ31" s="545"/>
      <c r="NOR31" s="545"/>
      <c r="NOS31" s="545"/>
      <c r="NOT31" s="545"/>
      <c r="NOU31" s="545"/>
      <c r="NOV31" s="545"/>
      <c r="NOW31" s="545"/>
      <c r="NOX31" s="545"/>
      <c r="NOY31" s="545"/>
      <c r="NOZ31" s="545"/>
      <c r="NPA31" s="545"/>
      <c r="NPB31" s="545"/>
      <c r="NPC31" s="545"/>
      <c r="NPD31" s="545"/>
      <c r="NPE31" s="545"/>
      <c r="NPF31" s="545"/>
      <c r="NPG31" s="545"/>
      <c r="NPH31" s="545"/>
      <c r="NPI31" s="545"/>
      <c r="NPJ31" s="545"/>
      <c r="NPK31" s="545"/>
      <c r="NPL31" s="545"/>
      <c r="NPM31" s="545"/>
      <c r="NPN31" s="545"/>
      <c r="NPO31" s="545"/>
      <c r="NPP31" s="545"/>
      <c r="NPQ31" s="545"/>
      <c r="NPR31" s="545"/>
      <c r="NPS31" s="545"/>
      <c r="NPT31" s="545"/>
      <c r="NPU31" s="545"/>
      <c r="NPV31" s="545"/>
      <c r="NPW31" s="545"/>
      <c r="NPX31" s="545"/>
      <c r="NPY31" s="545"/>
      <c r="NPZ31" s="545"/>
      <c r="NQA31" s="545"/>
      <c r="NQB31" s="545"/>
      <c r="NQC31" s="545"/>
      <c r="NQD31" s="545"/>
      <c r="NQE31" s="545"/>
      <c r="NQF31" s="545"/>
      <c r="NQG31" s="545"/>
      <c r="NQH31" s="545"/>
      <c r="NQI31" s="545"/>
      <c r="NQJ31" s="545"/>
      <c r="NQK31" s="545"/>
      <c r="NQL31" s="545"/>
      <c r="NQM31" s="545"/>
      <c r="NQN31" s="545"/>
      <c r="NQO31" s="545"/>
      <c r="NQP31" s="545"/>
      <c r="NQQ31" s="545"/>
      <c r="NQR31" s="545"/>
      <c r="NQS31" s="545"/>
      <c r="NQT31" s="545"/>
      <c r="NQU31" s="545"/>
      <c r="NQV31" s="545"/>
      <c r="NQW31" s="545"/>
      <c r="NQX31" s="545"/>
      <c r="NQY31" s="545"/>
      <c r="NQZ31" s="545"/>
      <c r="NRA31" s="545"/>
      <c r="NRB31" s="545"/>
      <c r="NRC31" s="545"/>
      <c r="NRD31" s="545"/>
      <c r="NRE31" s="545"/>
      <c r="NRF31" s="545"/>
      <c r="NRG31" s="545"/>
      <c r="NRH31" s="545"/>
      <c r="NRI31" s="545"/>
      <c r="NRJ31" s="545"/>
      <c r="NRK31" s="545"/>
      <c r="NRL31" s="545"/>
      <c r="NRM31" s="545"/>
      <c r="NRN31" s="545"/>
      <c r="NRO31" s="545"/>
      <c r="NRP31" s="545"/>
      <c r="NRQ31" s="545"/>
      <c r="NRR31" s="545"/>
      <c r="NRS31" s="545"/>
      <c r="NRT31" s="545"/>
      <c r="NRU31" s="545"/>
      <c r="NRV31" s="545"/>
      <c r="NRW31" s="545"/>
      <c r="NRX31" s="545"/>
      <c r="NRY31" s="545"/>
      <c r="NRZ31" s="545"/>
      <c r="NSA31" s="545"/>
      <c r="NSB31" s="545"/>
      <c r="NSC31" s="545"/>
      <c r="NSD31" s="545"/>
      <c r="NSE31" s="545"/>
      <c r="NSF31" s="545"/>
      <c r="NSG31" s="545"/>
      <c r="NSH31" s="545"/>
      <c r="NSI31" s="545"/>
      <c r="NSJ31" s="545"/>
      <c r="NSK31" s="545"/>
      <c r="NSL31" s="545"/>
      <c r="NSM31" s="545"/>
      <c r="NSN31" s="545"/>
      <c r="NSO31" s="545"/>
      <c r="NSP31" s="545"/>
      <c r="NSQ31" s="545"/>
      <c r="NSR31" s="545"/>
      <c r="NSS31" s="545"/>
      <c r="NST31" s="545"/>
      <c r="NSU31" s="545"/>
      <c r="NSV31" s="545"/>
      <c r="NSW31" s="545"/>
      <c r="NSX31" s="545"/>
      <c r="NSY31" s="545"/>
      <c r="NSZ31" s="545"/>
      <c r="NTA31" s="545"/>
      <c r="NTB31" s="545"/>
      <c r="NTC31" s="545"/>
      <c r="NTD31" s="545"/>
      <c r="NTE31" s="545"/>
      <c r="NTF31" s="545"/>
      <c r="NTG31" s="545"/>
      <c r="NTH31" s="545"/>
      <c r="NTI31" s="545"/>
      <c r="NTJ31" s="545"/>
      <c r="NTK31" s="545"/>
      <c r="NTL31" s="545"/>
      <c r="NTM31" s="545"/>
      <c r="NTN31" s="545"/>
      <c r="NTO31" s="545"/>
      <c r="NTP31" s="545"/>
      <c r="NTQ31" s="545"/>
      <c r="NTR31" s="545"/>
      <c r="NTS31" s="545"/>
      <c r="NTT31" s="545"/>
      <c r="NTU31" s="545"/>
      <c r="NTV31" s="545"/>
      <c r="NTW31" s="545"/>
      <c r="NTX31" s="545"/>
      <c r="NTY31" s="545"/>
      <c r="NTZ31" s="545"/>
      <c r="NUA31" s="545"/>
      <c r="NUB31" s="545"/>
      <c r="NUC31" s="545"/>
      <c r="NUD31" s="545"/>
      <c r="NUE31" s="545"/>
      <c r="NUF31" s="545"/>
      <c r="NUG31" s="545"/>
      <c r="NUH31" s="545"/>
      <c r="NUI31" s="545"/>
      <c r="NUJ31" s="545"/>
      <c r="NUK31" s="545"/>
      <c r="NUL31" s="545"/>
      <c r="NUM31" s="545"/>
      <c r="NUN31" s="545"/>
      <c r="NUO31" s="545"/>
      <c r="NUP31" s="545"/>
      <c r="NUQ31" s="545"/>
      <c r="NUR31" s="545"/>
      <c r="NUS31" s="545"/>
      <c r="NUT31" s="545"/>
      <c r="NUU31" s="545"/>
      <c r="NUV31" s="545"/>
      <c r="NUW31" s="545"/>
      <c r="NUX31" s="545"/>
      <c r="NUY31" s="545"/>
      <c r="NUZ31" s="545"/>
      <c r="NVA31" s="545"/>
      <c r="NVB31" s="545"/>
      <c r="NVC31" s="545"/>
      <c r="NVD31" s="545"/>
      <c r="NVE31" s="545"/>
      <c r="NVF31" s="545"/>
      <c r="NVG31" s="545"/>
      <c r="NVH31" s="545"/>
      <c r="NVI31" s="545"/>
      <c r="NVJ31" s="545"/>
      <c r="NVK31" s="545"/>
      <c r="NVL31" s="545"/>
      <c r="NVM31" s="545"/>
      <c r="NVN31" s="545"/>
      <c r="NVO31" s="545"/>
      <c r="NVP31" s="545"/>
      <c r="NVQ31" s="545"/>
      <c r="NVR31" s="545"/>
      <c r="NVS31" s="545"/>
      <c r="NVT31" s="545"/>
      <c r="NVU31" s="545"/>
      <c r="NVV31" s="545"/>
      <c r="NVW31" s="545"/>
      <c r="NVX31" s="545"/>
      <c r="NVY31" s="545"/>
      <c r="NVZ31" s="545"/>
      <c r="NWA31" s="545"/>
      <c r="NWB31" s="545"/>
      <c r="NWC31" s="545"/>
      <c r="NWD31" s="545"/>
      <c r="NWE31" s="545"/>
      <c r="NWF31" s="545"/>
      <c r="NWG31" s="545"/>
      <c r="NWH31" s="545"/>
      <c r="NWI31" s="545"/>
      <c r="NWJ31" s="545"/>
      <c r="NWK31" s="545"/>
      <c r="NWL31" s="545"/>
      <c r="NWM31" s="545"/>
      <c r="NWN31" s="545"/>
      <c r="NWO31" s="545"/>
      <c r="NWP31" s="545"/>
      <c r="NWQ31" s="545"/>
      <c r="NWR31" s="545"/>
      <c r="NWS31" s="545"/>
      <c r="NWT31" s="545"/>
      <c r="NWU31" s="545"/>
      <c r="NWV31" s="545"/>
      <c r="NWW31" s="545"/>
      <c r="NWX31" s="545"/>
      <c r="NWY31" s="545"/>
      <c r="NWZ31" s="545"/>
      <c r="NXA31" s="545"/>
      <c r="NXB31" s="545"/>
      <c r="NXC31" s="545"/>
      <c r="NXD31" s="545"/>
      <c r="NXE31" s="545"/>
      <c r="NXF31" s="545"/>
      <c r="NXG31" s="545"/>
      <c r="NXH31" s="545"/>
      <c r="NXI31" s="545"/>
      <c r="NXJ31" s="545"/>
      <c r="NXK31" s="545"/>
      <c r="NXL31" s="545"/>
      <c r="NXM31" s="545"/>
      <c r="NXN31" s="545"/>
      <c r="NXO31" s="545"/>
      <c r="NXP31" s="545"/>
      <c r="NXQ31" s="545"/>
      <c r="NXR31" s="545"/>
      <c r="NXS31" s="545"/>
      <c r="NXT31" s="545"/>
      <c r="NXU31" s="545"/>
      <c r="NXV31" s="545"/>
      <c r="NXW31" s="545"/>
      <c r="NXX31" s="545"/>
      <c r="NXY31" s="545"/>
      <c r="NXZ31" s="545"/>
      <c r="NYA31" s="545"/>
      <c r="NYB31" s="545"/>
      <c r="NYC31" s="545"/>
      <c r="NYD31" s="545"/>
      <c r="NYE31" s="545"/>
      <c r="NYF31" s="545"/>
      <c r="NYG31" s="545"/>
      <c r="NYH31" s="545"/>
      <c r="NYI31" s="545"/>
      <c r="NYJ31" s="545"/>
      <c r="NYK31" s="545"/>
      <c r="NYL31" s="545"/>
      <c r="NYM31" s="545"/>
      <c r="NYN31" s="545"/>
      <c r="NYO31" s="545"/>
      <c r="NYP31" s="545"/>
      <c r="NYQ31" s="545"/>
      <c r="NYR31" s="545"/>
      <c r="NYS31" s="545"/>
      <c r="NYT31" s="545"/>
      <c r="NYU31" s="545"/>
      <c r="NYV31" s="545"/>
      <c r="NYW31" s="545"/>
      <c r="NYX31" s="545"/>
      <c r="NYY31" s="545"/>
      <c r="NYZ31" s="545"/>
      <c r="NZA31" s="545"/>
      <c r="NZB31" s="545"/>
      <c r="NZC31" s="545"/>
      <c r="NZD31" s="545"/>
      <c r="NZE31" s="545"/>
      <c r="NZF31" s="545"/>
      <c r="NZG31" s="545"/>
      <c r="NZH31" s="545"/>
      <c r="NZI31" s="545"/>
      <c r="NZJ31" s="545"/>
      <c r="NZK31" s="545"/>
      <c r="NZL31" s="545"/>
      <c r="NZM31" s="545"/>
      <c r="NZN31" s="545"/>
      <c r="NZO31" s="545"/>
      <c r="NZP31" s="545"/>
      <c r="NZQ31" s="545"/>
      <c r="NZR31" s="545"/>
      <c r="NZS31" s="545"/>
      <c r="NZT31" s="545"/>
      <c r="NZU31" s="545"/>
      <c r="NZV31" s="545"/>
      <c r="NZW31" s="545"/>
      <c r="NZX31" s="545"/>
      <c r="NZY31" s="545"/>
      <c r="NZZ31" s="545"/>
      <c r="OAA31" s="545"/>
      <c r="OAB31" s="545"/>
      <c r="OAC31" s="545"/>
      <c r="OAD31" s="545"/>
      <c r="OAE31" s="545"/>
      <c r="OAF31" s="545"/>
      <c r="OAG31" s="545"/>
      <c r="OAH31" s="545"/>
      <c r="OAI31" s="545"/>
      <c r="OAJ31" s="545"/>
      <c r="OAK31" s="545"/>
      <c r="OAL31" s="545"/>
      <c r="OAM31" s="545"/>
      <c r="OAN31" s="545"/>
      <c r="OAO31" s="545"/>
      <c r="OAP31" s="545"/>
      <c r="OAQ31" s="545"/>
      <c r="OAR31" s="545"/>
      <c r="OAS31" s="545"/>
      <c r="OAT31" s="545"/>
      <c r="OAU31" s="545"/>
      <c r="OAV31" s="545"/>
      <c r="OAW31" s="545"/>
      <c r="OAX31" s="545"/>
      <c r="OAY31" s="545"/>
      <c r="OAZ31" s="545"/>
      <c r="OBA31" s="545"/>
      <c r="OBB31" s="545"/>
      <c r="OBC31" s="545"/>
      <c r="OBD31" s="545"/>
      <c r="OBE31" s="545"/>
      <c r="OBF31" s="545"/>
      <c r="OBG31" s="545"/>
      <c r="OBH31" s="545"/>
      <c r="OBI31" s="545"/>
      <c r="OBJ31" s="545"/>
      <c r="OBK31" s="545"/>
      <c r="OBL31" s="545"/>
      <c r="OBM31" s="545"/>
      <c r="OBN31" s="545"/>
      <c r="OBO31" s="545"/>
      <c r="OBP31" s="545"/>
      <c r="OBQ31" s="545"/>
      <c r="OBR31" s="545"/>
      <c r="OBS31" s="545"/>
      <c r="OBT31" s="545"/>
      <c r="OBU31" s="545"/>
      <c r="OBV31" s="545"/>
      <c r="OBW31" s="545"/>
      <c r="OBX31" s="545"/>
      <c r="OBY31" s="545"/>
      <c r="OBZ31" s="545"/>
      <c r="OCA31" s="545"/>
      <c r="OCB31" s="545"/>
      <c r="OCC31" s="545"/>
      <c r="OCD31" s="545"/>
      <c r="OCE31" s="545"/>
      <c r="OCF31" s="545"/>
      <c r="OCG31" s="545"/>
      <c r="OCH31" s="545"/>
      <c r="OCI31" s="545"/>
      <c r="OCJ31" s="545"/>
      <c r="OCK31" s="545"/>
      <c r="OCL31" s="545"/>
      <c r="OCM31" s="545"/>
      <c r="OCN31" s="545"/>
      <c r="OCO31" s="545"/>
      <c r="OCP31" s="545"/>
      <c r="OCQ31" s="545"/>
      <c r="OCR31" s="545"/>
      <c r="OCS31" s="545"/>
      <c r="OCT31" s="545"/>
      <c r="OCU31" s="545"/>
      <c r="OCV31" s="545"/>
      <c r="OCW31" s="545"/>
      <c r="OCX31" s="545"/>
      <c r="OCY31" s="545"/>
      <c r="OCZ31" s="545"/>
      <c r="ODA31" s="545"/>
      <c r="ODB31" s="545"/>
      <c r="ODC31" s="545"/>
      <c r="ODD31" s="545"/>
      <c r="ODE31" s="545"/>
      <c r="ODF31" s="545"/>
      <c r="ODG31" s="545"/>
      <c r="ODH31" s="545"/>
      <c r="ODI31" s="545"/>
      <c r="ODJ31" s="545"/>
      <c r="ODK31" s="545"/>
      <c r="ODL31" s="545"/>
      <c r="ODM31" s="545"/>
      <c r="ODN31" s="545"/>
      <c r="ODO31" s="545"/>
      <c r="ODP31" s="545"/>
      <c r="ODQ31" s="545"/>
      <c r="ODR31" s="545"/>
      <c r="ODS31" s="545"/>
      <c r="ODT31" s="545"/>
      <c r="ODU31" s="545"/>
      <c r="ODV31" s="545"/>
      <c r="ODW31" s="545"/>
      <c r="ODX31" s="545"/>
      <c r="ODY31" s="545"/>
      <c r="ODZ31" s="545"/>
      <c r="OEA31" s="545"/>
      <c r="OEB31" s="545"/>
      <c r="OEC31" s="545"/>
      <c r="OED31" s="545"/>
      <c r="OEE31" s="545"/>
      <c r="OEF31" s="545"/>
      <c r="OEG31" s="545"/>
      <c r="OEH31" s="545"/>
      <c r="OEI31" s="545"/>
      <c r="OEJ31" s="545"/>
      <c r="OEK31" s="545"/>
      <c r="OEL31" s="545"/>
      <c r="OEM31" s="545"/>
      <c r="OEN31" s="545"/>
      <c r="OEO31" s="545"/>
      <c r="OEP31" s="545"/>
      <c r="OEQ31" s="545"/>
      <c r="OER31" s="545"/>
      <c r="OES31" s="545"/>
      <c r="OET31" s="545"/>
      <c r="OEU31" s="545"/>
      <c r="OEV31" s="545"/>
      <c r="OEW31" s="545"/>
      <c r="OEX31" s="545"/>
      <c r="OEY31" s="545"/>
      <c r="OEZ31" s="545"/>
      <c r="OFA31" s="545"/>
      <c r="OFB31" s="545"/>
      <c r="OFC31" s="545"/>
      <c r="OFD31" s="545"/>
      <c r="OFE31" s="545"/>
      <c r="OFF31" s="545"/>
      <c r="OFG31" s="545"/>
      <c r="OFH31" s="545"/>
      <c r="OFI31" s="545"/>
      <c r="OFJ31" s="545"/>
      <c r="OFK31" s="545"/>
      <c r="OFL31" s="545"/>
      <c r="OFM31" s="545"/>
      <c r="OFN31" s="545"/>
      <c r="OFO31" s="545"/>
      <c r="OFP31" s="545"/>
      <c r="OFQ31" s="545"/>
      <c r="OFR31" s="545"/>
      <c r="OFS31" s="545"/>
      <c r="OFT31" s="545"/>
      <c r="OFU31" s="545"/>
      <c r="OFV31" s="545"/>
      <c r="OFW31" s="545"/>
      <c r="OFX31" s="545"/>
      <c r="OFY31" s="545"/>
      <c r="OFZ31" s="545"/>
      <c r="OGA31" s="545"/>
      <c r="OGB31" s="545"/>
      <c r="OGC31" s="545"/>
      <c r="OGD31" s="545"/>
      <c r="OGE31" s="545"/>
      <c r="OGF31" s="545"/>
      <c r="OGG31" s="545"/>
      <c r="OGH31" s="545"/>
      <c r="OGI31" s="545"/>
      <c r="OGJ31" s="545"/>
      <c r="OGK31" s="545"/>
      <c r="OGL31" s="545"/>
      <c r="OGM31" s="545"/>
      <c r="OGN31" s="545"/>
      <c r="OGO31" s="545"/>
      <c r="OGP31" s="545"/>
      <c r="OGQ31" s="545"/>
      <c r="OGR31" s="545"/>
      <c r="OGS31" s="545"/>
      <c r="OGT31" s="545"/>
      <c r="OGU31" s="545"/>
      <c r="OGV31" s="545"/>
      <c r="OGW31" s="545"/>
      <c r="OGX31" s="545"/>
      <c r="OGY31" s="545"/>
      <c r="OGZ31" s="545"/>
      <c r="OHA31" s="545"/>
      <c r="OHB31" s="545"/>
      <c r="OHC31" s="545"/>
      <c r="OHD31" s="545"/>
      <c r="OHE31" s="545"/>
      <c r="OHF31" s="545"/>
      <c r="OHG31" s="545"/>
      <c r="OHH31" s="545"/>
      <c r="OHI31" s="545"/>
      <c r="OHJ31" s="545"/>
      <c r="OHK31" s="545"/>
      <c r="OHL31" s="545"/>
      <c r="OHM31" s="545"/>
      <c r="OHN31" s="545"/>
      <c r="OHO31" s="545"/>
      <c r="OHP31" s="545"/>
      <c r="OHQ31" s="545"/>
      <c r="OHR31" s="545"/>
      <c r="OHS31" s="545"/>
      <c r="OHT31" s="545"/>
      <c r="OHU31" s="545"/>
      <c r="OHV31" s="545"/>
      <c r="OHW31" s="545"/>
      <c r="OHX31" s="545"/>
      <c r="OHY31" s="545"/>
      <c r="OHZ31" s="545"/>
      <c r="OIA31" s="545"/>
      <c r="OIB31" s="545"/>
      <c r="OIC31" s="545"/>
      <c r="OID31" s="545"/>
      <c r="OIE31" s="545"/>
      <c r="OIF31" s="545"/>
      <c r="OIG31" s="545"/>
      <c r="OIH31" s="545"/>
      <c r="OII31" s="545"/>
      <c r="OIJ31" s="545"/>
      <c r="OIK31" s="545"/>
      <c r="OIL31" s="545"/>
      <c r="OIM31" s="545"/>
      <c r="OIN31" s="545"/>
      <c r="OIO31" s="545"/>
      <c r="OIP31" s="545"/>
      <c r="OIQ31" s="545"/>
      <c r="OIR31" s="545"/>
      <c r="OIS31" s="545"/>
      <c r="OIT31" s="545"/>
      <c r="OIU31" s="545"/>
      <c r="OIV31" s="545"/>
      <c r="OIW31" s="545"/>
      <c r="OIX31" s="545"/>
      <c r="OIY31" s="545"/>
      <c r="OIZ31" s="545"/>
      <c r="OJA31" s="545"/>
      <c r="OJB31" s="545"/>
      <c r="OJC31" s="545"/>
      <c r="OJD31" s="545"/>
      <c r="OJE31" s="545"/>
      <c r="OJF31" s="545"/>
      <c r="OJG31" s="545"/>
      <c r="OJH31" s="545"/>
      <c r="OJI31" s="545"/>
      <c r="OJJ31" s="545"/>
      <c r="OJK31" s="545"/>
      <c r="OJL31" s="545"/>
      <c r="OJM31" s="545"/>
      <c r="OJN31" s="545"/>
      <c r="OJO31" s="545"/>
      <c r="OJP31" s="545"/>
      <c r="OJQ31" s="545"/>
      <c r="OJR31" s="545"/>
      <c r="OJS31" s="545"/>
      <c r="OJT31" s="545"/>
      <c r="OJU31" s="545"/>
      <c r="OJV31" s="545"/>
      <c r="OJW31" s="545"/>
      <c r="OJX31" s="545"/>
      <c r="OJY31" s="545"/>
      <c r="OJZ31" s="545"/>
      <c r="OKA31" s="545"/>
      <c r="OKB31" s="545"/>
      <c r="OKC31" s="545"/>
      <c r="OKD31" s="545"/>
      <c r="OKE31" s="545"/>
      <c r="OKF31" s="545"/>
      <c r="OKG31" s="545"/>
      <c r="OKH31" s="545"/>
      <c r="OKI31" s="545"/>
      <c r="OKJ31" s="545"/>
      <c r="OKK31" s="545"/>
      <c r="OKL31" s="545"/>
      <c r="OKM31" s="545"/>
      <c r="OKN31" s="545"/>
      <c r="OKO31" s="545"/>
      <c r="OKP31" s="545"/>
      <c r="OKQ31" s="545"/>
      <c r="OKR31" s="545"/>
      <c r="OKS31" s="545"/>
      <c r="OKT31" s="545"/>
      <c r="OKU31" s="545"/>
      <c r="OKV31" s="545"/>
      <c r="OKW31" s="545"/>
      <c r="OKX31" s="545"/>
      <c r="OKY31" s="545"/>
      <c r="OKZ31" s="545"/>
      <c r="OLA31" s="545"/>
      <c r="OLB31" s="545"/>
      <c r="OLC31" s="545"/>
      <c r="OLD31" s="545"/>
      <c r="OLE31" s="545"/>
      <c r="OLF31" s="545"/>
      <c r="OLG31" s="545"/>
      <c r="OLH31" s="545"/>
      <c r="OLI31" s="545"/>
      <c r="OLJ31" s="545"/>
      <c r="OLK31" s="545"/>
      <c r="OLL31" s="545"/>
      <c r="OLM31" s="545"/>
      <c r="OLN31" s="545"/>
      <c r="OLO31" s="545"/>
      <c r="OLP31" s="545"/>
      <c r="OLQ31" s="545"/>
      <c r="OLR31" s="545"/>
      <c r="OLS31" s="545"/>
      <c r="OLT31" s="545"/>
      <c r="OLU31" s="545"/>
      <c r="OLV31" s="545"/>
      <c r="OLW31" s="545"/>
      <c r="OLX31" s="545"/>
      <c r="OLY31" s="545"/>
      <c r="OLZ31" s="545"/>
      <c r="OMA31" s="545"/>
      <c r="OMB31" s="545"/>
      <c r="OMC31" s="545"/>
      <c r="OMD31" s="545"/>
      <c r="OME31" s="545"/>
      <c r="OMF31" s="545"/>
      <c r="OMG31" s="545"/>
      <c r="OMH31" s="545"/>
      <c r="OMI31" s="545"/>
      <c r="OMJ31" s="545"/>
      <c r="OMK31" s="545"/>
      <c r="OML31" s="545"/>
      <c r="OMM31" s="545"/>
      <c r="OMN31" s="545"/>
      <c r="OMO31" s="545"/>
      <c r="OMP31" s="545"/>
      <c r="OMQ31" s="545"/>
      <c r="OMR31" s="545"/>
      <c r="OMS31" s="545"/>
      <c r="OMT31" s="545"/>
      <c r="OMU31" s="545"/>
      <c r="OMV31" s="545"/>
      <c r="OMW31" s="545"/>
      <c r="OMX31" s="545"/>
      <c r="OMY31" s="545"/>
      <c r="OMZ31" s="545"/>
      <c r="ONA31" s="545"/>
      <c r="ONB31" s="545"/>
      <c r="ONC31" s="545"/>
      <c r="OND31" s="545"/>
      <c r="ONE31" s="545"/>
      <c r="ONF31" s="545"/>
      <c r="ONG31" s="545"/>
      <c r="ONH31" s="545"/>
      <c r="ONI31" s="545"/>
      <c r="ONJ31" s="545"/>
      <c r="ONK31" s="545"/>
      <c r="ONL31" s="545"/>
      <c r="ONM31" s="545"/>
      <c r="ONN31" s="545"/>
      <c r="ONO31" s="545"/>
      <c r="ONP31" s="545"/>
      <c r="ONQ31" s="545"/>
      <c r="ONR31" s="545"/>
      <c r="ONS31" s="545"/>
      <c r="ONT31" s="545"/>
      <c r="ONU31" s="545"/>
      <c r="ONV31" s="545"/>
      <c r="ONW31" s="545"/>
      <c r="ONX31" s="545"/>
      <c r="ONY31" s="545"/>
      <c r="ONZ31" s="545"/>
      <c r="OOA31" s="545"/>
      <c r="OOB31" s="545"/>
      <c r="OOC31" s="545"/>
      <c r="OOD31" s="545"/>
      <c r="OOE31" s="545"/>
      <c r="OOF31" s="545"/>
      <c r="OOG31" s="545"/>
      <c r="OOH31" s="545"/>
      <c r="OOI31" s="545"/>
      <c r="OOJ31" s="545"/>
      <c r="OOK31" s="545"/>
      <c r="OOL31" s="545"/>
      <c r="OOM31" s="545"/>
      <c r="OON31" s="545"/>
      <c r="OOO31" s="545"/>
      <c r="OOP31" s="545"/>
      <c r="OOQ31" s="545"/>
      <c r="OOR31" s="545"/>
      <c r="OOS31" s="545"/>
      <c r="OOT31" s="545"/>
      <c r="OOU31" s="545"/>
      <c r="OOV31" s="545"/>
      <c r="OOW31" s="545"/>
      <c r="OOX31" s="545"/>
      <c r="OOY31" s="545"/>
      <c r="OOZ31" s="545"/>
      <c r="OPA31" s="545"/>
      <c r="OPB31" s="545"/>
      <c r="OPC31" s="545"/>
      <c r="OPD31" s="545"/>
      <c r="OPE31" s="545"/>
      <c r="OPF31" s="545"/>
      <c r="OPG31" s="545"/>
      <c r="OPH31" s="545"/>
      <c r="OPI31" s="545"/>
      <c r="OPJ31" s="545"/>
      <c r="OPK31" s="545"/>
      <c r="OPL31" s="545"/>
      <c r="OPM31" s="545"/>
      <c r="OPN31" s="545"/>
      <c r="OPO31" s="545"/>
      <c r="OPP31" s="545"/>
      <c r="OPQ31" s="545"/>
      <c r="OPR31" s="545"/>
      <c r="OPS31" s="545"/>
      <c r="OPT31" s="545"/>
      <c r="OPU31" s="545"/>
      <c r="OPV31" s="545"/>
      <c r="OPW31" s="545"/>
      <c r="OPX31" s="545"/>
      <c r="OPY31" s="545"/>
      <c r="OPZ31" s="545"/>
      <c r="OQA31" s="545"/>
      <c r="OQB31" s="545"/>
      <c r="OQC31" s="545"/>
      <c r="OQD31" s="545"/>
      <c r="OQE31" s="545"/>
      <c r="OQF31" s="545"/>
      <c r="OQG31" s="545"/>
      <c r="OQH31" s="545"/>
      <c r="OQI31" s="545"/>
      <c r="OQJ31" s="545"/>
      <c r="OQK31" s="545"/>
      <c r="OQL31" s="545"/>
      <c r="OQM31" s="545"/>
      <c r="OQN31" s="545"/>
      <c r="OQO31" s="545"/>
      <c r="OQP31" s="545"/>
      <c r="OQQ31" s="545"/>
      <c r="OQR31" s="545"/>
      <c r="OQS31" s="545"/>
      <c r="OQT31" s="545"/>
      <c r="OQU31" s="545"/>
      <c r="OQV31" s="545"/>
      <c r="OQW31" s="545"/>
      <c r="OQX31" s="545"/>
      <c r="OQY31" s="545"/>
      <c r="OQZ31" s="545"/>
      <c r="ORA31" s="545"/>
      <c r="ORB31" s="545"/>
      <c r="ORC31" s="545"/>
      <c r="ORD31" s="545"/>
      <c r="ORE31" s="545"/>
      <c r="ORF31" s="545"/>
      <c r="ORG31" s="545"/>
      <c r="ORH31" s="545"/>
      <c r="ORI31" s="545"/>
      <c r="ORJ31" s="545"/>
      <c r="ORK31" s="545"/>
      <c r="ORL31" s="545"/>
      <c r="ORM31" s="545"/>
      <c r="ORN31" s="545"/>
      <c r="ORO31" s="545"/>
      <c r="ORP31" s="545"/>
      <c r="ORQ31" s="545"/>
      <c r="ORR31" s="545"/>
      <c r="ORS31" s="545"/>
      <c r="ORT31" s="545"/>
      <c r="ORU31" s="545"/>
      <c r="ORV31" s="545"/>
      <c r="ORW31" s="545"/>
      <c r="ORX31" s="545"/>
      <c r="ORY31" s="545"/>
      <c r="ORZ31" s="545"/>
      <c r="OSA31" s="545"/>
      <c r="OSB31" s="545"/>
      <c r="OSC31" s="545"/>
      <c r="OSD31" s="545"/>
      <c r="OSE31" s="545"/>
      <c r="OSF31" s="545"/>
      <c r="OSG31" s="545"/>
      <c r="OSH31" s="545"/>
      <c r="OSI31" s="545"/>
      <c r="OSJ31" s="545"/>
      <c r="OSK31" s="545"/>
      <c r="OSL31" s="545"/>
      <c r="OSM31" s="545"/>
      <c r="OSN31" s="545"/>
      <c r="OSO31" s="545"/>
      <c r="OSP31" s="545"/>
      <c r="OSQ31" s="545"/>
      <c r="OSR31" s="545"/>
      <c r="OSS31" s="545"/>
      <c r="OST31" s="545"/>
      <c r="OSU31" s="545"/>
      <c r="OSV31" s="545"/>
      <c r="OSW31" s="545"/>
      <c r="OSX31" s="545"/>
      <c r="OSY31" s="545"/>
      <c r="OSZ31" s="545"/>
      <c r="OTA31" s="545"/>
      <c r="OTB31" s="545"/>
      <c r="OTC31" s="545"/>
      <c r="OTD31" s="545"/>
      <c r="OTE31" s="545"/>
      <c r="OTF31" s="545"/>
      <c r="OTG31" s="545"/>
      <c r="OTH31" s="545"/>
      <c r="OTI31" s="545"/>
      <c r="OTJ31" s="545"/>
      <c r="OTK31" s="545"/>
      <c r="OTL31" s="545"/>
      <c r="OTM31" s="545"/>
      <c r="OTN31" s="545"/>
      <c r="OTO31" s="545"/>
      <c r="OTP31" s="545"/>
      <c r="OTQ31" s="545"/>
      <c r="OTR31" s="545"/>
      <c r="OTS31" s="545"/>
      <c r="OTT31" s="545"/>
      <c r="OTU31" s="545"/>
      <c r="OTV31" s="545"/>
      <c r="OTW31" s="545"/>
      <c r="OTX31" s="545"/>
      <c r="OTY31" s="545"/>
      <c r="OTZ31" s="545"/>
      <c r="OUA31" s="545"/>
      <c r="OUB31" s="545"/>
      <c r="OUC31" s="545"/>
      <c r="OUD31" s="545"/>
      <c r="OUE31" s="545"/>
      <c r="OUF31" s="545"/>
      <c r="OUG31" s="545"/>
      <c r="OUH31" s="545"/>
      <c r="OUI31" s="545"/>
      <c r="OUJ31" s="545"/>
      <c r="OUK31" s="545"/>
      <c r="OUL31" s="545"/>
      <c r="OUM31" s="545"/>
      <c r="OUN31" s="545"/>
      <c r="OUO31" s="545"/>
      <c r="OUP31" s="545"/>
      <c r="OUQ31" s="545"/>
      <c r="OUR31" s="545"/>
      <c r="OUS31" s="545"/>
      <c r="OUT31" s="545"/>
      <c r="OUU31" s="545"/>
      <c r="OUV31" s="545"/>
      <c r="OUW31" s="545"/>
      <c r="OUX31" s="545"/>
      <c r="OUY31" s="545"/>
      <c r="OUZ31" s="545"/>
      <c r="OVA31" s="545"/>
      <c r="OVB31" s="545"/>
      <c r="OVC31" s="545"/>
      <c r="OVD31" s="545"/>
      <c r="OVE31" s="545"/>
      <c r="OVF31" s="545"/>
      <c r="OVG31" s="545"/>
      <c r="OVH31" s="545"/>
      <c r="OVI31" s="545"/>
      <c r="OVJ31" s="545"/>
      <c r="OVK31" s="545"/>
      <c r="OVL31" s="545"/>
      <c r="OVM31" s="545"/>
      <c r="OVN31" s="545"/>
      <c r="OVO31" s="545"/>
      <c r="OVP31" s="545"/>
      <c r="OVQ31" s="545"/>
      <c r="OVR31" s="545"/>
      <c r="OVS31" s="545"/>
      <c r="OVT31" s="545"/>
      <c r="OVU31" s="545"/>
      <c r="OVV31" s="545"/>
      <c r="OVW31" s="545"/>
      <c r="OVX31" s="545"/>
      <c r="OVY31" s="545"/>
      <c r="OVZ31" s="545"/>
      <c r="OWA31" s="545"/>
      <c r="OWB31" s="545"/>
      <c r="OWC31" s="545"/>
      <c r="OWD31" s="545"/>
      <c r="OWE31" s="545"/>
      <c r="OWF31" s="545"/>
      <c r="OWG31" s="545"/>
      <c r="OWH31" s="545"/>
      <c r="OWI31" s="545"/>
      <c r="OWJ31" s="545"/>
      <c r="OWK31" s="545"/>
      <c r="OWL31" s="545"/>
      <c r="OWM31" s="545"/>
      <c r="OWN31" s="545"/>
      <c r="OWO31" s="545"/>
      <c r="OWP31" s="545"/>
      <c r="OWQ31" s="545"/>
      <c r="OWR31" s="545"/>
      <c r="OWS31" s="545"/>
      <c r="OWT31" s="545"/>
      <c r="OWU31" s="545"/>
      <c r="OWV31" s="545"/>
      <c r="OWW31" s="545"/>
      <c r="OWX31" s="545"/>
      <c r="OWY31" s="545"/>
      <c r="OWZ31" s="545"/>
      <c r="OXA31" s="545"/>
      <c r="OXB31" s="545"/>
      <c r="OXC31" s="545"/>
      <c r="OXD31" s="545"/>
      <c r="OXE31" s="545"/>
      <c r="OXF31" s="545"/>
      <c r="OXG31" s="545"/>
      <c r="OXH31" s="545"/>
      <c r="OXI31" s="545"/>
      <c r="OXJ31" s="545"/>
      <c r="OXK31" s="545"/>
      <c r="OXL31" s="545"/>
      <c r="OXM31" s="545"/>
      <c r="OXN31" s="545"/>
      <c r="OXO31" s="545"/>
      <c r="OXP31" s="545"/>
      <c r="OXQ31" s="545"/>
      <c r="OXR31" s="545"/>
      <c r="OXS31" s="545"/>
      <c r="OXT31" s="545"/>
      <c r="OXU31" s="545"/>
      <c r="OXV31" s="545"/>
      <c r="OXW31" s="545"/>
      <c r="OXX31" s="545"/>
      <c r="OXY31" s="545"/>
      <c r="OXZ31" s="545"/>
      <c r="OYA31" s="545"/>
      <c r="OYB31" s="545"/>
      <c r="OYC31" s="545"/>
      <c r="OYD31" s="545"/>
      <c r="OYE31" s="545"/>
      <c r="OYF31" s="545"/>
      <c r="OYG31" s="545"/>
      <c r="OYH31" s="545"/>
      <c r="OYI31" s="545"/>
      <c r="OYJ31" s="545"/>
      <c r="OYK31" s="545"/>
      <c r="OYL31" s="545"/>
      <c r="OYM31" s="545"/>
      <c r="OYN31" s="545"/>
      <c r="OYO31" s="545"/>
      <c r="OYP31" s="545"/>
      <c r="OYQ31" s="545"/>
      <c r="OYR31" s="545"/>
      <c r="OYS31" s="545"/>
      <c r="OYT31" s="545"/>
      <c r="OYU31" s="545"/>
      <c r="OYV31" s="545"/>
      <c r="OYW31" s="545"/>
      <c r="OYX31" s="545"/>
      <c r="OYY31" s="545"/>
      <c r="OYZ31" s="545"/>
      <c r="OZA31" s="545"/>
      <c r="OZB31" s="545"/>
      <c r="OZC31" s="545"/>
      <c r="OZD31" s="545"/>
      <c r="OZE31" s="545"/>
      <c r="OZF31" s="545"/>
      <c r="OZG31" s="545"/>
      <c r="OZH31" s="545"/>
      <c r="OZI31" s="545"/>
      <c r="OZJ31" s="545"/>
      <c r="OZK31" s="545"/>
      <c r="OZL31" s="545"/>
      <c r="OZM31" s="545"/>
      <c r="OZN31" s="545"/>
      <c r="OZO31" s="545"/>
      <c r="OZP31" s="545"/>
      <c r="OZQ31" s="545"/>
      <c r="OZR31" s="545"/>
      <c r="OZS31" s="545"/>
      <c r="OZT31" s="545"/>
      <c r="OZU31" s="545"/>
      <c r="OZV31" s="545"/>
      <c r="OZW31" s="545"/>
      <c r="OZX31" s="545"/>
      <c r="OZY31" s="545"/>
      <c r="OZZ31" s="545"/>
      <c r="PAA31" s="545"/>
      <c r="PAB31" s="545"/>
      <c r="PAC31" s="545"/>
      <c r="PAD31" s="545"/>
      <c r="PAE31" s="545"/>
      <c r="PAF31" s="545"/>
      <c r="PAG31" s="545"/>
      <c r="PAH31" s="545"/>
      <c r="PAI31" s="545"/>
      <c r="PAJ31" s="545"/>
      <c r="PAK31" s="545"/>
      <c r="PAL31" s="545"/>
      <c r="PAM31" s="545"/>
      <c r="PAN31" s="545"/>
      <c r="PAO31" s="545"/>
      <c r="PAP31" s="545"/>
      <c r="PAQ31" s="545"/>
      <c r="PAR31" s="545"/>
      <c r="PAS31" s="545"/>
      <c r="PAT31" s="545"/>
      <c r="PAU31" s="545"/>
      <c r="PAV31" s="545"/>
      <c r="PAW31" s="545"/>
      <c r="PAX31" s="545"/>
      <c r="PAY31" s="545"/>
      <c r="PAZ31" s="545"/>
      <c r="PBA31" s="545"/>
      <c r="PBB31" s="545"/>
      <c r="PBC31" s="545"/>
      <c r="PBD31" s="545"/>
      <c r="PBE31" s="545"/>
      <c r="PBF31" s="545"/>
      <c r="PBG31" s="545"/>
      <c r="PBH31" s="545"/>
      <c r="PBI31" s="545"/>
      <c r="PBJ31" s="545"/>
      <c r="PBK31" s="545"/>
      <c r="PBL31" s="545"/>
      <c r="PBM31" s="545"/>
      <c r="PBN31" s="545"/>
      <c r="PBO31" s="545"/>
      <c r="PBP31" s="545"/>
      <c r="PBQ31" s="545"/>
      <c r="PBR31" s="545"/>
      <c r="PBS31" s="545"/>
      <c r="PBT31" s="545"/>
      <c r="PBU31" s="545"/>
      <c r="PBV31" s="545"/>
      <c r="PBW31" s="545"/>
      <c r="PBX31" s="545"/>
      <c r="PBY31" s="545"/>
      <c r="PBZ31" s="545"/>
      <c r="PCA31" s="545"/>
      <c r="PCB31" s="545"/>
      <c r="PCC31" s="545"/>
      <c r="PCD31" s="545"/>
      <c r="PCE31" s="545"/>
      <c r="PCF31" s="545"/>
      <c r="PCG31" s="545"/>
      <c r="PCH31" s="545"/>
      <c r="PCI31" s="545"/>
      <c r="PCJ31" s="545"/>
      <c r="PCK31" s="545"/>
      <c r="PCL31" s="545"/>
      <c r="PCM31" s="545"/>
      <c r="PCN31" s="545"/>
      <c r="PCO31" s="545"/>
      <c r="PCP31" s="545"/>
      <c r="PCQ31" s="545"/>
      <c r="PCR31" s="545"/>
      <c r="PCS31" s="545"/>
      <c r="PCT31" s="545"/>
      <c r="PCU31" s="545"/>
      <c r="PCV31" s="545"/>
      <c r="PCW31" s="545"/>
      <c r="PCX31" s="545"/>
      <c r="PCY31" s="545"/>
      <c r="PCZ31" s="545"/>
      <c r="PDA31" s="545"/>
      <c r="PDB31" s="545"/>
      <c r="PDC31" s="545"/>
      <c r="PDD31" s="545"/>
      <c r="PDE31" s="545"/>
      <c r="PDF31" s="545"/>
      <c r="PDG31" s="545"/>
      <c r="PDH31" s="545"/>
      <c r="PDI31" s="545"/>
      <c r="PDJ31" s="545"/>
      <c r="PDK31" s="545"/>
      <c r="PDL31" s="545"/>
      <c r="PDM31" s="545"/>
      <c r="PDN31" s="545"/>
      <c r="PDO31" s="545"/>
      <c r="PDP31" s="545"/>
      <c r="PDQ31" s="545"/>
      <c r="PDR31" s="545"/>
      <c r="PDS31" s="545"/>
      <c r="PDT31" s="545"/>
      <c r="PDU31" s="545"/>
      <c r="PDV31" s="545"/>
      <c r="PDW31" s="545"/>
      <c r="PDX31" s="545"/>
      <c r="PDY31" s="545"/>
      <c r="PDZ31" s="545"/>
      <c r="PEA31" s="545"/>
      <c r="PEB31" s="545"/>
      <c r="PEC31" s="545"/>
      <c r="PED31" s="545"/>
      <c r="PEE31" s="545"/>
      <c r="PEF31" s="545"/>
      <c r="PEG31" s="545"/>
      <c r="PEH31" s="545"/>
      <c r="PEI31" s="545"/>
      <c r="PEJ31" s="545"/>
      <c r="PEK31" s="545"/>
      <c r="PEL31" s="545"/>
      <c r="PEM31" s="545"/>
      <c r="PEN31" s="545"/>
      <c r="PEO31" s="545"/>
      <c r="PEP31" s="545"/>
      <c r="PEQ31" s="545"/>
      <c r="PER31" s="545"/>
      <c r="PES31" s="545"/>
      <c r="PET31" s="545"/>
      <c r="PEU31" s="545"/>
      <c r="PEV31" s="545"/>
      <c r="PEW31" s="545"/>
      <c r="PEX31" s="545"/>
      <c r="PEY31" s="545"/>
      <c r="PEZ31" s="545"/>
      <c r="PFA31" s="545"/>
      <c r="PFB31" s="545"/>
      <c r="PFC31" s="545"/>
      <c r="PFD31" s="545"/>
      <c r="PFE31" s="545"/>
      <c r="PFF31" s="545"/>
      <c r="PFG31" s="545"/>
      <c r="PFH31" s="545"/>
      <c r="PFI31" s="545"/>
      <c r="PFJ31" s="545"/>
      <c r="PFK31" s="545"/>
      <c r="PFL31" s="545"/>
      <c r="PFM31" s="545"/>
      <c r="PFN31" s="545"/>
      <c r="PFO31" s="545"/>
      <c r="PFP31" s="545"/>
      <c r="PFQ31" s="545"/>
      <c r="PFR31" s="545"/>
      <c r="PFS31" s="545"/>
      <c r="PFT31" s="545"/>
      <c r="PFU31" s="545"/>
      <c r="PFV31" s="545"/>
      <c r="PFW31" s="545"/>
      <c r="PFX31" s="545"/>
      <c r="PFY31" s="545"/>
      <c r="PFZ31" s="545"/>
      <c r="PGA31" s="545"/>
      <c r="PGB31" s="545"/>
      <c r="PGC31" s="545"/>
      <c r="PGD31" s="545"/>
      <c r="PGE31" s="545"/>
      <c r="PGF31" s="545"/>
      <c r="PGG31" s="545"/>
      <c r="PGH31" s="545"/>
      <c r="PGI31" s="545"/>
      <c r="PGJ31" s="545"/>
      <c r="PGK31" s="545"/>
      <c r="PGL31" s="545"/>
      <c r="PGM31" s="545"/>
      <c r="PGN31" s="545"/>
      <c r="PGO31" s="545"/>
      <c r="PGP31" s="545"/>
      <c r="PGQ31" s="545"/>
      <c r="PGR31" s="545"/>
      <c r="PGS31" s="545"/>
      <c r="PGT31" s="545"/>
      <c r="PGU31" s="545"/>
      <c r="PGV31" s="545"/>
      <c r="PGW31" s="545"/>
      <c r="PGX31" s="545"/>
      <c r="PGY31" s="545"/>
      <c r="PGZ31" s="545"/>
      <c r="PHA31" s="545"/>
      <c r="PHB31" s="545"/>
      <c r="PHC31" s="545"/>
      <c r="PHD31" s="545"/>
      <c r="PHE31" s="545"/>
      <c r="PHF31" s="545"/>
      <c r="PHG31" s="545"/>
      <c r="PHH31" s="545"/>
      <c r="PHI31" s="545"/>
      <c r="PHJ31" s="545"/>
      <c r="PHK31" s="545"/>
      <c r="PHL31" s="545"/>
      <c r="PHM31" s="545"/>
      <c r="PHN31" s="545"/>
      <c r="PHO31" s="545"/>
      <c r="PHP31" s="545"/>
      <c r="PHQ31" s="545"/>
      <c r="PHR31" s="545"/>
      <c r="PHS31" s="545"/>
      <c r="PHT31" s="545"/>
      <c r="PHU31" s="545"/>
      <c r="PHV31" s="545"/>
      <c r="PHW31" s="545"/>
      <c r="PHX31" s="545"/>
      <c r="PHY31" s="545"/>
      <c r="PHZ31" s="545"/>
      <c r="PIA31" s="545"/>
      <c r="PIB31" s="545"/>
      <c r="PIC31" s="545"/>
      <c r="PID31" s="545"/>
      <c r="PIE31" s="545"/>
      <c r="PIF31" s="545"/>
      <c r="PIG31" s="545"/>
      <c r="PIH31" s="545"/>
      <c r="PII31" s="545"/>
      <c r="PIJ31" s="545"/>
      <c r="PIK31" s="545"/>
      <c r="PIL31" s="545"/>
      <c r="PIM31" s="545"/>
      <c r="PIN31" s="545"/>
      <c r="PIO31" s="545"/>
      <c r="PIP31" s="545"/>
      <c r="PIQ31" s="545"/>
      <c r="PIR31" s="545"/>
      <c r="PIS31" s="545"/>
      <c r="PIT31" s="545"/>
      <c r="PIU31" s="545"/>
      <c r="PIV31" s="545"/>
      <c r="PIW31" s="545"/>
      <c r="PIX31" s="545"/>
      <c r="PIY31" s="545"/>
      <c r="PIZ31" s="545"/>
      <c r="PJA31" s="545"/>
      <c r="PJB31" s="545"/>
      <c r="PJC31" s="545"/>
      <c r="PJD31" s="545"/>
      <c r="PJE31" s="545"/>
      <c r="PJF31" s="545"/>
      <c r="PJG31" s="545"/>
      <c r="PJH31" s="545"/>
      <c r="PJI31" s="545"/>
      <c r="PJJ31" s="545"/>
      <c r="PJK31" s="545"/>
      <c r="PJL31" s="545"/>
      <c r="PJM31" s="545"/>
      <c r="PJN31" s="545"/>
      <c r="PJO31" s="545"/>
      <c r="PJP31" s="545"/>
      <c r="PJQ31" s="545"/>
      <c r="PJR31" s="545"/>
      <c r="PJS31" s="545"/>
      <c r="PJT31" s="545"/>
      <c r="PJU31" s="545"/>
      <c r="PJV31" s="545"/>
      <c r="PJW31" s="545"/>
      <c r="PJX31" s="545"/>
      <c r="PJY31" s="545"/>
      <c r="PJZ31" s="545"/>
      <c r="PKA31" s="545"/>
      <c r="PKB31" s="545"/>
      <c r="PKC31" s="545"/>
      <c r="PKD31" s="545"/>
      <c r="PKE31" s="545"/>
      <c r="PKF31" s="545"/>
      <c r="PKG31" s="545"/>
      <c r="PKH31" s="545"/>
      <c r="PKI31" s="545"/>
      <c r="PKJ31" s="545"/>
      <c r="PKK31" s="545"/>
      <c r="PKL31" s="545"/>
      <c r="PKM31" s="545"/>
      <c r="PKN31" s="545"/>
      <c r="PKO31" s="545"/>
      <c r="PKP31" s="545"/>
      <c r="PKQ31" s="545"/>
      <c r="PKR31" s="545"/>
      <c r="PKS31" s="545"/>
      <c r="PKT31" s="545"/>
      <c r="PKU31" s="545"/>
      <c r="PKV31" s="545"/>
      <c r="PKW31" s="545"/>
      <c r="PKX31" s="545"/>
      <c r="PKY31" s="545"/>
      <c r="PKZ31" s="545"/>
      <c r="PLA31" s="545"/>
      <c r="PLB31" s="545"/>
      <c r="PLC31" s="545"/>
      <c r="PLD31" s="545"/>
      <c r="PLE31" s="545"/>
      <c r="PLF31" s="545"/>
      <c r="PLG31" s="545"/>
      <c r="PLH31" s="545"/>
      <c r="PLI31" s="545"/>
      <c r="PLJ31" s="545"/>
      <c r="PLK31" s="545"/>
      <c r="PLL31" s="545"/>
      <c r="PLM31" s="545"/>
      <c r="PLN31" s="545"/>
      <c r="PLO31" s="545"/>
      <c r="PLP31" s="545"/>
      <c r="PLQ31" s="545"/>
      <c r="PLR31" s="545"/>
      <c r="PLS31" s="545"/>
      <c r="PLT31" s="545"/>
      <c r="PLU31" s="545"/>
      <c r="PLV31" s="545"/>
      <c r="PLW31" s="545"/>
      <c r="PLX31" s="545"/>
      <c r="PLY31" s="545"/>
      <c r="PLZ31" s="545"/>
      <c r="PMA31" s="545"/>
      <c r="PMB31" s="545"/>
      <c r="PMC31" s="545"/>
      <c r="PMD31" s="545"/>
      <c r="PME31" s="545"/>
      <c r="PMF31" s="545"/>
      <c r="PMG31" s="545"/>
      <c r="PMH31" s="545"/>
      <c r="PMI31" s="545"/>
      <c r="PMJ31" s="545"/>
      <c r="PMK31" s="545"/>
      <c r="PML31" s="545"/>
      <c r="PMM31" s="545"/>
      <c r="PMN31" s="545"/>
      <c r="PMO31" s="545"/>
      <c r="PMP31" s="545"/>
      <c r="PMQ31" s="545"/>
      <c r="PMR31" s="545"/>
      <c r="PMS31" s="545"/>
      <c r="PMT31" s="545"/>
      <c r="PMU31" s="545"/>
      <c r="PMV31" s="545"/>
      <c r="PMW31" s="545"/>
      <c r="PMX31" s="545"/>
      <c r="PMY31" s="545"/>
      <c r="PMZ31" s="545"/>
      <c r="PNA31" s="545"/>
      <c r="PNB31" s="545"/>
      <c r="PNC31" s="545"/>
      <c r="PND31" s="545"/>
      <c r="PNE31" s="545"/>
      <c r="PNF31" s="545"/>
      <c r="PNG31" s="545"/>
      <c r="PNH31" s="545"/>
      <c r="PNI31" s="545"/>
      <c r="PNJ31" s="545"/>
      <c r="PNK31" s="545"/>
      <c r="PNL31" s="545"/>
      <c r="PNM31" s="545"/>
      <c r="PNN31" s="545"/>
      <c r="PNO31" s="545"/>
      <c r="PNP31" s="545"/>
      <c r="PNQ31" s="545"/>
      <c r="PNR31" s="545"/>
      <c r="PNS31" s="545"/>
      <c r="PNT31" s="545"/>
      <c r="PNU31" s="545"/>
      <c r="PNV31" s="545"/>
      <c r="PNW31" s="545"/>
      <c r="PNX31" s="545"/>
      <c r="PNY31" s="545"/>
      <c r="PNZ31" s="545"/>
      <c r="POA31" s="545"/>
      <c r="POB31" s="545"/>
      <c r="POC31" s="545"/>
      <c r="POD31" s="545"/>
      <c r="POE31" s="545"/>
      <c r="POF31" s="545"/>
      <c r="POG31" s="545"/>
      <c r="POH31" s="545"/>
      <c r="POI31" s="545"/>
      <c r="POJ31" s="545"/>
      <c r="POK31" s="545"/>
      <c r="POL31" s="545"/>
      <c r="POM31" s="545"/>
      <c r="PON31" s="545"/>
      <c r="POO31" s="545"/>
      <c r="POP31" s="545"/>
      <c r="POQ31" s="545"/>
      <c r="POR31" s="545"/>
      <c r="POS31" s="545"/>
      <c r="POT31" s="545"/>
      <c r="POU31" s="545"/>
      <c r="POV31" s="545"/>
      <c r="POW31" s="545"/>
      <c r="POX31" s="545"/>
      <c r="POY31" s="545"/>
      <c r="POZ31" s="545"/>
      <c r="PPA31" s="545"/>
      <c r="PPB31" s="545"/>
      <c r="PPC31" s="545"/>
      <c r="PPD31" s="545"/>
      <c r="PPE31" s="545"/>
      <c r="PPF31" s="545"/>
      <c r="PPG31" s="545"/>
      <c r="PPH31" s="545"/>
      <c r="PPI31" s="545"/>
      <c r="PPJ31" s="545"/>
      <c r="PPK31" s="545"/>
      <c r="PPL31" s="545"/>
      <c r="PPM31" s="545"/>
      <c r="PPN31" s="545"/>
      <c r="PPO31" s="545"/>
      <c r="PPP31" s="545"/>
      <c r="PPQ31" s="545"/>
      <c r="PPR31" s="545"/>
      <c r="PPS31" s="545"/>
      <c r="PPT31" s="545"/>
      <c r="PPU31" s="545"/>
      <c r="PPV31" s="545"/>
      <c r="PPW31" s="545"/>
      <c r="PPX31" s="545"/>
      <c r="PPY31" s="545"/>
      <c r="PPZ31" s="545"/>
      <c r="PQA31" s="545"/>
      <c r="PQB31" s="545"/>
      <c r="PQC31" s="545"/>
      <c r="PQD31" s="545"/>
      <c r="PQE31" s="545"/>
      <c r="PQF31" s="545"/>
      <c r="PQG31" s="545"/>
      <c r="PQH31" s="545"/>
      <c r="PQI31" s="545"/>
      <c r="PQJ31" s="545"/>
      <c r="PQK31" s="545"/>
      <c r="PQL31" s="545"/>
      <c r="PQM31" s="545"/>
      <c r="PQN31" s="545"/>
      <c r="PQO31" s="545"/>
      <c r="PQP31" s="545"/>
      <c r="PQQ31" s="545"/>
      <c r="PQR31" s="545"/>
      <c r="PQS31" s="545"/>
      <c r="PQT31" s="545"/>
      <c r="PQU31" s="545"/>
      <c r="PQV31" s="545"/>
      <c r="PQW31" s="545"/>
      <c r="PQX31" s="545"/>
      <c r="PQY31" s="545"/>
      <c r="PQZ31" s="545"/>
      <c r="PRA31" s="545"/>
      <c r="PRB31" s="545"/>
      <c r="PRC31" s="545"/>
      <c r="PRD31" s="545"/>
      <c r="PRE31" s="545"/>
      <c r="PRF31" s="545"/>
      <c r="PRG31" s="545"/>
      <c r="PRH31" s="545"/>
      <c r="PRI31" s="545"/>
      <c r="PRJ31" s="545"/>
      <c r="PRK31" s="545"/>
      <c r="PRL31" s="545"/>
      <c r="PRM31" s="545"/>
      <c r="PRN31" s="545"/>
      <c r="PRO31" s="545"/>
      <c r="PRP31" s="545"/>
      <c r="PRQ31" s="545"/>
      <c r="PRR31" s="545"/>
      <c r="PRS31" s="545"/>
      <c r="PRT31" s="545"/>
      <c r="PRU31" s="545"/>
      <c r="PRV31" s="545"/>
      <c r="PRW31" s="545"/>
      <c r="PRX31" s="545"/>
      <c r="PRY31" s="545"/>
      <c r="PRZ31" s="545"/>
      <c r="PSA31" s="545"/>
      <c r="PSB31" s="545"/>
      <c r="PSC31" s="545"/>
      <c r="PSD31" s="545"/>
      <c r="PSE31" s="545"/>
      <c r="PSF31" s="545"/>
      <c r="PSG31" s="545"/>
      <c r="PSH31" s="545"/>
      <c r="PSI31" s="545"/>
      <c r="PSJ31" s="545"/>
      <c r="PSK31" s="545"/>
      <c r="PSL31" s="545"/>
      <c r="PSM31" s="545"/>
      <c r="PSN31" s="545"/>
      <c r="PSO31" s="545"/>
      <c r="PSP31" s="545"/>
      <c r="PSQ31" s="545"/>
      <c r="PSR31" s="545"/>
      <c r="PSS31" s="545"/>
      <c r="PST31" s="545"/>
      <c r="PSU31" s="545"/>
      <c r="PSV31" s="545"/>
      <c r="PSW31" s="545"/>
      <c r="PSX31" s="545"/>
      <c r="PSY31" s="545"/>
      <c r="PSZ31" s="545"/>
      <c r="PTA31" s="545"/>
      <c r="PTB31" s="545"/>
      <c r="PTC31" s="545"/>
      <c r="PTD31" s="545"/>
      <c r="PTE31" s="545"/>
      <c r="PTF31" s="545"/>
      <c r="PTG31" s="545"/>
      <c r="PTH31" s="545"/>
      <c r="PTI31" s="545"/>
      <c r="PTJ31" s="545"/>
      <c r="PTK31" s="545"/>
      <c r="PTL31" s="545"/>
      <c r="PTM31" s="545"/>
      <c r="PTN31" s="545"/>
      <c r="PTO31" s="545"/>
      <c r="PTP31" s="545"/>
      <c r="PTQ31" s="545"/>
      <c r="PTR31" s="545"/>
      <c r="PTS31" s="545"/>
      <c r="PTT31" s="545"/>
      <c r="PTU31" s="545"/>
      <c r="PTV31" s="545"/>
      <c r="PTW31" s="545"/>
      <c r="PTX31" s="545"/>
      <c r="PTY31" s="545"/>
      <c r="PTZ31" s="545"/>
      <c r="PUA31" s="545"/>
      <c r="PUB31" s="545"/>
      <c r="PUC31" s="545"/>
      <c r="PUD31" s="545"/>
      <c r="PUE31" s="545"/>
      <c r="PUF31" s="545"/>
      <c r="PUG31" s="545"/>
      <c r="PUH31" s="545"/>
      <c r="PUI31" s="545"/>
      <c r="PUJ31" s="545"/>
      <c r="PUK31" s="545"/>
      <c r="PUL31" s="545"/>
      <c r="PUM31" s="545"/>
      <c r="PUN31" s="545"/>
      <c r="PUO31" s="545"/>
      <c r="PUP31" s="545"/>
      <c r="PUQ31" s="545"/>
      <c r="PUR31" s="545"/>
      <c r="PUS31" s="545"/>
      <c r="PUT31" s="545"/>
      <c r="PUU31" s="545"/>
      <c r="PUV31" s="545"/>
      <c r="PUW31" s="545"/>
      <c r="PUX31" s="545"/>
      <c r="PUY31" s="545"/>
      <c r="PUZ31" s="545"/>
      <c r="PVA31" s="545"/>
      <c r="PVB31" s="545"/>
      <c r="PVC31" s="545"/>
      <c r="PVD31" s="545"/>
      <c r="PVE31" s="545"/>
      <c r="PVF31" s="545"/>
      <c r="PVG31" s="545"/>
      <c r="PVH31" s="545"/>
      <c r="PVI31" s="545"/>
      <c r="PVJ31" s="545"/>
      <c r="PVK31" s="545"/>
      <c r="PVL31" s="545"/>
      <c r="PVM31" s="545"/>
      <c r="PVN31" s="545"/>
      <c r="PVO31" s="545"/>
      <c r="PVP31" s="545"/>
      <c r="PVQ31" s="545"/>
      <c r="PVR31" s="545"/>
      <c r="PVS31" s="545"/>
      <c r="PVT31" s="545"/>
      <c r="PVU31" s="545"/>
      <c r="PVV31" s="545"/>
      <c r="PVW31" s="545"/>
      <c r="PVX31" s="545"/>
      <c r="PVY31" s="545"/>
      <c r="PVZ31" s="545"/>
      <c r="PWA31" s="545"/>
      <c r="PWB31" s="545"/>
      <c r="PWC31" s="545"/>
      <c r="PWD31" s="545"/>
      <c r="PWE31" s="545"/>
      <c r="PWF31" s="545"/>
      <c r="PWG31" s="545"/>
      <c r="PWH31" s="545"/>
      <c r="PWI31" s="545"/>
      <c r="PWJ31" s="545"/>
      <c r="PWK31" s="545"/>
      <c r="PWL31" s="545"/>
      <c r="PWM31" s="545"/>
      <c r="PWN31" s="545"/>
      <c r="PWO31" s="545"/>
      <c r="PWP31" s="545"/>
      <c r="PWQ31" s="545"/>
      <c r="PWR31" s="545"/>
      <c r="PWS31" s="545"/>
      <c r="PWT31" s="545"/>
      <c r="PWU31" s="545"/>
      <c r="PWV31" s="545"/>
      <c r="PWW31" s="545"/>
      <c r="PWX31" s="545"/>
      <c r="PWY31" s="545"/>
      <c r="PWZ31" s="545"/>
      <c r="PXA31" s="545"/>
      <c r="PXB31" s="545"/>
      <c r="PXC31" s="545"/>
      <c r="PXD31" s="545"/>
      <c r="PXE31" s="545"/>
      <c r="PXF31" s="545"/>
      <c r="PXG31" s="545"/>
      <c r="PXH31" s="545"/>
      <c r="PXI31" s="545"/>
      <c r="PXJ31" s="545"/>
      <c r="PXK31" s="545"/>
      <c r="PXL31" s="545"/>
      <c r="PXM31" s="545"/>
      <c r="PXN31" s="545"/>
      <c r="PXO31" s="545"/>
      <c r="PXP31" s="545"/>
      <c r="PXQ31" s="545"/>
      <c r="PXR31" s="545"/>
      <c r="PXS31" s="545"/>
      <c r="PXT31" s="545"/>
      <c r="PXU31" s="545"/>
      <c r="PXV31" s="545"/>
      <c r="PXW31" s="545"/>
      <c r="PXX31" s="545"/>
      <c r="PXY31" s="545"/>
      <c r="PXZ31" s="545"/>
      <c r="PYA31" s="545"/>
      <c r="PYB31" s="545"/>
      <c r="PYC31" s="545"/>
      <c r="PYD31" s="545"/>
      <c r="PYE31" s="545"/>
      <c r="PYF31" s="545"/>
      <c r="PYG31" s="545"/>
      <c r="PYH31" s="545"/>
      <c r="PYI31" s="545"/>
      <c r="PYJ31" s="545"/>
      <c r="PYK31" s="545"/>
      <c r="PYL31" s="545"/>
      <c r="PYM31" s="545"/>
      <c r="PYN31" s="545"/>
      <c r="PYO31" s="545"/>
      <c r="PYP31" s="545"/>
      <c r="PYQ31" s="545"/>
      <c r="PYR31" s="545"/>
      <c r="PYS31" s="545"/>
      <c r="PYT31" s="545"/>
      <c r="PYU31" s="545"/>
      <c r="PYV31" s="545"/>
      <c r="PYW31" s="545"/>
      <c r="PYX31" s="545"/>
      <c r="PYY31" s="545"/>
      <c r="PYZ31" s="545"/>
      <c r="PZA31" s="545"/>
      <c r="PZB31" s="545"/>
      <c r="PZC31" s="545"/>
      <c r="PZD31" s="545"/>
      <c r="PZE31" s="545"/>
      <c r="PZF31" s="545"/>
      <c r="PZG31" s="545"/>
      <c r="PZH31" s="545"/>
      <c r="PZI31" s="545"/>
      <c r="PZJ31" s="545"/>
      <c r="PZK31" s="545"/>
      <c r="PZL31" s="545"/>
      <c r="PZM31" s="545"/>
      <c r="PZN31" s="545"/>
      <c r="PZO31" s="545"/>
      <c r="PZP31" s="545"/>
      <c r="PZQ31" s="545"/>
      <c r="PZR31" s="545"/>
      <c r="PZS31" s="545"/>
      <c r="PZT31" s="545"/>
      <c r="PZU31" s="545"/>
      <c r="PZV31" s="545"/>
      <c r="PZW31" s="545"/>
      <c r="PZX31" s="545"/>
      <c r="PZY31" s="545"/>
      <c r="PZZ31" s="545"/>
      <c r="QAA31" s="545"/>
      <c r="QAB31" s="545"/>
      <c r="QAC31" s="545"/>
      <c r="QAD31" s="545"/>
      <c r="QAE31" s="545"/>
      <c r="QAF31" s="545"/>
      <c r="QAG31" s="545"/>
      <c r="QAH31" s="545"/>
      <c r="QAI31" s="545"/>
      <c r="QAJ31" s="545"/>
      <c r="QAK31" s="545"/>
      <c r="QAL31" s="545"/>
      <c r="QAM31" s="545"/>
      <c r="QAN31" s="545"/>
      <c r="QAO31" s="545"/>
      <c r="QAP31" s="545"/>
      <c r="QAQ31" s="545"/>
      <c r="QAR31" s="545"/>
      <c r="QAS31" s="545"/>
      <c r="QAT31" s="545"/>
      <c r="QAU31" s="545"/>
      <c r="QAV31" s="545"/>
      <c r="QAW31" s="545"/>
      <c r="QAX31" s="545"/>
      <c r="QAY31" s="545"/>
      <c r="QAZ31" s="545"/>
      <c r="QBA31" s="545"/>
      <c r="QBB31" s="545"/>
      <c r="QBC31" s="545"/>
      <c r="QBD31" s="545"/>
      <c r="QBE31" s="545"/>
      <c r="QBF31" s="545"/>
      <c r="QBG31" s="545"/>
      <c r="QBH31" s="545"/>
      <c r="QBI31" s="545"/>
      <c r="QBJ31" s="545"/>
      <c r="QBK31" s="545"/>
      <c r="QBL31" s="545"/>
      <c r="QBM31" s="545"/>
      <c r="QBN31" s="545"/>
      <c r="QBO31" s="545"/>
      <c r="QBP31" s="545"/>
      <c r="QBQ31" s="545"/>
      <c r="QBR31" s="545"/>
      <c r="QBS31" s="545"/>
      <c r="QBT31" s="545"/>
      <c r="QBU31" s="545"/>
      <c r="QBV31" s="545"/>
      <c r="QBW31" s="545"/>
      <c r="QBX31" s="545"/>
      <c r="QBY31" s="545"/>
      <c r="QBZ31" s="545"/>
      <c r="QCA31" s="545"/>
      <c r="QCB31" s="545"/>
      <c r="QCC31" s="545"/>
      <c r="QCD31" s="545"/>
      <c r="QCE31" s="545"/>
      <c r="QCF31" s="545"/>
      <c r="QCG31" s="545"/>
      <c r="QCH31" s="545"/>
      <c r="QCI31" s="545"/>
      <c r="QCJ31" s="545"/>
      <c r="QCK31" s="545"/>
      <c r="QCL31" s="545"/>
      <c r="QCM31" s="545"/>
      <c r="QCN31" s="545"/>
      <c r="QCO31" s="545"/>
      <c r="QCP31" s="545"/>
      <c r="QCQ31" s="545"/>
      <c r="QCR31" s="545"/>
      <c r="QCS31" s="545"/>
      <c r="QCT31" s="545"/>
      <c r="QCU31" s="545"/>
      <c r="QCV31" s="545"/>
      <c r="QCW31" s="545"/>
      <c r="QCX31" s="545"/>
      <c r="QCY31" s="545"/>
      <c r="QCZ31" s="545"/>
      <c r="QDA31" s="545"/>
      <c r="QDB31" s="545"/>
      <c r="QDC31" s="545"/>
      <c r="QDD31" s="545"/>
      <c r="QDE31" s="545"/>
      <c r="QDF31" s="545"/>
      <c r="QDG31" s="545"/>
      <c r="QDH31" s="545"/>
      <c r="QDI31" s="545"/>
      <c r="QDJ31" s="545"/>
      <c r="QDK31" s="545"/>
      <c r="QDL31" s="545"/>
      <c r="QDM31" s="545"/>
      <c r="QDN31" s="545"/>
      <c r="QDO31" s="545"/>
      <c r="QDP31" s="545"/>
      <c r="QDQ31" s="545"/>
      <c r="QDR31" s="545"/>
      <c r="QDS31" s="545"/>
      <c r="QDT31" s="545"/>
      <c r="QDU31" s="545"/>
      <c r="QDV31" s="545"/>
      <c r="QDW31" s="545"/>
      <c r="QDX31" s="545"/>
      <c r="QDY31" s="545"/>
      <c r="QDZ31" s="545"/>
      <c r="QEA31" s="545"/>
      <c r="QEB31" s="545"/>
      <c r="QEC31" s="545"/>
      <c r="QED31" s="545"/>
      <c r="QEE31" s="545"/>
      <c r="QEF31" s="545"/>
      <c r="QEG31" s="545"/>
      <c r="QEH31" s="545"/>
      <c r="QEI31" s="545"/>
      <c r="QEJ31" s="545"/>
      <c r="QEK31" s="545"/>
      <c r="QEL31" s="545"/>
      <c r="QEM31" s="545"/>
      <c r="QEN31" s="545"/>
      <c r="QEO31" s="545"/>
      <c r="QEP31" s="545"/>
      <c r="QEQ31" s="545"/>
      <c r="QER31" s="545"/>
      <c r="QES31" s="545"/>
      <c r="QET31" s="545"/>
      <c r="QEU31" s="545"/>
      <c r="QEV31" s="545"/>
      <c r="QEW31" s="545"/>
      <c r="QEX31" s="545"/>
      <c r="QEY31" s="545"/>
      <c r="QEZ31" s="545"/>
      <c r="QFA31" s="545"/>
      <c r="QFB31" s="545"/>
      <c r="QFC31" s="545"/>
      <c r="QFD31" s="545"/>
      <c r="QFE31" s="545"/>
      <c r="QFF31" s="545"/>
      <c r="QFG31" s="545"/>
      <c r="QFH31" s="545"/>
      <c r="QFI31" s="545"/>
      <c r="QFJ31" s="545"/>
      <c r="QFK31" s="545"/>
      <c r="QFL31" s="545"/>
      <c r="QFM31" s="545"/>
      <c r="QFN31" s="545"/>
      <c r="QFO31" s="545"/>
      <c r="QFP31" s="545"/>
      <c r="QFQ31" s="545"/>
      <c r="QFR31" s="545"/>
      <c r="QFS31" s="545"/>
      <c r="QFT31" s="545"/>
      <c r="QFU31" s="545"/>
      <c r="QFV31" s="545"/>
      <c r="QFW31" s="545"/>
      <c r="QFX31" s="545"/>
      <c r="QFY31" s="545"/>
      <c r="QFZ31" s="545"/>
      <c r="QGA31" s="545"/>
      <c r="QGB31" s="545"/>
      <c r="QGC31" s="545"/>
      <c r="QGD31" s="545"/>
      <c r="QGE31" s="545"/>
      <c r="QGF31" s="545"/>
      <c r="QGG31" s="545"/>
      <c r="QGH31" s="545"/>
      <c r="QGI31" s="545"/>
      <c r="QGJ31" s="545"/>
      <c r="QGK31" s="545"/>
      <c r="QGL31" s="545"/>
      <c r="QGM31" s="545"/>
      <c r="QGN31" s="545"/>
      <c r="QGO31" s="545"/>
      <c r="QGP31" s="545"/>
      <c r="QGQ31" s="545"/>
      <c r="QGR31" s="545"/>
      <c r="QGS31" s="545"/>
      <c r="QGT31" s="545"/>
      <c r="QGU31" s="545"/>
      <c r="QGV31" s="545"/>
      <c r="QGW31" s="545"/>
      <c r="QGX31" s="545"/>
      <c r="QGY31" s="545"/>
      <c r="QGZ31" s="545"/>
      <c r="QHA31" s="545"/>
      <c r="QHB31" s="545"/>
      <c r="QHC31" s="545"/>
      <c r="QHD31" s="545"/>
      <c r="QHE31" s="545"/>
      <c r="QHF31" s="545"/>
      <c r="QHG31" s="545"/>
      <c r="QHH31" s="545"/>
      <c r="QHI31" s="545"/>
      <c r="QHJ31" s="545"/>
      <c r="QHK31" s="545"/>
      <c r="QHL31" s="545"/>
      <c r="QHM31" s="545"/>
      <c r="QHN31" s="545"/>
      <c r="QHO31" s="545"/>
      <c r="QHP31" s="545"/>
      <c r="QHQ31" s="545"/>
      <c r="QHR31" s="545"/>
      <c r="QHS31" s="545"/>
      <c r="QHT31" s="545"/>
      <c r="QHU31" s="545"/>
      <c r="QHV31" s="545"/>
      <c r="QHW31" s="545"/>
      <c r="QHX31" s="545"/>
      <c r="QHY31" s="545"/>
      <c r="QHZ31" s="545"/>
      <c r="QIA31" s="545"/>
      <c r="QIB31" s="545"/>
      <c r="QIC31" s="545"/>
      <c r="QID31" s="545"/>
      <c r="QIE31" s="545"/>
      <c r="QIF31" s="545"/>
      <c r="QIG31" s="545"/>
      <c r="QIH31" s="545"/>
      <c r="QII31" s="545"/>
      <c r="QIJ31" s="545"/>
      <c r="QIK31" s="545"/>
      <c r="QIL31" s="545"/>
      <c r="QIM31" s="545"/>
      <c r="QIN31" s="545"/>
      <c r="QIO31" s="545"/>
      <c r="QIP31" s="545"/>
      <c r="QIQ31" s="545"/>
      <c r="QIR31" s="545"/>
      <c r="QIS31" s="545"/>
      <c r="QIT31" s="545"/>
      <c r="QIU31" s="545"/>
      <c r="QIV31" s="545"/>
      <c r="QIW31" s="545"/>
      <c r="QIX31" s="545"/>
      <c r="QIY31" s="545"/>
      <c r="QIZ31" s="545"/>
      <c r="QJA31" s="545"/>
      <c r="QJB31" s="545"/>
      <c r="QJC31" s="545"/>
      <c r="QJD31" s="545"/>
      <c r="QJE31" s="545"/>
      <c r="QJF31" s="545"/>
      <c r="QJG31" s="545"/>
      <c r="QJH31" s="545"/>
      <c r="QJI31" s="545"/>
      <c r="QJJ31" s="545"/>
      <c r="QJK31" s="545"/>
      <c r="QJL31" s="545"/>
      <c r="QJM31" s="545"/>
      <c r="QJN31" s="545"/>
      <c r="QJO31" s="545"/>
      <c r="QJP31" s="545"/>
      <c r="QJQ31" s="545"/>
      <c r="QJR31" s="545"/>
      <c r="QJS31" s="545"/>
      <c r="QJT31" s="545"/>
      <c r="QJU31" s="545"/>
      <c r="QJV31" s="545"/>
      <c r="QJW31" s="545"/>
      <c r="QJX31" s="545"/>
      <c r="QJY31" s="545"/>
      <c r="QJZ31" s="545"/>
      <c r="QKA31" s="545"/>
      <c r="QKB31" s="545"/>
      <c r="QKC31" s="545"/>
      <c r="QKD31" s="545"/>
      <c r="QKE31" s="545"/>
      <c r="QKF31" s="545"/>
      <c r="QKG31" s="545"/>
      <c r="QKH31" s="545"/>
      <c r="QKI31" s="545"/>
      <c r="QKJ31" s="545"/>
      <c r="QKK31" s="545"/>
      <c r="QKL31" s="545"/>
      <c r="QKM31" s="545"/>
      <c r="QKN31" s="545"/>
      <c r="QKO31" s="545"/>
      <c r="QKP31" s="545"/>
      <c r="QKQ31" s="545"/>
      <c r="QKR31" s="545"/>
      <c r="QKS31" s="545"/>
      <c r="QKT31" s="545"/>
      <c r="QKU31" s="545"/>
      <c r="QKV31" s="545"/>
      <c r="QKW31" s="545"/>
      <c r="QKX31" s="545"/>
      <c r="QKY31" s="545"/>
      <c r="QKZ31" s="545"/>
      <c r="QLA31" s="545"/>
      <c r="QLB31" s="545"/>
      <c r="QLC31" s="545"/>
      <c r="QLD31" s="545"/>
      <c r="QLE31" s="545"/>
      <c r="QLF31" s="545"/>
      <c r="QLG31" s="545"/>
      <c r="QLH31" s="545"/>
      <c r="QLI31" s="545"/>
      <c r="QLJ31" s="545"/>
      <c r="QLK31" s="545"/>
      <c r="QLL31" s="545"/>
      <c r="QLM31" s="545"/>
      <c r="QLN31" s="545"/>
      <c r="QLO31" s="545"/>
      <c r="QLP31" s="545"/>
      <c r="QLQ31" s="545"/>
      <c r="QLR31" s="545"/>
      <c r="QLS31" s="545"/>
      <c r="QLT31" s="545"/>
      <c r="QLU31" s="545"/>
      <c r="QLV31" s="545"/>
      <c r="QLW31" s="545"/>
      <c r="QLX31" s="545"/>
      <c r="QLY31" s="545"/>
      <c r="QLZ31" s="545"/>
      <c r="QMA31" s="545"/>
      <c r="QMB31" s="545"/>
      <c r="QMC31" s="545"/>
      <c r="QMD31" s="545"/>
      <c r="QME31" s="545"/>
      <c r="QMF31" s="545"/>
      <c r="QMG31" s="545"/>
      <c r="QMH31" s="545"/>
      <c r="QMI31" s="545"/>
      <c r="QMJ31" s="545"/>
      <c r="QMK31" s="545"/>
      <c r="QML31" s="545"/>
      <c r="QMM31" s="545"/>
      <c r="QMN31" s="545"/>
      <c r="QMO31" s="545"/>
      <c r="QMP31" s="545"/>
      <c r="QMQ31" s="545"/>
      <c r="QMR31" s="545"/>
      <c r="QMS31" s="545"/>
      <c r="QMT31" s="545"/>
      <c r="QMU31" s="545"/>
      <c r="QMV31" s="545"/>
      <c r="QMW31" s="545"/>
      <c r="QMX31" s="545"/>
      <c r="QMY31" s="545"/>
      <c r="QMZ31" s="545"/>
      <c r="QNA31" s="545"/>
      <c r="QNB31" s="545"/>
      <c r="QNC31" s="545"/>
      <c r="QND31" s="545"/>
      <c r="QNE31" s="545"/>
      <c r="QNF31" s="545"/>
      <c r="QNG31" s="545"/>
      <c r="QNH31" s="545"/>
      <c r="QNI31" s="545"/>
      <c r="QNJ31" s="545"/>
      <c r="QNK31" s="545"/>
      <c r="QNL31" s="545"/>
      <c r="QNM31" s="545"/>
      <c r="QNN31" s="545"/>
      <c r="QNO31" s="545"/>
      <c r="QNP31" s="545"/>
      <c r="QNQ31" s="545"/>
      <c r="QNR31" s="545"/>
      <c r="QNS31" s="545"/>
      <c r="QNT31" s="545"/>
      <c r="QNU31" s="545"/>
      <c r="QNV31" s="545"/>
      <c r="QNW31" s="545"/>
      <c r="QNX31" s="545"/>
      <c r="QNY31" s="545"/>
      <c r="QNZ31" s="545"/>
      <c r="QOA31" s="545"/>
      <c r="QOB31" s="545"/>
      <c r="QOC31" s="545"/>
      <c r="QOD31" s="545"/>
      <c r="QOE31" s="545"/>
      <c r="QOF31" s="545"/>
      <c r="QOG31" s="545"/>
      <c r="QOH31" s="545"/>
      <c r="QOI31" s="545"/>
      <c r="QOJ31" s="545"/>
      <c r="QOK31" s="545"/>
      <c r="QOL31" s="545"/>
      <c r="QOM31" s="545"/>
      <c r="QON31" s="545"/>
      <c r="QOO31" s="545"/>
      <c r="QOP31" s="545"/>
      <c r="QOQ31" s="545"/>
      <c r="QOR31" s="545"/>
      <c r="QOS31" s="545"/>
      <c r="QOT31" s="545"/>
      <c r="QOU31" s="545"/>
      <c r="QOV31" s="545"/>
      <c r="QOW31" s="545"/>
      <c r="QOX31" s="545"/>
      <c r="QOY31" s="545"/>
      <c r="QOZ31" s="545"/>
      <c r="QPA31" s="545"/>
      <c r="QPB31" s="545"/>
      <c r="QPC31" s="545"/>
      <c r="QPD31" s="545"/>
      <c r="QPE31" s="545"/>
      <c r="QPF31" s="545"/>
      <c r="QPG31" s="545"/>
      <c r="QPH31" s="545"/>
      <c r="QPI31" s="545"/>
      <c r="QPJ31" s="545"/>
      <c r="QPK31" s="545"/>
      <c r="QPL31" s="545"/>
      <c r="QPM31" s="545"/>
      <c r="QPN31" s="545"/>
      <c r="QPO31" s="545"/>
      <c r="QPP31" s="545"/>
      <c r="QPQ31" s="545"/>
      <c r="QPR31" s="545"/>
      <c r="QPS31" s="545"/>
      <c r="QPT31" s="545"/>
      <c r="QPU31" s="545"/>
      <c r="QPV31" s="545"/>
      <c r="QPW31" s="545"/>
      <c r="QPX31" s="545"/>
      <c r="QPY31" s="545"/>
      <c r="QPZ31" s="545"/>
      <c r="QQA31" s="545"/>
      <c r="QQB31" s="545"/>
      <c r="QQC31" s="545"/>
      <c r="QQD31" s="545"/>
      <c r="QQE31" s="545"/>
      <c r="QQF31" s="545"/>
      <c r="QQG31" s="545"/>
      <c r="QQH31" s="545"/>
      <c r="QQI31" s="545"/>
      <c r="QQJ31" s="545"/>
      <c r="QQK31" s="545"/>
      <c r="QQL31" s="545"/>
      <c r="QQM31" s="545"/>
      <c r="QQN31" s="545"/>
      <c r="QQO31" s="545"/>
      <c r="QQP31" s="545"/>
      <c r="QQQ31" s="545"/>
      <c r="QQR31" s="545"/>
      <c r="QQS31" s="545"/>
      <c r="QQT31" s="545"/>
      <c r="QQU31" s="545"/>
      <c r="QQV31" s="545"/>
      <c r="QQW31" s="545"/>
      <c r="QQX31" s="545"/>
      <c r="QQY31" s="545"/>
      <c r="QQZ31" s="545"/>
      <c r="QRA31" s="545"/>
      <c r="QRB31" s="545"/>
      <c r="QRC31" s="545"/>
      <c r="QRD31" s="545"/>
      <c r="QRE31" s="545"/>
      <c r="QRF31" s="545"/>
      <c r="QRG31" s="545"/>
      <c r="QRH31" s="545"/>
      <c r="QRI31" s="545"/>
      <c r="QRJ31" s="545"/>
      <c r="QRK31" s="545"/>
      <c r="QRL31" s="545"/>
      <c r="QRM31" s="545"/>
      <c r="QRN31" s="545"/>
      <c r="QRO31" s="545"/>
      <c r="QRP31" s="545"/>
      <c r="QRQ31" s="545"/>
      <c r="QRR31" s="545"/>
      <c r="QRS31" s="545"/>
      <c r="QRT31" s="545"/>
      <c r="QRU31" s="545"/>
      <c r="QRV31" s="545"/>
      <c r="QRW31" s="545"/>
      <c r="QRX31" s="545"/>
      <c r="QRY31" s="545"/>
      <c r="QRZ31" s="545"/>
      <c r="QSA31" s="545"/>
      <c r="QSB31" s="545"/>
      <c r="QSC31" s="545"/>
      <c r="QSD31" s="545"/>
      <c r="QSE31" s="545"/>
      <c r="QSF31" s="545"/>
      <c r="QSG31" s="545"/>
      <c r="QSH31" s="545"/>
      <c r="QSI31" s="545"/>
      <c r="QSJ31" s="545"/>
      <c r="QSK31" s="545"/>
      <c r="QSL31" s="545"/>
      <c r="QSM31" s="545"/>
      <c r="QSN31" s="545"/>
      <c r="QSO31" s="545"/>
      <c r="QSP31" s="545"/>
      <c r="QSQ31" s="545"/>
      <c r="QSR31" s="545"/>
      <c r="QSS31" s="545"/>
      <c r="QST31" s="545"/>
      <c r="QSU31" s="545"/>
      <c r="QSV31" s="545"/>
      <c r="QSW31" s="545"/>
      <c r="QSX31" s="545"/>
      <c r="QSY31" s="545"/>
      <c r="QSZ31" s="545"/>
      <c r="QTA31" s="545"/>
      <c r="QTB31" s="545"/>
      <c r="QTC31" s="545"/>
      <c r="QTD31" s="545"/>
      <c r="QTE31" s="545"/>
      <c r="QTF31" s="545"/>
      <c r="QTG31" s="545"/>
      <c r="QTH31" s="545"/>
      <c r="QTI31" s="545"/>
      <c r="QTJ31" s="545"/>
      <c r="QTK31" s="545"/>
      <c r="QTL31" s="545"/>
      <c r="QTM31" s="545"/>
      <c r="QTN31" s="545"/>
      <c r="QTO31" s="545"/>
      <c r="QTP31" s="545"/>
      <c r="QTQ31" s="545"/>
      <c r="QTR31" s="545"/>
      <c r="QTS31" s="545"/>
      <c r="QTT31" s="545"/>
      <c r="QTU31" s="545"/>
      <c r="QTV31" s="545"/>
      <c r="QTW31" s="545"/>
      <c r="QTX31" s="545"/>
      <c r="QTY31" s="545"/>
      <c r="QTZ31" s="545"/>
      <c r="QUA31" s="545"/>
      <c r="QUB31" s="545"/>
      <c r="QUC31" s="545"/>
      <c r="QUD31" s="545"/>
      <c r="QUE31" s="545"/>
      <c r="QUF31" s="545"/>
      <c r="QUG31" s="545"/>
      <c r="QUH31" s="545"/>
      <c r="QUI31" s="545"/>
      <c r="QUJ31" s="545"/>
      <c r="QUK31" s="545"/>
      <c r="QUL31" s="545"/>
      <c r="QUM31" s="545"/>
      <c r="QUN31" s="545"/>
      <c r="QUO31" s="545"/>
      <c r="QUP31" s="545"/>
      <c r="QUQ31" s="545"/>
      <c r="QUR31" s="545"/>
      <c r="QUS31" s="545"/>
      <c r="QUT31" s="545"/>
      <c r="QUU31" s="545"/>
      <c r="QUV31" s="545"/>
      <c r="QUW31" s="545"/>
      <c r="QUX31" s="545"/>
      <c r="QUY31" s="545"/>
      <c r="QUZ31" s="545"/>
      <c r="QVA31" s="545"/>
      <c r="QVB31" s="545"/>
      <c r="QVC31" s="545"/>
      <c r="QVD31" s="545"/>
      <c r="QVE31" s="545"/>
      <c r="QVF31" s="545"/>
      <c r="QVG31" s="545"/>
      <c r="QVH31" s="545"/>
      <c r="QVI31" s="545"/>
      <c r="QVJ31" s="545"/>
      <c r="QVK31" s="545"/>
      <c r="QVL31" s="545"/>
      <c r="QVM31" s="545"/>
      <c r="QVN31" s="545"/>
      <c r="QVO31" s="545"/>
      <c r="QVP31" s="545"/>
      <c r="QVQ31" s="545"/>
      <c r="QVR31" s="545"/>
      <c r="QVS31" s="545"/>
      <c r="QVT31" s="545"/>
      <c r="QVU31" s="545"/>
      <c r="QVV31" s="545"/>
      <c r="QVW31" s="545"/>
      <c r="QVX31" s="545"/>
      <c r="QVY31" s="545"/>
      <c r="QVZ31" s="545"/>
      <c r="QWA31" s="545"/>
      <c r="QWB31" s="545"/>
      <c r="QWC31" s="545"/>
      <c r="QWD31" s="545"/>
      <c r="QWE31" s="545"/>
      <c r="QWF31" s="545"/>
      <c r="QWG31" s="545"/>
      <c r="QWH31" s="545"/>
      <c r="QWI31" s="545"/>
      <c r="QWJ31" s="545"/>
      <c r="QWK31" s="545"/>
      <c r="QWL31" s="545"/>
      <c r="QWM31" s="545"/>
      <c r="QWN31" s="545"/>
      <c r="QWO31" s="545"/>
      <c r="QWP31" s="545"/>
      <c r="QWQ31" s="545"/>
      <c r="QWR31" s="545"/>
      <c r="QWS31" s="545"/>
      <c r="QWT31" s="545"/>
      <c r="QWU31" s="545"/>
      <c r="QWV31" s="545"/>
      <c r="QWW31" s="545"/>
      <c r="QWX31" s="545"/>
      <c r="QWY31" s="545"/>
      <c r="QWZ31" s="545"/>
      <c r="QXA31" s="545"/>
      <c r="QXB31" s="545"/>
      <c r="QXC31" s="545"/>
      <c r="QXD31" s="545"/>
      <c r="QXE31" s="545"/>
      <c r="QXF31" s="545"/>
      <c r="QXG31" s="545"/>
      <c r="QXH31" s="545"/>
      <c r="QXI31" s="545"/>
      <c r="QXJ31" s="545"/>
      <c r="QXK31" s="545"/>
      <c r="QXL31" s="545"/>
      <c r="QXM31" s="545"/>
      <c r="QXN31" s="545"/>
      <c r="QXO31" s="545"/>
      <c r="QXP31" s="545"/>
      <c r="QXQ31" s="545"/>
      <c r="QXR31" s="545"/>
      <c r="QXS31" s="545"/>
      <c r="QXT31" s="545"/>
      <c r="QXU31" s="545"/>
      <c r="QXV31" s="545"/>
      <c r="QXW31" s="545"/>
      <c r="QXX31" s="545"/>
      <c r="QXY31" s="545"/>
      <c r="QXZ31" s="545"/>
      <c r="QYA31" s="545"/>
      <c r="QYB31" s="545"/>
      <c r="QYC31" s="545"/>
      <c r="QYD31" s="545"/>
      <c r="QYE31" s="545"/>
      <c r="QYF31" s="545"/>
      <c r="QYG31" s="545"/>
      <c r="QYH31" s="545"/>
      <c r="QYI31" s="545"/>
      <c r="QYJ31" s="545"/>
      <c r="QYK31" s="545"/>
      <c r="QYL31" s="545"/>
      <c r="QYM31" s="545"/>
      <c r="QYN31" s="545"/>
      <c r="QYO31" s="545"/>
      <c r="QYP31" s="545"/>
      <c r="QYQ31" s="545"/>
      <c r="QYR31" s="545"/>
      <c r="QYS31" s="545"/>
      <c r="QYT31" s="545"/>
      <c r="QYU31" s="545"/>
      <c r="QYV31" s="545"/>
      <c r="QYW31" s="545"/>
      <c r="QYX31" s="545"/>
      <c r="QYY31" s="545"/>
      <c r="QYZ31" s="545"/>
      <c r="QZA31" s="545"/>
      <c r="QZB31" s="545"/>
      <c r="QZC31" s="545"/>
      <c r="QZD31" s="545"/>
      <c r="QZE31" s="545"/>
      <c r="QZF31" s="545"/>
      <c r="QZG31" s="545"/>
      <c r="QZH31" s="545"/>
      <c r="QZI31" s="545"/>
      <c r="QZJ31" s="545"/>
      <c r="QZK31" s="545"/>
      <c r="QZL31" s="545"/>
      <c r="QZM31" s="545"/>
      <c r="QZN31" s="545"/>
      <c r="QZO31" s="545"/>
      <c r="QZP31" s="545"/>
      <c r="QZQ31" s="545"/>
      <c r="QZR31" s="545"/>
      <c r="QZS31" s="545"/>
      <c r="QZT31" s="545"/>
      <c r="QZU31" s="545"/>
      <c r="QZV31" s="545"/>
      <c r="QZW31" s="545"/>
      <c r="QZX31" s="545"/>
      <c r="QZY31" s="545"/>
      <c r="QZZ31" s="545"/>
      <c r="RAA31" s="545"/>
      <c r="RAB31" s="545"/>
      <c r="RAC31" s="545"/>
      <c r="RAD31" s="545"/>
      <c r="RAE31" s="545"/>
      <c r="RAF31" s="545"/>
      <c r="RAG31" s="545"/>
      <c r="RAH31" s="545"/>
      <c r="RAI31" s="545"/>
      <c r="RAJ31" s="545"/>
      <c r="RAK31" s="545"/>
      <c r="RAL31" s="545"/>
      <c r="RAM31" s="545"/>
      <c r="RAN31" s="545"/>
      <c r="RAO31" s="545"/>
      <c r="RAP31" s="545"/>
      <c r="RAQ31" s="545"/>
      <c r="RAR31" s="545"/>
      <c r="RAS31" s="545"/>
      <c r="RAT31" s="545"/>
      <c r="RAU31" s="545"/>
      <c r="RAV31" s="545"/>
      <c r="RAW31" s="545"/>
      <c r="RAX31" s="545"/>
      <c r="RAY31" s="545"/>
      <c r="RAZ31" s="545"/>
      <c r="RBA31" s="545"/>
      <c r="RBB31" s="545"/>
      <c r="RBC31" s="545"/>
      <c r="RBD31" s="545"/>
      <c r="RBE31" s="545"/>
      <c r="RBF31" s="545"/>
      <c r="RBG31" s="545"/>
      <c r="RBH31" s="545"/>
      <c r="RBI31" s="545"/>
      <c r="RBJ31" s="545"/>
      <c r="RBK31" s="545"/>
      <c r="RBL31" s="545"/>
      <c r="RBM31" s="545"/>
      <c r="RBN31" s="545"/>
      <c r="RBO31" s="545"/>
      <c r="RBP31" s="545"/>
      <c r="RBQ31" s="545"/>
      <c r="RBR31" s="545"/>
      <c r="RBS31" s="545"/>
      <c r="RBT31" s="545"/>
      <c r="RBU31" s="545"/>
      <c r="RBV31" s="545"/>
      <c r="RBW31" s="545"/>
      <c r="RBX31" s="545"/>
      <c r="RBY31" s="545"/>
      <c r="RBZ31" s="545"/>
      <c r="RCA31" s="545"/>
      <c r="RCB31" s="545"/>
      <c r="RCC31" s="545"/>
      <c r="RCD31" s="545"/>
      <c r="RCE31" s="545"/>
      <c r="RCF31" s="545"/>
      <c r="RCG31" s="545"/>
      <c r="RCH31" s="545"/>
      <c r="RCI31" s="545"/>
      <c r="RCJ31" s="545"/>
      <c r="RCK31" s="545"/>
      <c r="RCL31" s="545"/>
      <c r="RCM31" s="545"/>
      <c r="RCN31" s="545"/>
      <c r="RCO31" s="545"/>
      <c r="RCP31" s="545"/>
      <c r="RCQ31" s="545"/>
      <c r="RCR31" s="545"/>
      <c r="RCS31" s="545"/>
      <c r="RCT31" s="545"/>
      <c r="RCU31" s="545"/>
      <c r="RCV31" s="545"/>
      <c r="RCW31" s="545"/>
      <c r="RCX31" s="545"/>
      <c r="RCY31" s="545"/>
      <c r="RCZ31" s="545"/>
      <c r="RDA31" s="545"/>
      <c r="RDB31" s="545"/>
      <c r="RDC31" s="545"/>
      <c r="RDD31" s="545"/>
      <c r="RDE31" s="545"/>
      <c r="RDF31" s="545"/>
      <c r="RDG31" s="545"/>
      <c r="RDH31" s="545"/>
      <c r="RDI31" s="545"/>
      <c r="RDJ31" s="545"/>
      <c r="RDK31" s="545"/>
      <c r="RDL31" s="545"/>
      <c r="RDM31" s="545"/>
      <c r="RDN31" s="545"/>
      <c r="RDO31" s="545"/>
      <c r="RDP31" s="545"/>
      <c r="RDQ31" s="545"/>
      <c r="RDR31" s="545"/>
      <c r="RDS31" s="545"/>
      <c r="RDT31" s="545"/>
      <c r="RDU31" s="545"/>
      <c r="RDV31" s="545"/>
      <c r="RDW31" s="545"/>
      <c r="RDX31" s="545"/>
      <c r="RDY31" s="545"/>
      <c r="RDZ31" s="545"/>
      <c r="REA31" s="545"/>
      <c r="REB31" s="545"/>
      <c r="REC31" s="545"/>
      <c r="RED31" s="545"/>
      <c r="REE31" s="545"/>
      <c r="REF31" s="545"/>
      <c r="REG31" s="545"/>
      <c r="REH31" s="545"/>
      <c r="REI31" s="545"/>
      <c r="REJ31" s="545"/>
      <c r="REK31" s="545"/>
      <c r="REL31" s="545"/>
      <c r="REM31" s="545"/>
      <c r="REN31" s="545"/>
      <c r="REO31" s="545"/>
      <c r="REP31" s="545"/>
      <c r="REQ31" s="545"/>
      <c r="RER31" s="545"/>
      <c r="RES31" s="545"/>
      <c r="RET31" s="545"/>
      <c r="REU31" s="545"/>
      <c r="REV31" s="545"/>
      <c r="REW31" s="545"/>
      <c r="REX31" s="545"/>
      <c r="REY31" s="545"/>
      <c r="REZ31" s="545"/>
      <c r="RFA31" s="545"/>
      <c r="RFB31" s="545"/>
      <c r="RFC31" s="545"/>
      <c r="RFD31" s="545"/>
      <c r="RFE31" s="545"/>
      <c r="RFF31" s="545"/>
      <c r="RFG31" s="545"/>
      <c r="RFH31" s="545"/>
      <c r="RFI31" s="545"/>
      <c r="RFJ31" s="545"/>
      <c r="RFK31" s="545"/>
      <c r="RFL31" s="545"/>
      <c r="RFM31" s="545"/>
      <c r="RFN31" s="545"/>
      <c r="RFO31" s="545"/>
      <c r="RFP31" s="545"/>
      <c r="RFQ31" s="545"/>
      <c r="RFR31" s="545"/>
      <c r="RFS31" s="545"/>
      <c r="RFT31" s="545"/>
      <c r="RFU31" s="545"/>
      <c r="RFV31" s="545"/>
      <c r="RFW31" s="545"/>
      <c r="RFX31" s="545"/>
      <c r="RFY31" s="545"/>
      <c r="RFZ31" s="545"/>
      <c r="RGA31" s="545"/>
      <c r="RGB31" s="545"/>
      <c r="RGC31" s="545"/>
      <c r="RGD31" s="545"/>
      <c r="RGE31" s="545"/>
      <c r="RGF31" s="545"/>
      <c r="RGG31" s="545"/>
      <c r="RGH31" s="545"/>
      <c r="RGI31" s="545"/>
      <c r="RGJ31" s="545"/>
      <c r="RGK31" s="545"/>
      <c r="RGL31" s="545"/>
      <c r="RGM31" s="545"/>
      <c r="RGN31" s="545"/>
      <c r="RGO31" s="545"/>
      <c r="RGP31" s="545"/>
      <c r="RGQ31" s="545"/>
      <c r="RGR31" s="545"/>
      <c r="RGS31" s="545"/>
      <c r="RGT31" s="545"/>
      <c r="RGU31" s="545"/>
      <c r="RGV31" s="545"/>
      <c r="RGW31" s="545"/>
      <c r="RGX31" s="545"/>
      <c r="RGY31" s="545"/>
      <c r="RGZ31" s="545"/>
      <c r="RHA31" s="545"/>
      <c r="RHB31" s="545"/>
      <c r="RHC31" s="545"/>
      <c r="RHD31" s="545"/>
      <c r="RHE31" s="545"/>
      <c r="RHF31" s="545"/>
      <c r="RHG31" s="545"/>
      <c r="RHH31" s="545"/>
      <c r="RHI31" s="545"/>
      <c r="RHJ31" s="545"/>
      <c r="RHK31" s="545"/>
      <c r="RHL31" s="545"/>
      <c r="RHM31" s="545"/>
      <c r="RHN31" s="545"/>
      <c r="RHO31" s="545"/>
      <c r="RHP31" s="545"/>
      <c r="RHQ31" s="545"/>
      <c r="RHR31" s="545"/>
      <c r="RHS31" s="545"/>
      <c r="RHT31" s="545"/>
      <c r="RHU31" s="545"/>
      <c r="RHV31" s="545"/>
      <c r="RHW31" s="545"/>
      <c r="RHX31" s="545"/>
      <c r="RHY31" s="545"/>
      <c r="RHZ31" s="545"/>
      <c r="RIA31" s="545"/>
      <c r="RIB31" s="545"/>
      <c r="RIC31" s="545"/>
      <c r="RID31" s="545"/>
      <c r="RIE31" s="545"/>
      <c r="RIF31" s="545"/>
      <c r="RIG31" s="545"/>
      <c r="RIH31" s="545"/>
      <c r="RII31" s="545"/>
      <c r="RIJ31" s="545"/>
      <c r="RIK31" s="545"/>
      <c r="RIL31" s="545"/>
      <c r="RIM31" s="545"/>
      <c r="RIN31" s="545"/>
      <c r="RIO31" s="545"/>
      <c r="RIP31" s="545"/>
      <c r="RIQ31" s="545"/>
      <c r="RIR31" s="545"/>
      <c r="RIS31" s="545"/>
      <c r="RIT31" s="545"/>
      <c r="RIU31" s="545"/>
      <c r="RIV31" s="545"/>
      <c r="RIW31" s="545"/>
      <c r="RIX31" s="545"/>
      <c r="RIY31" s="545"/>
      <c r="RIZ31" s="545"/>
      <c r="RJA31" s="545"/>
      <c r="RJB31" s="545"/>
      <c r="RJC31" s="545"/>
      <c r="RJD31" s="545"/>
      <c r="RJE31" s="545"/>
      <c r="RJF31" s="545"/>
      <c r="RJG31" s="545"/>
      <c r="RJH31" s="545"/>
      <c r="RJI31" s="545"/>
      <c r="RJJ31" s="545"/>
      <c r="RJK31" s="545"/>
      <c r="RJL31" s="545"/>
      <c r="RJM31" s="545"/>
      <c r="RJN31" s="545"/>
      <c r="RJO31" s="545"/>
      <c r="RJP31" s="545"/>
      <c r="RJQ31" s="545"/>
      <c r="RJR31" s="545"/>
      <c r="RJS31" s="545"/>
      <c r="RJT31" s="545"/>
      <c r="RJU31" s="545"/>
      <c r="RJV31" s="545"/>
      <c r="RJW31" s="545"/>
      <c r="RJX31" s="545"/>
      <c r="RJY31" s="545"/>
      <c r="RJZ31" s="545"/>
      <c r="RKA31" s="545"/>
      <c r="RKB31" s="545"/>
      <c r="RKC31" s="545"/>
      <c r="RKD31" s="545"/>
      <c r="RKE31" s="545"/>
      <c r="RKF31" s="545"/>
      <c r="RKG31" s="545"/>
      <c r="RKH31" s="545"/>
      <c r="RKI31" s="545"/>
      <c r="RKJ31" s="545"/>
      <c r="RKK31" s="545"/>
      <c r="RKL31" s="545"/>
      <c r="RKM31" s="545"/>
      <c r="RKN31" s="545"/>
      <c r="RKO31" s="545"/>
      <c r="RKP31" s="545"/>
      <c r="RKQ31" s="545"/>
      <c r="RKR31" s="545"/>
      <c r="RKS31" s="545"/>
      <c r="RKT31" s="545"/>
      <c r="RKU31" s="545"/>
      <c r="RKV31" s="545"/>
      <c r="RKW31" s="545"/>
      <c r="RKX31" s="545"/>
      <c r="RKY31" s="545"/>
      <c r="RKZ31" s="545"/>
      <c r="RLA31" s="545"/>
      <c r="RLB31" s="545"/>
      <c r="RLC31" s="545"/>
      <c r="RLD31" s="545"/>
      <c r="RLE31" s="545"/>
      <c r="RLF31" s="545"/>
      <c r="RLG31" s="545"/>
      <c r="RLH31" s="545"/>
      <c r="RLI31" s="545"/>
      <c r="RLJ31" s="545"/>
      <c r="RLK31" s="545"/>
      <c r="RLL31" s="545"/>
      <c r="RLM31" s="545"/>
      <c r="RLN31" s="545"/>
      <c r="RLO31" s="545"/>
      <c r="RLP31" s="545"/>
      <c r="RLQ31" s="545"/>
      <c r="RLR31" s="545"/>
      <c r="RLS31" s="545"/>
      <c r="RLT31" s="545"/>
      <c r="RLU31" s="545"/>
      <c r="RLV31" s="545"/>
      <c r="RLW31" s="545"/>
      <c r="RLX31" s="545"/>
      <c r="RLY31" s="545"/>
      <c r="RLZ31" s="545"/>
      <c r="RMA31" s="545"/>
      <c r="RMB31" s="545"/>
      <c r="RMC31" s="545"/>
      <c r="RMD31" s="545"/>
      <c r="RME31" s="545"/>
      <c r="RMF31" s="545"/>
      <c r="RMG31" s="545"/>
      <c r="RMH31" s="545"/>
      <c r="RMI31" s="545"/>
      <c r="RMJ31" s="545"/>
      <c r="RMK31" s="545"/>
      <c r="RML31" s="545"/>
      <c r="RMM31" s="545"/>
      <c r="RMN31" s="545"/>
      <c r="RMO31" s="545"/>
      <c r="RMP31" s="545"/>
      <c r="RMQ31" s="545"/>
      <c r="RMR31" s="545"/>
      <c r="RMS31" s="545"/>
      <c r="RMT31" s="545"/>
      <c r="RMU31" s="545"/>
      <c r="RMV31" s="545"/>
      <c r="RMW31" s="545"/>
      <c r="RMX31" s="545"/>
      <c r="RMY31" s="545"/>
      <c r="RMZ31" s="545"/>
      <c r="RNA31" s="545"/>
      <c r="RNB31" s="545"/>
      <c r="RNC31" s="545"/>
      <c r="RND31" s="545"/>
      <c r="RNE31" s="545"/>
      <c r="RNF31" s="545"/>
      <c r="RNG31" s="545"/>
      <c r="RNH31" s="545"/>
      <c r="RNI31" s="545"/>
      <c r="RNJ31" s="545"/>
      <c r="RNK31" s="545"/>
      <c r="RNL31" s="545"/>
      <c r="RNM31" s="545"/>
      <c r="RNN31" s="545"/>
      <c r="RNO31" s="545"/>
      <c r="RNP31" s="545"/>
      <c r="RNQ31" s="545"/>
      <c r="RNR31" s="545"/>
      <c r="RNS31" s="545"/>
      <c r="RNT31" s="545"/>
      <c r="RNU31" s="545"/>
      <c r="RNV31" s="545"/>
      <c r="RNW31" s="545"/>
      <c r="RNX31" s="545"/>
      <c r="RNY31" s="545"/>
      <c r="RNZ31" s="545"/>
      <c r="ROA31" s="545"/>
      <c r="ROB31" s="545"/>
      <c r="ROC31" s="545"/>
      <c r="ROD31" s="545"/>
      <c r="ROE31" s="545"/>
      <c r="ROF31" s="545"/>
      <c r="ROG31" s="545"/>
      <c r="ROH31" s="545"/>
      <c r="ROI31" s="545"/>
      <c r="ROJ31" s="545"/>
      <c r="ROK31" s="545"/>
      <c r="ROL31" s="545"/>
      <c r="ROM31" s="545"/>
      <c r="RON31" s="545"/>
      <c r="ROO31" s="545"/>
      <c r="ROP31" s="545"/>
      <c r="ROQ31" s="545"/>
      <c r="ROR31" s="545"/>
      <c r="ROS31" s="545"/>
      <c r="ROT31" s="545"/>
      <c r="ROU31" s="545"/>
      <c r="ROV31" s="545"/>
      <c r="ROW31" s="545"/>
      <c r="ROX31" s="545"/>
      <c r="ROY31" s="545"/>
      <c r="ROZ31" s="545"/>
      <c r="RPA31" s="545"/>
      <c r="RPB31" s="545"/>
      <c r="RPC31" s="545"/>
      <c r="RPD31" s="545"/>
      <c r="RPE31" s="545"/>
      <c r="RPF31" s="545"/>
      <c r="RPG31" s="545"/>
      <c r="RPH31" s="545"/>
      <c r="RPI31" s="545"/>
      <c r="RPJ31" s="545"/>
      <c r="RPK31" s="545"/>
      <c r="RPL31" s="545"/>
      <c r="RPM31" s="545"/>
      <c r="RPN31" s="545"/>
      <c r="RPO31" s="545"/>
      <c r="RPP31" s="545"/>
      <c r="RPQ31" s="545"/>
      <c r="RPR31" s="545"/>
      <c r="RPS31" s="545"/>
      <c r="RPT31" s="545"/>
      <c r="RPU31" s="545"/>
      <c r="RPV31" s="545"/>
      <c r="RPW31" s="545"/>
      <c r="RPX31" s="545"/>
      <c r="RPY31" s="545"/>
      <c r="RPZ31" s="545"/>
      <c r="RQA31" s="545"/>
      <c r="RQB31" s="545"/>
      <c r="RQC31" s="545"/>
      <c r="RQD31" s="545"/>
      <c r="RQE31" s="545"/>
      <c r="RQF31" s="545"/>
      <c r="RQG31" s="545"/>
      <c r="RQH31" s="545"/>
      <c r="RQI31" s="545"/>
      <c r="RQJ31" s="545"/>
      <c r="RQK31" s="545"/>
      <c r="RQL31" s="545"/>
      <c r="RQM31" s="545"/>
      <c r="RQN31" s="545"/>
      <c r="RQO31" s="545"/>
      <c r="RQP31" s="545"/>
      <c r="RQQ31" s="545"/>
      <c r="RQR31" s="545"/>
      <c r="RQS31" s="545"/>
      <c r="RQT31" s="545"/>
      <c r="RQU31" s="545"/>
      <c r="RQV31" s="545"/>
      <c r="RQW31" s="545"/>
      <c r="RQX31" s="545"/>
      <c r="RQY31" s="545"/>
      <c r="RQZ31" s="545"/>
      <c r="RRA31" s="545"/>
      <c r="RRB31" s="545"/>
      <c r="RRC31" s="545"/>
      <c r="RRD31" s="545"/>
      <c r="RRE31" s="545"/>
      <c r="RRF31" s="545"/>
      <c r="RRG31" s="545"/>
      <c r="RRH31" s="545"/>
      <c r="RRI31" s="545"/>
      <c r="RRJ31" s="545"/>
      <c r="RRK31" s="545"/>
      <c r="RRL31" s="545"/>
      <c r="RRM31" s="545"/>
      <c r="RRN31" s="545"/>
      <c r="RRO31" s="545"/>
      <c r="RRP31" s="545"/>
      <c r="RRQ31" s="545"/>
      <c r="RRR31" s="545"/>
      <c r="RRS31" s="545"/>
      <c r="RRT31" s="545"/>
      <c r="RRU31" s="545"/>
      <c r="RRV31" s="545"/>
      <c r="RRW31" s="545"/>
      <c r="RRX31" s="545"/>
      <c r="RRY31" s="545"/>
      <c r="RRZ31" s="545"/>
      <c r="RSA31" s="545"/>
      <c r="RSB31" s="545"/>
      <c r="RSC31" s="545"/>
      <c r="RSD31" s="545"/>
      <c r="RSE31" s="545"/>
      <c r="RSF31" s="545"/>
      <c r="RSG31" s="545"/>
      <c r="RSH31" s="545"/>
      <c r="RSI31" s="545"/>
      <c r="RSJ31" s="545"/>
      <c r="RSK31" s="545"/>
      <c r="RSL31" s="545"/>
      <c r="RSM31" s="545"/>
      <c r="RSN31" s="545"/>
      <c r="RSO31" s="545"/>
      <c r="RSP31" s="545"/>
      <c r="RSQ31" s="545"/>
      <c r="RSR31" s="545"/>
      <c r="RSS31" s="545"/>
      <c r="RST31" s="545"/>
      <c r="RSU31" s="545"/>
      <c r="RSV31" s="545"/>
      <c r="RSW31" s="545"/>
      <c r="RSX31" s="545"/>
      <c r="RSY31" s="545"/>
      <c r="RSZ31" s="545"/>
      <c r="RTA31" s="545"/>
      <c r="RTB31" s="545"/>
      <c r="RTC31" s="545"/>
      <c r="RTD31" s="545"/>
      <c r="RTE31" s="545"/>
      <c r="RTF31" s="545"/>
      <c r="RTG31" s="545"/>
      <c r="RTH31" s="545"/>
      <c r="RTI31" s="545"/>
      <c r="RTJ31" s="545"/>
      <c r="RTK31" s="545"/>
      <c r="RTL31" s="545"/>
      <c r="RTM31" s="545"/>
      <c r="RTN31" s="545"/>
      <c r="RTO31" s="545"/>
      <c r="RTP31" s="545"/>
      <c r="RTQ31" s="545"/>
      <c r="RTR31" s="545"/>
      <c r="RTS31" s="545"/>
      <c r="RTT31" s="545"/>
      <c r="RTU31" s="545"/>
      <c r="RTV31" s="545"/>
      <c r="RTW31" s="545"/>
      <c r="RTX31" s="545"/>
      <c r="RTY31" s="545"/>
      <c r="RTZ31" s="545"/>
      <c r="RUA31" s="545"/>
      <c r="RUB31" s="545"/>
      <c r="RUC31" s="545"/>
      <c r="RUD31" s="545"/>
      <c r="RUE31" s="545"/>
      <c r="RUF31" s="545"/>
      <c r="RUG31" s="545"/>
      <c r="RUH31" s="545"/>
      <c r="RUI31" s="545"/>
      <c r="RUJ31" s="545"/>
      <c r="RUK31" s="545"/>
      <c r="RUL31" s="545"/>
      <c r="RUM31" s="545"/>
      <c r="RUN31" s="545"/>
      <c r="RUO31" s="545"/>
      <c r="RUP31" s="545"/>
      <c r="RUQ31" s="545"/>
      <c r="RUR31" s="545"/>
      <c r="RUS31" s="545"/>
      <c r="RUT31" s="545"/>
      <c r="RUU31" s="545"/>
      <c r="RUV31" s="545"/>
      <c r="RUW31" s="545"/>
      <c r="RUX31" s="545"/>
      <c r="RUY31" s="545"/>
      <c r="RUZ31" s="545"/>
      <c r="RVA31" s="545"/>
      <c r="RVB31" s="545"/>
      <c r="RVC31" s="545"/>
      <c r="RVD31" s="545"/>
      <c r="RVE31" s="545"/>
      <c r="RVF31" s="545"/>
      <c r="RVG31" s="545"/>
      <c r="RVH31" s="545"/>
      <c r="RVI31" s="545"/>
      <c r="RVJ31" s="545"/>
      <c r="RVK31" s="545"/>
      <c r="RVL31" s="545"/>
      <c r="RVM31" s="545"/>
      <c r="RVN31" s="545"/>
      <c r="RVO31" s="545"/>
      <c r="RVP31" s="545"/>
      <c r="RVQ31" s="545"/>
      <c r="RVR31" s="545"/>
      <c r="RVS31" s="545"/>
      <c r="RVT31" s="545"/>
      <c r="RVU31" s="545"/>
      <c r="RVV31" s="545"/>
      <c r="RVW31" s="545"/>
      <c r="RVX31" s="545"/>
      <c r="RVY31" s="545"/>
      <c r="RVZ31" s="545"/>
      <c r="RWA31" s="545"/>
      <c r="RWB31" s="545"/>
      <c r="RWC31" s="545"/>
      <c r="RWD31" s="545"/>
      <c r="RWE31" s="545"/>
      <c r="RWF31" s="545"/>
      <c r="RWG31" s="545"/>
      <c r="RWH31" s="545"/>
      <c r="RWI31" s="545"/>
      <c r="RWJ31" s="545"/>
      <c r="RWK31" s="545"/>
      <c r="RWL31" s="545"/>
      <c r="RWM31" s="545"/>
      <c r="RWN31" s="545"/>
      <c r="RWO31" s="545"/>
      <c r="RWP31" s="545"/>
      <c r="RWQ31" s="545"/>
      <c r="RWR31" s="545"/>
      <c r="RWS31" s="545"/>
      <c r="RWT31" s="545"/>
      <c r="RWU31" s="545"/>
      <c r="RWV31" s="545"/>
      <c r="RWW31" s="545"/>
      <c r="RWX31" s="545"/>
      <c r="RWY31" s="545"/>
      <c r="RWZ31" s="545"/>
      <c r="RXA31" s="545"/>
      <c r="RXB31" s="545"/>
      <c r="RXC31" s="545"/>
      <c r="RXD31" s="545"/>
      <c r="RXE31" s="545"/>
      <c r="RXF31" s="545"/>
      <c r="RXG31" s="545"/>
      <c r="RXH31" s="545"/>
      <c r="RXI31" s="545"/>
      <c r="RXJ31" s="545"/>
      <c r="RXK31" s="545"/>
      <c r="RXL31" s="545"/>
      <c r="RXM31" s="545"/>
      <c r="RXN31" s="545"/>
      <c r="RXO31" s="545"/>
      <c r="RXP31" s="545"/>
      <c r="RXQ31" s="545"/>
      <c r="RXR31" s="545"/>
      <c r="RXS31" s="545"/>
      <c r="RXT31" s="545"/>
      <c r="RXU31" s="545"/>
      <c r="RXV31" s="545"/>
      <c r="RXW31" s="545"/>
      <c r="RXX31" s="545"/>
      <c r="RXY31" s="545"/>
      <c r="RXZ31" s="545"/>
      <c r="RYA31" s="545"/>
      <c r="RYB31" s="545"/>
      <c r="RYC31" s="545"/>
      <c r="RYD31" s="545"/>
      <c r="RYE31" s="545"/>
      <c r="RYF31" s="545"/>
      <c r="RYG31" s="545"/>
      <c r="RYH31" s="545"/>
      <c r="RYI31" s="545"/>
      <c r="RYJ31" s="545"/>
      <c r="RYK31" s="545"/>
      <c r="RYL31" s="545"/>
      <c r="RYM31" s="545"/>
      <c r="RYN31" s="545"/>
      <c r="RYO31" s="545"/>
      <c r="RYP31" s="545"/>
      <c r="RYQ31" s="545"/>
      <c r="RYR31" s="545"/>
      <c r="RYS31" s="545"/>
      <c r="RYT31" s="545"/>
      <c r="RYU31" s="545"/>
      <c r="RYV31" s="545"/>
      <c r="RYW31" s="545"/>
      <c r="RYX31" s="545"/>
      <c r="RYY31" s="545"/>
      <c r="RYZ31" s="545"/>
      <c r="RZA31" s="545"/>
      <c r="RZB31" s="545"/>
      <c r="RZC31" s="545"/>
      <c r="RZD31" s="545"/>
      <c r="RZE31" s="545"/>
      <c r="RZF31" s="545"/>
      <c r="RZG31" s="545"/>
      <c r="RZH31" s="545"/>
      <c r="RZI31" s="545"/>
      <c r="RZJ31" s="545"/>
      <c r="RZK31" s="545"/>
      <c r="RZL31" s="545"/>
      <c r="RZM31" s="545"/>
      <c r="RZN31" s="545"/>
      <c r="RZO31" s="545"/>
      <c r="RZP31" s="545"/>
      <c r="RZQ31" s="545"/>
      <c r="RZR31" s="545"/>
      <c r="RZS31" s="545"/>
      <c r="RZT31" s="545"/>
      <c r="RZU31" s="545"/>
      <c r="RZV31" s="545"/>
      <c r="RZW31" s="545"/>
      <c r="RZX31" s="545"/>
      <c r="RZY31" s="545"/>
      <c r="RZZ31" s="545"/>
      <c r="SAA31" s="545"/>
      <c r="SAB31" s="545"/>
      <c r="SAC31" s="545"/>
      <c r="SAD31" s="545"/>
      <c r="SAE31" s="545"/>
      <c r="SAF31" s="545"/>
      <c r="SAG31" s="545"/>
      <c r="SAH31" s="545"/>
      <c r="SAI31" s="545"/>
      <c r="SAJ31" s="545"/>
      <c r="SAK31" s="545"/>
      <c r="SAL31" s="545"/>
      <c r="SAM31" s="545"/>
      <c r="SAN31" s="545"/>
      <c r="SAO31" s="545"/>
      <c r="SAP31" s="545"/>
      <c r="SAQ31" s="545"/>
      <c r="SAR31" s="545"/>
      <c r="SAS31" s="545"/>
      <c r="SAT31" s="545"/>
      <c r="SAU31" s="545"/>
      <c r="SAV31" s="545"/>
      <c r="SAW31" s="545"/>
      <c r="SAX31" s="545"/>
      <c r="SAY31" s="545"/>
      <c r="SAZ31" s="545"/>
      <c r="SBA31" s="545"/>
      <c r="SBB31" s="545"/>
      <c r="SBC31" s="545"/>
      <c r="SBD31" s="545"/>
      <c r="SBE31" s="545"/>
      <c r="SBF31" s="545"/>
      <c r="SBG31" s="545"/>
      <c r="SBH31" s="545"/>
      <c r="SBI31" s="545"/>
      <c r="SBJ31" s="545"/>
      <c r="SBK31" s="545"/>
      <c r="SBL31" s="545"/>
      <c r="SBM31" s="545"/>
      <c r="SBN31" s="545"/>
      <c r="SBO31" s="545"/>
      <c r="SBP31" s="545"/>
      <c r="SBQ31" s="545"/>
      <c r="SBR31" s="545"/>
      <c r="SBS31" s="545"/>
      <c r="SBT31" s="545"/>
      <c r="SBU31" s="545"/>
      <c r="SBV31" s="545"/>
      <c r="SBW31" s="545"/>
      <c r="SBX31" s="545"/>
      <c r="SBY31" s="545"/>
      <c r="SBZ31" s="545"/>
      <c r="SCA31" s="545"/>
      <c r="SCB31" s="545"/>
      <c r="SCC31" s="545"/>
      <c r="SCD31" s="545"/>
      <c r="SCE31" s="545"/>
      <c r="SCF31" s="545"/>
      <c r="SCG31" s="545"/>
      <c r="SCH31" s="545"/>
      <c r="SCI31" s="545"/>
      <c r="SCJ31" s="545"/>
      <c r="SCK31" s="545"/>
      <c r="SCL31" s="545"/>
      <c r="SCM31" s="545"/>
      <c r="SCN31" s="545"/>
      <c r="SCO31" s="545"/>
      <c r="SCP31" s="545"/>
      <c r="SCQ31" s="545"/>
      <c r="SCR31" s="545"/>
      <c r="SCS31" s="545"/>
      <c r="SCT31" s="545"/>
      <c r="SCU31" s="545"/>
      <c r="SCV31" s="545"/>
      <c r="SCW31" s="545"/>
      <c r="SCX31" s="545"/>
      <c r="SCY31" s="545"/>
      <c r="SCZ31" s="545"/>
      <c r="SDA31" s="545"/>
      <c r="SDB31" s="545"/>
      <c r="SDC31" s="545"/>
      <c r="SDD31" s="545"/>
      <c r="SDE31" s="545"/>
      <c r="SDF31" s="545"/>
      <c r="SDG31" s="545"/>
      <c r="SDH31" s="545"/>
      <c r="SDI31" s="545"/>
      <c r="SDJ31" s="545"/>
      <c r="SDK31" s="545"/>
      <c r="SDL31" s="545"/>
      <c r="SDM31" s="545"/>
      <c r="SDN31" s="545"/>
      <c r="SDO31" s="545"/>
      <c r="SDP31" s="545"/>
      <c r="SDQ31" s="545"/>
      <c r="SDR31" s="545"/>
      <c r="SDS31" s="545"/>
      <c r="SDT31" s="545"/>
      <c r="SDU31" s="545"/>
      <c r="SDV31" s="545"/>
      <c r="SDW31" s="545"/>
      <c r="SDX31" s="545"/>
      <c r="SDY31" s="545"/>
      <c r="SDZ31" s="545"/>
      <c r="SEA31" s="545"/>
      <c r="SEB31" s="545"/>
      <c r="SEC31" s="545"/>
      <c r="SED31" s="545"/>
      <c r="SEE31" s="545"/>
      <c r="SEF31" s="545"/>
      <c r="SEG31" s="545"/>
      <c r="SEH31" s="545"/>
      <c r="SEI31" s="545"/>
      <c r="SEJ31" s="545"/>
      <c r="SEK31" s="545"/>
      <c r="SEL31" s="545"/>
      <c r="SEM31" s="545"/>
      <c r="SEN31" s="545"/>
      <c r="SEO31" s="545"/>
      <c r="SEP31" s="545"/>
      <c r="SEQ31" s="545"/>
      <c r="SER31" s="545"/>
      <c r="SES31" s="545"/>
      <c r="SET31" s="545"/>
      <c r="SEU31" s="545"/>
      <c r="SEV31" s="545"/>
      <c r="SEW31" s="545"/>
      <c r="SEX31" s="545"/>
      <c r="SEY31" s="545"/>
      <c r="SEZ31" s="545"/>
      <c r="SFA31" s="545"/>
      <c r="SFB31" s="545"/>
      <c r="SFC31" s="545"/>
      <c r="SFD31" s="545"/>
      <c r="SFE31" s="545"/>
      <c r="SFF31" s="545"/>
      <c r="SFG31" s="545"/>
      <c r="SFH31" s="545"/>
      <c r="SFI31" s="545"/>
      <c r="SFJ31" s="545"/>
      <c r="SFK31" s="545"/>
      <c r="SFL31" s="545"/>
      <c r="SFM31" s="545"/>
      <c r="SFN31" s="545"/>
      <c r="SFO31" s="545"/>
      <c r="SFP31" s="545"/>
      <c r="SFQ31" s="545"/>
      <c r="SFR31" s="545"/>
      <c r="SFS31" s="545"/>
      <c r="SFT31" s="545"/>
      <c r="SFU31" s="545"/>
      <c r="SFV31" s="545"/>
      <c r="SFW31" s="545"/>
      <c r="SFX31" s="545"/>
      <c r="SFY31" s="545"/>
      <c r="SFZ31" s="545"/>
      <c r="SGA31" s="545"/>
      <c r="SGB31" s="545"/>
      <c r="SGC31" s="545"/>
      <c r="SGD31" s="545"/>
      <c r="SGE31" s="545"/>
      <c r="SGF31" s="545"/>
      <c r="SGG31" s="545"/>
      <c r="SGH31" s="545"/>
      <c r="SGI31" s="545"/>
      <c r="SGJ31" s="545"/>
      <c r="SGK31" s="545"/>
      <c r="SGL31" s="545"/>
      <c r="SGM31" s="545"/>
      <c r="SGN31" s="545"/>
      <c r="SGO31" s="545"/>
      <c r="SGP31" s="545"/>
      <c r="SGQ31" s="545"/>
      <c r="SGR31" s="545"/>
      <c r="SGS31" s="545"/>
      <c r="SGT31" s="545"/>
      <c r="SGU31" s="545"/>
      <c r="SGV31" s="545"/>
      <c r="SGW31" s="545"/>
      <c r="SGX31" s="545"/>
      <c r="SGY31" s="545"/>
      <c r="SGZ31" s="545"/>
      <c r="SHA31" s="545"/>
      <c r="SHB31" s="545"/>
      <c r="SHC31" s="545"/>
      <c r="SHD31" s="545"/>
      <c r="SHE31" s="545"/>
      <c r="SHF31" s="545"/>
      <c r="SHG31" s="545"/>
      <c r="SHH31" s="545"/>
      <c r="SHI31" s="545"/>
      <c r="SHJ31" s="545"/>
      <c r="SHK31" s="545"/>
      <c r="SHL31" s="545"/>
      <c r="SHM31" s="545"/>
      <c r="SHN31" s="545"/>
      <c r="SHO31" s="545"/>
      <c r="SHP31" s="545"/>
      <c r="SHQ31" s="545"/>
      <c r="SHR31" s="545"/>
      <c r="SHS31" s="545"/>
      <c r="SHT31" s="545"/>
      <c r="SHU31" s="545"/>
      <c r="SHV31" s="545"/>
      <c r="SHW31" s="545"/>
      <c r="SHX31" s="545"/>
      <c r="SHY31" s="545"/>
      <c r="SHZ31" s="545"/>
      <c r="SIA31" s="545"/>
      <c r="SIB31" s="545"/>
      <c r="SIC31" s="545"/>
      <c r="SID31" s="545"/>
      <c r="SIE31" s="545"/>
      <c r="SIF31" s="545"/>
      <c r="SIG31" s="545"/>
      <c r="SIH31" s="545"/>
      <c r="SII31" s="545"/>
      <c r="SIJ31" s="545"/>
      <c r="SIK31" s="545"/>
      <c r="SIL31" s="545"/>
      <c r="SIM31" s="545"/>
      <c r="SIN31" s="545"/>
      <c r="SIO31" s="545"/>
      <c r="SIP31" s="545"/>
      <c r="SIQ31" s="545"/>
      <c r="SIR31" s="545"/>
      <c r="SIS31" s="545"/>
      <c r="SIT31" s="545"/>
      <c r="SIU31" s="545"/>
      <c r="SIV31" s="545"/>
      <c r="SIW31" s="545"/>
      <c r="SIX31" s="545"/>
      <c r="SIY31" s="545"/>
      <c r="SIZ31" s="545"/>
      <c r="SJA31" s="545"/>
      <c r="SJB31" s="545"/>
      <c r="SJC31" s="545"/>
      <c r="SJD31" s="545"/>
      <c r="SJE31" s="545"/>
      <c r="SJF31" s="545"/>
      <c r="SJG31" s="545"/>
      <c r="SJH31" s="545"/>
      <c r="SJI31" s="545"/>
      <c r="SJJ31" s="545"/>
      <c r="SJK31" s="545"/>
      <c r="SJL31" s="545"/>
      <c r="SJM31" s="545"/>
      <c r="SJN31" s="545"/>
      <c r="SJO31" s="545"/>
      <c r="SJP31" s="545"/>
      <c r="SJQ31" s="545"/>
      <c r="SJR31" s="545"/>
      <c r="SJS31" s="545"/>
      <c r="SJT31" s="545"/>
      <c r="SJU31" s="545"/>
      <c r="SJV31" s="545"/>
      <c r="SJW31" s="545"/>
      <c r="SJX31" s="545"/>
      <c r="SJY31" s="545"/>
      <c r="SJZ31" s="545"/>
      <c r="SKA31" s="545"/>
      <c r="SKB31" s="545"/>
      <c r="SKC31" s="545"/>
      <c r="SKD31" s="545"/>
      <c r="SKE31" s="545"/>
      <c r="SKF31" s="545"/>
      <c r="SKG31" s="545"/>
      <c r="SKH31" s="545"/>
      <c r="SKI31" s="545"/>
      <c r="SKJ31" s="545"/>
      <c r="SKK31" s="545"/>
      <c r="SKL31" s="545"/>
      <c r="SKM31" s="545"/>
      <c r="SKN31" s="545"/>
      <c r="SKO31" s="545"/>
      <c r="SKP31" s="545"/>
      <c r="SKQ31" s="545"/>
      <c r="SKR31" s="545"/>
      <c r="SKS31" s="545"/>
      <c r="SKT31" s="545"/>
      <c r="SKU31" s="545"/>
      <c r="SKV31" s="545"/>
      <c r="SKW31" s="545"/>
      <c r="SKX31" s="545"/>
      <c r="SKY31" s="545"/>
      <c r="SKZ31" s="545"/>
      <c r="SLA31" s="545"/>
      <c r="SLB31" s="545"/>
      <c r="SLC31" s="545"/>
      <c r="SLD31" s="545"/>
      <c r="SLE31" s="545"/>
      <c r="SLF31" s="545"/>
      <c r="SLG31" s="545"/>
      <c r="SLH31" s="545"/>
      <c r="SLI31" s="545"/>
      <c r="SLJ31" s="545"/>
      <c r="SLK31" s="545"/>
      <c r="SLL31" s="545"/>
      <c r="SLM31" s="545"/>
      <c r="SLN31" s="545"/>
      <c r="SLO31" s="545"/>
      <c r="SLP31" s="545"/>
      <c r="SLQ31" s="545"/>
      <c r="SLR31" s="545"/>
      <c r="SLS31" s="545"/>
      <c r="SLT31" s="545"/>
      <c r="SLU31" s="545"/>
      <c r="SLV31" s="545"/>
      <c r="SLW31" s="545"/>
      <c r="SLX31" s="545"/>
      <c r="SLY31" s="545"/>
      <c r="SLZ31" s="545"/>
      <c r="SMA31" s="545"/>
      <c r="SMB31" s="545"/>
      <c r="SMC31" s="545"/>
      <c r="SMD31" s="545"/>
      <c r="SME31" s="545"/>
      <c r="SMF31" s="545"/>
      <c r="SMG31" s="545"/>
      <c r="SMH31" s="545"/>
      <c r="SMI31" s="545"/>
      <c r="SMJ31" s="545"/>
      <c r="SMK31" s="545"/>
      <c r="SML31" s="545"/>
      <c r="SMM31" s="545"/>
      <c r="SMN31" s="545"/>
      <c r="SMO31" s="545"/>
      <c r="SMP31" s="545"/>
      <c r="SMQ31" s="545"/>
      <c r="SMR31" s="545"/>
      <c r="SMS31" s="545"/>
      <c r="SMT31" s="545"/>
      <c r="SMU31" s="545"/>
      <c r="SMV31" s="545"/>
      <c r="SMW31" s="545"/>
      <c r="SMX31" s="545"/>
      <c r="SMY31" s="545"/>
      <c r="SMZ31" s="545"/>
      <c r="SNA31" s="545"/>
      <c r="SNB31" s="545"/>
      <c r="SNC31" s="545"/>
      <c r="SND31" s="545"/>
      <c r="SNE31" s="545"/>
      <c r="SNF31" s="545"/>
      <c r="SNG31" s="545"/>
      <c r="SNH31" s="545"/>
      <c r="SNI31" s="545"/>
      <c r="SNJ31" s="545"/>
      <c r="SNK31" s="545"/>
      <c r="SNL31" s="545"/>
      <c r="SNM31" s="545"/>
      <c r="SNN31" s="545"/>
      <c r="SNO31" s="545"/>
      <c r="SNP31" s="545"/>
      <c r="SNQ31" s="545"/>
      <c r="SNR31" s="545"/>
      <c r="SNS31" s="545"/>
      <c r="SNT31" s="545"/>
      <c r="SNU31" s="545"/>
      <c r="SNV31" s="545"/>
      <c r="SNW31" s="545"/>
      <c r="SNX31" s="545"/>
      <c r="SNY31" s="545"/>
      <c r="SNZ31" s="545"/>
      <c r="SOA31" s="545"/>
      <c r="SOB31" s="545"/>
      <c r="SOC31" s="545"/>
      <c r="SOD31" s="545"/>
      <c r="SOE31" s="545"/>
      <c r="SOF31" s="545"/>
      <c r="SOG31" s="545"/>
      <c r="SOH31" s="545"/>
      <c r="SOI31" s="545"/>
      <c r="SOJ31" s="545"/>
      <c r="SOK31" s="545"/>
      <c r="SOL31" s="545"/>
      <c r="SOM31" s="545"/>
      <c r="SON31" s="545"/>
      <c r="SOO31" s="545"/>
      <c r="SOP31" s="545"/>
      <c r="SOQ31" s="545"/>
      <c r="SOR31" s="545"/>
      <c r="SOS31" s="545"/>
      <c r="SOT31" s="545"/>
      <c r="SOU31" s="545"/>
      <c r="SOV31" s="545"/>
      <c r="SOW31" s="545"/>
      <c r="SOX31" s="545"/>
      <c r="SOY31" s="545"/>
      <c r="SOZ31" s="545"/>
      <c r="SPA31" s="545"/>
      <c r="SPB31" s="545"/>
      <c r="SPC31" s="545"/>
      <c r="SPD31" s="545"/>
      <c r="SPE31" s="545"/>
      <c r="SPF31" s="545"/>
      <c r="SPG31" s="545"/>
      <c r="SPH31" s="545"/>
      <c r="SPI31" s="545"/>
      <c r="SPJ31" s="545"/>
      <c r="SPK31" s="545"/>
      <c r="SPL31" s="545"/>
      <c r="SPM31" s="545"/>
      <c r="SPN31" s="545"/>
      <c r="SPO31" s="545"/>
      <c r="SPP31" s="545"/>
      <c r="SPQ31" s="545"/>
      <c r="SPR31" s="545"/>
      <c r="SPS31" s="545"/>
      <c r="SPT31" s="545"/>
      <c r="SPU31" s="545"/>
      <c r="SPV31" s="545"/>
      <c r="SPW31" s="545"/>
      <c r="SPX31" s="545"/>
      <c r="SPY31" s="545"/>
      <c r="SPZ31" s="545"/>
      <c r="SQA31" s="545"/>
      <c r="SQB31" s="545"/>
      <c r="SQC31" s="545"/>
      <c r="SQD31" s="545"/>
      <c r="SQE31" s="545"/>
      <c r="SQF31" s="545"/>
      <c r="SQG31" s="545"/>
      <c r="SQH31" s="545"/>
      <c r="SQI31" s="545"/>
      <c r="SQJ31" s="545"/>
      <c r="SQK31" s="545"/>
      <c r="SQL31" s="545"/>
      <c r="SQM31" s="545"/>
      <c r="SQN31" s="545"/>
      <c r="SQO31" s="545"/>
      <c r="SQP31" s="545"/>
      <c r="SQQ31" s="545"/>
      <c r="SQR31" s="545"/>
      <c r="SQS31" s="545"/>
      <c r="SQT31" s="545"/>
      <c r="SQU31" s="545"/>
      <c r="SQV31" s="545"/>
      <c r="SQW31" s="545"/>
      <c r="SQX31" s="545"/>
      <c r="SQY31" s="545"/>
      <c r="SQZ31" s="545"/>
      <c r="SRA31" s="545"/>
      <c r="SRB31" s="545"/>
      <c r="SRC31" s="545"/>
      <c r="SRD31" s="545"/>
      <c r="SRE31" s="545"/>
      <c r="SRF31" s="545"/>
      <c r="SRG31" s="545"/>
      <c r="SRH31" s="545"/>
      <c r="SRI31" s="545"/>
      <c r="SRJ31" s="545"/>
      <c r="SRK31" s="545"/>
      <c r="SRL31" s="545"/>
      <c r="SRM31" s="545"/>
      <c r="SRN31" s="545"/>
      <c r="SRO31" s="545"/>
      <c r="SRP31" s="545"/>
      <c r="SRQ31" s="545"/>
      <c r="SRR31" s="545"/>
      <c r="SRS31" s="545"/>
      <c r="SRT31" s="545"/>
      <c r="SRU31" s="545"/>
      <c r="SRV31" s="545"/>
      <c r="SRW31" s="545"/>
      <c r="SRX31" s="545"/>
      <c r="SRY31" s="545"/>
      <c r="SRZ31" s="545"/>
      <c r="SSA31" s="545"/>
      <c r="SSB31" s="545"/>
      <c r="SSC31" s="545"/>
      <c r="SSD31" s="545"/>
      <c r="SSE31" s="545"/>
      <c r="SSF31" s="545"/>
      <c r="SSG31" s="545"/>
      <c r="SSH31" s="545"/>
      <c r="SSI31" s="545"/>
      <c r="SSJ31" s="545"/>
      <c r="SSK31" s="545"/>
      <c r="SSL31" s="545"/>
      <c r="SSM31" s="545"/>
      <c r="SSN31" s="545"/>
      <c r="SSO31" s="545"/>
      <c r="SSP31" s="545"/>
      <c r="SSQ31" s="545"/>
      <c r="SSR31" s="545"/>
      <c r="SSS31" s="545"/>
      <c r="SST31" s="545"/>
      <c r="SSU31" s="545"/>
      <c r="SSV31" s="545"/>
      <c r="SSW31" s="545"/>
      <c r="SSX31" s="545"/>
      <c r="SSY31" s="545"/>
      <c r="SSZ31" s="545"/>
      <c r="STA31" s="545"/>
      <c r="STB31" s="545"/>
      <c r="STC31" s="545"/>
      <c r="STD31" s="545"/>
      <c r="STE31" s="545"/>
      <c r="STF31" s="545"/>
      <c r="STG31" s="545"/>
      <c r="STH31" s="545"/>
      <c r="STI31" s="545"/>
      <c r="STJ31" s="545"/>
      <c r="STK31" s="545"/>
      <c r="STL31" s="545"/>
      <c r="STM31" s="545"/>
      <c r="STN31" s="545"/>
      <c r="STO31" s="545"/>
      <c r="STP31" s="545"/>
      <c r="STQ31" s="545"/>
      <c r="STR31" s="545"/>
      <c r="STS31" s="545"/>
      <c r="STT31" s="545"/>
      <c r="STU31" s="545"/>
      <c r="STV31" s="545"/>
      <c r="STW31" s="545"/>
      <c r="STX31" s="545"/>
      <c r="STY31" s="545"/>
      <c r="STZ31" s="545"/>
      <c r="SUA31" s="545"/>
      <c r="SUB31" s="545"/>
      <c r="SUC31" s="545"/>
      <c r="SUD31" s="545"/>
      <c r="SUE31" s="545"/>
      <c r="SUF31" s="545"/>
      <c r="SUG31" s="545"/>
      <c r="SUH31" s="545"/>
      <c r="SUI31" s="545"/>
      <c r="SUJ31" s="545"/>
      <c r="SUK31" s="545"/>
      <c r="SUL31" s="545"/>
      <c r="SUM31" s="545"/>
      <c r="SUN31" s="545"/>
      <c r="SUO31" s="545"/>
      <c r="SUP31" s="545"/>
      <c r="SUQ31" s="545"/>
      <c r="SUR31" s="545"/>
      <c r="SUS31" s="545"/>
      <c r="SUT31" s="545"/>
      <c r="SUU31" s="545"/>
      <c r="SUV31" s="545"/>
      <c r="SUW31" s="545"/>
      <c r="SUX31" s="545"/>
      <c r="SUY31" s="545"/>
      <c r="SUZ31" s="545"/>
      <c r="SVA31" s="545"/>
      <c r="SVB31" s="545"/>
      <c r="SVC31" s="545"/>
      <c r="SVD31" s="545"/>
      <c r="SVE31" s="545"/>
      <c r="SVF31" s="545"/>
      <c r="SVG31" s="545"/>
      <c r="SVH31" s="545"/>
      <c r="SVI31" s="545"/>
      <c r="SVJ31" s="545"/>
      <c r="SVK31" s="545"/>
      <c r="SVL31" s="545"/>
      <c r="SVM31" s="545"/>
      <c r="SVN31" s="545"/>
      <c r="SVO31" s="545"/>
      <c r="SVP31" s="545"/>
      <c r="SVQ31" s="545"/>
      <c r="SVR31" s="545"/>
      <c r="SVS31" s="545"/>
      <c r="SVT31" s="545"/>
      <c r="SVU31" s="545"/>
      <c r="SVV31" s="545"/>
      <c r="SVW31" s="545"/>
      <c r="SVX31" s="545"/>
      <c r="SVY31" s="545"/>
      <c r="SVZ31" s="545"/>
      <c r="SWA31" s="545"/>
      <c r="SWB31" s="545"/>
      <c r="SWC31" s="545"/>
      <c r="SWD31" s="545"/>
      <c r="SWE31" s="545"/>
      <c r="SWF31" s="545"/>
      <c r="SWG31" s="545"/>
      <c r="SWH31" s="545"/>
      <c r="SWI31" s="545"/>
      <c r="SWJ31" s="545"/>
      <c r="SWK31" s="545"/>
      <c r="SWL31" s="545"/>
      <c r="SWM31" s="545"/>
      <c r="SWN31" s="545"/>
      <c r="SWO31" s="545"/>
      <c r="SWP31" s="545"/>
      <c r="SWQ31" s="545"/>
      <c r="SWR31" s="545"/>
      <c r="SWS31" s="545"/>
      <c r="SWT31" s="545"/>
      <c r="SWU31" s="545"/>
      <c r="SWV31" s="545"/>
      <c r="SWW31" s="545"/>
      <c r="SWX31" s="545"/>
      <c r="SWY31" s="545"/>
      <c r="SWZ31" s="545"/>
      <c r="SXA31" s="545"/>
      <c r="SXB31" s="545"/>
      <c r="SXC31" s="545"/>
      <c r="SXD31" s="545"/>
      <c r="SXE31" s="545"/>
      <c r="SXF31" s="545"/>
      <c r="SXG31" s="545"/>
      <c r="SXH31" s="545"/>
      <c r="SXI31" s="545"/>
      <c r="SXJ31" s="545"/>
      <c r="SXK31" s="545"/>
      <c r="SXL31" s="545"/>
      <c r="SXM31" s="545"/>
      <c r="SXN31" s="545"/>
      <c r="SXO31" s="545"/>
      <c r="SXP31" s="545"/>
      <c r="SXQ31" s="545"/>
      <c r="SXR31" s="545"/>
      <c r="SXS31" s="545"/>
      <c r="SXT31" s="545"/>
      <c r="SXU31" s="545"/>
      <c r="SXV31" s="545"/>
      <c r="SXW31" s="545"/>
      <c r="SXX31" s="545"/>
      <c r="SXY31" s="545"/>
      <c r="SXZ31" s="545"/>
      <c r="SYA31" s="545"/>
      <c r="SYB31" s="545"/>
      <c r="SYC31" s="545"/>
      <c r="SYD31" s="545"/>
      <c r="SYE31" s="545"/>
      <c r="SYF31" s="545"/>
      <c r="SYG31" s="545"/>
      <c r="SYH31" s="545"/>
      <c r="SYI31" s="545"/>
      <c r="SYJ31" s="545"/>
      <c r="SYK31" s="545"/>
      <c r="SYL31" s="545"/>
      <c r="SYM31" s="545"/>
      <c r="SYN31" s="545"/>
      <c r="SYO31" s="545"/>
      <c r="SYP31" s="545"/>
      <c r="SYQ31" s="545"/>
      <c r="SYR31" s="545"/>
      <c r="SYS31" s="545"/>
      <c r="SYT31" s="545"/>
      <c r="SYU31" s="545"/>
      <c r="SYV31" s="545"/>
      <c r="SYW31" s="545"/>
      <c r="SYX31" s="545"/>
      <c r="SYY31" s="545"/>
      <c r="SYZ31" s="545"/>
      <c r="SZA31" s="545"/>
      <c r="SZB31" s="545"/>
      <c r="SZC31" s="545"/>
      <c r="SZD31" s="545"/>
      <c r="SZE31" s="545"/>
      <c r="SZF31" s="545"/>
      <c r="SZG31" s="545"/>
      <c r="SZH31" s="545"/>
      <c r="SZI31" s="545"/>
      <c r="SZJ31" s="545"/>
      <c r="SZK31" s="545"/>
      <c r="SZL31" s="545"/>
      <c r="SZM31" s="545"/>
      <c r="SZN31" s="545"/>
      <c r="SZO31" s="545"/>
      <c r="SZP31" s="545"/>
      <c r="SZQ31" s="545"/>
      <c r="SZR31" s="545"/>
      <c r="SZS31" s="545"/>
      <c r="SZT31" s="545"/>
      <c r="SZU31" s="545"/>
      <c r="SZV31" s="545"/>
      <c r="SZW31" s="545"/>
      <c r="SZX31" s="545"/>
      <c r="SZY31" s="545"/>
      <c r="SZZ31" s="545"/>
      <c r="TAA31" s="545"/>
      <c r="TAB31" s="545"/>
      <c r="TAC31" s="545"/>
      <c r="TAD31" s="545"/>
      <c r="TAE31" s="545"/>
      <c r="TAF31" s="545"/>
      <c r="TAG31" s="545"/>
      <c r="TAH31" s="545"/>
      <c r="TAI31" s="545"/>
      <c r="TAJ31" s="545"/>
      <c r="TAK31" s="545"/>
      <c r="TAL31" s="545"/>
      <c r="TAM31" s="545"/>
      <c r="TAN31" s="545"/>
      <c r="TAO31" s="545"/>
      <c r="TAP31" s="545"/>
      <c r="TAQ31" s="545"/>
      <c r="TAR31" s="545"/>
      <c r="TAS31" s="545"/>
      <c r="TAT31" s="545"/>
      <c r="TAU31" s="545"/>
      <c r="TAV31" s="545"/>
      <c r="TAW31" s="545"/>
      <c r="TAX31" s="545"/>
      <c r="TAY31" s="545"/>
      <c r="TAZ31" s="545"/>
      <c r="TBA31" s="545"/>
      <c r="TBB31" s="545"/>
      <c r="TBC31" s="545"/>
      <c r="TBD31" s="545"/>
      <c r="TBE31" s="545"/>
      <c r="TBF31" s="545"/>
      <c r="TBG31" s="545"/>
      <c r="TBH31" s="545"/>
      <c r="TBI31" s="545"/>
      <c r="TBJ31" s="545"/>
      <c r="TBK31" s="545"/>
      <c r="TBL31" s="545"/>
      <c r="TBM31" s="545"/>
      <c r="TBN31" s="545"/>
      <c r="TBO31" s="545"/>
      <c r="TBP31" s="545"/>
      <c r="TBQ31" s="545"/>
      <c r="TBR31" s="545"/>
      <c r="TBS31" s="545"/>
      <c r="TBT31" s="545"/>
      <c r="TBU31" s="545"/>
      <c r="TBV31" s="545"/>
      <c r="TBW31" s="545"/>
      <c r="TBX31" s="545"/>
      <c r="TBY31" s="545"/>
      <c r="TBZ31" s="545"/>
      <c r="TCA31" s="545"/>
      <c r="TCB31" s="545"/>
      <c r="TCC31" s="545"/>
      <c r="TCD31" s="545"/>
      <c r="TCE31" s="545"/>
      <c r="TCF31" s="545"/>
      <c r="TCG31" s="545"/>
      <c r="TCH31" s="545"/>
      <c r="TCI31" s="545"/>
      <c r="TCJ31" s="545"/>
      <c r="TCK31" s="545"/>
      <c r="TCL31" s="545"/>
      <c r="TCM31" s="545"/>
      <c r="TCN31" s="545"/>
      <c r="TCO31" s="545"/>
      <c r="TCP31" s="545"/>
      <c r="TCQ31" s="545"/>
      <c r="TCR31" s="545"/>
      <c r="TCS31" s="545"/>
      <c r="TCT31" s="545"/>
      <c r="TCU31" s="545"/>
      <c r="TCV31" s="545"/>
      <c r="TCW31" s="545"/>
      <c r="TCX31" s="545"/>
      <c r="TCY31" s="545"/>
      <c r="TCZ31" s="545"/>
      <c r="TDA31" s="545"/>
      <c r="TDB31" s="545"/>
      <c r="TDC31" s="545"/>
      <c r="TDD31" s="545"/>
      <c r="TDE31" s="545"/>
      <c r="TDF31" s="545"/>
      <c r="TDG31" s="545"/>
      <c r="TDH31" s="545"/>
      <c r="TDI31" s="545"/>
      <c r="TDJ31" s="545"/>
      <c r="TDK31" s="545"/>
      <c r="TDL31" s="545"/>
      <c r="TDM31" s="545"/>
      <c r="TDN31" s="545"/>
      <c r="TDO31" s="545"/>
      <c r="TDP31" s="545"/>
      <c r="TDQ31" s="545"/>
      <c r="TDR31" s="545"/>
      <c r="TDS31" s="545"/>
      <c r="TDT31" s="545"/>
      <c r="TDU31" s="545"/>
      <c r="TDV31" s="545"/>
      <c r="TDW31" s="545"/>
      <c r="TDX31" s="545"/>
      <c r="TDY31" s="545"/>
      <c r="TDZ31" s="545"/>
      <c r="TEA31" s="545"/>
      <c r="TEB31" s="545"/>
      <c r="TEC31" s="545"/>
      <c r="TED31" s="545"/>
      <c r="TEE31" s="545"/>
      <c r="TEF31" s="545"/>
      <c r="TEG31" s="545"/>
      <c r="TEH31" s="545"/>
      <c r="TEI31" s="545"/>
      <c r="TEJ31" s="545"/>
      <c r="TEK31" s="545"/>
      <c r="TEL31" s="545"/>
      <c r="TEM31" s="545"/>
      <c r="TEN31" s="545"/>
      <c r="TEO31" s="545"/>
      <c r="TEP31" s="545"/>
      <c r="TEQ31" s="545"/>
      <c r="TER31" s="545"/>
      <c r="TES31" s="545"/>
      <c r="TET31" s="545"/>
      <c r="TEU31" s="545"/>
      <c r="TEV31" s="545"/>
      <c r="TEW31" s="545"/>
      <c r="TEX31" s="545"/>
      <c r="TEY31" s="545"/>
      <c r="TEZ31" s="545"/>
      <c r="TFA31" s="545"/>
      <c r="TFB31" s="545"/>
      <c r="TFC31" s="545"/>
      <c r="TFD31" s="545"/>
      <c r="TFE31" s="545"/>
      <c r="TFF31" s="545"/>
      <c r="TFG31" s="545"/>
      <c r="TFH31" s="545"/>
      <c r="TFI31" s="545"/>
      <c r="TFJ31" s="545"/>
      <c r="TFK31" s="545"/>
      <c r="TFL31" s="545"/>
      <c r="TFM31" s="545"/>
      <c r="TFN31" s="545"/>
      <c r="TFO31" s="545"/>
      <c r="TFP31" s="545"/>
      <c r="TFQ31" s="545"/>
      <c r="TFR31" s="545"/>
      <c r="TFS31" s="545"/>
      <c r="TFT31" s="545"/>
      <c r="TFU31" s="545"/>
      <c r="TFV31" s="545"/>
      <c r="TFW31" s="545"/>
      <c r="TFX31" s="545"/>
      <c r="TFY31" s="545"/>
      <c r="TFZ31" s="545"/>
      <c r="TGA31" s="545"/>
      <c r="TGB31" s="545"/>
      <c r="TGC31" s="545"/>
      <c r="TGD31" s="545"/>
      <c r="TGE31" s="545"/>
      <c r="TGF31" s="545"/>
      <c r="TGG31" s="545"/>
      <c r="TGH31" s="545"/>
      <c r="TGI31" s="545"/>
      <c r="TGJ31" s="545"/>
      <c r="TGK31" s="545"/>
      <c r="TGL31" s="545"/>
      <c r="TGM31" s="545"/>
      <c r="TGN31" s="545"/>
      <c r="TGO31" s="545"/>
      <c r="TGP31" s="545"/>
      <c r="TGQ31" s="545"/>
      <c r="TGR31" s="545"/>
      <c r="TGS31" s="545"/>
      <c r="TGT31" s="545"/>
      <c r="TGU31" s="545"/>
      <c r="TGV31" s="545"/>
      <c r="TGW31" s="545"/>
      <c r="TGX31" s="545"/>
      <c r="TGY31" s="545"/>
      <c r="TGZ31" s="545"/>
      <c r="THA31" s="545"/>
      <c r="THB31" s="545"/>
      <c r="THC31" s="545"/>
      <c r="THD31" s="545"/>
      <c r="THE31" s="545"/>
      <c r="THF31" s="545"/>
      <c r="THG31" s="545"/>
      <c r="THH31" s="545"/>
      <c r="THI31" s="545"/>
      <c r="THJ31" s="545"/>
      <c r="THK31" s="545"/>
      <c r="THL31" s="545"/>
      <c r="THM31" s="545"/>
      <c r="THN31" s="545"/>
      <c r="THO31" s="545"/>
      <c r="THP31" s="545"/>
      <c r="THQ31" s="545"/>
      <c r="THR31" s="545"/>
      <c r="THS31" s="545"/>
      <c r="THT31" s="545"/>
      <c r="THU31" s="545"/>
      <c r="THV31" s="545"/>
      <c r="THW31" s="545"/>
      <c r="THX31" s="545"/>
      <c r="THY31" s="545"/>
      <c r="THZ31" s="545"/>
      <c r="TIA31" s="545"/>
      <c r="TIB31" s="545"/>
      <c r="TIC31" s="545"/>
      <c r="TID31" s="545"/>
      <c r="TIE31" s="545"/>
      <c r="TIF31" s="545"/>
      <c r="TIG31" s="545"/>
      <c r="TIH31" s="545"/>
      <c r="TII31" s="545"/>
      <c r="TIJ31" s="545"/>
      <c r="TIK31" s="545"/>
      <c r="TIL31" s="545"/>
      <c r="TIM31" s="545"/>
      <c r="TIN31" s="545"/>
      <c r="TIO31" s="545"/>
      <c r="TIP31" s="545"/>
      <c r="TIQ31" s="545"/>
      <c r="TIR31" s="545"/>
      <c r="TIS31" s="545"/>
      <c r="TIT31" s="545"/>
      <c r="TIU31" s="545"/>
      <c r="TIV31" s="545"/>
      <c r="TIW31" s="545"/>
      <c r="TIX31" s="545"/>
      <c r="TIY31" s="545"/>
      <c r="TIZ31" s="545"/>
      <c r="TJA31" s="545"/>
      <c r="TJB31" s="545"/>
      <c r="TJC31" s="545"/>
      <c r="TJD31" s="545"/>
      <c r="TJE31" s="545"/>
      <c r="TJF31" s="545"/>
      <c r="TJG31" s="545"/>
      <c r="TJH31" s="545"/>
      <c r="TJI31" s="545"/>
      <c r="TJJ31" s="545"/>
      <c r="TJK31" s="545"/>
      <c r="TJL31" s="545"/>
      <c r="TJM31" s="545"/>
      <c r="TJN31" s="545"/>
      <c r="TJO31" s="545"/>
      <c r="TJP31" s="545"/>
      <c r="TJQ31" s="545"/>
      <c r="TJR31" s="545"/>
      <c r="TJS31" s="545"/>
      <c r="TJT31" s="545"/>
      <c r="TJU31" s="545"/>
      <c r="TJV31" s="545"/>
      <c r="TJW31" s="545"/>
      <c r="TJX31" s="545"/>
      <c r="TJY31" s="545"/>
      <c r="TJZ31" s="545"/>
      <c r="TKA31" s="545"/>
      <c r="TKB31" s="545"/>
      <c r="TKC31" s="545"/>
      <c r="TKD31" s="545"/>
      <c r="TKE31" s="545"/>
      <c r="TKF31" s="545"/>
      <c r="TKG31" s="545"/>
      <c r="TKH31" s="545"/>
      <c r="TKI31" s="545"/>
      <c r="TKJ31" s="545"/>
      <c r="TKK31" s="545"/>
      <c r="TKL31" s="545"/>
      <c r="TKM31" s="545"/>
      <c r="TKN31" s="545"/>
      <c r="TKO31" s="545"/>
      <c r="TKP31" s="545"/>
      <c r="TKQ31" s="545"/>
      <c r="TKR31" s="545"/>
      <c r="TKS31" s="545"/>
      <c r="TKT31" s="545"/>
      <c r="TKU31" s="545"/>
      <c r="TKV31" s="545"/>
      <c r="TKW31" s="545"/>
      <c r="TKX31" s="545"/>
      <c r="TKY31" s="545"/>
      <c r="TKZ31" s="545"/>
      <c r="TLA31" s="545"/>
      <c r="TLB31" s="545"/>
      <c r="TLC31" s="545"/>
      <c r="TLD31" s="545"/>
      <c r="TLE31" s="545"/>
      <c r="TLF31" s="545"/>
      <c r="TLG31" s="545"/>
      <c r="TLH31" s="545"/>
      <c r="TLI31" s="545"/>
      <c r="TLJ31" s="545"/>
      <c r="TLK31" s="545"/>
      <c r="TLL31" s="545"/>
      <c r="TLM31" s="545"/>
      <c r="TLN31" s="545"/>
      <c r="TLO31" s="545"/>
      <c r="TLP31" s="545"/>
      <c r="TLQ31" s="545"/>
      <c r="TLR31" s="545"/>
      <c r="TLS31" s="545"/>
      <c r="TLT31" s="545"/>
      <c r="TLU31" s="545"/>
      <c r="TLV31" s="545"/>
      <c r="TLW31" s="545"/>
      <c r="TLX31" s="545"/>
      <c r="TLY31" s="545"/>
      <c r="TLZ31" s="545"/>
      <c r="TMA31" s="545"/>
      <c r="TMB31" s="545"/>
      <c r="TMC31" s="545"/>
      <c r="TMD31" s="545"/>
      <c r="TME31" s="545"/>
      <c r="TMF31" s="545"/>
      <c r="TMG31" s="545"/>
      <c r="TMH31" s="545"/>
      <c r="TMI31" s="545"/>
      <c r="TMJ31" s="545"/>
      <c r="TMK31" s="545"/>
      <c r="TML31" s="545"/>
      <c r="TMM31" s="545"/>
      <c r="TMN31" s="545"/>
      <c r="TMO31" s="545"/>
      <c r="TMP31" s="545"/>
      <c r="TMQ31" s="545"/>
      <c r="TMR31" s="545"/>
      <c r="TMS31" s="545"/>
      <c r="TMT31" s="545"/>
      <c r="TMU31" s="545"/>
      <c r="TMV31" s="545"/>
      <c r="TMW31" s="545"/>
      <c r="TMX31" s="545"/>
      <c r="TMY31" s="545"/>
      <c r="TMZ31" s="545"/>
      <c r="TNA31" s="545"/>
      <c r="TNB31" s="545"/>
      <c r="TNC31" s="545"/>
      <c r="TND31" s="545"/>
      <c r="TNE31" s="545"/>
      <c r="TNF31" s="545"/>
      <c r="TNG31" s="545"/>
      <c r="TNH31" s="545"/>
      <c r="TNI31" s="545"/>
      <c r="TNJ31" s="545"/>
      <c r="TNK31" s="545"/>
      <c r="TNL31" s="545"/>
      <c r="TNM31" s="545"/>
      <c r="TNN31" s="545"/>
      <c r="TNO31" s="545"/>
      <c r="TNP31" s="545"/>
      <c r="TNQ31" s="545"/>
      <c r="TNR31" s="545"/>
      <c r="TNS31" s="545"/>
      <c r="TNT31" s="545"/>
      <c r="TNU31" s="545"/>
      <c r="TNV31" s="545"/>
      <c r="TNW31" s="545"/>
      <c r="TNX31" s="545"/>
      <c r="TNY31" s="545"/>
      <c r="TNZ31" s="545"/>
      <c r="TOA31" s="545"/>
      <c r="TOB31" s="545"/>
      <c r="TOC31" s="545"/>
      <c r="TOD31" s="545"/>
      <c r="TOE31" s="545"/>
      <c r="TOF31" s="545"/>
      <c r="TOG31" s="545"/>
      <c r="TOH31" s="545"/>
      <c r="TOI31" s="545"/>
      <c r="TOJ31" s="545"/>
      <c r="TOK31" s="545"/>
      <c r="TOL31" s="545"/>
      <c r="TOM31" s="545"/>
      <c r="TON31" s="545"/>
      <c r="TOO31" s="545"/>
      <c r="TOP31" s="545"/>
      <c r="TOQ31" s="545"/>
      <c r="TOR31" s="545"/>
      <c r="TOS31" s="545"/>
      <c r="TOT31" s="545"/>
      <c r="TOU31" s="545"/>
      <c r="TOV31" s="545"/>
      <c r="TOW31" s="545"/>
      <c r="TOX31" s="545"/>
      <c r="TOY31" s="545"/>
      <c r="TOZ31" s="545"/>
      <c r="TPA31" s="545"/>
      <c r="TPB31" s="545"/>
      <c r="TPC31" s="545"/>
      <c r="TPD31" s="545"/>
      <c r="TPE31" s="545"/>
      <c r="TPF31" s="545"/>
      <c r="TPG31" s="545"/>
      <c r="TPH31" s="545"/>
      <c r="TPI31" s="545"/>
      <c r="TPJ31" s="545"/>
      <c r="TPK31" s="545"/>
      <c r="TPL31" s="545"/>
      <c r="TPM31" s="545"/>
      <c r="TPN31" s="545"/>
      <c r="TPO31" s="545"/>
      <c r="TPP31" s="545"/>
      <c r="TPQ31" s="545"/>
      <c r="TPR31" s="545"/>
      <c r="TPS31" s="545"/>
      <c r="TPT31" s="545"/>
      <c r="TPU31" s="545"/>
      <c r="TPV31" s="545"/>
      <c r="TPW31" s="545"/>
      <c r="TPX31" s="545"/>
      <c r="TPY31" s="545"/>
      <c r="TPZ31" s="545"/>
      <c r="TQA31" s="545"/>
      <c r="TQB31" s="545"/>
      <c r="TQC31" s="545"/>
      <c r="TQD31" s="545"/>
      <c r="TQE31" s="545"/>
      <c r="TQF31" s="545"/>
      <c r="TQG31" s="545"/>
      <c r="TQH31" s="545"/>
      <c r="TQI31" s="545"/>
      <c r="TQJ31" s="545"/>
      <c r="TQK31" s="545"/>
      <c r="TQL31" s="545"/>
      <c r="TQM31" s="545"/>
      <c r="TQN31" s="545"/>
      <c r="TQO31" s="545"/>
      <c r="TQP31" s="545"/>
      <c r="TQQ31" s="545"/>
      <c r="TQR31" s="545"/>
      <c r="TQS31" s="545"/>
      <c r="TQT31" s="545"/>
      <c r="TQU31" s="545"/>
      <c r="TQV31" s="545"/>
      <c r="TQW31" s="545"/>
      <c r="TQX31" s="545"/>
      <c r="TQY31" s="545"/>
      <c r="TQZ31" s="545"/>
      <c r="TRA31" s="545"/>
      <c r="TRB31" s="545"/>
      <c r="TRC31" s="545"/>
      <c r="TRD31" s="545"/>
      <c r="TRE31" s="545"/>
      <c r="TRF31" s="545"/>
      <c r="TRG31" s="545"/>
      <c r="TRH31" s="545"/>
      <c r="TRI31" s="545"/>
      <c r="TRJ31" s="545"/>
      <c r="TRK31" s="545"/>
      <c r="TRL31" s="545"/>
      <c r="TRM31" s="545"/>
      <c r="TRN31" s="545"/>
      <c r="TRO31" s="545"/>
      <c r="TRP31" s="545"/>
      <c r="TRQ31" s="545"/>
      <c r="TRR31" s="545"/>
      <c r="TRS31" s="545"/>
      <c r="TRT31" s="545"/>
      <c r="TRU31" s="545"/>
      <c r="TRV31" s="545"/>
      <c r="TRW31" s="545"/>
      <c r="TRX31" s="545"/>
      <c r="TRY31" s="545"/>
      <c r="TRZ31" s="545"/>
      <c r="TSA31" s="545"/>
      <c r="TSB31" s="545"/>
      <c r="TSC31" s="545"/>
      <c r="TSD31" s="545"/>
      <c r="TSE31" s="545"/>
      <c r="TSF31" s="545"/>
      <c r="TSG31" s="545"/>
      <c r="TSH31" s="545"/>
      <c r="TSI31" s="545"/>
      <c r="TSJ31" s="545"/>
      <c r="TSK31" s="545"/>
      <c r="TSL31" s="545"/>
      <c r="TSM31" s="545"/>
      <c r="TSN31" s="545"/>
      <c r="TSO31" s="545"/>
      <c r="TSP31" s="545"/>
      <c r="TSQ31" s="545"/>
      <c r="TSR31" s="545"/>
      <c r="TSS31" s="545"/>
      <c r="TST31" s="545"/>
      <c r="TSU31" s="545"/>
      <c r="TSV31" s="545"/>
      <c r="TSW31" s="545"/>
      <c r="TSX31" s="545"/>
      <c r="TSY31" s="545"/>
      <c r="TSZ31" s="545"/>
      <c r="TTA31" s="545"/>
      <c r="TTB31" s="545"/>
      <c r="TTC31" s="545"/>
      <c r="TTD31" s="545"/>
      <c r="TTE31" s="545"/>
      <c r="TTF31" s="545"/>
      <c r="TTG31" s="545"/>
      <c r="TTH31" s="545"/>
      <c r="TTI31" s="545"/>
      <c r="TTJ31" s="545"/>
      <c r="TTK31" s="545"/>
      <c r="TTL31" s="545"/>
      <c r="TTM31" s="545"/>
      <c r="TTN31" s="545"/>
      <c r="TTO31" s="545"/>
      <c r="TTP31" s="545"/>
      <c r="TTQ31" s="545"/>
      <c r="TTR31" s="545"/>
      <c r="TTS31" s="545"/>
      <c r="TTT31" s="545"/>
      <c r="TTU31" s="545"/>
      <c r="TTV31" s="545"/>
      <c r="TTW31" s="545"/>
      <c r="TTX31" s="545"/>
      <c r="TTY31" s="545"/>
      <c r="TTZ31" s="545"/>
      <c r="TUA31" s="545"/>
      <c r="TUB31" s="545"/>
      <c r="TUC31" s="545"/>
      <c r="TUD31" s="545"/>
      <c r="TUE31" s="545"/>
      <c r="TUF31" s="545"/>
      <c r="TUG31" s="545"/>
      <c r="TUH31" s="545"/>
      <c r="TUI31" s="545"/>
      <c r="TUJ31" s="545"/>
      <c r="TUK31" s="545"/>
      <c r="TUL31" s="545"/>
      <c r="TUM31" s="545"/>
      <c r="TUN31" s="545"/>
      <c r="TUO31" s="545"/>
      <c r="TUP31" s="545"/>
      <c r="TUQ31" s="545"/>
      <c r="TUR31" s="545"/>
      <c r="TUS31" s="545"/>
      <c r="TUT31" s="545"/>
      <c r="TUU31" s="545"/>
      <c r="TUV31" s="545"/>
      <c r="TUW31" s="545"/>
      <c r="TUX31" s="545"/>
      <c r="TUY31" s="545"/>
      <c r="TUZ31" s="545"/>
      <c r="TVA31" s="545"/>
      <c r="TVB31" s="545"/>
      <c r="TVC31" s="545"/>
      <c r="TVD31" s="545"/>
      <c r="TVE31" s="545"/>
      <c r="TVF31" s="545"/>
      <c r="TVG31" s="545"/>
      <c r="TVH31" s="545"/>
      <c r="TVI31" s="545"/>
      <c r="TVJ31" s="545"/>
      <c r="TVK31" s="545"/>
      <c r="TVL31" s="545"/>
      <c r="TVM31" s="545"/>
      <c r="TVN31" s="545"/>
      <c r="TVO31" s="545"/>
      <c r="TVP31" s="545"/>
      <c r="TVQ31" s="545"/>
      <c r="TVR31" s="545"/>
      <c r="TVS31" s="545"/>
      <c r="TVT31" s="545"/>
      <c r="TVU31" s="545"/>
      <c r="TVV31" s="545"/>
      <c r="TVW31" s="545"/>
      <c r="TVX31" s="545"/>
      <c r="TVY31" s="545"/>
      <c r="TVZ31" s="545"/>
      <c r="TWA31" s="545"/>
      <c r="TWB31" s="545"/>
      <c r="TWC31" s="545"/>
      <c r="TWD31" s="545"/>
      <c r="TWE31" s="545"/>
      <c r="TWF31" s="545"/>
      <c r="TWG31" s="545"/>
      <c r="TWH31" s="545"/>
      <c r="TWI31" s="545"/>
      <c r="TWJ31" s="545"/>
      <c r="TWK31" s="545"/>
      <c r="TWL31" s="545"/>
      <c r="TWM31" s="545"/>
      <c r="TWN31" s="545"/>
      <c r="TWO31" s="545"/>
      <c r="TWP31" s="545"/>
      <c r="TWQ31" s="545"/>
      <c r="TWR31" s="545"/>
      <c r="TWS31" s="545"/>
      <c r="TWT31" s="545"/>
      <c r="TWU31" s="545"/>
      <c r="TWV31" s="545"/>
      <c r="TWW31" s="545"/>
      <c r="TWX31" s="545"/>
      <c r="TWY31" s="545"/>
      <c r="TWZ31" s="545"/>
      <c r="TXA31" s="545"/>
      <c r="TXB31" s="545"/>
      <c r="TXC31" s="545"/>
      <c r="TXD31" s="545"/>
      <c r="TXE31" s="545"/>
      <c r="TXF31" s="545"/>
      <c r="TXG31" s="545"/>
      <c r="TXH31" s="545"/>
      <c r="TXI31" s="545"/>
      <c r="TXJ31" s="545"/>
      <c r="TXK31" s="545"/>
      <c r="TXL31" s="545"/>
      <c r="TXM31" s="545"/>
      <c r="TXN31" s="545"/>
      <c r="TXO31" s="545"/>
      <c r="TXP31" s="545"/>
      <c r="TXQ31" s="545"/>
      <c r="TXR31" s="545"/>
      <c r="TXS31" s="545"/>
      <c r="TXT31" s="545"/>
      <c r="TXU31" s="545"/>
      <c r="TXV31" s="545"/>
      <c r="TXW31" s="545"/>
      <c r="TXX31" s="545"/>
      <c r="TXY31" s="545"/>
      <c r="TXZ31" s="545"/>
      <c r="TYA31" s="545"/>
      <c r="TYB31" s="545"/>
      <c r="TYC31" s="545"/>
      <c r="TYD31" s="545"/>
      <c r="TYE31" s="545"/>
      <c r="TYF31" s="545"/>
      <c r="TYG31" s="545"/>
      <c r="TYH31" s="545"/>
      <c r="TYI31" s="545"/>
      <c r="TYJ31" s="545"/>
      <c r="TYK31" s="545"/>
      <c r="TYL31" s="545"/>
      <c r="TYM31" s="545"/>
      <c r="TYN31" s="545"/>
      <c r="TYO31" s="545"/>
      <c r="TYP31" s="545"/>
      <c r="TYQ31" s="545"/>
      <c r="TYR31" s="545"/>
      <c r="TYS31" s="545"/>
      <c r="TYT31" s="545"/>
      <c r="TYU31" s="545"/>
      <c r="TYV31" s="545"/>
      <c r="TYW31" s="545"/>
      <c r="TYX31" s="545"/>
      <c r="TYY31" s="545"/>
      <c r="TYZ31" s="545"/>
      <c r="TZA31" s="545"/>
      <c r="TZB31" s="545"/>
      <c r="TZC31" s="545"/>
      <c r="TZD31" s="545"/>
      <c r="TZE31" s="545"/>
      <c r="TZF31" s="545"/>
      <c r="TZG31" s="545"/>
      <c r="TZH31" s="545"/>
      <c r="TZI31" s="545"/>
      <c r="TZJ31" s="545"/>
      <c r="TZK31" s="545"/>
      <c r="TZL31" s="545"/>
      <c r="TZM31" s="545"/>
      <c r="TZN31" s="545"/>
      <c r="TZO31" s="545"/>
      <c r="TZP31" s="545"/>
      <c r="TZQ31" s="545"/>
      <c r="TZR31" s="545"/>
      <c r="TZS31" s="545"/>
      <c r="TZT31" s="545"/>
      <c r="TZU31" s="545"/>
      <c r="TZV31" s="545"/>
      <c r="TZW31" s="545"/>
      <c r="TZX31" s="545"/>
      <c r="TZY31" s="545"/>
      <c r="TZZ31" s="545"/>
      <c r="UAA31" s="545"/>
      <c r="UAB31" s="545"/>
      <c r="UAC31" s="545"/>
      <c r="UAD31" s="545"/>
      <c r="UAE31" s="545"/>
      <c r="UAF31" s="545"/>
      <c r="UAG31" s="545"/>
      <c r="UAH31" s="545"/>
      <c r="UAI31" s="545"/>
      <c r="UAJ31" s="545"/>
      <c r="UAK31" s="545"/>
      <c r="UAL31" s="545"/>
      <c r="UAM31" s="545"/>
      <c r="UAN31" s="545"/>
      <c r="UAO31" s="545"/>
      <c r="UAP31" s="545"/>
      <c r="UAQ31" s="545"/>
      <c r="UAR31" s="545"/>
      <c r="UAS31" s="545"/>
      <c r="UAT31" s="545"/>
      <c r="UAU31" s="545"/>
      <c r="UAV31" s="545"/>
      <c r="UAW31" s="545"/>
      <c r="UAX31" s="545"/>
      <c r="UAY31" s="545"/>
      <c r="UAZ31" s="545"/>
      <c r="UBA31" s="545"/>
      <c r="UBB31" s="545"/>
      <c r="UBC31" s="545"/>
      <c r="UBD31" s="545"/>
      <c r="UBE31" s="545"/>
      <c r="UBF31" s="545"/>
      <c r="UBG31" s="545"/>
      <c r="UBH31" s="545"/>
      <c r="UBI31" s="545"/>
      <c r="UBJ31" s="545"/>
      <c r="UBK31" s="545"/>
      <c r="UBL31" s="545"/>
      <c r="UBM31" s="545"/>
      <c r="UBN31" s="545"/>
      <c r="UBO31" s="545"/>
      <c r="UBP31" s="545"/>
      <c r="UBQ31" s="545"/>
      <c r="UBR31" s="545"/>
      <c r="UBS31" s="545"/>
      <c r="UBT31" s="545"/>
      <c r="UBU31" s="545"/>
      <c r="UBV31" s="545"/>
      <c r="UBW31" s="545"/>
      <c r="UBX31" s="545"/>
      <c r="UBY31" s="545"/>
      <c r="UBZ31" s="545"/>
      <c r="UCA31" s="545"/>
      <c r="UCB31" s="545"/>
      <c r="UCC31" s="545"/>
      <c r="UCD31" s="545"/>
      <c r="UCE31" s="545"/>
      <c r="UCF31" s="545"/>
      <c r="UCG31" s="545"/>
      <c r="UCH31" s="545"/>
      <c r="UCI31" s="545"/>
      <c r="UCJ31" s="545"/>
      <c r="UCK31" s="545"/>
      <c r="UCL31" s="545"/>
      <c r="UCM31" s="545"/>
      <c r="UCN31" s="545"/>
      <c r="UCO31" s="545"/>
      <c r="UCP31" s="545"/>
      <c r="UCQ31" s="545"/>
      <c r="UCR31" s="545"/>
      <c r="UCS31" s="545"/>
      <c r="UCT31" s="545"/>
      <c r="UCU31" s="545"/>
      <c r="UCV31" s="545"/>
      <c r="UCW31" s="545"/>
      <c r="UCX31" s="545"/>
      <c r="UCY31" s="545"/>
      <c r="UCZ31" s="545"/>
      <c r="UDA31" s="545"/>
      <c r="UDB31" s="545"/>
      <c r="UDC31" s="545"/>
      <c r="UDD31" s="545"/>
      <c r="UDE31" s="545"/>
      <c r="UDF31" s="545"/>
      <c r="UDG31" s="545"/>
      <c r="UDH31" s="545"/>
      <c r="UDI31" s="545"/>
      <c r="UDJ31" s="545"/>
      <c r="UDK31" s="545"/>
      <c r="UDL31" s="545"/>
      <c r="UDM31" s="545"/>
      <c r="UDN31" s="545"/>
      <c r="UDO31" s="545"/>
      <c r="UDP31" s="545"/>
      <c r="UDQ31" s="545"/>
      <c r="UDR31" s="545"/>
      <c r="UDS31" s="545"/>
      <c r="UDT31" s="545"/>
      <c r="UDU31" s="545"/>
      <c r="UDV31" s="545"/>
      <c r="UDW31" s="545"/>
      <c r="UDX31" s="545"/>
      <c r="UDY31" s="545"/>
      <c r="UDZ31" s="545"/>
      <c r="UEA31" s="545"/>
      <c r="UEB31" s="545"/>
      <c r="UEC31" s="545"/>
      <c r="UED31" s="545"/>
      <c r="UEE31" s="545"/>
      <c r="UEF31" s="545"/>
      <c r="UEG31" s="545"/>
      <c r="UEH31" s="545"/>
      <c r="UEI31" s="545"/>
      <c r="UEJ31" s="545"/>
      <c r="UEK31" s="545"/>
      <c r="UEL31" s="545"/>
      <c r="UEM31" s="545"/>
      <c r="UEN31" s="545"/>
      <c r="UEO31" s="545"/>
      <c r="UEP31" s="545"/>
      <c r="UEQ31" s="545"/>
      <c r="UER31" s="545"/>
      <c r="UES31" s="545"/>
      <c r="UET31" s="545"/>
      <c r="UEU31" s="545"/>
      <c r="UEV31" s="545"/>
      <c r="UEW31" s="545"/>
      <c r="UEX31" s="545"/>
      <c r="UEY31" s="545"/>
      <c r="UEZ31" s="545"/>
      <c r="UFA31" s="545"/>
      <c r="UFB31" s="545"/>
      <c r="UFC31" s="545"/>
      <c r="UFD31" s="545"/>
      <c r="UFE31" s="545"/>
      <c r="UFF31" s="545"/>
      <c r="UFG31" s="545"/>
      <c r="UFH31" s="545"/>
      <c r="UFI31" s="545"/>
      <c r="UFJ31" s="545"/>
      <c r="UFK31" s="545"/>
      <c r="UFL31" s="545"/>
      <c r="UFM31" s="545"/>
      <c r="UFN31" s="545"/>
      <c r="UFO31" s="545"/>
      <c r="UFP31" s="545"/>
      <c r="UFQ31" s="545"/>
      <c r="UFR31" s="545"/>
      <c r="UFS31" s="545"/>
      <c r="UFT31" s="545"/>
      <c r="UFU31" s="545"/>
      <c r="UFV31" s="545"/>
      <c r="UFW31" s="545"/>
      <c r="UFX31" s="545"/>
      <c r="UFY31" s="545"/>
      <c r="UFZ31" s="545"/>
      <c r="UGA31" s="545"/>
      <c r="UGB31" s="545"/>
      <c r="UGC31" s="545"/>
      <c r="UGD31" s="545"/>
      <c r="UGE31" s="545"/>
      <c r="UGF31" s="545"/>
      <c r="UGG31" s="545"/>
      <c r="UGH31" s="545"/>
      <c r="UGI31" s="545"/>
      <c r="UGJ31" s="545"/>
      <c r="UGK31" s="545"/>
      <c r="UGL31" s="545"/>
      <c r="UGM31" s="545"/>
      <c r="UGN31" s="545"/>
      <c r="UGO31" s="545"/>
      <c r="UGP31" s="545"/>
      <c r="UGQ31" s="545"/>
      <c r="UGR31" s="545"/>
      <c r="UGS31" s="545"/>
      <c r="UGT31" s="545"/>
      <c r="UGU31" s="545"/>
      <c r="UGV31" s="545"/>
      <c r="UGW31" s="545"/>
      <c r="UGX31" s="545"/>
      <c r="UGY31" s="545"/>
      <c r="UGZ31" s="545"/>
      <c r="UHA31" s="545"/>
      <c r="UHB31" s="545"/>
      <c r="UHC31" s="545"/>
      <c r="UHD31" s="545"/>
      <c r="UHE31" s="545"/>
      <c r="UHF31" s="545"/>
      <c r="UHG31" s="545"/>
      <c r="UHH31" s="545"/>
      <c r="UHI31" s="545"/>
      <c r="UHJ31" s="545"/>
      <c r="UHK31" s="545"/>
      <c r="UHL31" s="545"/>
      <c r="UHM31" s="545"/>
      <c r="UHN31" s="545"/>
      <c r="UHO31" s="545"/>
      <c r="UHP31" s="545"/>
      <c r="UHQ31" s="545"/>
      <c r="UHR31" s="545"/>
      <c r="UHS31" s="545"/>
      <c r="UHT31" s="545"/>
      <c r="UHU31" s="545"/>
      <c r="UHV31" s="545"/>
      <c r="UHW31" s="545"/>
      <c r="UHX31" s="545"/>
      <c r="UHY31" s="545"/>
      <c r="UHZ31" s="545"/>
      <c r="UIA31" s="545"/>
      <c r="UIB31" s="545"/>
      <c r="UIC31" s="545"/>
      <c r="UID31" s="545"/>
      <c r="UIE31" s="545"/>
      <c r="UIF31" s="545"/>
      <c r="UIG31" s="545"/>
      <c r="UIH31" s="545"/>
      <c r="UII31" s="545"/>
      <c r="UIJ31" s="545"/>
      <c r="UIK31" s="545"/>
      <c r="UIL31" s="545"/>
      <c r="UIM31" s="545"/>
      <c r="UIN31" s="545"/>
      <c r="UIO31" s="545"/>
      <c r="UIP31" s="545"/>
      <c r="UIQ31" s="545"/>
      <c r="UIR31" s="545"/>
      <c r="UIS31" s="545"/>
      <c r="UIT31" s="545"/>
      <c r="UIU31" s="545"/>
      <c r="UIV31" s="545"/>
      <c r="UIW31" s="545"/>
      <c r="UIX31" s="545"/>
      <c r="UIY31" s="545"/>
      <c r="UIZ31" s="545"/>
      <c r="UJA31" s="545"/>
      <c r="UJB31" s="545"/>
      <c r="UJC31" s="545"/>
      <c r="UJD31" s="545"/>
      <c r="UJE31" s="545"/>
      <c r="UJF31" s="545"/>
      <c r="UJG31" s="545"/>
      <c r="UJH31" s="545"/>
      <c r="UJI31" s="545"/>
      <c r="UJJ31" s="545"/>
      <c r="UJK31" s="545"/>
      <c r="UJL31" s="545"/>
      <c r="UJM31" s="545"/>
      <c r="UJN31" s="545"/>
      <c r="UJO31" s="545"/>
      <c r="UJP31" s="545"/>
      <c r="UJQ31" s="545"/>
      <c r="UJR31" s="545"/>
      <c r="UJS31" s="545"/>
      <c r="UJT31" s="545"/>
      <c r="UJU31" s="545"/>
      <c r="UJV31" s="545"/>
      <c r="UJW31" s="545"/>
      <c r="UJX31" s="545"/>
      <c r="UJY31" s="545"/>
      <c r="UJZ31" s="545"/>
      <c r="UKA31" s="545"/>
      <c r="UKB31" s="545"/>
      <c r="UKC31" s="545"/>
      <c r="UKD31" s="545"/>
      <c r="UKE31" s="545"/>
      <c r="UKF31" s="545"/>
      <c r="UKG31" s="545"/>
      <c r="UKH31" s="545"/>
      <c r="UKI31" s="545"/>
      <c r="UKJ31" s="545"/>
      <c r="UKK31" s="545"/>
      <c r="UKL31" s="545"/>
      <c r="UKM31" s="545"/>
      <c r="UKN31" s="545"/>
      <c r="UKO31" s="545"/>
      <c r="UKP31" s="545"/>
      <c r="UKQ31" s="545"/>
      <c r="UKR31" s="545"/>
      <c r="UKS31" s="545"/>
      <c r="UKT31" s="545"/>
      <c r="UKU31" s="545"/>
      <c r="UKV31" s="545"/>
      <c r="UKW31" s="545"/>
      <c r="UKX31" s="545"/>
      <c r="UKY31" s="545"/>
      <c r="UKZ31" s="545"/>
      <c r="ULA31" s="545"/>
      <c r="ULB31" s="545"/>
      <c r="ULC31" s="545"/>
      <c r="ULD31" s="545"/>
      <c r="ULE31" s="545"/>
      <c r="ULF31" s="545"/>
      <c r="ULG31" s="545"/>
      <c r="ULH31" s="545"/>
      <c r="ULI31" s="545"/>
      <c r="ULJ31" s="545"/>
      <c r="ULK31" s="545"/>
      <c r="ULL31" s="545"/>
      <c r="ULM31" s="545"/>
      <c r="ULN31" s="545"/>
      <c r="ULO31" s="545"/>
      <c r="ULP31" s="545"/>
      <c r="ULQ31" s="545"/>
      <c r="ULR31" s="545"/>
      <c r="ULS31" s="545"/>
      <c r="ULT31" s="545"/>
      <c r="ULU31" s="545"/>
      <c r="ULV31" s="545"/>
      <c r="ULW31" s="545"/>
      <c r="ULX31" s="545"/>
      <c r="ULY31" s="545"/>
      <c r="ULZ31" s="545"/>
      <c r="UMA31" s="545"/>
      <c r="UMB31" s="545"/>
      <c r="UMC31" s="545"/>
      <c r="UMD31" s="545"/>
      <c r="UME31" s="545"/>
      <c r="UMF31" s="545"/>
      <c r="UMG31" s="545"/>
      <c r="UMH31" s="545"/>
      <c r="UMI31" s="545"/>
      <c r="UMJ31" s="545"/>
      <c r="UMK31" s="545"/>
      <c r="UML31" s="545"/>
      <c r="UMM31" s="545"/>
      <c r="UMN31" s="545"/>
      <c r="UMO31" s="545"/>
      <c r="UMP31" s="545"/>
      <c r="UMQ31" s="545"/>
      <c r="UMR31" s="545"/>
      <c r="UMS31" s="545"/>
      <c r="UMT31" s="545"/>
      <c r="UMU31" s="545"/>
      <c r="UMV31" s="545"/>
      <c r="UMW31" s="545"/>
      <c r="UMX31" s="545"/>
      <c r="UMY31" s="545"/>
      <c r="UMZ31" s="545"/>
      <c r="UNA31" s="545"/>
      <c r="UNB31" s="545"/>
      <c r="UNC31" s="545"/>
      <c r="UND31" s="545"/>
      <c r="UNE31" s="545"/>
      <c r="UNF31" s="545"/>
      <c r="UNG31" s="545"/>
      <c r="UNH31" s="545"/>
      <c r="UNI31" s="545"/>
      <c r="UNJ31" s="545"/>
      <c r="UNK31" s="545"/>
      <c r="UNL31" s="545"/>
      <c r="UNM31" s="545"/>
      <c r="UNN31" s="545"/>
      <c r="UNO31" s="545"/>
      <c r="UNP31" s="545"/>
      <c r="UNQ31" s="545"/>
      <c r="UNR31" s="545"/>
      <c r="UNS31" s="545"/>
      <c r="UNT31" s="545"/>
      <c r="UNU31" s="545"/>
      <c r="UNV31" s="545"/>
      <c r="UNW31" s="545"/>
      <c r="UNX31" s="545"/>
      <c r="UNY31" s="545"/>
      <c r="UNZ31" s="545"/>
      <c r="UOA31" s="545"/>
      <c r="UOB31" s="545"/>
      <c r="UOC31" s="545"/>
      <c r="UOD31" s="545"/>
      <c r="UOE31" s="545"/>
      <c r="UOF31" s="545"/>
      <c r="UOG31" s="545"/>
      <c r="UOH31" s="545"/>
      <c r="UOI31" s="545"/>
      <c r="UOJ31" s="545"/>
      <c r="UOK31" s="545"/>
      <c r="UOL31" s="545"/>
      <c r="UOM31" s="545"/>
      <c r="UON31" s="545"/>
      <c r="UOO31" s="545"/>
      <c r="UOP31" s="545"/>
      <c r="UOQ31" s="545"/>
      <c r="UOR31" s="545"/>
      <c r="UOS31" s="545"/>
      <c r="UOT31" s="545"/>
      <c r="UOU31" s="545"/>
      <c r="UOV31" s="545"/>
      <c r="UOW31" s="545"/>
      <c r="UOX31" s="545"/>
      <c r="UOY31" s="545"/>
      <c r="UOZ31" s="545"/>
      <c r="UPA31" s="545"/>
      <c r="UPB31" s="545"/>
      <c r="UPC31" s="545"/>
      <c r="UPD31" s="545"/>
      <c r="UPE31" s="545"/>
      <c r="UPF31" s="545"/>
      <c r="UPG31" s="545"/>
      <c r="UPH31" s="545"/>
      <c r="UPI31" s="545"/>
      <c r="UPJ31" s="545"/>
      <c r="UPK31" s="545"/>
      <c r="UPL31" s="545"/>
      <c r="UPM31" s="545"/>
      <c r="UPN31" s="545"/>
      <c r="UPO31" s="545"/>
      <c r="UPP31" s="545"/>
      <c r="UPQ31" s="545"/>
      <c r="UPR31" s="545"/>
      <c r="UPS31" s="545"/>
      <c r="UPT31" s="545"/>
      <c r="UPU31" s="545"/>
      <c r="UPV31" s="545"/>
      <c r="UPW31" s="545"/>
      <c r="UPX31" s="545"/>
      <c r="UPY31" s="545"/>
      <c r="UPZ31" s="545"/>
      <c r="UQA31" s="545"/>
      <c r="UQB31" s="545"/>
      <c r="UQC31" s="545"/>
      <c r="UQD31" s="545"/>
      <c r="UQE31" s="545"/>
      <c r="UQF31" s="545"/>
      <c r="UQG31" s="545"/>
      <c r="UQH31" s="545"/>
      <c r="UQI31" s="545"/>
      <c r="UQJ31" s="545"/>
      <c r="UQK31" s="545"/>
      <c r="UQL31" s="545"/>
      <c r="UQM31" s="545"/>
      <c r="UQN31" s="545"/>
      <c r="UQO31" s="545"/>
      <c r="UQP31" s="545"/>
      <c r="UQQ31" s="545"/>
      <c r="UQR31" s="545"/>
      <c r="UQS31" s="545"/>
      <c r="UQT31" s="545"/>
      <c r="UQU31" s="545"/>
      <c r="UQV31" s="545"/>
      <c r="UQW31" s="545"/>
      <c r="UQX31" s="545"/>
      <c r="UQY31" s="545"/>
      <c r="UQZ31" s="545"/>
      <c r="URA31" s="545"/>
      <c r="URB31" s="545"/>
      <c r="URC31" s="545"/>
      <c r="URD31" s="545"/>
      <c r="URE31" s="545"/>
      <c r="URF31" s="545"/>
      <c r="URG31" s="545"/>
      <c r="URH31" s="545"/>
      <c r="URI31" s="545"/>
      <c r="URJ31" s="545"/>
      <c r="URK31" s="545"/>
      <c r="URL31" s="545"/>
      <c r="URM31" s="545"/>
      <c r="URN31" s="545"/>
      <c r="URO31" s="545"/>
      <c r="URP31" s="545"/>
      <c r="URQ31" s="545"/>
      <c r="URR31" s="545"/>
      <c r="URS31" s="545"/>
      <c r="URT31" s="545"/>
      <c r="URU31" s="545"/>
      <c r="URV31" s="545"/>
      <c r="URW31" s="545"/>
      <c r="URX31" s="545"/>
      <c r="URY31" s="545"/>
      <c r="URZ31" s="545"/>
      <c r="USA31" s="545"/>
      <c r="USB31" s="545"/>
      <c r="USC31" s="545"/>
      <c r="USD31" s="545"/>
      <c r="USE31" s="545"/>
      <c r="USF31" s="545"/>
      <c r="USG31" s="545"/>
      <c r="USH31" s="545"/>
      <c r="USI31" s="545"/>
      <c r="USJ31" s="545"/>
      <c r="USK31" s="545"/>
      <c r="USL31" s="545"/>
      <c r="USM31" s="545"/>
      <c r="USN31" s="545"/>
      <c r="USO31" s="545"/>
      <c r="USP31" s="545"/>
      <c r="USQ31" s="545"/>
      <c r="USR31" s="545"/>
      <c r="USS31" s="545"/>
      <c r="UST31" s="545"/>
      <c r="USU31" s="545"/>
      <c r="USV31" s="545"/>
      <c r="USW31" s="545"/>
      <c r="USX31" s="545"/>
      <c r="USY31" s="545"/>
      <c r="USZ31" s="545"/>
      <c r="UTA31" s="545"/>
      <c r="UTB31" s="545"/>
      <c r="UTC31" s="545"/>
      <c r="UTD31" s="545"/>
      <c r="UTE31" s="545"/>
      <c r="UTF31" s="545"/>
      <c r="UTG31" s="545"/>
      <c r="UTH31" s="545"/>
      <c r="UTI31" s="545"/>
      <c r="UTJ31" s="545"/>
      <c r="UTK31" s="545"/>
      <c r="UTL31" s="545"/>
      <c r="UTM31" s="545"/>
      <c r="UTN31" s="545"/>
      <c r="UTO31" s="545"/>
      <c r="UTP31" s="545"/>
      <c r="UTQ31" s="545"/>
      <c r="UTR31" s="545"/>
      <c r="UTS31" s="545"/>
      <c r="UTT31" s="545"/>
      <c r="UTU31" s="545"/>
      <c r="UTV31" s="545"/>
      <c r="UTW31" s="545"/>
      <c r="UTX31" s="545"/>
      <c r="UTY31" s="545"/>
      <c r="UTZ31" s="545"/>
      <c r="UUA31" s="545"/>
      <c r="UUB31" s="545"/>
      <c r="UUC31" s="545"/>
      <c r="UUD31" s="545"/>
      <c r="UUE31" s="545"/>
      <c r="UUF31" s="545"/>
      <c r="UUG31" s="545"/>
      <c r="UUH31" s="545"/>
      <c r="UUI31" s="545"/>
      <c r="UUJ31" s="545"/>
      <c r="UUK31" s="545"/>
      <c r="UUL31" s="545"/>
      <c r="UUM31" s="545"/>
      <c r="UUN31" s="545"/>
      <c r="UUO31" s="545"/>
      <c r="UUP31" s="545"/>
      <c r="UUQ31" s="545"/>
      <c r="UUR31" s="545"/>
      <c r="UUS31" s="545"/>
      <c r="UUT31" s="545"/>
      <c r="UUU31" s="545"/>
      <c r="UUV31" s="545"/>
      <c r="UUW31" s="545"/>
      <c r="UUX31" s="545"/>
      <c r="UUY31" s="545"/>
      <c r="UUZ31" s="545"/>
      <c r="UVA31" s="545"/>
      <c r="UVB31" s="545"/>
      <c r="UVC31" s="545"/>
      <c r="UVD31" s="545"/>
      <c r="UVE31" s="545"/>
      <c r="UVF31" s="545"/>
      <c r="UVG31" s="545"/>
      <c r="UVH31" s="545"/>
      <c r="UVI31" s="545"/>
      <c r="UVJ31" s="545"/>
      <c r="UVK31" s="545"/>
      <c r="UVL31" s="545"/>
      <c r="UVM31" s="545"/>
      <c r="UVN31" s="545"/>
      <c r="UVO31" s="545"/>
      <c r="UVP31" s="545"/>
      <c r="UVQ31" s="545"/>
      <c r="UVR31" s="545"/>
      <c r="UVS31" s="545"/>
      <c r="UVT31" s="545"/>
      <c r="UVU31" s="545"/>
      <c r="UVV31" s="545"/>
      <c r="UVW31" s="545"/>
      <c r="UVX31" s="545"/>
      <c r="UVY31" s="545"/>
      <c r="UVZ31" s="545"/>
      <c r="UWA31" s="545"/>
      <c r="UWB31" s="545"/>
      <c r="UWC31" s="545"/>
      <c r="UWD31" s="545"/>
      <c r="UWE31" s="545"/>
      <c r="UWF31" s="545"/>
      <c r="UWG31" s="545"/>
      <c r="UWH31" s="545"/>
      <c r="UWI31" s="545"/>
      <c r="UWJ31" s="545"/>
      <c r="UWK31" s="545"/>
      <c r="UWL31" s="545"/>
      <c r="UWM31" s="545"/>
      <c r="UWN31" s="545"/>
      <c r="UWO31" s="545"/>
      <c r="UWP31" s="545"/>
      <c r="UWQ31" s="545"/>
      <c r="UWR31" s="545"/>
      <c r="UWS31" s="545"/>
      <c r="UWT31" s="545"/>
      <c r="UWU31" s="545"/>
      <c r="UWV31" s="545"/>
      <c r="UWW31" s="545"/>
      <c r="UWX31" s="545"/>
      <c r="UWY31" s="545"/>
      <c r="UWZ31" s="545"/>
      <c r="UXA31" s="545"/>
      <c r="UXB31" s="545"/>
      <c r="UXC31" s="545"/>
      <c r="UXD31" s="545"/>
      <c r="UXE31" s="545"/>
      <c r="UXF31" s="545"/>
      <c r="UXG31" s="545"/>
      <c r="UXH31" s="545"/>
      <c r="UXI31" s="545"/>
      <c r="UXJ31" s="545"/>
      <c r="UXK31" s="545"/>
      <c r="UXL31" s="545"/>
      <c r="UXM31" s="545"/>
      <c r="UXN31" s="545"/>
      <c r="UXO31" s="545"/>
      <c r="UXP31" s="545"/>
      <c r="UXQ31" s="545"/>
      <c r="UXR31" s="545"/>
      <c r="UXS31" s="545"/>
      <c r="UXT31" s="545"/>
      <c r="UXU31" s="545"/>
      <c r="UXV31" s="545"/>
      <c r="UXW31" s="545"/>
      <c r="UXX31" s="545"/>
      <c r="UXY31" s="545"/>
      <c r="UXZ31" s="545"/>
      <c r="UYA31" s="545"/>
      <c r="UYB31" s="545"/>
      <c r="UYC31" s="545"/>
      <c r="UYD31" s="545"/>
      <c r="UYE31" s="545"/>
      <c r="UYF31" s="545"/>
      <c r="UYG31" s="545"/>
      <c r="UYH31" s="545"/>
      <c r="UYI31" s="545"/>
      <c r="UYJ31" s="545"/>
      <c r="UYK31" s="545"/>
      <c r="UYL31" s="545"/>
      <c r="UYM31" s="545"/>
      <c r="UYN31" s="545"/>
      <c r="UYO31" s="545"/>
      <c r="UYP31" s="545"/>
      <c r="UYQ31" s="545"/>
      <c r="UYR31" s="545"/>
      <c r="UYS31" s="545"/>
      <c r="UYT31" s="545"/>
      <c r="UYU31" s="545"/>
      <c r="UYV31" s="545"/>
      <c r="UYW31" s="545"/>
      <c r="UYX31" s="545"/>
      <c r="UYY31" s="545"/>
      <c r="UYZ31" s="545"/>
      <c r="UZA31" s="545"/>
      <c r="UZB31" s="545"/>
      <c r="UZC31" s="545"/>
      <c r="UZD31" s="545"/>
      <c r="UZE31" s="545"/>
      <c r="UZF31" s="545"/>
      <c r="UZG31" s="545"/>
      <c r="UZH31" s="545"/>
      <c r="UZI31" s="545"/>
      <c r="UZJ31" s="545"/>
      <c r="UZK31" s="545"/>
      <c r="UZL31" s="545"/>
      <c r="UZM31" s="545"/>
      <c r="UZN31" s="545"/>
      <c r="UZO31" s="545"/>
      <c r="UZP31" s="545"/>
      <c r="UZQ31" s="545"/>
      <c r="UZR31" s="545"/>
      <c r="UZS31" s="545"/>
      <c r="UZT31" s="545"/>
      <c r="UZU31" s="545"/>
      <c r="UZV31" s="545"/>
      <c r="UZW31" s="545"/>
      <c r="UZX31" s="545"/>
      <c r="UZY31" s="545"/>
      <c r="UZZ31" s="545"/>
      <c r="VAA31" s="545"/>
      <c r="VAB31" s="545"/>
      <c r="VAC31" s="545"/>
      <c r="VAD31" s="545"/>
      <c r="VAE31" s="545"/>
      <c r="VAF31" s="545"/>
      <c r="VAG31" s="545"/>
      <c r="VAH31" s="545"/>
      <c r="VAI31" s="545"/>
      <c r="VAJ31" s="545"/>
      <c r="VAK31" s="545"/>
      <c r="VAL31" s="545"/>
      <c r="VAM31" s="545"/>
      <c r="VAN31" s="545"/>
      <c r="VAO31" s="545"/>
      <c r="VAP31" s="545"/>
      <c r="VAQ31" s="545"/>
      <c r="VAR31" s="545"/>
      <c r="VAS31" s="545"/>
      <c r="VAT31" s="545"/>
      <c r="VAU31" s="545"/>
      <c r="VAV31" s="545"/>
      <c r="VAW31" s="545"/>
      <c r="VAX31" s="545"/>
      <c r="VAY31" s="545"/>
      <c r="VAZ31" s="545"/>
      <c r="VBA31" s="545"/>
      <c r="VBB31" s="545"/>
      <c r="VBC31" s="545"/>
      <c r="VBD31" s="545"/>
      <c r="VBE31" s="545"/>
      <c r="VBF31" s="545"/>
      <c r="VBG31" s="545"/>
      <c r="VBH31" s="545"/>
      <c r="VBI31" s="545"/>
      <c r="VBJ31" s="545"/>
      <c r="VBK31" s="545"/>
      <c r="VBL31" s="545"/>
      <c r="VBM31" s="545"/>
      <c r="VBN31" s="545"/>
      <c r="VBO31" s="545"/>
      <c r="VBP31" s="545"/>
      <c r="VBQ31" s="545"/>
      <c r="VBR31" s="545"/>
      <c r="VBS31" s="545"/>
      <c r="VBT31" s="545"/>
      <c r="VBU31" s="545"/>
      <c r="VBV31" s="545"/>
      <c r="VBW31" s="545"/>
      <c r="VBX31" s="545"/>
      <c r="VBY31" s="545"/>
      <c r="VBZ31" s="545"/>
      <c r="VCA31" s="545"/>
      <c r="VCB31" s="545"/>
      <c r="VCC31" s="545"/>
      <c r="VCD31" s="545"/>
      <c r="VCE31" s="545"/>
      <c r="VCF31" s="545"/>
      <c r="VCG31" s="545"/>
      <c r="VCH31" s="545"/>
      <c r="VCI31" s="545"/>
      <c r="VCJ31" s="545"/>
      <c r="VCK31" s="545"/>
      <c r="VCL31" s="545"/>
      <c r="VCM31" s="545"/>
      <c r="VCN31" s="545"/>
      <c r="VCO31" s="545"/>
      <c r="VCP31" s="545"/>
      <c r="VCQ31" s="545"/>
      <c r="VCR31" s="545"/>
      <c r="VCS31" s="545"/>
      <c r="VCT31" s="545"/>
      <c r="VCU31" s="545"/>
      <c r="VCV31" s="545"/>
      <c r="VCW31" s="545"/>
      <c r="VCX31" s="545"/>
      <c r="VCY31" s="545"/>
      <c r="VCZ31" s="545"/>
      <c r="VDA31" s="545"/>
      <c r="VDB31" s="545"/>
      <c r="VDC31" s="545"/>
      <c r="VDD31" s="545"/>
      <c r="VDE31" s="545"/>
      <c r="VDF31" s="545"/>
      <c r="VDG31" s="545"/>
      <c r="VDH31" s="545"/>
      <c r="VDI31" s="545"/>
      <c r="VDJ31" s="545"/>
      <c r="VDK31" s="545"/>
      <c r="VDL31" s="545"/>
      <c r="VDM31" s="545"/>
      <c r="VDN31" s="545"/>
      <c r="VDO31" s="545"/>
      <c r="VDP31" s="545"/>
      <c r="VDQ31" s="545"/>
      <c r="VDR31" s="545"/>
      <c r="VDS31" s="545"/>
      <c r="VDT31" s="545"/>
      <c r="VDU31" s="545"/>
      <c r="VDV31" s="545"/>
      <c r="VDW31" s="545"/>
      <c r="VDX31" s="545"/>
      <c r="VDY31" s="545"/>
      <c r="VDZ31" s="545"/>
      <c r="VEA31" s="545"/>
      <c r="VEB31" s="545"/>
      <c r="VEC31" s="545"/>
      <c r="VED31" s="545"/>
      <c r="VEE31" s="545"/>
      <c r="VEF31" s="545"/>
      <c r="VEG31" s="545"/>
      <c r="VEH31" s="545"/>
      <c r="VEI31" s="545"/>
      <c r="VEJ31" s="545"/>
      <c r="VEK31" s="545"/>
      <c r="VEL31" s="545"/>
      <c r="VEM31" s="545"/>
      <c r="VEN31" s="545"/>
      <c r="VEO31" s="545"/>
      <c r="VEP31" s="545"/>
      <c r="VEQ31" s="545"/>
      <c r="VER31" s="545"/>
      <c r="VES31" s="545"/>
      <c r="VET31" s="545"/>
      <c r="VEU31" s="545"/>
      <c r="VEV31" s="545"/>
      <c r="VEW31" s="545"/>
      <c r="VEX31" s="545"/>
      <c r="VEY31" s="545"/>
      <c r="VEZ31" s="545"/>
      <c r="VFA31" s="545"/>
      <c r="VFB31" s="545"/>
      <c r="VFC31" s="545"/>
      <c r="VFD31" s="545"/>
      <c r="VFE31" s="545"/>
      <c r="VFF31" s="545"/>
      <c r="VFG31" s="545"/>
      <c r="VFH31" s="545"/>
      <c r="VFI31" s="545"/>
      <c r="VFJ31" s="545"/>
      <c r="VFK31" s="545"/>
      <c r="VFL31" s="545"/>
      <c r="VFM31" s="545"/>
      <c r="VFN31" s="545"/>
      <c r="VFO31" s="545"/>
      <c r="VFP31" s="545"/>
      <c r="VFQ31" s="545"/>
      <c r="VFR31" s="545"/>
      <c r="VFS31" s="545"/>
      <c r="VFT31" s="545"/>
      <c r="VFU31" s="545"/>
      <c r="VFV31" s="545"/>
      <c r="VFW31" s="545"/>
      <c r="VFX31" s="545"/>
      <c r="VFY31" s="545"/>
      <c r="VFZ31" s="545"/>
      <c r="VGA31" s="545"/>
      <c r="VGB31" s="545"/>
      <c r="VGC31" s="545"/>
      <c r="VGD31" s="545"/>
      <c r="VGE31" s="545"/>
      <c r="VGF31" s="545"/>
      <c r="VGG31" s="545"/>
      <c r="VGH31" s="545"/>
      <c r="VGI31" s="545"/>
      <c r="VGJ31" s="545"/>
      <c r="VGK31" s="545"/>
      <c r="VGL31" s="545"/>
      <c r="VGM31" s="545"/>
      <c r="VGN31" s="545"/>
      <c r="VGO31" s="545"/>
      <c r="VGP31" s="545"/>
      <c r="VGQ31" s="545"/>
      <c r="VGR31" s="545"/>
      <c r="VGS31" s="545"/>
      <c r="VGT31" s="545"/>
      <c r="VGU31" s="545"/>
      <c r="VGV31" s="545"/>
      <c r="VGW31" s="545"/>
      <c r="VGX31" s="545"/>
      <c r="VGY31" s="545"/>
      <c r="VGZ31" s="545"/>
      <c r="VHA31" s="545"/>
      <c r="VHB31" s="545"/>
      <c r="VHC31" s="545"/>
      <c r="VHD31" s="545"/>
      <c r="VHE31" s="545"/>
      <c r="VHF31" s="545"/>
      <c r="VHG31" s="545"/>
      <c r="VHH31" s="545"/>
      <c r="VHI31" s="545"/>
      <c r="VHJ31" s="545"/>
      <c r="VHK31" s="545"/>
      <c r="VHL31" s="545"/>
      <c r="VHM31" s="545"/>
      <c r="VHN31" s="545"/>
      <c r="VHO31" s="545"/>
      <c r="VHP31" s="545"/>
      <c r="VHQ31" s="545"/>
      <c r="VHR31" s="545"/>
      <c r="VHS31" s="545"/>
      <c r="VHT31" s="545"/>
      <c r="VHU31" s="545"/>
      <c r="VHV31" s="545"/>
      <c r="VHW31" s="545"/>
      <c r="VHX31" s="545"/>
      <c r="VHY31" s="545"/>
      <c r="VHZ31" s="545"/>
      <c r="VIA31" s="545"/>
      <c r="VIB31" s="545"/>
      <c r="VIC31" s="545"/>
      <c r="VID31" s="545"/>
      <c r="VIE31" s="545"/>
      <c r="VIF31" s="545"/>
      <c r="VIG31" s="545"/>
      <c r="VIH31" s="545"/>
      <c r="VII31" s="545"/>
      <c r="VIJ31" s="545"/>
      <c r="VIK31" s="545"/>
      <c r="VIL31" s="545"/>
      <c r="VIM31" s="545"/>
      <c r="VIN31" s="545"/>
      <c r="VIO31" s="545"/>
      <c r="VIP31" s="545"/>
      <c r="VIQ31" s="545"/>
      <c r="VIR31" s="545"/>
      <c r="VIS31" s="545"/>
      <c r="VIT31" s="545"/>
      <c r="VIU31" s="545"/>
      <c r="VIV31" s="545"/>
      <c r="VIW31" s="545"/>
      <c r="VIX31" s="545"/>
      <c r="VIY31" s="545"/>
      <c r="VIZ31" s="545"/>
      <c r="VJA31" s="545"/>
      <c r="VJB31" s="545"/>
      <c r="VJC31" s="545"/>
      <c r="VJD31" s="545"/>
      <c r="VJE31" s="545"/>
      <c r="VJF31" s="545"/>
      <c r="VJG31" s="545"/>
      <c r="VJH31" s="545"/>
      <c r="VJI31" s="545"/>
      <c r="VJJ31" s="545"/>
      <c r="VJK31" s="545"/>
      <c r="VJL31" s="545"/>
      <c r="VJM31" s="545"/>
      <c r="VJN31" s="545"/>
      <c r="VJO31" s="545"/>
      <c r="VJP31" s="545"/>
      <c r="VJQ31" s="545"/>
      <c r="VJR31" s="545"/>
      <c r="VJS31" s="545"/>
      <c r="VJT31" s="545"/>
      <c r="VJU31" s="545"/>
      <c r="VJV31" s="545"/>
      <c r="VJW31" s="545"/>
      <c r="VJX31" s="545"/>
      <c r="VJY31" s="545"/>
      <c r="VJZ31" s="545"/>
      <c r="VKA31" s="545"/>
      <c r="VKB31" s="545"/>
      <c r="VKC31" s="545"/>
      <c r="VKD31" s="545"/>
      <c r="VKE31" s="545"/>
      <c r="VKF31" s="545"/>
      <c r="VKG31" s="545"/>
      <c r="VKH31" s="545"/>
      <c r="VKI31" s="545"/>
      <c r="VKJ31" s="545"/>
      <c r="VKK31" s="545"/>
      <c r="VKL31" s="545"/>
      <c r="VKM31" s="545"/>
      <c r="VKN31" s="545"/>
      <c r="VKO31" s="545"/>
      <c r="VKP31" s="545"/>
      <c r="VKQ31" s="545"/>
      <c r="VKR31" s="545"/>
      <c r="VKS31" s="545"/>
      <c r="VKT31" s="545"/>
      <c r="VKU31" s="545"/>
      <c r="VKV31" s="545"/>
      <c r="VKW31" s="545"/>
      <c r="VKX31" s="545"/>
      <c r="VKY31" s="545"/>
      <c r="VKZ31" s="545"/>
      <c r="VLA31" s="545"/>
      <c r="VLB31" s="545"/>
      <c r="VLC31" s="545"/>
      <c r="VLD31" s="545"/>
      <c r="VLE31" s="545"/>
      <c r="VLF31" s="545"/>
      <c r="VLG31" s="545"/>
      <c r="VLH31" s="545"/>
      <c r="VLI31" s="545"/>
      <c r="VLJ31" s="545"/>
      <c r="VLK31" s="545"/>
      <c r="VLL31" s="545"/>
      <c r="VLM31" s="545"/>
      <c r="VLN31" s="545"/>
      <c r="VLO31" s="545"/>
      <c r="VLP31" s="545"/>
      <c r="VLQ31" s="545"/>
      <c r="VLR31" s="545"/>
      <c r="VLS31" s="545"/>
      <c r="VLT31" s="545"/>
      <c r="VLU31" s="545"/>
      <c r="VLV31" s="545"/>
      <c r="VLW31" s="545"/>
      <c r="VLX31" s="545"/>
      <c r="VLY31" s="545"/>
      <c r="VLZ31" s="545"/>
      <c r="VMA31" s="545"/>
      <c r="VMB31" s="545"/>
      <c r="VMC31" s="545"/>
      <c r="VMD31" s="545"/>
      <c r="VME31" s="545"/>
      <c r="VMF31" s="545"/>
      <c r="VMG31" s="545"/>
      <c r="VMH31" s="545"/>
      <c r="VMI31" s="545"/>
      <c r="VMJ31" s="545"/>
      <c r="VMK31" s="545"/>
      <c r="VML31" s="545"/>
      <c r="VMM31" s="545"/>
      <c r="VMN31" s="545"/>
      <c r="VMO31" s="545"/>
      <c r="VMP31" s="545"/>
      <c r="VMQ31" s="545"/>
      <c r="VMR31" s="545"/>
      <c r="VMS31" s="545"/>
      <c r="VMT31" s="545"/>
      <c r="VMU31" s="545"/>
      <c r="VMV31" s="545"/>
      <c r="VMW31" s="545"/>
      <c r="VMX31" s="545"/>
      <c r="VMY31" s="545"/>
      <c r="VMZ31" s="545"/>
      <c r="VNA31" s="545"/>
      <c r="VNB31" s="545"/>
      <c r="VNC31" s="545"/>
      <c r="VND31" s="545"/>
      <c r="VNE31" s="545"/>
      <c r="VNF31" s="545"/>
      <c r="VNG31" s="545"/>
      <c r="VNH31" s="545"/>
      <c r="VNI31" s="545"/>
      <c r="VNJ31" s="545"/>
      <c r="VNK31" s="545"/>
      <c r="VNL31" s="545"/>
      <c r="VNM31" s="545"/>
      <c r="VNN31" s="545"/>
      <c r="VNO31" s="545"/>
      <c r="VNP31" s="545"/>
      <c r="VNQ31" s="545"/>
      <c r="VNR31" s="545"/>
      <c r="VNS31" s="545"/>
      <c r="VNT31" s="545"/>
      <c r="VNU31" s="545"/>
      <c r="VNV31" s="545"/>
      <c r="VNW31" s="545"/>
      <c r="VNX31" s="545"/>
      <c r="VNY31" s="545"/>
      <c r="VNZ31" s="545"/>
      <c r="VOA31" s="545"/>
      <c r="VOB31" s="545"/>
      <c r="VOC31" s="545"/>
      <c r="VOD31" s="545"/>
      <c r="VOE31" s="545"/>
      <c r="VOF31" s="545"/>
      <c r="VOG31" s="545"/>
      <c r="VOH31" s="545"/>
      <c r="VOI31" s="545"/>
      <c r="VOJ31" s="545"/>
      <c r="VOK31" s="545"/>
      <c r="VOL31" s="545"/>
      <c r="VOM31" s="545"/>
      <c r="VON31" s="545"/>
      <c r="VOO31" s="545"/>
      <c r="VOP31" s="545"/>
      <c r="VOQ31" s="545"/>
      <c r="VOR31" s="545"/>
      <c r="VOS31" s="545"/>
      <c r="VOT31" s="545"/>
      <c r="VOU31" s="545"/>
      <c r="VOV31" s="545"/>
      <c r="VOW31" s="545"/>
      <c r="VOX31" s="545"/>
      <c r="VOY31" s="545"/>
      <c r="VOZ31" s="545"/>
      <c r="VPA31" s="545"/>
      <c r="VPB31" s="545"/>
      <c r="VPC31" s="545"/>
      <c r="VPD31" s="545"/>
      <c r="VPE31" s="545"/>
      <c r="VPF31" s="545"/>
      <c r="VPG31" s="545"/>
      <c r="VPH31" s="545"/>
      <c r="VPI31" s="545"/>
      <c r="VPJ31" s="545"/>
      <c r="VPK31" s="545"/>
      <c r="VPL31" s="545"/>
      <c r="VPM31" s="545"/>
      <c r="VPN31" s="545"/>
      <c r="VPO31" s="545"/>
      <c r="VPP31" s="545"/>
      <c r="VPQ31" s="545"/>
      <c r="VPR31" s="545"/>
      <c r="VPS31" s="545"/>
      <c r="VPT31" s="545"/>
      <c r="VPU31" s="545"/>
      <c r="VPV31" s="545"/>
      <c r="VPW31" s="545"/>
      <c r="VPX31" s="545"/>
      <c r="VPY31" s="545"/>
      <c r="VPZ31" s="545"/>
      <c r="VQA31" s="545"/>
      <c r="VQB31" s="545"/>
      <c r="VQC31" s="545"/>
      <c r="VQD31" s="545"/>
      <c r="VQE31" s="545"/>
      <c r="VQF31" s="545"/>
      <c r="VQG31" s="545"/>
      <c r="VQH31" s="545"/>
      <c r="VQI31" s="545"/>
      <c r="VQJ31" s="545"/>
      <c r="VQK31" s="545"/>
      <c r="VQL31" s="545"/>
      <c r="VQM31" s="545"/>
      <c r="VQN31" s="545"/>
      <c r="VQO31" s="545"/>
      <c r="VQP31" s="545"/>
      <c r="VQQ31" s="545"/>
      <c r="VQR31" s="545"/>
      <c r="VQS31" s="545"/>
      <c r="VQT31" s="545"/>
      <c r="VQU31" s="545"/>
      <c r="VQV31" s="545"/>
      <c r="VQW31" s="545"/>
      <c r="VQX31" s="545"/>
      <c r="VQY31" s="545"/>
      <c r="VQZ31" s="545"/>
      <c r="VRA31" s="545"/>
      <c r="VRB31" s="545"/>
      <c r="VRC31" s="545"/>
      <c r="VRD31" s="545"/>
      <c r="VRE31" s="545"/>
      <c r="VRF31" s="545"/>
      <c r="VRG31" s="545"/>
      <c r="VRH31" s="545"/>
      <c r="VRI31" s="545"/>
      <c r="VRJ31" s="545"/>
      <c r="VRK31" s="545"/>
      <c r="VRL31" s="545"/>
      <c r="VRM31" s="545"/>
      <c r="VRN31" s="545"/>
      <c r="VRO31" s="545"/>
      <c r="VRP31" s="545"/>
      <c r="VRQ31" s="545"/>
      <c r="VRR31" s="545"/>
      <c r="VRS31" s="545"/>
      <c r="VRT31" s="545"/>
      <c r="VRU31" s="545"/>
      <c r="VRV31" s="545"/>
      <c r="VRW31" s="545"/>
      <c r="VRX31" s="545"/>
      <c r="VRY31" s="545"/>
      <c r="VRZ31" s="545"/>
      <c r="VSA31" s="545"/>
      <c r="VSB31" s="545"/>
      <c r="VSC31" s="545"/>
      <c r="VSD31" s="545"/>
      <c r="VSE31" s="545"/>
      <c r="VSF31" s="545"/>
      <c r="VSG31" s="545"/>
      <c r="VSH31" s="545"/>
      <c r="VSI31" s="545"/>
      <c r="VSJ31" s="545"/>
      <c r="VSK31" s="545"/>
      <c r="VSL31" s="545"/>
      <c r="VSM31" s="545"/>
      <c r="VSN31" s="545"/>
      <c r="VSO31" s="545"/>
      <c r="VSP31" s="545"/>
      <c r="VSQ31" s="545"/>
      <c r="VSR31" s="545"/>
      <c r="VSS31" s="545"/>
      <c r="VST31" s="545"/>
      <c r="VSU31" s="545"/>
      <c r="VSV31" s="545"/>
      <c r="VSW31" s="545"/>
      <c r="VSX31" s="545"/>
      <c r="VSY31" s="545"/>
      <c r="VSZ31" s="545"/>
      <c r="VTA31" s="545"/>
      <c r="VTB31" s="545"/>
      <c r="VTC31" s="545"/>
      <c r="VTD31" s="545"/>
      <c r="VTE31" s="545"/>
      <c r="VTF31" s="545"/>
      <c r="VTG31" s="545"/>
      <c r="VTH31" s="545"/>
      <c r="VTI31" s="545"/>
      <c r="VTJ31" s="545"/>
      <c r="VTK31" s="545"/>
      <c r="VTL31" s="545"/>
      <c r="VTM31" s="545"/>
      <c r="VTN31" s="545"/>
      <c r="VTO31" s="545"/>
      <c r="VTP31" s="545"/>
      <c r="VTQ31" s="545"/>
      <c r="VTR31" s="545"/>
      <c r="VTS31" s="545"/>
      <c r="VTT31" s="545"/>
      <c r="VTU31" s="545"/>
      <c r="VTV31" s="545"/>
      <c r="VTW31" s="545"/>
      <c r="VTX31" s="545"/>
      <c r="VTY31" s="545"/>
      <c r="VTZ31" s="545"/>
      <c r="VUA31" s="545"/>
      <c r="VUB31" s="545"/>
      <c r="VUC31" s="545"/>
      <c r="VUD31" s="545"/>
      <c r="VUE31" s="545"/>
      <c r="VUF31" s="545"/>
      <c r="VUG31" s="545"/>
      <c r="VUH31" s="545"/>
      <c r="VUI31" s="545"/>
      <c r="VUJ31" s="545"/>
      <c r="VUK31" s="545"/>
      <c r="VUL31" s="545"/>
      <c r="VUM31" s="545"/>
      <c r="VUN31" s="545"/>
      <c r="VUO31" s="545"/>
      <c r="VUP31" s="545"/>
      <c r="VUQ31" s="545"/>
      <c r="VUR31" s="545"/>
      <c r="VUS31" s="545"/>
      <c r="VUT31" s="545"/>
      <c r="VUU31" s="545"/>
      <c r="VUV31" s="545"/>
      <c r="VUW31" s="545"/>
      <c r="VUX31" s="545"/>
      <c r="VUY31" s="545"/>
      <c r="VUZ31" s="545"/>
      <c r="VVA31" s="545"/>
      <c r="VVB31" s="545"/>
      <c r="VVC31" s="545"/>
      <c r="VVD31" s="545"/>
      <c r="VVE31" s="545"/>
      <c r="VVF31" s="545"/>
      <c r="VVG31" s="545"/>
      <c r="VVH31" s="545"/>
      <c r="VVI31" s="545"/>
      <c r="VVJ31" s="545"/>
      <c r="VVK31" s="545"/>
      <c r="VVL31" s="545"/>
      <c r="VVM31" s="545"/>
      <c r="VVN31" s="545"/>
      <c r="VVO31" s="545"/>
      <c r="VVP31" s="545"/>
      <c r="VVQ31" s="545"/>
      <c r="VVR31" s="545"/>
      <c r="VVS31" s="545"/>
      <c r="VVT31" s="545"/>
      <c r="VVU31" s="545"/>
      <c r="VVV31" s="545"/>
      <c r="VVW31" s="545"/>
      <c r="VVX31" s="545"/>
      <c r="VVY31" s="545"/>
      <c r="VVZ31" s="545"/>
      <c r="VWA31" s="545"/>
      <c r="VWB31" s="545"/>
      <c r="VWC31" s="545"/>
      <c r="VWD31" s="545"/>
      <c r="VWE31" s="545"/>
      <c r="VWF31" s="545"/>
      <c r="VWG31" s="545"/>
      <c r="VWH31" s="545"/>
      <c r="VWI31" s="545"/>
      <c r="VWJ31" s="545"/>
      <c r="VWK31" s="545"/>
      <c r="VWL31" s="545"/>
      <c r="VWM31" s="545"/>
      <c r="VWN31" s="545"/>
      <c r="VWO31" s="545"/>
      <c r="VWP31" s="545"/>
      <c r="VWQ31" s="545"/>
      <c r="VWR31" s="545"/>
      <c r="VWS31" s="545"/>
      <c r="VWT31" s="545"/>
      <c r="VWU31" s="545"/>
      <c r="VWV31" s="545"/>
      <c r="VWW31" s="545"/>
      <c r="VWX31" s="545"/>
      <c r="VWY31" s="545"/>
      <c r="VWZ31" s="545"/>
      <c r="VXA31" s="545"/>
      <c r="VXB31" s="545"/>
      <c r="VXC31" s="545"/>
      <c r="VXD31" s="545"/>
      <c r="VXE31" s="545"/>
      <c r="VXF31" s="545"/>
      <c r="VXG31" s="545"/>
      <c r="VXH31" s="545"/>
      <c r="VXI31" s="545"/>
      <c r="VXJ31" s="545"/>
      <c r="VXK31" s="545"/>
      <c r="VXL31" s="545"/>
      <c r="VXM31" s="545"/>
      <c r="VXN31" s="545"/>
      <c r="VXO31" s="545"/>
      <c r="VXP31" s="545"/>
      <c r="VXQ31" s="545"/>
      <c r="VXR31" s="545"/>
      <c r="VXS31" s="545"/>
      <c r="VXT31" s="545"/>
      <c r="VXU31" s="545"/>
      <c r="VXV31" s="545"/>
      <c r="VXW31" s="545"/>
      <c r="VXX31" s="545"/>
      <c r="VXY31" s="545"/>
      <c r="VXZ31" s="545"/>
      <c r="VYA31" s="545"/>
      <c r="VYB31" s="545"/>
      <c r="VYC31" s="545"/>
      <c r="VYD31" s="545"/>
      <c r="VYE31" s="545"/>
      <c r="VYF31" s="545"/>
      <c r="VYG31" s="545"/>
      <c r="VYH31" s="545"/>
      <c r="VYI31" s="545"/>
      <c r="VYJ31" s="545"/>
      <c r="VYK31" s="545"/>
      <c r="VYL31" s="545"/>
      <c r="VYM31" s="545"/>
      <c r="VYN31" s="545"/>
      <c r="VYO31" s="545"/>
      <c r="VYP31" s="545"/>
      <c r="VYQ31" s="545"/>
      <c r="VYR31" s="545"/>
      <c r="VYS31" s="545"/>
      <c r="VYT31" s="545"/>
      <c r="VYU31" s="545"/>
      <c r="VYV31" s="545"/>
      <c r="VYW31" s="545"/>
      <c r="VYX31" s="545"/>
      <c r="VYY31" s="545"/>
      <c r="VYZ31" s="545"/>
      <c r="VZA31" s="545"/>
      <c r="VZB31" s="545"/>
      <c r="VZC31" s="545"/>
      <c r="VZD31" s="545"/>
      <c r="VZE31" s="545"/>
      <c r="VZF31" s="545"/>
      <c r="VZG31" s="545"/>
      <c r="VZH31" s="545"/>
      <c r="VZI31" s="545"/>
      <c r="VZJ31" s="545"/>
      <c r="VZK31" s="545"/>
      <c r="VZL31" s="545"/>
      <c r="VZM31" s="545"/>
      <c r="VZN31" s="545"/>
      <c r="VZO31" s="545"/>
      <c r="VZP31" s="545"/>
      <c r="VZQ31" s="545"/>
      <c r="VZR31" s="545"/>
      <c r="VZS31" s="545"/>
      <c r="VZT31" s="545"/>
      <c r="VZU31" s="545"/>
      <c r="VZV31" s="545"/>
      <c r="VZW31" s="545"/>
      <c r="VZX31" s="545"/>
      <c r="VZY31" s="545"/>
      <c r="VZZ31" s="545"/>
      <c r="WAA31" s="545"/>
      <c r="WAB31" s="545"/>
      <c r="WAC31" s="545"/>
      <c r="WAD31" s="545"/>
      <c r="WAE31" s="545"/>
      <c r="WAF31" s="545"/>
      <c r="WAG31" s="545"/>
      <c r="WAH31" s="545"/>
      <c r="WAI31" s="545"/>
      <c r="WAJ31" s="545"/>
      <c r="WAK31" s="545"/>
      <c r="WAL31" s="545"/>
      <c r="WAM31" s="545"/>
      <c r="WAN31" s="545"/>
      <c r="WAO31" s="545"/>
      <c r="WAP31" s="545"/>
      <c r="WAQ31" s="545"/>
      <c r="WAR31" s="545"/>
      <c r="WAS31" s="545"/>
      <c r="WAT31" s="545"/>
      <c r="WAU31" s="545"/>
      <c r="WAV31" s="545"/>
      <c r="WAW31" s="545"/>
      <c r="WAX31" s="545"/>
      <c r="WAY31" s="545"/>
      <c r="WAZ31" s="545"/>
      <c r="WBA31" s="545"/>
      <c r="WBB31" s="545"/>
      <c r="WBC31" s="545"/>
      <c r="WBD31" s="545"/>
      <c r="WBE31" s="545"/>
      <c r="WBF31" s="545"/>
      <c r="WBG31" s="545"/>
      <c r="WBH31" s="545"/>
      <c r="WBI31" s="545"/>
      <c r="WBJ31" s="545"/>
      <c r="WBK31" s="545"/>
      <c r="WBL31" s="545"/>
      <c r="WBM31" s="545"/>
      <c r="WBN31" s="545"/>
      <c r="WBO31" s="545"/>
      <c r="WBP31" s="545"/>
      <c r="WBQ31" s="545"/>
      <c r="WBR31" s="545"/>
      <c r="WBS31" s="545"/>
      <c r="WBT31" s="545"/>
      <c r="WBU31" s="545"/>
      <c r="WBV31" s="545"/>
      <c r="WBW31" s="545"/>
      <c r="WBX31" s="545"/>
      <c r="WBY31" s="545"/>
      <c r="WBZ31" s="545"/>
      <c r="WCA31" s="545"/>
      <c r="WCB31" s="545"/>
      <c r="WCC31" s="545"/>
      <c r="WCD31" s="545"/>
      <c r="WCE31" s="545"/>
      <c r="WCF31" s="545"/>
      <c r="WCG31" s="545"/>
      <c r="WCH31" s="545"/>
      <c r="WCI31" s="545"/>
      <c r="WCJ31" s="545"/>
      <c r="WCK31" s="545"/>
      <c r="WCL31" s="545"/>
      <c r="WCM31" s="545"/>
      <c r="WCN31" s="545"/>
      <c r="WCO31" s="545"/>
      <c r="WCP31" s="545"/>
      <c r="WCQ31" s="545"/>
      <c r="WCR31" s="545"/>
      <c r="WCS31" s="545"/>
      <c r="WCT31" s="545"/>
      <c r="WCU31" s="545"/>
      <c r="WCV31" s="545"/>
      <c r="WCW31" s="545"/>
      <c r="WCX31" s="545"/>
      <c r="WCY31" s="545"/>
      <c r="WCZ31" s="545"/>
      <c r="WDA31" s="545"/>
      <c r="WDB31" s="545"/>
      <c r="WDC31" s="545"/>
      <c r="WDD31" s="545"/>
      <c r="WDE31" s="545"/>
      <c r="WDF31" s="545"/>
      <c r="WDG31" s="545"/>
      <c r="WDH31" s="545"/>
      <c r="WDI31" s="545"/>
      <c r="WDJ31" s="545"/>
      <c r="WDK31" s="545"/>
      <c r="WDL31" s="545"/>
      <c r="WDM31" s="545"/>
      <c r="WDN31" s="545"/>
      <c r="WDO31" s="545"/>
      <c r="WDP31" s="545"/>
      <c r="WDQ31" s="545"/>
      <c r="WDR31" s="545"/>
      <c r="WDS31" s="545"/>
      <c r="WDT31" s="545"/>
      <c r="WDU31" s="545"/>
      <c r="WDV31" s="545"/>
      <c r="WDW31" s="545"/>
      <c r="WDX31" s="545"/>
      <c r="WDY31" s="545"/>
      <c r="WDZ31" s="545"/>
      <c r="WEA31" s="545"/>
      <c r="WEB31" s="545"/>
      <c r="WEC31" s="545"/>
      <c r="WED31" s="545"/>
      <c r="WEE31" s="545"/>
      <c r="WEF31" s="545"/>
      <c r="WEG31" s="545"/>
      <c r="WEH31" s="545"/>
      <c r="WEI31" s="545"/>
      <c r="WEJ31" s="545"/>
      <c r="WEK31" s="545"/>
      <c r="WEL31" s="545"/>
      <c r="WEM31" s="545"/>
      <c r="WEN31" s="545"/>
      <c r="WEO31" s="545"/>
      <c r="WEP31" s="545"/>
      <c r="WEQ31" s="545"/>
      <c r="WER31" s="545"/>
      <c r="WES31" s="545"/>
      <c r="WET31" s="545"/>
      <c r="WEU31" s="545"/>
      <c r="WEV31" s="545"/>
      <c r="WEW31" s="545"/>
      <c r="WEX31" s="545"/>
      <c r="WEY31" s="545"/>
      <c r="WEZ31" s="545"/>
      <c r="WFA31" s="545"/>
      <c r="WFB31" s="545"/>
      <c r="WFC31" s="545"/>
      <c r="WFD31" s="545"/>
      <c r="WFE31" s="545"/>
      <c r="WFF31" s="545"/>
      <c r="WFG31" s="545"/>
      <c r="WFH31" s="545"/>
      <c r="WFI31" s="545"/>
      <c r="WFJ31" s="545"/>
      <c r="WFK31" s="545"/>
      <c r="WFL31" s="545"/>
      <c r="WFM31" s="545"/>
      <c r="WFN31" s="545"/>
      <c r="WFO31" s="545"/>
      <c r="WFP31" s="545"/>
      <c r="WFQ31" s="545"/>
      <c r="WFR31" s="545"/>
      <c r="WFS31" s="545"/>
      <c r="WFT31" s="545"/>
      <c r="WFU31" s="545"/>
      <c r="WFV31" s="545"/>
      <c r="WFW31" s="545"/>
      <c r="WFX31" s="545"/>
      <c r="WFY31" s="545"/>
      <c r="WFZ31" s="545"/>
      <c r="WGA31" s="545"/>
      <c r="WGB31" s="545"/>
      <c r="WGC31" s="545"/>
      <c r="WGD31" s="545"/>
      <c r="WGE31" s="545"/>
      <c r="WGF31" s="545"/>
      <c r="WGG31" s="545"/>
      <c r="WGH31" s="545"/>
      <c r="WGI31" s="545"/>
      <c r="WGJ31" s="545"/>
      <c r="WGK31" s="545"/>
      <c r="WGL31" s="545"/>
      <c r="WGM31" s="545"/>
      <c r="WGN31" s="545"/>
      <c r="WGO31" s="545"/>
      <c r="WGP31" s="545"/>
      <c r="WGQ31" s="545"/>
      <c r="WGR31" s="545"/>
      <c r="WGS31" s="545"/>
      <c r="WGT31" s="545"/>
      <c r="WGU31" s="545"/>
      <c r="WGV31" s="545"/>
      <c r="WGW31" s="545"/>
      <c r="WGX31" s="545"/>
      <c r="WGY31" s="545"/>
      <c r="WGZ31" s="545"/>
      <c r="WHA31" s="545"/>
      <c r="WHB31" s="545"/>
      <c r="WHC31" s="545"/>
      <c r="WHD31" s="545"/>
      <c r="WHE31" s="545"/>
      <c r="WHF31" s="545"/>
      <c r="WHG31" s="545"/>
      <c r="WHH31" s="545"/>
      <c r="WHI31" s="545"/>
      <c r="WHJ31" s="545"/>
      <c r="WHK31" s="545"/>
      <c r="WHL31" s="545"/>
      <c r="WHM31" s="545"/>
      <c r="WHN31" s="545"/>
      <c r="WHO31" s="545"/>
      <c r="WHP31" s="545"/>
      <c r="WHQ31" s="545"/>
      <c r="WHR31" s="545"/>
      <c r="WHS31" s="545"/>
      <c r="WHT31" s="545"/>
      <c r="WHU31" s="545"/>
      <c r="WHV31" s="545"/>
      <c r="WHW31" s="545"/>
      <c r="WHX31" s="545"/>
      <c r="WHY31" s="545"/>
      <c r="WHZ31" s="545"/>
      <c r="WIA31" s="545"/>
      <c r="WIB31" s="545"/>
      <c r="WIC31" s="545"/>
      <c r="WID31" s="545"/>
      <c r="WIE31" s="545"/>
      <c r="WIF31" s="545"/>
      <c r="WIG31" s="545"/>
      <c r="WIH31" s="545"/>
      <c r="WII31" s="545"/>
      <c r="WIJ31" s="545"/>
      <c r="WIK31" s="545"/>
      <c r="WIL31" s="545"/>
      <c r="WIM31" s="545"/>
      <c r="WIN31" s="545"/>
      <c r="WIO31" s="545"/>
      <c r="WIP31" s="545"/>
      <c r="WIQ31" s="545"/>
      <c r="WIR31" s="545"/>
      <c r="WIS31" s="545"/>
      <c r="WIT31" s="545"/>
      <c r="WIU31" s="545"/>
      <c r="WIV31" s="545"/>
      <c r="WIW31" s="545"/>
      <c r="WIX31" s="545"/>
      <c r="WIY31" s="545"/>
      <c r="WIZ31" s="545"/>
      <c r="WJA31" s="545"/>
      <c r="WJB31" s="545"/>
      <c r="WJC31" s="545"/>
      <c r="WJD31" s="545"/>
      <c r="WJE31" s="545"/>
      <c r="WJF31" s="545"/>
      <c r="WJG31" s="545"/>
      <c r="WJH31" s="545"/>
      <c r="WJI31" s="545"/>
      <c r="WJJ31" s="545"/>
      <c r="WJK31" s="545"/>
      <c r="WJL31" s="545"/>
      <c r="WJM31" s="545"/>
      <c r="WJN31" s="545"/>
      <c r="WJO31" s="545"/>
      <c r="WJP31" s="545"/>
      <c r="WJQ31" s="545"/>
      <c r="WJR31" s="545"/>
      <c r="WJS31" s="545"/>
      <c r="WJT31" s="545"/>
      <c r="WJU31" s="545"/>
      <c r="WJV31" s="545"/>
      <c r="WJW31" s="545"/>
      <c r="WJX31" s="545"/>
      <c r="WJY31" s="545"/>
      <c r="WJZ31" s="545"/>
      <c r="WKA31" s="545"/>
      <c r="WKB31" s="545"/>
      <c r="WKC31" s="545"/>
      <c r="WKD31" s="545"/>
      <c r="WKE31" s="545"/>
      <c r="WKF31" s="545"/>
      <c r="WKG31" s="545"/>
      <c r="WKH31" s="545"/>
      <c r="WKI31" s="545"/>
      <c r="WKJ31" s="545"/>
      <c r="WKK31" s="545"/>
      <c r="WKL31" s="545"/>
      <c r="WKM31" s="545"/>
      <c r="WKN31" s="545"/>
      <c r="WKO31" s="545"/>
      <c r="WKP31" s="545"/>
      <c r="WKQ31" s="545"/>
      <c r="WKR31" s="545"/>
      <c r="WKS31" s="545"/>
      <c r="WKT31" s="545"/>
      <c r="WKU31" s="545"/>
      <c r="WKV31" s="545"/>
      <c r="WKW31" s="545"/>
      <c r="WKX31" s="545"/>
      <c r="WKY31" s="545"/>
      <c r="WKZ31" s="545"/>
      <c r="WLA31" s="545"/>
      <c r="WLB31" s="545"/>
      <c r="WLC31" s="545"/>
      <c r="WLD31" s="545"/>
      <c r="WLE31" s="545"/>
      <c r="WLF31" s="545"/>
      <c r="WLG31" s="545"/>
      <c r="WLH31" s="545"/>
      <c r="WLI31" s="545"/>
      <c r="WLJ31" s="545"/>
      <c r="WLK31" s="545"/>
      <c r="WLL31" s="545"/>
      <c r="WLM31" s="545"/>
      <c r="WLN31" s="545"/>
      <c r="WLO31" s="545"/>
      <c r="WLP31" s="545"/>
      <c r="WLQ31" s="545"/>
      <c r="WLR31" s="545"/>
      <c r="WLS31" s="545"/>
      <c r="WLT31" s="545"/>
      <c r="WLU31" s="545"/>
      <c r="WLV31" s="545"/>
      <c r="WLW31" s="545"/>
      <c r="WLX31" s="545"/>
      <c r="WLY31" s="545"/>
      <c r="WLZ31" s="545"/>
      <c r="WMA31" s="545"/>
      <c r="WMB31" s="545"/>
      <c r="WMC31" s="545"/>
      <c r="WMD31" s="545"/>
      <c r="WME31" s="545"/>
      <c r="WMF31" s="545"/>
      <c r="WMG31" s="545"/>
      <c r="WMH31" s="545"/>
      <c r="WMI31" s="545"/>
      <c r="WMJ31" s="545"/>
      <c r="WMK31" s="545"/>
      <c r="WML31" s="545"/>
      <c r="WMM31" s="545"/>
      <c r="WMN31" s="545"/>
      <c r="WMO31" s="545"/>
      <c r="WMP31" s="545"/>
      <c r="WMQ31" s="545"/>
      <c r="WMR31" s="545"/>
      <c r="WMS31" s="545"/>
      <c r="WMT31" s="545"/>
      <c r="WMU31" s="545"/>
      <c r="WMV31" s="545"/>
      <c r="WMW31" s="545"/>
      <c r="WMX31" s="545"/>
      <c r="WMY31" s="545"/>
      <c r="WMZ31" s="545"/>
      <c r="WNA31" s="545"/>
      <c r="WNB31" s="545"/>
      <c r="WNC31" s="545"/>
      <c r="WND31" s="545"/>
      <c r="WNE31" s="545"/>
      <c r="WNF31" s="545"/>
      <c r="WNG31" s="545"/>
      <c r="WNH31" s="545"/>
      <c r="WNI31" s="545"/>
      <c r="WNJ31" s="545"/>
      <c r="WNK31" s="545"/>
      <c r="WNL31" s="545"/>
      <c r="WNM31" s="545"/>
      <c r="WNN31" s="545"/>
      <c r="WNO31" s="545"/>
      <c r="WNP31" s="545"/>
      <c r="WNQ31" s="545"/>
      <c r="WNR31" s="545"/>
      <c r="WNS31" s="545"/>
      <c r="WNT31" s="545"/>
      <c r="WNU31" s="545"/>
      <c r="WNV31" s="545"/>
      <c r="WNW31" s="545"/>
      <c r="WNX31" s="545"/>
      <c r="WNY31" s="545"/>
      <c r="WNZ31" s="545"/>
      <c r="WOA31" s="545"/>
      <c r="WOB31" s="545"/>
      <c r="WOC31" s="545"/>
      <c r="WOD31" s="545"/>
      <c r="WOE31" s="545"/>
      <c r="WOF31" s="545"/>
      <c r="WOG31" s="545"/>
      <c r="WOH31" s="545"/>
      <c r="WOI31" s="545"/>
      <c r="WOJ31" s="545"/>
      <c r="WOK31" s="545"/>
      <c r="WOL31" s="545"/>
      <c r="WOM31" s="545"/>
      <c r="WON31" s="545"/>
      <c r="WOO31" s="545"/>
      <c r="WOP31" s="545"/>
      <c r="WOQ31" s="545"/>
      <c r="WOR31" s="545"/>
      <c r="WOS31" s="545"/>
      <c r="WOT31" s="545"/>
      <c r="WOU31" s="545"/>
      <c r="WOV31" s="545"/>
      <c r="WOW31" s="545"/>
      <c r="WOX31" s="545"/>
      <c r="WOY31" s="545"/>
      <c r="WOZ31" s="545"/>
      <c r="WPA31" s="545"/>
      <c r="WPB31" s="545"/>
      <c r="WPC31" s="545"/>
      <c r="WPD31" s="545"/>
      <c r="WPE31" s="545"/>
      <c r="WPF31" s="545"/>
      <c r="WPG31" s="545"/>
      <c r="WPH31" s="545"/>
      <c r="WPI31" s="545"/>
      <c r="WPJ31" s="545"/>
      <c r="WPK31" s="545"/>
      <c r="WPL31" s="545"/>
      <c r="WPM31" s="545"/>
      <c r="WPN31" s="545"/>
      <c r="WPO31" s="545"/>
      <c r="WPP31" s="545"/>
      <c r="WPQ31" s="545"/>
      <c r="WPR31" s="545"/>
      <c r="WPS31" s="545"/>
      <c r="WPT31" s="545"/>
      <c r="WPU31" s="545"/>
      <c r="WPV31" s="545"/>
      <c r="WPW31" s="545"/>
      <c r="WPX31" s="545"/>
      <c r="WPY31" s="545"/>
      <c r="WPZ31" s="545"/>
      <c r="WQA31" s="545"/>
      <c r="WQB31" s="545"/>
      <c r="WQC31" s="545"/>
      <c r="WQD31" s="545"/>
      <c r="WQE31" s="545"/>
      <c r="WQF31" s="545"/>
      <c r="WQG31" s="545"/>
      <c r="WQH31" s="545"/>
      <c r="WQI31" s="545"/>
      <c r="WQJ31" s="545"/>
      <c r="WQK31" s="545"/>
      <c r="WQL31" s="545"/>
      <c r="WQM31" s="545"/>
      <c r="WQN31" s="545"/>
      <c r="WQO31" s="545"/>
      <c r="WQP31" s="545"/>
      <c r="WQQ31" s="545"/>
      <c r="WQR31" s="545"/>
      <c r="WQS31" s="545"/>
      <c r="WQT31" s="545"/>
      <c r="WQU31" s="545"/>
      <c r="WQV31" s="545"/>
      <c r="WQW31" s="545"/>
      <c r="WQX31" s="545"/>
      <c r="WQY31" s="545"/>
      <c r="WQZ31" s="545"/>
      <c r="WRA31" s="545"/>
      <c r="WRB31" s="545"/>
      <c r="WRC31" s="545"/>
      <c r="WRD31" s="545"/>
      <c r="WRE31" s="545"/>
      <c r="WRF31" s="545"/>
      <c r="WRG31" s="545"/>
      <c r="WRH31" s="545"/>
      <c r="WRI31" s="545"/>
      <c r="WRJ31" s="545"/>
      <c r="WRK31" s="545"/>
      <c r="WRL31" s="545"/>
      <c r="WRM31" s="545"/>
      <c r="WRN31" s="545"/>
      <c r="WRO31" s="545"/>
      <c r="WRP31" s="545"/>
      <c r="WRQ31" s="545"/>
      <c r="WRR31" s="545"/>
      <c r="WRS31" s="545"/>
      <c r="WRT31" s="545"/>
      <c r="WRU31" s="545"/>
      <c r="WRV31" s="545"/>
      <c r="WRW31" s="545"/>
      <c r="WRX31" s="545"/>
      <c r="WRY31" s="545"/>
      <c r="WRZ31" s="545"/>
      <c r="WSA31" s="545"/>
      <c r="WSB31" s="545"/>
      <c r="WSC31" s="545"/>
      <c r="WSD31" s="545"/>
      <c r="WSE31" s="545"/>
      <c r="WSF31" s="545"/>
      <c r="WSG31" s="545"/>
      <c r="WSH31" s="545"/>
      <c r="WSI31" s="545"/>
      <c r="WSJ31" s="545"/>
      <c r="WSK31" s="545"/>
      <c r="WSL31" s="545"/>
      <c r="WSM31" s="545"/>
      <c r="WSN31" s="545"/>
      <c r="WSO31" s="545"/>
      <c r="WSP31" s="545"/>
      <c r="WSQ31" s="545"/>
      <c r="WSR31" s="545"/>
      <c r="WSS31" s="545"/>
      <c r="WST31" s="545"/>
      <c r="WSU31" s="545"/>
      <c r="WSV31" s="545"/>
      <c r="WSW31" s="545"/>
      <c r="WSX31" s="545"/>
      <c r="WSY31" s="545"/>
      <c r="WSZ31" s="545"/>
      <c r="WTA31" s="545"/>
      <c r="WTB31" s="545"/>
      <c r="WTC31" s="545"/>
      <c r="WTD31" s="545"/>
      <c r="WTE31" s="545"/>
      <c r="WTF31" s="545"/>
      <c r="WTG31" s="545"/>
      <c r="WTH31" s="545"/>
      <c r="WTI31" s="545"/>
      <c r="WTJ31" s="545"/>
      <c r="WTK31" s="545"/>
      <c r="WTL31" s="545"/>
      <c r="WTM31" s="545"/>
      <c r="WTN31" s="545"/>
      <c r="WTO31" s="545"/>
      <c r="WTP31" s="545"/>
      <c r="WTQ31" s="545"/>
      <c r="WTR31" s="545"/>
      <c r="WTS31" s="545"/>
      <c r="WTT31" s="545"/>
      <c r="WTU31" s="545"/>
      <c r="WTV31" s="545"/>
      <c r="WTW31" s="545"/>
      <c r="WTX31" s="545"/>
      <c r="WTY31" s="545"/>
      <c r="WTZ31" s="545"/>
      <c r="WUA31" s="545"/>
      <c r="WUB31" s="545"/>
      <c r="WUC31" s="545"/>
      <c r="WUD31" s="545"/>
      <c r="WUE31" s="545"/>
      <c r="WUF31" s="545"/>
      <c r="WUG31" s="545"/>
      <c r="WUH31" s="545"/>
      <c r="WUI31" s="545"/>
      <c r="WUJ31" s="545"/>
      <c r="WUK31" s="545"/>
      <c r="WUL31" s="545"/>
      <c r="WUM31" s="545"/>
      <c r="WUN31" s="545"/>
      <c r="WUO31" s="545"/>
      <c r="WUP31" s="545"/>
      <c r="WUQ31" s="545"/>
      <c r="WUR31" s="545"/>
      <c r="WUS31" s="545"/>
      <c r="WUT31" s="545"/>
      <c r="WUU31" s="545"/>
      <c r="WUV31" s="545"/>
      <c r="WUW31" s="545"/>
      <c r="WUX31" s="545"/>
      <c r="WUY31" s="545"/>
      <c r="WUZ31" s="545"/>
      <c r="WVA31" s="545"/>
      <c r="WVB31" s="545"/>
      <c r="WVC31" s="545"/>
      <c r="WVD31" s="545"/>
      <c r="WVE31" s="545"/>
      <c r="WVF31" s="545"/>
      <c r="WVG31" s="545"/>
      <c r="WVH31" s="545"/>
      <c r="WVI31" s="545"/>
      <c r="WVJ31" s="545"/>
      <c r="WVK31" s="545"/>
      <c r="WVL31" s="545"/>
      <c r="WVM31" s="545"/>
      <c r="WVN31" s="545"/>
      <c r="WVO31" s="545"/>
      <c r="WVP31" s="545"/>
      <c r="WVQ31" s="545"/>
      <c r="WVR31" s="545"/>
      <c r="WVS31" s="545"/>
    </row>
    <row r="32" spans="1:16139" s="546" customFormat="1" ht="18" hidden="1" customHeight="1" outlineLevel="1">
      <c r="A32" s="547" t="s">
        <v>23</v>
      </c>
      <c r="B32" s="548" t="s">
        <v>1976</v>
      </c>
      <c r="C32" s="549">
        <f t="shared" ref="C32" si="16">SUM(D32:M32)</f>
        <v>13500</v>
      </c>
      <c r="D32" s="549">
        <v>4000</v>
      </c>
      <c r="E32" s="549">
        <v>2000</v>
      </c>
      <c r="F32" s="1447">
        <v>2000</v>
      </c>
      <c r="G32" s="549"/>
      <c r="H32" s="549"/>
      <c r="I32" s="549"/>
      <c r="J32" s="549"/>
      <c r="K32" s="549"/>
      <c r="L32" s="549">
        <v>3500</v>
      </c>
      <c r="M32" s="549">
        <v>2000</v>
      </c>
      <c r="N32" s="1598"/>
      <c r="O32" s="667"/>
      <c r="P32" s="545"/>
      <c r="Q32" s="545"/>
      <c r="R32" s="579"/>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c r="IT32" s="545"/>
      <c r="IU32" s="545"/>
      <c r="IV32" s="545"/>
      <c r="IW32" s="545"/>
      <c r="IX32" s="545"/>
      <c r="IY32" s="545"/>
      <c r="IZ32" s="545"/>
      <c r="JA32" s="545"/>
      <c r="JB32" s="545"/>
      <c r="JC32" s="545"/>
      <c r="JD32" s="545"/>
      <c r="JE32" s="545"/>
      <c r="JF32" s="545"/>
      <c r="JG32" s="545"/>
      <c r="JH32" s="545"/>
      <c r="JI32" s="545"/>
      <c r="JJ32" s="545"/>
      <c r="JK32" s="545"/>
      <c r="JL32" s="545"/>
      <c r="JM32" s="545"/>
      <c r="JN32" s="545"/>
      <c r="JO32" s="545"/>
      <c r="JP32" s="545"/>
      <c r="JQ32" s="545"/>
      <c r="JR32" s="545"/>
      <c r="JS32" s="545"/>
      <c r="JT32" s="545"/>
      <c r="JU32" s="545"/>
      <c r="JV32" s="545"/>
      <c r="JW32" s="545"/>
      <c r="JX32" s="545"/>
      <c r="JY32" s="545"/>
      <c r="JZ32" s="545"/>
      <c r="KA32" s="545"/>
      <c r="KB32" s="545"/>
      <c r="KC32" s="545"/>
      <c r="KD32" s="545"/>
      <c r="KE32" s="545"/>
      <c r="KF32" s="545"/>
      <c r="KG32" s="545"/>
      <c r="KH32" s="545"/>
      <c r="KI32" s="545"/>
      <c r="KJ32" s="545"/>
      <c r="KK32" s="545"/>
      <c r="KL32" s="545"/>
      <c r="KM32" s="545"/>
      <c r="KN32" s="545"/>
      <c r="KO32" s="545"/>
      <c r="KP32" s="545"/>
      <c r="KQ32" s="545"/>
      <c r="KR32" s="545"/>
      <c r="KS32" s="545"/>
      <c r="KT32" s="545"/>
      <c r="KU32" s="545"/>
      <c r="KV32" s="545"/>
      <c r="KW32" s="545"/>
      <c r="KX32" s="545"/>
      <c r="KY32" s="545"/>
      <c r="KZ32" s="545"/>
      <c r="LA32" s="545"/>
      <c r="LB32" s="545"/>
      <c r="LC32" s="545"/>
      <c r="LD32" s="545"/>
      <c r="LE32" s="545"/>
      <c r="LF32" s="545"/>
      <c r="LG32" s="545"/>
      <c r="LH32" s="545"/>
      <c r="LI32" s="545"/>
      <c r="LJ32" s="545"/>
      <c r="LK32" s="545"/>
      <c r="LL32" s="545"/>
      <c r="LM32" s="545"/>
      <c r="LN32" s="545"/>
      <c r="LO32" s="545"/>
      <c r="LP32" s="545"/>
      <c r="LQ32" s="545"/>
      <c r="LR32" s="545"/>
      <c r="LS32" s="545"/>
      <c r="LT32" s="545"/>
      <c r="LU32" s="545"/>
      <c r="LV32" s="545"/>
      <c r="LW32" s="545"/>
      <c r="LX32" s="545"/>
      <c r="LY32" s="545"/>
      <c r="LZ32" s="545"/>
      <c r="MA32" s="545"/>
      <c r="MB32" s="545"/>
      <c r="MC32" s="545"/>
      <c r="MD32" s="545"/>
      <c r="ME32" s="545"/>
      <c r="MF32" s="545"/>
      <c r="MG32" s="545"/>
      <c r="MH32" s="545"/>
      <c r="MI32" s="545"/>
      <c r="MJ32" s="545"/>
      <c r="MK32" s="545"/>
      <c r="ML32" s="545"/>
      <c r="MM32" s="545"/>
      <c r="MN32" s="545"/>
      <c r="MO32" s="545"/>
      <c r="MP32" s="545"/>
      <c r="MQ32" s="545"/>
      <c r="MR32" s="545"/>
      <c r="MS32" s="545"/>
      <c r="MT32" s="545"/>
      <c r="MU32" s="545"/>
      <c r="MV32" s="545"/>
      <c r="MW32" s="545"/>
      <c r="MX32" s="545"/>
      <c r="MY32" s="545"/>
      <c r="MZ32" s="545"/>
      <c r="NA32" s="545"/>
      <c r="NB32" s="545"/>
      <c r="NC32" s="545"/>
      <c r="ND32" s="545"/>
      <c r="NE32" s="545"/>
      <c r="NF32" s="545"/>
      <c r="NG32" s="545"/>
      <c r="NH32" s="545"/>
      <c r="NI32" s="545"/>
      <c r="NJ32" s="545"/>
      <c r="NK32" s="545"/>
      <c r="NL32" s="545"/>
      <c r="NM32" s="545"/>
      <c r="NN32" s="545"/>
      <c r="NO32" s="545"/>
      <c r="NP32" s="545"/>
      <c r="NQ32" s="545"/>
      <c r="NR32" s="545"/>
      <c r="NS32" s="545"/>
      <c r="NT32" s="545"/>
      <c r="NU32" s="545"/>
      <c r="NV32" s="545"/>
      <c r="NW32" s="545"/>
      <c r="NX32" s="545"/>
      <c r="NY32" s="545"/>
      <c r="NZ32" s="545"/>
      <c r="OA32" s="545"/>
      <c r="OB32" s="545"/>
      <c r="OC32" s="545"/>
      <c r="OD32" s="545"/>
      <c r="OE32" s="545"/>
      <c r="OF32" s="545"/>
      <c r="OG32" s="545"/>
      <c r="OH32" s="545"/>
      <c r="OI32" s="545"/>
      <c r="OJ32" s="545"/>
      <c r="OK32" s="545"/>
      <c r="OL32" s="545"/>
      <c r="OM32" s="545"/>
      <c r="ON32" s="545"/>
      <c r="OO32" s="545"/>
      <c r="OP32" s="545"/>
      <c r="OQ32" s="545"/>
      <c r="OR32" s="545"/>
      <c r="OS32" s="545"/>
      <c r="OT32" s="545"/>
      <c r="OU32" s="545"/>
      <c r="OV32" s="545"/>
      <c r="OW32" s="545"/>
      <c r="OX32" s="545"/>
      <c r="OY32" s="545"/>
      <c r="OZ32" s="545"/>
      <c r="PA32" s="545"/>
      <c r="PB32" s="545"/>
      <c r="PC32" s="545"/>
      <c r="PD32" s="545"/>
      <c r="PE32" s="545"/>
      <c r="PF32" s="545"/>
      <c r="PG32" s="545"/>
      <c r="PH32" s="545"/>
      <c r="PI32" s="545"/>
      <c r="PJ32" s="545"/>
      <c r="PK32" s="545"/>
      <c r="PL32" s="545"/>
      <c r="PM32" s="545"/>
      <c r="PN32" s="545"/>
      <c r="PO32" s="545"/>
      <c r="PP32" s="545"/>
      <c r="PQ32" s="545"/>
      <c r="PR32" s="545"/>
      <c r="PS32" s="545"/>
      <c r="PT32" s="545"/>
      <c r="PU32" s="545"/>
      <c r="PV32" s="545"/>
      <c r="PW32" s="545"/>
      <c r="PX32" s="545"/>
      <c r="PY32" s="545"/>
      <c r="PZ32" s="545"/>
      <c r="QA32" s="545"/>
      <c r="QB32" s="545"/>
      <c r="QC32" s="545"/>
      <c r="QD32" s="545"/>
      <c r="QE32" s="545"/>
      <c r="QF32" s="545"/>
      <c r="QG32" s="545"/>
      <c r="QH32" s="545"/>
      <c r="QI32" s="545"/>
      <c r="QJ32" s="545"/>
      <c r="QK32" s="545"/>
      <c r="QL32" s="545"/>
      <c r="QM32" s="545"/>
      <c r="QN32" s="545"/>
      <c r="QO32" s="545"/>
      <c r="QP32" s="545"/>
      <c r="QQ32" s="545"/>
      <c r="QR32" s="545"/>
      <c r="QS32" s="545"/>
      <c r="QT32" s="545"/>
      <c r="QU32" s="545"/>
      <c r="QV32" s="545"/>
      <c r="QW32" s="545"/>
      <c r="QX32" s="545"/>
      <c r="QY32" s="545"/>
      <c r="QZ32" s="545"/>
      <c r="RA32" s="545"/>
      <c r="RB32" s="545"/>
      <c r="RC32" s="545"/>
      <c r="RD32" s="545"/>
      <c r="RE32" s="545"/>
      <c r="RF32" s="545"/>
      <c r="RG32" s="545"/>
      <c r="RH32" s="545"/>
      <c r="RI32" s="545"/>
      <c r="RJ32" s="545"/>
      <c r="RK32" s="545"/>
      <c r="RL32" s="545"/>
      <c r="RM32" s="545"/>
      <c r="RN32" s="545"/>
      <c r="RO32" s="545"/>
      <c r="RP32" s="545"/>
      <c r="RQ32" s="545"/>
      <c r="RR32" s="545"/>
      <c r="RS32" s="545"/>
      <c r="RT32" s="545"/>
      <c r="RU32" s="545"/>
      <c r="RV32" s="545"/>
      <c r="RW32" s="545"/>
      <c r="RX32" s="545"/>
      <c r="RY32" s="545"/>
      <c r="RZ32" s="545"/>
      <c r="SA32" s="545"/>
      <c r="SB32" s="545"/>
      <c r="SC32" s="545"/>
      <c r="SD32" s="545"/>
      <c r="SE32" s="545"/>
      <c r="SF32" s="545"/>
      <c r="SG32" s="545"/>
      <c r="SH32" s="545"/>
      <c r="SI32" s="545"/>
      <c r="SJ32" s="545"/>
      <c r="SK32" s="545"/>
      <c r="SL32" s="545"/>
      <c r="SM32" s="545"/>
      <c r="SN32" s="545"/>
      <c r="SO32" s="545"/>
      <c r="SP32" s="545"/>
      <c r="SQ32" s="545"/>
      <c r="SR32" s="545"/>
      <c r="SS32" s="545"/>
      <c r="ST32" s="545"/>
      <c r="SU32" s="545"/>
      <c r="SV32" s="545"/>
      <c r="SW32" s="545"/>
      <c r="SX32" s="545"/>
      <c r="SY32" s="545"/>
      <c r="SZ32" s="545"/>
      <c r="TA32" s="545"/>
      <c r="TB32" s="545"/>
      <c r="TC32" s="545"/>
      <c r="TD32" s="545"/>
      <c r="TE32" s="545"/>
      <c r="TF32" s="545"/>
      <c r="TG32" s="545"/>
      <c r="TH32" s="545"/>
      <c r="TI32" s="545"/>
      <c r="TJ32" s="545"/>
      <c r="TK32" s="545"/>
      <c r="TL32" s="545"/>
      <c r="TM32" s="545"/>
      <c r="TN32" s="545"/>
      <c r="TO32" s="545"/>
      <c r="TP32" s="545"/>
      <c r="TQ32" s="545"/>
      <c r="TR32" s="545"/>
      <c r="TS32" s="545"/>
      <c r="TT32" s="545"/>
      <c r="TU32" s="545"/>
      <c r="TV32" s="545"/>
      <c r="TW32" s="545"/>
      <c r="TX32" s="545"/>
      <c r="TY32" s="545"/>
      <c r="TZ32" s="545"/>
      <c r="UA32" s="545"/>
      <c r="UB32" s="545"/>
      <c r="UC32" s="545"/>
      <c r="UD32" s="545"/>
      <c r="UE32" s="545"/>
      <c r="UF32" s="545"/>
      <c r="UG32" s="545"/>
      <c r="UH32" s="545"/>
      <c r="UI32" s="545"/>
      <c r="UJ32" s="545"/>
      <c r="UK32" s="545"/>
      <c r="UL32" s="545"/>
      <c r="UM32" s="545"/>
      <c r="UN32" s="545"/>
      <c r="UO32" s="545"/>
      <c r="UP32" s="545"/>
      <c r="UQ32" s="545"/>
      <c r="UR32" s="545"/>
      <c r="US32" s="545"/>
      <c r="UT32" s="545"/>
      <c r="UU32" s="545"/>
      <c r="UV32" s="545"/>
      <c r="UW32" s="545"/>
      <c r="UX32" s="545"/>
      <c r="UY32" s="545"/>
      <c r="UZ32" s="545"/>
      <c r="VA32" s="545"/>
      <c r="VB32" s="545"/>
      <c r="VC32" s="545"/>
      <c r="VD32" s="545"/>
      <c r="VE32" s="545"/>
      <c r="VF32" s="545"/>
      <c r="VG32" s="545"/>
      <c r="VH32" s="545"/>
      <c r="VI32" s="545"/>
      <c r="VJ32" s="545"/>
      <c r="VK32" s="545"/>
      <c r="VL32" s="545"/>
      <c r="VM32" s="545"/>
      <c r="VN32" s="545"/>
      <c r="VO32" s="545"/>
      <c r="VP32" s="545"/>
      <c r="VQ32" s="545"/>
      <c r="VR32" s="545"/>
      <c r="VS32" s="545"/>
      <c r="VT32" s="545"/>
      <c r="VU32" s="545"/>
      <c r="VV32" s="545"/>
      <c r="VW32" s="545"/>
      <c r="VX32" s="545"/>
      <c r="VY32" s="545"/>
      <c r="VZ32" s="545"/>
      <c r="WA32" s="545"/>
      <c r="WB32" s="545"/>
      <c r="WC32" s="545"/>
      <c r="WD32" s="545"/>
      <c r="WE32" s="545"/>
      <c r="WF32" s="545"/>
      <c r="WG32" s="545"/>
      <c r="WH32" s="545"/>
      <c r="WI32" s="545"/>
      <c r="WJ32" s="545"/>
      <c r="WK32" s="545"/>
      <c r="WL32" s="545"/>
      <c r="WM32" s="545"/>
      <c r="WN32" s="545"/>
      <c r="WO32" s="545"/>
      <c r="WP32" s="545"/>
      <c r="WQ32" s="545"/>
      <c r="WR32" s="545"/>
      <c r="WS32" s="545"/>
      <c r="WT32" s="545"/>
      <c r="WU32" s="545"/>
      <c r="WV32" s="545"/>
      <c r="WW32" s="545"/>
      <c r="WX32" s="545"/>
      <c r="WY32" s="545"/>
      <c r="WZ32" s="545"/>
      <c r="XA32" s="545"/>
      <c r="XB32" s="545"/>
      <c r="XC32" s="545"/>
      <c r="XD32" s="545"/>
      <c r="XE32" s="545"/>
      <c r="XF32" s="545"/>
      <c r="XG32" s="545"/>
      <c r="XH32" s="545"/>
      <c r="XI32" s="545"/>
      <c r="XJ32" s="545"/>
      <c r="XK32" s="545"/>
      <c r="XL32" s="545"/>
      <c r="XM32" s="545"/>
      <c r="XN32" s="545"/>
      <c r="XO32" s="545"/>
      <c r="XP32" s="545"/>
      <c r="XQ32" s="545"/>
      <c r="XR32" s="545"/>
      <c r="XS32" s="545"/>
      <c r="XT32" s="545"/>
      <c r="XU32" s="545"/>
      <c r="XV32" s="545"/>
      <c r="XW32" s="545"/>
      <c r="XX32" s="545"/>
      <c r="XY32" s="545"/>
      <c r="XZ32" s="545"/>
      <c r="YA32" s="545"/>
      <c r="YB32" s="545"/>
      <c r="YC32" s="545"/>
      <c r="YD32" s="545"/>
      <c r="YE32" s="545"/>
      <c r="YF32" s="545"/>
      <c r="YG32" s="545"/>
      <c r="YH32" s="545"/>
      <c r="YI32" s="545"/>
      <c r="YJ32" s="545"/>
      <c r="YK32" s="545"/>
      <c r="YL32" s="545"/>
      <c r="YM32" s="545"/>
      <c r="YN32" s="545"/>
      <c r="YO32" s="545"/>
      <c r="YP32" s="545"/>
      <c r="YQ32" s="545"/>
      <c r="YR32" s="545"/>
      <c r="YS32" s="545"/>
      <c r="YT32" s="545"/>
      <c r="YU32" s="545"/>
      <c r="YV32" s="545"/>
      <c r="YW32" s="545"/>
      <c r="YX32" s="545"/>
      <c r="YY32" s="545"/>
      <c r="YZ32" s="545"/>
      <c r="ZA32" s="545"/>
      <c r="ZB32" s="545"/>
      <c r="ZC32" s="545"/>
      <c r="ZD32" s="545"/>
      <c r="ZE32" s="545"/>
      <c r="ZF32" s="545"/>
      <c r="ZG32" s="545"/>
      <c r="ZH32" s="545"/>
      <c r="ZI32" s="545"/>
      <c r="ZJ32" s="545"/>
      <c r="ZK32" s="545"/>
      <c r="ZL32" s="545"/>
      <c r="ZM32" s="545"/>
      <c r="ZN32" s="545"/>
      <c r="ZO32" s="545"/>
      <c r="ZP32" s="545"/>
      <c r="ZQ32" s="545"/>
      <c r="ZR32" s="545"/>
      <c r="ZS32" s="545"/>
      <c r="ZT32" s="545"/>
      <c r="ZU32" s="545"/>
      <c r="ZV32" s="545"/>
      <c r="ZW32" s="545"/>
      <c r="ZX32" s="545"/>
      <c r="ZY32" s="545"/>
      <c r="ZZ32" s="545"/>
      <c r="AAA32" s="545"/>
      <c r="AAB32" s="545"/>
      <c r="AAC32" s="545"/>
      <c r="AAD32" s="545"/>
      <c r="AAE32" s="545"/>
      <c r="AAF32" s="545"/>
      <c r="AAG32" s="545"/>
      <c r="AAH32" s="545"/>
      <c r="AAI32" s="545"/>
      <c r="AAJ32" s="545"/>
      <c r="AAK32" s="545"/>
      <c r="AAL32" s="545"/>
      <c r="AAM32" s="545"/>
      <c r="AAN32" s="545"/>
      <c r="AAO32" s="545"/>
      <c r="AAP32" s="545"/>
      <c r="AAQ32" s="545"/>
      <c r="AAR32" s="545"/>
      <c r="AAS32" s="545"/>
      <c r="AAT32" s="545"/>
      <c r="AAU32" s="545"/>
      <c r="AAV32" s="545"/>
      <c r="AAW32" s="545"/>
      <c r="AAX32" s="545"/>
      <c r="AAY32" s="545"/>
      <c r="AAZ32" s="545"/>
      <c r="ABA32" s="545"/>
      <c r="ABB32" s="545"/>
      <c r="ABC32" s="545"/>
      <c r="ABD32" s="545"/>
      <c r="ABE32" s="545"/>
      <c r="ABF32" s="545"/>
      <c r="ABG32" s="545"/>
      <c r="ABH32" s="545"/>
      <c r="ABI32" s="545"/>
      <c r="ABJ32" s="545"/>
      <c r="ABK32" s="545"/>
      <c r="ABL32" s="545"/>
      <c r="ABM32" s="545"/>
      <c r="ABN32" s="545"/>
      <c r="ABO32" s="545"/>
      <c r="ABP32" s="545"/>
      <c r="ABQ32" s="545"/>
      <c r="ABR32" s="545"/>
      <c r="ABS32" s="545"/>
      <c r="ABT32" s="545"/>
      <c r="ABU32" s="545"/>
      <c r="ABV32" s="545"/>
      <c r="ABW32" s="545"/>
      <c r="ABX32" s="545"/>
      <c r="ABY32" s="545"/>
      <c r="ABZ32" s="545"/>
      <c r="ACA32" s="545"/>
      <c r="ACB32" s="545"/>
      <c r="ACC32" s="545"/>
      <c r="ACD32" s="545"/>
      <c r="ACE32" s="545"/>
      <c r="ACF32" s="545"/>
      <c r="ACG32" s="545"/>
      <c r="ACH32" s="545"/>
      <c r="ACI32" s="545"/>
      <c r="ACJ32" s="545"/>
      <c r="ACK32" s="545"/>
      <c r="ACL32" s="545"/>
      <c r="ACM32" s="545"/>
      <c r="ACN32" s="545"/>
      <c r="ACO32" s="545"/>
      <c r="ACP32" s="545"/>
      <c r="ACQ32" s="545"/>
      <c r="ACR32" s="545"/>
      <c r="ACS32" s="545"/>
      <c r="ACT32" s="545"/>
      <c r="ACU32" s="545"/>
      <c r="ACV32" s="545"/>
      <c r="ACW32" s="545"/>
      <c r="ACX32" s="545"/>
      <c r="ACY32" s="545"/>
      <c r="ACZ32" s="545"/>
      <c r="ADA32" s="545"/>
      <c r="ADB32" s="545"/>
      <c r="ADC32" s="545"/>
      <c r="ADD32" s="545"/>
      <c r="ADE32" s="545"/>
      <c r="ADF32" s="545"/>
      <c r="ADG32" s="545"/>
      <c r="ADH32" s="545"/>
      <c r="ADI32" s="545"/>
      <c r="ADJ32" s="545"/>
      <c r="ADK32" s="545"/>
      <c r="ADL32" s="545"/>
      <c r="ADM32" s="545"/>
      <c r="ADN32" s="545"/>
      <c r="ADO32" s="545"/>
      <c r="ADP32" s="545"/>
      <c r="ADQ32" s="545"/>
      <c r="ADR32" s="545"/>
      <c r="ADS32" s="545"/>
      <c r="ADT32" s="545"/>
      <c r="ADU32" s="545"/>
      <c r="ADV32" s="545"/>
      <c r="ADW32" s="545"/>
      <c r="ADX32" s="545"/>
      <c r="ADY32" s="545"/>
      <c r="ADZ32" s="545"/>
      <c r="AEA32" s="545"/>
      <c r="AEB32" s="545"/>
      <c r="AEC32" s="545"/>
      <c r="AED32" s="545"/>
      <c r="AEE32" s="545"/>
      <c r="AEF32" s="545"/>
      <c r="AEG32" s="545"/>
      <c r="AEH32" s="545"/>
      <c r="AEI32" s="545"/>
      <c r="AEJ32" s="545"/>
      <c r="AEK32" s="545"/>
      <c r="AEL32" s="545"/>
      <c r="AEM32" s="545"/>
      <c r="AEN32" s="545"/>
      <c r="AEO32" s="545"/>
      <c r="AEP32" s="545"/>
      <c r="AEQ32" s="545"/>
      <c r="AER32" s="545"/>
      <c r="AES32" s="545"/>
      <c r="AET32" s="545"/>
      <c r="AEU32" s="545"/>
      <c r="AEV32" s="545"/>
      <c r="AEW32" s="545"/>
      <c r="AEX32" s="545"/>
      <c r="AEY32" s="545"/>
      <c r="AEZ32" s="545"/>
      <c r="AFA32" s="545"/>
      <c r="AFB32" s="545"/>
      <c r="AFC32" s="545"/>
      <c r="AFD32" s="545"/>
      <c r="AFE32" s="545"/>
      <c r="AFF32" s="545"/>
      <c r="AFG32" s="545"/>
      <c r="AFH32" s="545"/>
      <c r="AFI32" s="545"/>
      <c r="AFJ32" s="545"/>
      <c r="AFK32" s="545"/>
      <c r="AFL32" s="545"/>
      <c r="AFM32" s="545"/>
      <c r="AFN32" s="545"/>
      <c r="AFO32" s="545"/>
      <c r="AFP32" s="545"/>
      <c r="AFQ32" s="545"/>
      <c r="AFR32" s="545"/>
      <c r="AFS32" s="545"/>
      <c r="AFT32" s="545"/>
      <c r="AFU32" s="545"/>
      <c r="AFV32" s="545"/>
      <c r="AFW32" s="545"/>
      <c r="AFX32" s="545"/>
      <c r="AFY32" s="545"/>
      <c r="AFZ32" s="545"/>
      <c r="AGA32" s="545"/>
      <c r="AGB32" s="545"/>
      <c r="AGC32" s="545"/>
      <c r="AGD32" s="545"/>
      <c r="AGE32" s="545"/>
      <c r="AGF32" s="545"/>
      <c r="AGG32" s="545"/>
      <c r="AGH32" s="545"/>
      <c r="AGI32" s="545"/>
      <c r="AGJ32" s="545"/>
      <c r="AGK32" s="545"/>
      <c r="AGL32" s="545"/>
      <c r="AGM32" s="545"/>
      <c r="AGN32" s="545"/>
      <c r="AGO32" s="545"/>
      <c r="AGP32" s="545"/>
      <c r="AGQ32" s="545"/>
      <c r="AGR32" s="545"/>
      <c r="AGS32" s="545"/>
      <c r="AGT32" s="545"/>
      <c r="AGU32" s="545"/>
      <c r="AGV32" s="545"/>
      <c r="AGW32" s="545"/>
      <c r="AGX32" s="545"/>
      <c r="AGY32" s="545"/>
      <c r="AGZ32" s="545"/>
      <c r="AHA32" s="545"/>
      <c r="AHB32" s="545"/>
      <c r="AHC32" s="545"/>
      <c r="AHD32" s="545"/>
      <c r="AHE32" s="545"/>
      <c r="AHF32" s="545"/>
      <c r="AHG32" s="545"/>
      <c r="AHH32" s="545"/>
      <c r="AHI32" s="545"/>
      <c r="AHJ32" s="545"/>
      <c r="AHK32" s="545"/>
      <c r="AHL32" s="545"/>
      <c r="AHM32" s="545"/>
      <c r="AHN32" s="545"/>
      <c r="AHO32" s="545"/>
      <c r="AHP32" s="545"/>
      <c r="AHQ32" s="545"/>
      <c r="AHR32" s="545"/>
      <c r="AHS32" s="545"/>
      <c r="AHT32" s="545"/>
      <c r="AHU32" s="545"/>
      <c r="AHV32" s="545"/>
      <c r="AHW32" s="545"/>
      <c r="AHX32" s="545"/>
      <c r="AHY32" s="545"/>
      <c r="AHZ32" s="545"/>
      <c r="AIA32" s="545"/>
      <c r="AIB32" s="545"/>
      <c r="AIC32" s="545"/>
      <c r="AID32" s="545"/>
      <c r="AIE32" s="545"/>
      <c r="AIF32" s="545"/>
      <c r="AIG32" s="545"/>
      <c r="AIH32" s="545"/>
      <c r="AII32" s="545"/>
      <c r="AIJ32" s="545"/>
      <c r="AIK32" s="545"/>
      <c r="AIL32" s="545"/>
      <c r="AIM32" s="545"/>
      <c r="AIN32" s="545"/>
      <c r="AIO32" s="545"/>
      <c r="AIP32" s="545"/>
      <c r="AIQ32" s="545"/>
      <c r="AIR32" s="545"/>
      <c r="AIS32" s="545"/>
      <c r="AIT32" s="545"/>
      <c r="AIU32" s="545"/>
      <c r="AIV32" s="545"/>
      <c r="AIW32" s="545"/>
      <c r="AIX32" s="545"/>
      <c r="AIY32" s="545"/>
      <c r="AIZ32" s="545"/>
      <c r="AJA32" s="545"/>
      <c r="AJB32" s="545"/>
      <c r="AJC32" s="545"/>
      <c r="AJD32" s="545"/>
      <c r="AJE32" s="545"/>
      <c r="AJF32" s="545"/>
      <c r="AJG32" s="545"/>
      <c r="AJH32" s="545"/>
      <c r="AJI32" s="545"/>
      <c r="AJJ32" s="545"/>
      <c r="AJK32" s="545"/>
      <c r="AJL32" s="545"/>
      <c r="AJM32" s="545"/>
      <c r="AJN32" s="545"/>
      <c r="AJO32" s="545"/>
      <c r="AJP32" s="545"/>
      <c r="AJQ32" s="545"/>
      <c r="AJR32" s="545"/>
      <c r="AJS32" s="545"/>
      <c r="AJT32" s="545"/>
      <c r="AJU32" s="545"/>
      <c r="AJV32" s="545"/>
      <c r="AJW32" s="545"/>
      <c r="AJX32" s="545"/>
      <c r="AJY32" s="545"/>
      <c r="AJZ32" s="545"/>
      <c r="AKA32" s="545"/>
      <c r="AKB32" s="545"/>
      <c r="AKC32" s="545"/>
      <c r="AKD32" s="545"/>
      <c r="AKE32" s="545"/>
      <c r="AKF32" s="545"/>
      <c r="AKG32" s="545"/>
      <c r="AKH32" s="545"/>
      <c r="AKI32" s="545"/>
      <c r="AKJ32" s="545"/>
      <c r="AKK32" s="545"/>
      <c r="AKL32" s="545"/>
      <c r="AKM32" s="545"/>
      <c r="AKN32" s="545"/>
      <c r="AKO32" s="545"/>
      <c r="AKP32" s="545"/>
      <c r="AKQ32" s="545"/>
      <c r="AKR32" s="545"/>
      <c r="AKS32" s="545"/>
      <c r="AKT32" s="545"/>
      <c r="AKU32" s="545"/>
      <c r="AKV32" s="545"/>
      <c r="AKW32" s="545"/>
      <c r="AKX32" s="545"/>
      <c r="AKY32" s="545"/>
      <c r="AKZ32" s="545"/>
      <c r="ALA32" s="545"/>
      <c r="ALB32" s="545"/>
      <c r="ALC32" s="545"/>
      <c r="ALD32" s="545"/>
      <c r="ALE32" s="545"/>
      <c r="ALF32" s="545"/>
      <c r="ALG32" s="545"/>
      <c r="ALH32" s="545"/>
      <c r="ALI32" s="545"/>
      <c r="ALJ32" s="545"/>
      <c r="ALK32" s="545"/>
      <c r="ALL32" s="545"/>
      <c r="ALM32" s="545"/>
      <c r="ALN32" s="545"/>
      <c r="ALO32" s="545"/>
      <c r="ALP32" s="545"/>
      <c r="ALQ32" s="545"/>
      <c r="ALR32" s="545"/>
      <c r="ALS32" s="545"/>
      <c r="ALT32" s="545"/>
      <c r="ALU32" s="545"/>
      <c r="ALV32" s="545"/>
      <c r="ALW32" s="545"/>
      <c r="ALX32" s="545"/>
      <c r="ALY32" s="545"/>
      <c r="ALZ32" s="545"/>
      <c r="AMA32" s="545"/>
      <c r="AMB32" s="545"/>
      <c r="AMC32" s="545"/>
      <c r="AMD32" s="545"/>
      <c r="AME32" s="545"/>
      <c r="AMF32" s="545"/>
      <c r="AMG32" s="545"/>
      <c r="AMH32" s="545"/>
      <c r="AMI32" s="545"/>
      <c r="AMJ32" s="545"/>
      <c r="AMK32" s="545"/>
      <c r="AML32" s="545"/>
      <c r="AMM32" s="545"/>
      <c r="AMN32" s="545"/>
      <c r="AMO32" s="545"/>
      <c r="AMP32" s="545"/>
      <c r="AMQ32" s="545"/>
      <c r="AMR32" s="545"/>
      <c r="AMS32" s="545"/>
      <c r="AMT32" s="545"/>
      <c r="AMU32" s="545"/>
      <c r="AMV32" s="545"/>
      <c r="AMW32" s="545"/>
      <c r="AMX32" s="545"/>
      <c r="AMY32" s="545"/>
      <c r="AMZ32" s="545"/>
      <c r="ANA32" s="545"/>
      <c r="ANB32" s="545"/>
      <c r="ANC32" s="545"/>
      <c r="AND32" s="545"/>
      <c r="ANE32" s="545"/>
      <c r="ANF32" s="545"/>
      <c r="ANG32" s="545"/>
      <c r="ANH32" s="545"/>
      <c r="ANI32" s="545"/>
      <c r="ANJ32" s="545"/>
      <c r="ANK32" s="545"/>
      <c r="ANL32" s="545"/>
      <c r="ANM32" s="545"/>
      <c r="ANN32" s="545"/>
      <c r="ANO32" s="545"/>
      <c r="ANP32" s="545"/>
      <c r="ANQ32" s="545"/>
      <c r="ANR32" s="545"/>
      <c r="ANS32" s="545"/>
      <c r="ANT32" s="545"/>
      <c r="ANU32" s="545"/>
      <c r="ANV32" s="545"/>
      <c r="ANW32" s="545"/>
      <c r="ANX32" s="545"/>
      <c r="ANY32" s="545"/>
      <c r="ANZ32" s="545"/>
      <c r="AOA32" s="545"/>
      <c r="AOB32" s="545"/>
      <c r="AOC32" s="545"/>
      <c r="AOD32" s="545"/>
      <c r="AOE32" s="545"/>
      <c r="AOF32" s="545"/>
      <c r="AOG32" s="545"/>
      <c r="AOH32" s="545"/>
      <c r="AOI32" s="545"/>
      <c r="AOJ32" s="545"/>
      <c r="AOK32" s="545"/>
      <c r="AOL32" s="545"/>
      <c r="AOM32" s="545"/>
      <c r="AON32" s="545"/>
      <c r="AOO32" s="545"/>
      <c r="AOP32" s="545"/>
      <c r="AOQ32" s="545"/>
      <c r="AOR32" s="545"/>
      <c r="AOS32" s="545"/>
      <c r="AOT32" s="545"/>
      <c r="AOU32" s="545"/>
      <c r="AOV32" s="545"/>
      <c r="AOW32" s="545"/>
      <c r="AOX32" s="545"/>
      <c r="AOY32" s="545"/>
      <c r="AOZ32" s="545"/>
      <c r="APA32" s="545"/>
      <c r="APB32" s="545"/>
      <c r="APC32" s="545"/>
      <c r="APD32" s="545"/>
      <c r="APE32" s="545"/>
      <c r="APF32" s="545"/>
      <c r="APG32" s="545"/>
      <c r="APH32" s="545"/>
      <c r="API32" s="545"/>
      <c r="APJ32" s="545"/>
      <c r="APK32" s="545"/>
      <c r="APL32" s="545"/>
      <c r="APM32" s="545"/>
      <c r="APN32" s="545"/>
      <c r="APO32" s="545"/>
      <c r="APP32" s="545"/>
      <c r="APQ32" s="545"/>
      <c r="APR32" s="545"/>
      <c r="APS32" s="545"/>
      <c r="APT32" s="545"/>
      <c r="APU32" s="545"/>
      <c r="APV32" s="545"/>
      <c r="APW32" s="545"/>
      <c r="APX32" s="545"/>
      <c r="APY32" s="545"/>
      <c r="APZ32" s="545"/>
      <c r="AQA32" s="545"/>
      <c r="AQB32" s="545"/>
      <c r="AQC32" s="545"/>
      <c r="AQD32" s="545"/>
      <c r="AQE32" s="545"/>
      <c r="AQF32" s="545"/>
      <c r="AQG32" s="545"/>
      <c r="AQH32" s="545"/>
      <c r="AQI32" s="545"/>
      <c r="AQJ32" s="545"/>
      <c r="AQK32" s="545"/>
      <c r="AQL32" s="545"/>
      <c r="AQM32" s="545"/>
      <c r="AQN32" s="545"/>
      <c r="AQO32" s="545"/>
      <c r="AQP32" s="545"/>
      <c r="AQQ32" s="545"/>
      <c r="AQR32" s="545"/>
      <c r="AQS32" s="545"/>
      <c r="AQT32" s="545"/>
      <c r="AQU32" s="545"/>
      <c r="AQV32" s="545"/>
      <c r="AQW32" s="545"/>
      <c r="AQX32" s="545"/>
      <c r="AQY32" s="545"/>
      <c r="AQZ32" s="545"/>
      <c r="ARA32" s="545"/>
      <c r="ARB32" s="545"/>
      <c r="ARC32" s="545"/>
      <c r="ARD32" s="545"/>
      <c r="ARE32" s="545"/>
      <c r="ARF32" s="545"/>
      <c r="ARG32" s="545"/>
      <c r="ARH32" s="545"/>
      <c r="ARI32" s="545"/>
      <c r="ARJ32" s="545"/>
      <c r="ARK32" s="545"/>
      <c r="ARL32" s="545"/>
      <c r="ARM32" s="545"/>
      <c r="ARN32" s="545"/>
      <c r="ARO32" s="545"/>
      <c r="ARP32" s="545"/>
      <c r="ARQ32" s="545"/>
      <c r="ARR32" s="545"/>
      <c r="ARS32" s="545"/>
      <c r="ART32" s="545"/>
      <c r="ARU32" s="545"/>
      <c r="ARV32" s="545"/>
      <c r="ARW32" s="545"/>
      <c r="ARX32" s="545"/>
      <c r="ARY32" s="545"/>
      <c r="ARZ32" s="545"/>
      <c r="ASA32" s="545"/>
      <c r="ASB32" s="545"/>
      <c r="ASC32" s="545"/>
      <c r="ASD32" s="545"/>
      <c r="ASE32" s="545"/>
      <c r="ASF32" s="545"/>
      <c r="ASG32" s="545"/>
      <c r="ASH32" s="545"/>
      <c r="ASI32" s="545"/>
      <c r="ASJ32" s="545"/>
      <c r="ASK32" s="545"/>
      <c r="ASL32" s="545"/>
      <c r="ASM32" s="545"/>
      <c r="ASN32" s="545"/>
      <c r="ASO32" s="545"/>
      <c r="ASP32" s="545"/>
      <c r="ASQ32" s="545"/>
      <c r="ASR32" s="545"/>
      <c r="ASS32" s="545"/>
      <c r="AST32" s="545"/>
      <c r="ASU32" s="545"/>
      <c r="ASV32" s="545"/>
      <c r="ASW32" s="545"/>
      <c r="ASX32" s="545"/>
      <c r="ASY32" s="545"/>
      <c r="ASZ32" s="545"/>
      <c r="ATA32" s="545"/>
      <c r="ATB32" s="545"/>
      <c r="ATC32" s="545"/>
      <c r="ATD32" s="545"/>
      <c r="ATE32" s="545"/>
      <c r="ATF32" s="545"/>
      <c r="ATG32" s="545"/>
      <c r="ATH32" s="545"/>
      <c r="ATI32" s="545"/>
      <c r="ATJ32" s="545"/>
      <c r="ATK32" s="545"/>
      <c r="ATL32" s="545"/>
      <c r="ATM32" s="545"/>
      <c r="ATN32" s="545"/>
      <c r="ATO32" s="545"/>
      <c r="ATP32" s="545"/>
      <c r="ATQ32" s="545"/>
      <c r="ATR32" s="545"/>
      <c r="ATS32" s="545"/>
      <c r="ATT32" s="545"/>
      <c r="ATU32" s="545"/>
      <c r="ATV32" s="545"/>
      <c r="ATW32" s="545"/>
      <c r="ATX32" s="545"/>
      <c r="ATY32" s="545"/>
      <c r="ATZ32" s="545"/>
      <c r="AUA32" s="545"/>
      <c r="AUB32" s="545"/>
      <c r="AUC32" s="545"/>
      <c r="AUD32" s="545"/>
      <c r="AUE32" s="545"/>
      <c r="AUF32" s="545"/>
      <c r="AUG32" s="545"/>
      <c r="AUH32" s="545"/>
      <c r="AUI32" s="545"/>
      <c r="AUJ32" s="545"/>
      <c r="AUK32" s="545"/>
      <c r="AUL32" s="545"/>
      <c r="AUM32" s="545"/>
      <c r="AUN32" s="545"/>
      <c r="AUO32" s="545"/>
      <c r="AUP32" s="545"/>
      <c r="AUQ32" s="545"/>
      <c r="AUR32" s="545"/>
      <c r="AUS32" s="545"/>
      <c r="AUT32" s="545"/>
      <c r="AUU32" s="545"/>
      <c r="AUV32" s="545"/>
      <c r="AUW32" s="545"/>
      <c r="AUX32" s="545"/>
      <c r="AUY32" s="545"/>
      <c r="AUZ32" s="545"/>
      <c r="AVA32" s="545"/>
      <c r="AVB32" s="545"/>
      <c r="AVC32" s="545"/>
      <c r="AVD32" s="545"/>
      <c r="AVE32" s="545"/>
      <c r="AVF32" s="545"/>
      <c r="AVG32" s="545"/>
      <c r="AVH32" s="545"/>
      <c r="AVI32" s="545"/>
      <c r="AVJ32" s="545"/>
      <c r="AVK32" s="545"/>
      <c r="AVL32" s="545"/>
      <c r="AVM32" s="545"/>
      <c r="AVN32" s="545"/>
      <c r="AVO32" s="545"/>
      <c r="AVP32" s="545"/>
      <c r="AVQ32" s="545"/>
      <c r="AVR32" s="545"/>
      <c r="AVS32" s="545"/>
      <c r="AVT32" s="545"/>
      <c r="AVU32" s="545"/>
      <c r="AVV32" s="545"/>
      <c r="AVW32" s="545"/>
      <c r="AVX32" s="545"/>
      <c r="AVY32" s="545"/>
      <c r="AVZ32" s="545"/>
      <c r="AWA32" s="545"/>
      <c r="AWB32" s="545"/>
      <c r="AWC32" s="545"/>
      <c r="AWD32" s="545"/>
      <c r="AWE32" s="545"/>
      <c r="AWF32" s="545"/>
      <c r="AWG32" s="545"/>
      <c r="AWH32" s="545"/>
      <c r="AWI32" s="545"/>
      <c r="AWJ32" s="545"/>
      <c r="AWK32" s="545"/>
      <c r="AWL32" s="545"/>
      <c r="AWM32" s="545"/>
      <c r="AWN32" s="545"/>
      <c r="AWO32" s="545"/>
      <c r="AWP32" s="545"/>
      <c r="AWQ32" s="545"/>
      <c r="AWR32" s="545"/>
      <c r="AWS32" s="545"/>
      <c r="AWT32" s="545"/>
      <c r="AWU32" s="545"/>
      <c r="AWV32" s="545"/>
      <c r="AWW32" s="545"/>
      <c r="AWX32" s="545"/>
      <c r="AWY32" s="545"/>
      <c r="AWZ32" s="545"/>
      <c r="AXA32" s="545"/>
      <c r="AXB32" s="545"/>
      <c r="AXC32" s="545"/>
      <c r="AXD32" s="545"/>
      <c r="AXE32" s="545"/>
      <c r="AXF32" s="545"/>
      <c r="AXG32" s="545"/>
      <c r="AXH32" s="545"/>
      <c r="AXI32" s="545"/>
      <c r="AXJ32" s="545"/>
      <c r="AXK32" s="545"/>
      <c r="AXL32" s="545"/>
      <c r="AXM32" s="545"/>
      <c r="AXN32" s="545"/>
      <c r="AXO32" s="545"/>
      <c r="AXP32" s="545"/>
      <c r="AXQ32" s="545"/>
      <c r="AXR32" s="545"/>
      <c r="AXS32" s="545"/>
      <c r="AXT32" s="545"/>
      <c r="AXU32" s="545"/>
      <c r="AXV32" s="545"/>
      <c r="AXW32" s="545"/>
      <c r="AXX32" s="545"/>
      <c r="AXY32" s="545"/>
      <c r="AXZ32" s="545"/>
      <c r="AYA32" s="545"/>
      <c r="AYB32" s="545"/>
      <c r="AYC32" s="545"/>
      <c r="AYD32" s="545"/>
      <c r="AYE32" s="545"/>
      <c r="AYF32" s="545"/>
      <c r="AYG32" s="545"/>
      <c r="AYH32" s="545"/>
      <c r="AYI32" s="545"/>
      <c r="AYJ32" s="545"/>
      <c r="AYK32" s="545"/>
      <c r="AYL32" s="545"/>
      <c r="AYM32" s="545"/>
      <c r="AYN32" s="545"/>
      <c r="AYO32" s="545"/>
      <c r="AYP32" s="545"/>
      <c r="AYQ32" s="545"/>
      <c r="AYR32" s="545"/>
      <c r="AYS32" s="545"/>
      <c r="AYT32" s="545"/>
      <c r="AYU32" s="545"/>
      <c r="AYV32" s="545"/>
      <c r="AYW32" s="545"/>
      <c r="AYX32" s="545"/>
      <c r="AYY32" s="545"/>
      <c r="AYZ32" s="545"/>
      <c r="AZA32" s="545"/>
      <c r="AZB32" s="545"/>
      <c r="AZC32" s="545"/>
      <c r="AZD32" s="545"/>
      <c r="AZE32" s="545"/>
      <c r="AZF32" s="545"/>
      <c r="AZG32" s="545"/>
      <c r="AZH32" s="545"/>
      <c r="AZI32" s="545"/>
      <c r="AZJ32" s="545"/>
      <c r="AZK32" s="545"/>
      <c r="AZL32" s="545"/>
      <c r="AZM32" s="545"/>
      <c r="AZN32" s="545"/>
      <c r="AZO32" s="545"/>
      <c r="AZP32" s="545"/>
      <c r="AZQ32" s="545"/>
      <c r="AZR32" s="545"/>
      <c r="AZS32" s="545"/>
      <c r="AZT32" s="545"/>
      <c r="AZU32" s="545"/>
      <c r="AZV32" s="545"/>
      <c r="AZW32" s="545"/>
      <c r="AZX32" s="545"/>
      <c r="AZY32" s="545"/>
      <c r="AZZ32" s="545"/>
      <c r="BAA32" s="545"/>
      <c r="BAB32" s="545"/>
      <c r="BAC32" s="545"/>
      <c r="BAD32" s="545"/>
      <c r="BAE32" s="545"/>
      <c r="BAF32" s="545"/>
      <c r="BAG32" s="545"/>
      <c r="BAH32" s="545"/>
      <c r="BAI32" s="545"/>
      <c r="BAJ32" s="545"/>
      <c r="BAK32" s="545"/>
      <c r="BAL32" s="545"/>
      <c r="BAM32" s="545"/>
      <c r="BAN32" s="545"/>
      <c r="BAO32" s="545"/>
      <c r="BAP32" s="545"/>
      <c r="BAQ32" s="545"/>
      <c r="BAR32" s="545"/>
      <c r="BAS32" s="545"/>
      <c r="BAT32" s="545"/>
      <c r="BAU32" s="545"/>
      <c r="BAV32" s="545"/>
      <c r="BAW32" s="545"/>
      <c r="BAX32" s="545"/>
      <c r="BAY32" s="545"/>
      <c r="BAZ32" s="545"/>
      <c r="BBA32" s="545"/>
      <c r="BBB32" s="545"/>
      <c r="BBC32" s="545"/>
      <c r="BBD32" s="545"/>
      <c r="BBE32" s="545"/>
      <c r="BBF32" s="545"/>
      <c r="BBG32" s="545"/>
      <c r="BBH32" s="545"/>
      <c r="BBI32" s="545"/>
      <c r="BBJ32" s="545"/>
      <c r="BBK32" s="545"/>
      <c r="BBL32" s="545"/>
      <c r="BBM32" s="545"/>
      <c r="BBN32" s="545"/>
      <c r="BBO32" s="545"/>
      <c r="BBP32" s="545"/>
      <c r="BBQ32" s="545"/>
      <c r="BBR32" s="545"/>
      <c r="BBS32" s="545"/>
      <c r="BBT32" s="545"/>
      <c r="BBU32" s="545"/>
      <c r="BBV32" s="545"/>
      <c r="BBW32" s="545"/>
      <c r="BBX32" s="545"/>
      <c r="BBY32" s="545"/>
      <c r="BBZ32" s="545"/>
      <c r="BCA32" s="545"/>
      <c r="BCB32" s="545"/>
      <c r="BCC32" s="545"/>
      <c r="BCD32" s="545"/>
      <c r="BCE32" s="545"/>
      <c r="BCF32" s="545"/>
      <c r="BCG32" s="545"/>
      <c r="BCH32" s="545"/>
      <c r="BCI32" s="545"/>
      <c r="BCJ32" s="545"/>
      <c r="BCK32" s="545"/>
      <c r="BCL32" s="545"/>
      <c r="BCM32" s="545"/>
      <c r="BCN32" s="545"/>
      <c r="BCO32" s="545"/>
      <c r="BCP32" s="545"/>
      <c r="BCQ32" s="545"/>
      <c r="BCR32" s="545"/>
      <c r="BCS32" s="545"/>
      <c r="BCT32" s="545"/>
      <c r="BCU32" s="545"/>
      <c r="BCV32" s="545"/>
      <c r="BCW32" s="545"/>
      <c r="BCX32" s="545"/>
      <c r="BCY32" s="545"/>
      <c r="BCZ32" s="545"/>
      <c r="BDA32" s="545"/>
      <c r="BDB32" s="545"/>
      <c r="BDC32" s="545"/>
      <c r="BDD32" s="545"/>
      <c r="BDE32" s="545"/>
      <c r="BDF32" s="545"/>
      <c r="BDG32" s="545"/>
      <c r="BDH32" s="545"/>
      <c r="BDI32" s="545"/>
      <c r="BDJ32" s="545"/>
      <c r="BDK32" s="545"/>
      <c r="BDL32" s="545"/>
      <c r="BDM32" s="545"/>
      <c r="BDN32" s="545"/>
      <c r="BDO32" s="545"/>
      <c r="BDP32" s="545"/>
      <c r="BDQ32" s="545"/>
      <c r="BDR32" s="545"/>
      <c r="BDS32" s="545"/>
      <c r="BDT32" s="545"/>
      <c r="BDU32" s="545"/>
      <c r="BDV32" s="545"/>
      <c r="BDW32" s="545"/>
      <c r="BDX32" s="545"/>
      <c r="BDY32" s="545"/>
      <c r="BDZ32" s="545"/>
      <c r="BEA32" s="545"/>
      <c r="BEB32" s="545"/>
      <c r="BEC32" s="545"/>
      <c r="BED32" s="545"/>
      <c r="BEE32" s="545"/>
      <c r="BEF32" s="545"/>
      <c r="BEG32" s="545"/>
      <c r="BEH32" s="545"/>
      <c r="BEI32" s="545"/>
      <c r="BEJ32" s="545"/>
      <c r="BEK32" s="545"/>
      <c r="BEL32" s="545"/>
      <c r="BEM32" s="545"/>
      <c r="BEN32" s="545"/>
      <c r="BEO32" s="545"/>
      <c r="BEP32" s="545"/>
      <c r="BEQ32" s="545"/>
      <c r="BER32" s="545"/>
      <c r="BES32" s="545"/>
      <c r="BET32" s="545"/>
      <c r="BEU32" s="545"/>
      <c r="BEV32" s="545"/>
      <c r="BEW32" s="545"/>
      <c r="BEX32" s="545"/>
      <c r="BEY32" s="545"/>
      <c r="BEZ32" s="545"/>
      <c r="BFA32" s="545"/>
      <c r="BFB32" s="545"/>
      <c r="BFC32" s="545"/>
      <c r="BFD32" s="545"/>
      <c r="BFE32" s="545"/>
      <c r="BFF32" s="545"/>
      <c r="BFG32" s="545"/>
      <c r="BFH32" s="545"/>
      <c r="BFI32" s="545"/>
      <c r="BFJ32" s="545"/>
      <c r="BFK32" s="545"/>
      <c r="BFL32" s="545"/>
      <c r="BFM32" s="545"/>
      <c r="BFN32" s="545"/>
      <c r="BFO32" s="545"/>
      <c r="BFP32" s="545"/>
      <c r="BFQ32" s="545"/>
      <c r="BFR32" s="545"/>
      <c r="BFS32" s="545"/>
      <c r="BFT32" s="545"/>
      <c r="BFU32" s="545"/>
      <c r="BFV32" s="545"/>
      <c r="BFW32" s="545"/>
      <c r="BFX32" s="545"/>
      <c r="BFY32" s="545"/>
      <c r="BFZ32" s="545"/>
      <c r="BGA32" s="545"/>
      <c r="BGB32" s="545"/>
      <c r="BGC32" s="545"/>
      <c r="BGD32" s="545"/>
      <c r="BGE32" s="545"/>
      <c r="BGF32" s="545"/>
      <c r="BGG32" s="545"/>
      <c r="BGH32" s="545"/>
      <c r="BGI32" s="545"/>
      <c r="BGJ32" s="545"/>
      <c r="BGK32" s="545"/>
      <c r="BGL32" s="545"/>
      <c r="BGM32" s="545"/>
      <c r="BGN32" s="545"/>
      <c r="BGO32" s="545"/>
      <c r="BGP32" s="545"/>
      <c r="BGQ32" s="545"/>
      <c r="BGR32" s="545"/>
      <c r="BGS32" s="545"/>
      <c r="BGT32" s="545"/>
      <c r="BGU32" s="545"/>
      <c r="BGV32" s="545"/>
      <c r="BGW32" s="545"/>
      <c r="BGX32" s="545"/>
      <c r="BGY32" s="545"/>
      <c r="BGZ32" s="545"/>
      <c r="BHA32" s="545"/>
      <c r="BHB32" s="545"/>
      <c r="BHC32" s="545"/>
      <c r="BHD32" s="545"/>
      <c r="BHE32" s="545"/>
      <c r="BHF32" s="545"/>
      <c r="BHG32" s="545"/>
      <c r="BHH32" s="545"/>
      <c r="BHI32" s="545"/>
      <c r="BHJ32" s="545"/>
      <c r="BHK32" s="545"/>
      <c r="BHL32" s="545"/>
      <c r="BHM32" s="545"/>
      <c r="BHN32" s="545"/>
      <c r="BHO32" s="545"/>
      <c r="BHP32" s="545"/>
      <c r="BHQ32" s="545"/>
      <c r="BHR32" s="545"/>
      <c r="BHS32" s="545"/>
      <c r="BHT32" s="545"/>
      <c r="BHU32" s="545"/>
      <c r="BHV32" s="545"/>
      <c r="BHW32" s="545"/>
      <c r="BHX32" s="545"/>
      <c r="BHY32" s="545"/>
      <c r="BHZ32" s="545"/>
      <c r="BIA32" s="545"/>
      <c r="BIB32" s="545"/>
      <c r="BIC32" s="545"/>
      <c r="BID32" s="545"/>
      <c r="BIE32" s="545"/>
      <c r="BIF32" s="545"/>
      <c r="BIG32" s="545"/>
      <c r="BIH32" s="545"/>
      <c r="BII32" s="545"/>
      <c r="BIJ32" s="545"/>
      <c r="BIK32" s="545"/>
      <c r="BIL32" s="545"/>
      <c r="BIM32" s="545"/>
      <c r="BIN32" s="545"/>
      <c r="BIO32" s="545"/>
      <c r="BIP32" s="545"/>
      <c r="BIQ32" s="545"/>
      <c r="BIR32" s="545"/>
      <c r="BIS32" s="545"/>
      <c r="BIT32" s="545"/>
      <c r="BIU32" s="545"/>
      <c r="BIV32" s="545"/>
      <c r="BIW32" s="545"/>
      <c r="BIX32" s="545"/>
      <c r="BIY32" s="545"/>
      <c r="BIZ32" s="545"/>
      <c r="BJA32" s="545"/>
      <c r="BJB32" s="545"/>
      <c r="BJC32" s="545"/>
      <c r="BJD32" s="545"/>
      <c r="BJE32" s="545"/>
      <c r="BJF32" s="545"/>
      <c r="BJG32" s="545"/>
      <c r="BJH32" s="545"/>
      <c r="BJI32" s="545"/>
      <c r="BJJ32" s="545"/>
      <c r="BJK32" s="545"/>
      <c r="BJL32" s="545"/>
      <c r="BJM32" s="545"/>
      <c r="BJN32" s="545"/>
      <c r="BJO32" s="545"/>
      <c r="BJP32" s="545"/>
      <c r="BJQ32" s="545"/>
      <c r="BJR32" s="545"/>
      <c r="BJS32" s="545"/>
      <c r="BJT32" s="545"/>
      <c r="BJU32" s="545"/>
      <c r="BJV32" s="545"/>
      <c r="BJW32" s="545"/>
      <c r="BJX32" s="545"/>
      <c r="BJY32" s="545"/>
      <c r="BJZ32" s="545"/>
      <c r="BKA32" s="545"/>
      <c r="BKB32" s="545"/>
      <c r="BKC32" s="545"/>
      <c r="BKD32" s="545"/>
      <c r="BKE32" s="545"/>
      <c r="BKF32" s="545"/>
      <c r="BKG32" s="545"/>
      <c r="BKH32" s="545"/>
      <c r="BKI32" s="545"/>
      <c r="BKJ32" s="545"/>
      <c r="BKK32" s="545"/>
      <c r="BKL32" s="545"/>
      <c r="BKM32" s="545"/>
      <c r="BKN32" s="545"/>
      <c r="BKO32" s="545"/>
      <c r="BKP32" s="545"/>
      <c r="BKQ32" s="545"/>
      <c r="BKR32" s="545"/>
      <c r="BKS32" s="545"/>
      <c r="BKT32" s="545"/>
      <c r="BKU32" s="545"/>
      <c r="BKV32" s="545"/>
      <c r="BKW32" s="545"/>
      <c r="BKX32" s="545"/>
      <c r="BKY32" s="545"/>
      <c r="BKZ32" s="545"/>
      <c r="BLA32" s="545"/>
      <c r="BLB32" s="545"/>
      <c r="BLC32" s="545"/>
      <c r="BLD32" s="545"/>
      <c r="BLE32" s="545"/>
      <c r="BLF32" s="545"/>
      <c r="BLG32" s="545"/>
      <c r="BLH32" s="545"/>
      <c r="BLI32" s="545"/>
      <c r="BLJ32" s="545"/>
      <c r="BLK32" s="545"/>
      <c r="BLL32" s="545"/>
      <c r="BLM32" s="545"/>
      <c r="BLN32" s="545"/>
      <c r="BLO32" s="545"/>
      <c r="BLP32" s="545"/>
      <c r="BLQ32" s="545"/>
      <c r="BLR32" s="545"/>
      <c r="BLS32" s="545"/>
      <c r="BLT32" s="545"/>
      <c r="BLU32" s="545"/>
      <c r="BLV32" s="545"/>
      <c r="BLW32" s="545"/>
      <c r="BLX32" s="545"/>
      <c r="BLY32" s="545"/>
      <c r="BLZ32" s="545"/>
      <c r="BMA32" s="545"/>
      <c r="BMB32" s="545"/>
      <c r="BMC32" s="545"/>
      <c r="BMD32" s="545"/>
      <c r="BME32" s="545"/>
      <c r="BMF32" s="545"/>
      <c r="BMG32" s="545"/>
      <c r="BMH32" s="545"/>
      <c r="BMI32" s="545"/>
      <c r="BMJ32" s="545"/>
      <c r="BMK32" s="545"/>
      <c r="BML32" s="545"/>
      <c r="BMM32" s="545"/>
      <c r="BMN32" s="545"/>
      <c r="BMO32" s="545"/>
      <c r="BMP32" s="545"/>
      <c r="BMQ32" s="545"/>
      <c r="BMR32" s="545"/>
      <c r="BMS32" s="545"/>
      <c r="BMT32" s="545"/>
      <c r="BMU32" s="545"/>
      <c r="BMV32" s="545"/>
      <c r="BMW32" s="545"/>
      <c r="BMX32" s="545"/>
      <c r="BMY32" s="545"/>
      <c r="BMZ32" s="545"/>
      <c r="BNA32" s="545"/>
      <c r="BNB32" s="545"/>
      <c r="BNC32" s="545"/>
      <c r="BND32" s="545"/>
      <c r="BNE32" s="545"/>
      <c r="BNF32" s="545"/>
      <c r="BNG32" s="545"/>
      <c r="BNH32" s="545"/>
      <c r="BNI32" s="545"/>
      <c r="BNJ32" s="545"/>
      <c r="BNK32" s="545"/>
      <c r="BNL32" s="545"/>
      <c r="BNM32" s="545"/>
      <c r="BNN32" s="545"/>
      <c r="BNO32" s="545"/>
      <c r="BNP32" s="545"/>
      <c r="BNQ32" s="545"/>
      <c r="BNR32" s="545"/>
      <c r="BNS32" s="545"/>
      <c r="BNT32" s="545"/>
      <c r="BNU32" s="545"/>
      <c r="BNV32" s="545"/>
      <c r="BNW32" s="545"/>
      <c r="BNX32" s="545"/>
      <c r="BNY32" s="545"/>
      <c r="BNZ32" s="545"/>
      <c r="BOA32" s="545"/>
      <c r="BOB32" s="545"/>
      <c r="BOC32" s="545"/>
      <c r="BOD32" s="545"/>
      <c r="BOE32" s="545"/>
      <c r="BOF32" s="545"/>
      <c r="BOG32" s="545"/>
      <c r="BOH32" s="545"/>
      <c r="BOI32" s="545"/>
      <c r="BOJ32" s="545"/>
      <c r="BOK32" s="545"/>
      <c r="BOL32" s="545"/>
      <c r="BOM32" s="545"/>
      <c r="BON32" s="545"/>
      <c r="BOO32" s="545"/>
      <c r="BOP32" s="545"/>
      <c r="BOQ32" s="545"/>
      <c r="BOR32" s="545"/>
      <c r="BOS32" s="545"/>
      <c r="BOT32" s="545"/>
      <c r="BOU32" s="545"/>
      <c r="BOV32" s="545"/>
      <c r="BOW32" s="545"/>
      <c r="BOX32" s="545"/>
      <c r="BOY32" s="545"/>
      <c r="BOZ32" s="545"/>
      <c r="BPA32" s="545"/>
      <c r="BPB32" s="545"/>
      <c r="BPC32" s="545"/>
      <c r="BPD32" s="545"/>
      <c r="BPE32" s="545"/>
      <c r="BPF32" s="545"/>
      <c r="BPG32" s="545"/>
      <c r="BPH32" s="545"/>
      <c r="BPI32" s="545"/>
      <c r="BPJ32" s="545"/>
      <c r="BPK32" s="545"/>
      <c r="BPL32" s="545"/>
      <c r="BPM32" s="545"/>
      <c r="BPN32" s="545"/>
      <c r="BPO32" s="545"/>
      <c r="BPP32" s="545"/>
      <c r="BPQ32" s="545"/>
      <c r="BPR32" s="545"/>
      <c r="BPS32" s="545"/>
      <c r="BPT32" s="545"/>
      <c r="BPU32" s="545"/>
      <c r="BPV32" s="545"/>
      <c r="BPW32" s="545"/>
      <c r="BPX32" s="545"/>
      <c r="BPY32" s="545"/>
      <c r="BPZ32" s="545"/>
      <c r="BQA32" s="545"/>
      <c r="BQB32" s="545"/>
      <c r="BQC32" s="545"/>
      <c r="BQD32" s="545"/>
      <c r="BQE32" s="545"/>
      <c r="BQF32" s="545"/>
      <c r="BQG32" s="545"/>
      <c r="BQH32" s="545"/>
      <c r="BQI32" s="545"/>
      <c r="BQJ32" s="545"/>
      <c r="BQK32" s="545"/>
      <c r="BQL32" s="545"/>
      <c r="BQM32" s="545"/>
      <c r="BQN32" s="545"/>
      <c r="BQO32" s="545"/>
      <c r="BQP32" s="545"/>
      <c r="BQQ32" s="545"/>
      <c r="BQR32" s="545"/>
      <c r="BQS32" s="545"/>
      <c r="BQT32" s="545"/>
      <c r="BQU32" s="545"/>
      <c r="BQV32" s="545"/>
      <c r="BQW32" s="545"/>
      <c r="BQX32" s="545"/>
      <c r="BQY32" s="545"/>
      <c r="BQZ32" s="545"/>
      <c r="BRA32" s="545"/>
      <c r="BRB32" s="545"/>
      <c r="BRC32" s="545"/>
      <c r="BRD32" s="545"/>
      <c r="BRE32" s="545"/>
      <c r="BRF32" s="545"/>
      <c r="BRG32" s="545"/>
      <c r="BRH32" s="545"/>
      <c r="BRI32" s="545"/>
      <c r="BRJ32" s="545"/>
      <c r="BRK32" s="545"/>
      <c r="BRL32" s="545"/>
      <c r="BRM32" s="545"/>
      <c r="BRN32" s="545"/>
      <c r="BRO32" s="545"/>
      <c r="BRP32" s="545"/>
      <c r="BRQ32" s="545"/>
      <c r="BRR32" s="545"/>
      <c r="BRS32" s="545"/>
      <c r="BRT32" s="545"/>
      <c r="BRU32" s="545"/>
      <c r="BRV32" s="545"/>
      <c r="BRW32" s="545"/>
      <c r="BRX32" s="545"/>
      <c r="BRY32" s="545"/>
      <c r="BRZ32" s="545"/>
      <c r="BSA32" s="545"/>
      <c r="BSB32" s="545"/>
      <c r="BSC32" s="545"/>
      <c r="BSD32" s="545"/>
      <c r="BSE32" s="545"/>
      <c r="BSF32" s="545"/>
      <c r="BSG32" s="545"/>
      <c r="BSH32" s="545"/>
      <c r="BSI32" s="545"/>
      <c r="BSJ32" s="545"/>
      <c r="BSK32" s="545"/>
      <c r="BSL32" s="545"/>
      <c r="BSM32" s="545"/>
      <c r="BSN32" s="545"/>
      <c r="BSO32" s="545"/>
      <c r="BSP32" s="545"/>
      <c r="BSQ32" s="545"/>
      <c r="BSR32" s="545"/>
      <c r="BSS32" s="545"/>
      <c r="BST32" s="545"/>
      <c r="BSU32" s="545"/>
      <c r="BSV32" s="545"/>
      <c r="BSW32" s="545"/>
      <c r="BSX32" s="545"/>
      <c r="BSY32" s="545"/>
      <c r="BSZ32" s="545"/>
      <c r="BTA32" s="545"/>
      <c r="BTB32" s="545"/>
      <c r="BTC32" s="545"/>
      <c r="BTD32" s="545"/>
      <c r="BTE32" s="545"/>
      <c r="BTF32" s="545"/>
      <c r="BTG32" s="545"/>
      <c r="BTH32" s="545"/>
      <c r="BTI32" s="545"/>
      <c r="BTJ32" s="545"/>
      <c r="BTK32" s="545"/>
      <c r="BTL32" s="545"/>
      <c r="BTM32" s="545"/>
      <c r="BTN32" s="545"/>
      <c r="BTO32" s="545"/>
      <c r="BTP32" s="545"/>
      <c r="BTQ32" s="545"/>
      <c r="BTR32" s="545"/>
      <c r="BTS32" s="545"/>
      <c r="BTT32" s="545"/>
      <c r="BTU32" s="545"/>
      <c r="BTV32" s="545"/>
      <c r="BTW32" s="545"/>
      <c r="BTX32" s="545"/>
      <c r="BTY32" s="545"/>
      <c r="BTZ32" s="545"/>
      <c r="BUA32" s="545"/>
      <c r="BUB32" s="545"/>
      <c r="BUC32" s="545"/>
      <c r="BUD32" s="545"/>
      <c r="BUE32" s="545"/>
      <c r="BUF32" s="545"/>
      <c r="BUG32" s="545"/>
      <c r="BUH32" s="545"/>
      <c r="BUI32" s="545"/>
      <c r="BUJ32" s="545"/>
      <c r="BUK32" s="545"/>
      <c r="BUL32" s="545"/>
      <c r="BUM32" s="545"/>
      <c r="BUN32" s="545"/>
      <c r="BUO32" s="545"/>
      <c r="BUP32" s="545"/>
      <c r="BUQ32" s="545"/>
      <c r="BUR32" s="545"/>
      <c r="BUS32" s="545"/>
      <c r="BUT32" s="545"/>
      <c r="BUU32" s="545"/>
      <c r="BUV32" s="545"/>
      <c r="BUW32" s="545"/>
      <c r="BUX32" s="545"/>
      <c r="BUY32" s="545"/>
      <c r="BUZ32" s="545"/>
      <c r="BVA32" s="545"/>
      <c r="BVB32" s="545"/>
      <c r="BVC32" s="545"/>
      <c r="BVD32" s="545"/>
      <c r="BVE32" s="545"/>
      <c r="BVF32" s="545"/>
      <c r="BVG32" s="545"/>
      <c r="BVH32" s="545"/>
      <c r="BVI32" s="545"/>
      <c r="BVJ32" s="545"/>
      <c r="BVK32" s="545"/>
      <c r="BVL32" s="545"/>
      <c r="BVM32" s="545"/>
      <c r="BVN32" s="545"/>
      <c r="BVO32" s="545"/>
      <c r="BVP32" s="545"/>
      <c r="BVQ32" s="545"/>
      <c r="BVR32" s="545"/>
      <c r="BVS32" s="545"/>
      <c r="BVT32" s="545"/>
      <c r="BVU32" s="545"/>
      <c r="BVV32" s="545"/>
      <c r="BVW32" s="545"/>
      <c r="BVX32" s="545"/>
      <c r="BVY32" s="545"/>
      <c r="BVZ32" s="545"/>
      <c r="BWA32" s="545"/>
      <c r="BWB32" s="545"/>
      <c r="BWC32" s="545"/>
      <c r="BWD32" s="545"/>
      <c r="BWE32" s="545"/>
      <c r="BWF32" s="545"/>
      <c r="BWG32" s="545"/>
      <c r="BWH32" s="545"/>
      <c r="BWI32" s="545"/>
      <c r="BWJ32" s="545"/>
      <c r="BWK32" s="545"/>
      <c r="BWL32" s="545"/>
      <c r="BWM32" s="545"/>
      <c r="BWN32" s="545"/>
      <c r="BWO32" s="545"/>
      <c r="BWP32" s="545"/>
      <c r="BWQ32" s="545"/>
      <c r="BWR32" s="545"/>
      <c r="BWS32" s="545"/>
      <c r="BWT32" s="545"/>
      <c r="BWU32" s="545"/>
      <c r="BWV32" s="545"/>
      <c r="BWW32" s="545"/>
      <c r="BWX32" s="545"/>
      <c r="BWY32" s="545"/>
      <c r="BWZ32" s="545"/>
      <c r="BXA32" s="545"/>
      <c r="BXB32" s="545"/>
      <c r="BXC32" s="545"/>
      <c r="BXD32" s="545"/>
      <c r="BXE32" s="545"/>
      <c r="BXF32" s="545"/>
      <c r="BXG32" s="545"/>
      <c r="BXH32" s="545"/>
      <c r="BXI32" s="545"/>
      <c r="BXJ32" s="545"/>
      <c r="BXK32" s="545"/>
      <c r="BXL32" s="545"/>
      <c r="BXM32" s="545"/>
      <c r="BXN32" s="545"/>
      <c r="BXO32" s="545"/>
      <c r="BXP32" s="545"/>
      <c r="BXQ32" s="545"/>
      <c r="BXR32" s="545"/>
      <c r="BXS32" s="545"/>
      <c r="BXT32" s="545"/>
      <c r="BXU32" s="545"/>
      <c r="BXV32" s="545"/>
      <c r="BXW32" s="545"/>
      <c r="BXX32" s="545"/>
      <c r="BXY32" s="545"/>
      <c r="BXZ32" s="545"/>
      <c r="BYA32" s="545"/>
      <c r="BYB32" s="545"/>
      <c r="BYC32" s="545"/>
      <c r="BYD32" s="545"/>
      <c r="BYE32" s="545"/>
      <c r="BYF32" s="545"/>
      <c r="BYG32" s="545"/>
      <c r="BYH32" s="545"/>
      <c r="BYI32" s="545"/>
      <c r="BYJ32" s="545"/>
      <c r="BYK32" s="545"/>
      <c r="BYL32" s="545"/>
      <c r="BYM32" s="545"/>
      <c r="BYN32" s="545"/>
      <c r="BYO32" s="545"/>
      <c r="BYP32" s="545"/>
      <c r="BYQ32" s="545"/>
      <c r="BYR32" s="545"/>
      <c r="BYS32" s="545"/>
      <c r="BYT32" s="545"/>
      <c r="BYU32" s="545"/>
      <c r="BYV32" s="545"/>
      <c r="BYW32" s="545"/>
      <c r="BYX32" s="545"/>
      <c r="BYY32" s="545"/>
      <c r="BYZ32" s="545"/>
      <c r="BZA32" s="545"/>
      <c r="BZB32" s="545"/>
      <c r="BZC32" s="545"/>
      <c r="BZD32" s="545"/>
      <c r="BZE32" s="545"/>
      <c r="BZF32" s="545"/>
      <c r="BZG32" s="545"/>
      <c r="BZH32" s="545"/>
      <c r="BZI32" s="545"/>
      <c r="BZJ32" s="545"/>
      <c r="BZK32" s="545"/>
      <c r="BZL32" s="545"/>
      <c r="BZM32" s="545"/>
      <c r="BZN32" s="545"/>
      <c r="BZO32" s="545"/>
      <c r="BZP32" s="545"/>
      <c r="BZQ32" s="545"/>
      <c r="BZR32" s="545"/>
      <c r="BZS32" s="545"/>
      <c r="BZT32" s="545"/>
      <c r="BZU32" s="545"/>
      <c r="BZV32" s="545"/>
      <c r="BZW32" s="545"/>
      <c r="BZX32" s="545"/>
      <c r="BZY32" s="545"/>
      <c r="BZZ32" s="545"/>
      <c r="CAA32" s="545"/>
      <c r="CAB32" s="545"/>
      <c r="CAC32" s="545"/>
      <c r="CAD32" s="545"/>
      <c r="CAE32" s="545"/>
      <c r="CAF32" s="545"/>
      <c r="CAG32" s="545"/>
      <c r="CAH32" s="545"/>
      <c r="CAI32" s="545"/>
      <c r="CAJ32" s="545"/>
      <c r="CAK32" s="545"/>
      <c r="CAL32" s="545"/>
      <c r="CAM32" s="545"/>
      <c r="CAN32" s="545"/>
      <c r="CAO32" s="545"/>
      <c r="CAP32" s="545"/>
      <c r="CAQ32" s="545"/>
      <c r="CAR32" s="545"/>
      <c r="CAS32" s="545"/>
      <c r="CAT32" s="545"/>
      <c r="CAU32" s="545"/>
      <c r="CAV32" s="545"/>
      <c r="CAW32" s="545"/>
      <c r="CAX32" s="545"/>
      <c r="CAY32" s="545"/>
      <c r="CAZ32" s="545"/>
      <c r="CBA32" s="545"/>
      <c r="CBB32" s="545"/>
      <c r="CBC32" s="545"/>
      <c r="CBD32" s="545"/>
      <c r="CBE32" s="545"/>
      <c r="CBF32" s="545"/>
      <c r="CBG32" s="545"/>
      <c r="CBH32" s="545"/>
      <c r="CBI32" s="545"/>
      <c r="CBJ32" s="545"/>
      <c r="CBK32" s="545"/>
      <c r="CBL32" s="545"/>
      <c r="CBM32" s="545"/>
      <c r="CBN32" s="545"/>
      <c r="CBO32" s="545"/>
      <c r="CBP32" s="545"/>
      <c r="CBQ32" s="545"/>
      <c r="CBR32" s="545"/>
      <c r="CBS32" s="545"/>
      <c r="CBT32" s="545"/>
      <c r="CBU32" s="545"/>
      <c r="CBV32" s="545"/>
      <c r="CBW32" s="545"/>
      <c r="CBX32" s="545"/>
      <c r="CBY32" s="545"/>
      <c r="CBZ32" s="545"/>
      <c r="CCA32" s="545"/>
      <c r="CCB32" s="545"/>
      <c r="CCC32" s="545"/>
      <c r="CCD32" s="545"/>
      <c r="CCE32" s="545"/>
      <c r="CCF32" s="545"/>
      <c r="CCG32" s="545"/>
      <c r="CCH32" s="545"/>
      <c r="CCI32" s="545"/>
      <c r="CCJ32" s="545"/>
      <c r="CCK32" s="545"/>
      <c r="CCL32" s="545"/>
      <c r="CCM32" s="545"/>
      <c r="CCN32" s="545"/>
      <c r="CCO32" s="545"/>
      <c r="CCP32" s="545"/>
      <c r="CCQ32" s="545"/>
      <c r="CCR32" s="545"/>
      <c r="CCS32" s="545"/>
      <c r="CCT32" s="545"/>
      <c r="CCU32" s="545"/>
      <c r="CCV32" s="545"/>
      <c r="CCW32" s="545"/>
      <c r="CCX32" s="545"/>
      <c r="CCY32" s="545"/>
      <c r="CCZ32" s="545"/>
      <c r="CDA32" s="545"/>
      <c r="CDB32" s="545"/>
      <c r="CDC32" s="545"/>
      <c r="CDD32" s="545"/>
      <c r="CDE32" s="545"/>
      <c r="CDF32" s="545"/>
      <c r="CDG32" s="545"/>
      <c r="CDH32" s="545"/>
      <c r="CDI32" s="545"/>
      <c r="CDJ32" s="545"/>
      <c r="CDK32" s="545"/>
      <c r="CDL32" s="545"/>
      <c r="CDM32" s="545"/>
      <c r="CDN32" s="545"/>
      <c r="CDO32" s="545"/>
      <c r="CDP32" s="545"/>
      <c r="CDQ32" s="545"/>
      <c r="CDR32" s="545"/>
      <c r="CDS32" s="545"/>
      <c r="CDT32" s="545"/>
      <c r="CDU32" s="545"/>
      <c r="CDV32" s="545"/>
      <c r="CDW32" s="545"/>
      <c r="CDX32" s="545"/>
      <c r="CDY32" s="545"/>
      <c r="CDZ32" s="545"/>
      <c r="CEA32" s="545"/>
      <c r="CEB32" s="545"/>
      <c r="CEC32" s="545"/>
      <c r="CED32" s="545"/>
      <c r="CEE32" s="545"/>
      <c r="CEF32" s="545"/>
      <c r="CEG32" s="545"/>
      <c r="CEH32" s="545"/>
      <c r="CEI32" s="545"/>
      <c r="CEJ32" s="545"/>
      <c r="CEK32" s="545"/>
      <c r="CEL32" s="545"/>
      <c r="CEM32" s="545"/>
      <c r="CEN32" s="545"/>
      <c r="CEO32" s="545"/>
      <c r="CEP32" s="545"/>
      <c r="CEQ32" s="545"/>
      <c r="CER32" s="545"/>
      <c r="CES32" s="545"/>
      <c r="CET32" s="545"/>
      <c r="CEU32" s="545"/>
      <c r="CEV32" s="545"/>
      <c r="CEW32" s="545"/>
      <c r="CEX32" s="545"/>
      <c r="CEY32" s="545"/>
      <c r="CEZ32" s="545"/>
      <c r="CFA32" s="545"/>
      <c r="CFB32" s="545"/>
      <c r="CFC32" s="545"/>
      <c r="CFD32" s="545"/>
      <c r="CFE32" s="545"/>
      <c r="CFF32" s="545"/>
      <c r="CFG32" s="545"/>
      <c r="CFH32" s="545"/>
      <c r="CFI32" s="545"/>
      <c r="CFJ32" s="545"/>
      <c r="CFK32" s="545"/>
      <c r="CFL32" s="545"/>
      <c r="CFM32" s="545"/>
      <c r="CFN32" s="545"/>
      <c r="CFO32" s="545"/>
      <c r="CFP32" s="545"/>
      <c r="CFQ32" s="545"/>
      <c r="CFR32" s="545"/>
      <c r="CFS32" s="545"/>
      <c r="CFT32" s="545"/>
      <c r="CFU32" s="545"/>
      <c r="CFV32" s="545"/>
      <c r="CFW32" s="545"/>
      <c r="CFX32" s="545"/>
      <c r="CFY32" s="545"/>
      <c r="CFZ32" s="545"/>
      <c r="CGA32" s="545"/>
      <c r="CGB32" s="545"/>
      <c r="CGC32" s="545"/>
      <c r="CGD32" s="545"/>
      <c r="CGE32" s="545"/>
      <c r="CGF32" s="545"/>
      <c r="CGG32" s="545"/>
      <c r="CGH32" s="545"/>
      <c r="CGI32" s="545"/>
      <c r="CGJ32" s="545"/>
      <c r="CGK32" s="545"/>
      <c r="CGL32" s="545"/>
      <c r="CGM32" s="545"/>
      <c r="CGN32" s="545"/>
      <c r="CGO32" s="545"/>
      <c r="CGP32" s="545"/>
      <c r="CGQ32" s="545"/>
      <c r="CGR32" s="545"/>
      <c r="CGS32" s="545"/>
      <c r="CGT32" s="545"/>
      <c r="CGU32" s="545"/>
      <c r="CGV32" s="545"/>
      <c r="CGW32" s="545"/>
      <c r="CGX32" s="545"/>
      <c r="CGY32" s="545"/>
      <c r="CGZ32" s="545"/>
      <c r="CHA32" s="545"/>
      <c r="CHB32" s="545"/>
      <c r="CHC32" s="545"/>
      <c r="CHD32" s="545"/>
      <c r="CHE32" s="545"/>
      <c r="CHF32" s="545"/>
      <c r="CHG32" s="545"/>
      <c r="CHH32" s="545"/>
      <c r="CHI32" s="545"/>
      <c r="CHJ32" s="545"/>
      <c r="CHK32" s="545"/>
      <c r="CHL32" s="545"/>
      <c r="CHM32" s="545"/>
      <c r="CHN32" s="545"/>
      <c r="CHO32" s="545"/>
      <c r="CHP32" s="545"/>
      <c r="CHQ32" s="545"/>
      <c r="CHR32" s="545"/>
      <c r="CHS32" s="545"/>
      <c r="CHT32" s="545"/>
      <c r="CHU32" s="545"/>
      <c r="CHV32" s="545"/>
      <c r="CHW32" s="545"/>
      <c r="CHX32" s="545"/>
      <c r="CHY32" s="545"/>
      <c r="CHZ32" s="545"/>
      <c r="CIA32" s="545"/>
      <c r="CIB32" s="545"/>
      <c r="CIC32" s="545"/>
      <c r="CID32" s="545"/>
      <c r="CIE32" s="545"/>
      <c r="CIF32" s="545"/>
      <c r="CIG32" s="545"/>
      <c r="CIH32" s="545"/>
      <c r="CII32" s="545"/>
      <c r="CIJ32" s="545"/>
      <c r="CIK32" s="545"/>
      <c r="CIL32" s="545"/>
      <c r="CIM32" s="545"/>
      <c r="CIN32" s="545"/>
      <c r="CIO32" s="545"/>
      <c r="CIP32" s="545"/>
      <c r="CIQ32" s="545"/>
      <c r="CIR32" s="545"/>
      <c r="CIS32" s="545"/>
      <c r="CIT32" s="545"/>
      <c r="CIU32" s="545"/>
      <c r="CIV32" s="545"/>
      <c r="CIW32" s="545"/>
      <c r="CIX32" s="545"/>
      <c r="CIY32" s="545"/>
      <c r="CIZ32" s="545"/>
      <c r="CJA32" s="545"/>
      <c r="CJB32" s="545"/>
      <c r="CJC32" s="545"/>
      <c r="CJD32" s="545"/>
      <c r="CJE32" s="545"/>
      <c r="CJF32" s="545"/>
      <c r="CJG32" s="545"/>
      <c r="CJH32" s="545"/>
      <c r="CJI32" s="545"/>
      <c r="CJJ32" s="545"/>
      <c r="CJK32" s="545"/>
      <c r="CJL32" s="545"/>
      <c r="CJM32" s="545"/>
      <c r="CJN32" s="545"/>
      <c r="CJO32" s="545"/>
      <c r="CJP32" s="545"/>
      <c r="CJQ32" s="545"/>
      <c r="CJR32" s="545"/>
      <c r="CJS32" s="545"/>
      <c r="CJT32" s="545"/>
      <c r="CJU32" s="545"/>
      <c r="CJV32" s="545"/>
      <c r="CJW32" s="545"/>
      <c r="CJX32" s="545"/>
      <c r="CJY32" s="545"/>
      <c r="CJZ32" s="545"/>
      <c r="CKA32" s="545"/>
      <c r="CKB32" s="545"/>
      <c r="CKC32" s="545"/>
      <c r="CKD32" s="545"/>
      <c r="CKE32" s="545"/>
      <c r="CKF32" s="545"/>
      <c r="CKG32" s="545"/>
      <c r="CKH32" s="545"/>
      <c r="CKI32" s="545"/>
      <c r="CKJ32" s="545"/>
      <c r="CKK32" s="545"/>
      <c r="CKL32" s="545"/>
      <c r="CKM32" s="545"/>
      <c r="CKN32" s="545"/>
      <c r="CKO32" s="545"/>
      <c r="CKP32" s="545"/>
      <c r="CKQ32" s="545"/>
      <c r="CKR32" s="545"/>
      <c r="CKS32" s="545"/>
      <c r="CKT32" s="545"/>
      <c r="CKU32" s="545"/>
      <c r="CKV32" s="545"/>
      <c r="CKW32" s="545"/>
      <c r="CKX32" s="545"/>
      <c r="CKY32" s="545"/>
      <c r="CKZ32" s="545"/>
      <c r="CLA32" s="545"/>
      <c r="CLB32" s="545"/>
      <c r="CLC32" s="545"/>
      <c r="CLD32" s="545"/>
      <c r="CLE32" s="545"/>
      <c r="CLF32" s="545"/>
      <c r="CLG32" s="545"/>
      <c r="CLH32" s="545"/>
      <c r="CLI32" s="545"/>
      <c r="CLJ32" s="545"/>
      <c r="CLK32" s="545"/>
      <c r="CLL32" s="545"/>
      <c r="CLM32" s="545"/>
      <c r="CLN32" s="545"/>
      <c r="CLO32" s="545"/>
      <c r="CLP32" s="545"/>
      <c r="CLQ32" s="545"/>
      <c r="CLR32" s="545"/>
      <c r="CLS32" s="545"/>
      <c r="CLT32" s="545"/>
      <c r="CLU32" s="545"/>
      <c r="CLV32" s="545"/>
      <c r="CLW32" s="545"/>
      <c r="CLX32" s="545"/>
      <c r="CLY32" s="545"/>
      <c r="CLZ32" s="545"/>
      <c r="CMA32" s="545"/>
      <c r="CMB32" s="545"/>
      <c r="CMC32" s="545"/>
      <c r="CMD32" s="545"/>
      <c r="CME32" s="545"/>
      <c r="CMF32" s="545"/>
      <c r="CMG32" s="545"/>
      <c r="CMH32" s="545"/>
      <c r="CMI32" s="545"/>
      <c r="CMJ32" s="545"/>
      <c r="CMK32" s="545"/>
      <c r="CML32" s="545"/>
      <c r="CMM32" s="545"/>
      <c r="CMN32" s="545"/>
      <c r="CMO32" s="545"/>
      <c r="CMP32" s="545"/>
      <c r="CMQ32" s="545"/>
      <c r="CMR32" s="545"/>
      <c r="CMS32" s="545"/>
      <c r="CMT32" s="545"/>
      <c r="CMU32" s="545"/>
      <c r="CMV32" s="545"/>
      <c r="CMW32" s="545"/>
      <c r="CMX32" s="545"/>
      <c r="CMY32" s="545"/>
      <c r="CMZ32" s="545"/>
      <c r="CNA32" s="545"/>
      <c r="CNB32" s="545"/>
      <c r="CNC32" s="545"/>
      <c r="CND32" s="545"/>
      <c r="CNE32" s="545"/>
      <c r="CNF32" s="545"/>
      <c r="CNG32" s="545"/>
      <c r="CNH32" s="545"/>
      <c r="CNI32" s="545"/>
      <c r="CNJ32" s="545"/>
      <c r="CNK32" s="545"/>
      <c r="CNL32" s="545"/>
      <c r="CNM32" s="545"/>
      <c r="CNN32" s="545"/>
      <c r="CNO32" s="545"/>
      <c r="CNP32" s="545"/>
      <c r="CNQ32" s="545"/>
      <c r="CNR32" s="545"/>
      <c r="CNS32" s="545"/>
      <c r="CNT32" s="545"/>
      <c r="CNU32" s="545"/>
      <c r="CNV32" s="545"/>
      <c r="CNW32" s="545"/>
      <c r="CNX32" s="545"/>
      <c r="CNY32" s="545"/>
      <c r="CNZ32" s="545"/>
      <c r="COA32" s="545"/>
      <c r="COB32" s="545"/>
      <c r="COC32" s="545"/>
      <c r="COD32" s="545"/>
      <c r="COE32" s="545"/>
      <c r="COF32" s="545"/>
      <c r="COG32" s="545"/>
      <c r="COH32" s="545"/>
      <c r="COI32" s="545"/>
      <c r="COJ32" s="545"/>
      <c r="COK32" s="545"/>
      <c r="COL32" s="545"/>
      <c r="COM32" s="545"/>
      <c r="CON32" s="545"/>
      <c r="COO32" s="545"/>
      <c r="COP32" s="545"/>
      <c r="COQ32" s="545"/>
      <c r="COR32" s="545"/>
      <c r="COS32" s="545"/>
      <c r="COT32" s="545"/>
      <c r="COU32" s="545"/>
      <c r="COV32" s="545"/>
      <c r="COW32" s="545"/>
      <c r="COX32" s="545"/>
      <c r="COY32" s="545"/>
      <c r="COZ32" s="545"/>
      <c r="CPA32" s="545"/>
      <c r="CPB32" s="545"/>
      <c r="CPC32" s="545"/>
      <c r="CPD32" s="545"/>
      <c r="CPE32" s="545"/>
      <c r="CPF32" s="545"/>
      <c r="CPG32" s="545"/>
      <c r="CPH32" s="545"/>
      <c r="CPI32" s="545"/>
      <c r="CPJ32" s="545"/>
      <c r="CPK32" s="545"/>
      <c r="CPL32" s="545"/>
      <c r="CPM32" s="545"/>
      <c r="CPN32" s="545"/>
      <c r="CPO32" s="545"/>
      <c r="CPP32" s="545"/>
      <c r="CPQ32" s="545"/>
      <c r="CPR32" s="545"/>
      <c r="CPS32" s="545"/>
      <c r="CPT32" s="545"/>
      <c r="CPU32" s="545"/>
      <c r="CPV32" s="545"/>
      <c r="CPW32" s="545"/>
      <c r="CPX32" s="545"/>
      <c r="CPY32" s="545"/>
      <c r="CPZ32" s="545"/>
      <c r="CQA32" s="545"/>
      <c r="CQB32" s="545"/>
      <c r="CQC32" s="545"/>
      <c r="CQD32" s="545"/>
      <c r="CQE32" s="545"/>
      <c r="CQF32" s="545"/>
      <c r="CQG32" s="545"/>
      <c r="CQH32" s="545"/>
      <c r="CQI32" s="545"/>
      <c r="CQJ32" s="545"/>
      <c r="CQK32" s="545"/>
      <c r="CQL32" s="545"/>
      <c r="CQM32" s="545"/>
      <c r="CQN32" s="545"/>
      <c r="CQO32" s="545"/>
      <c r="CQP32" s="545"/>
      <c r="CQQ32" s="545"/>
      <c r="CQR32" s="545"/>
      <c r="CQS32" s="545"/>
      <c r="CQT32" s="545"/>
      <c r="CQU32" s="545"/>
      <c r="CQV32" s="545"/>
      <c r="CQW32" s="545"/>
      <c r="CQX32" s="545"/>
      <c r="CQY32" s="545"/>
      <c r="CQZ32" s="545"/>
      <c r="CRA32" s="545"/>
      <c r="CRB32" s="545"/>
      <c r="CRC32" s="545"/>
      <c r="CRD32" s="545"/>
      <c r="CRE32" s="545"/>
      <c r="CRF32" s="545"/>
      <c r="CRG32" s="545"/>
      <c r="CRH32" s="545"/>
      <c r="CRI32" s="545"/>
      <c r="CRJ32" s="545"/>
      <c r="CRK32" s="545"/>
      <c r="CRL32" s="545"/>
      <c r="CRM32" s="545"/>
      <c r="CRN32" s="545"/>
      <c r="CRO32" s="545"/>
      <c r="CRP32" s="545"/>
      <c r="CRQ32" s="545"/>
      <c r="CRR32" s="545"/>
      <c r="CRS32" s="545"/>
      <c r="CRT32" s="545"/>
      <c r="CRU32" s="545"/>
      <c r="CRV32" s="545"/>
      <c r="CRW32" s="545"/>
      <c r="CRX32" s="545"/>
      <c r="CRY32" s="545"/>
      <c r="CRZ32" s="545"/>
      <c r="CSA32" s="545"/>
      <c r="CSB32" s="545"/>
      <c r="CSC32" s="545"/>
      <c r="CSD32" s="545"/>
      <c r="CSE32" s="545"/>
      <c r="CSF32" s="545"/>
      <c r="CSG32" s="545"/>
      <c r="CSH32" s="545"/>
      <c r="CSI32" s="545"/>
      <c r="CSJ32" s="545"/>
      <c r="CSK32" s="545"/>
      <c r="CSL32" s="545"/>
      <c r="CSM32" s="545"/>
      <c r="CSN32" s="545"/>
      <c r="CSO32" s="545"/>
      <c r="CSP32" s="545"/>
      <c r="CSQ32" s="545"/>
      <c r="CSR32" s="545"/>
      <c r="CSS32" s="545"/>
      <c r="CST32" s="545"/>
      <c r="CSU32" s="545"/>
      <c r="CSV32" s="545"/>
      <c r="CSW32" s="545"/>
      <c r="CSX32" s="545"/>
      <c r="CSY32" s="545"/>
      <c r="CSZ32" s="545"/>
      <c r="CTA32" s="545"/>
      <c r="CTB32" s="545"/>
      <c r="CTC32" s="545"/>
      <c r="CTD32" s="545"/>
      <c r="CTE32" s="545"/>
      <c r="CTF32" s="545"/>
      <c r="CTG32" s="545"/>
      <c r="CTH32" s="545"/>
      <c r="CTI32" s="545"/>
      <c r="CTJ32" s="545"/>
      <c r="CTK32" s="545"/>
      <c r="CTL32" s="545"/>
      <c r="CTM32" s="545"/>
      <c r="CTN32" s="545"/>
      <c r="CTO32" s="545"/>
      <c r="CTP32" s="545"/>
      <c r="CTQ32" s="545"/>
      <c r="CTR32" s="545"/>
      <c r="CTS32" s="545"/>
      <c r="CTT32" s="545"/>
      <c r="CTU32" s="545"/>
      <c r="CTV32" s="545"/>
      <c r="CTW32" s="545"/>
      <c r="CTX32" s="545"/>
      <c r="CTY32" s="545"/>
      <c r="CTZ32" s="545"/>
      <c r="CUA32" s="545"/>
      <c r="CUB32" s="545"/>
      <c r="CUC32" s="545"/>
      <c r="CUD32" s="545"/>
      <c r="CUE32" s="545"/>
      <c r="CUF32" s="545"/>
      <c r="CUG32" s="545"/>
      <c r="CUH32" s="545"/>
      <c r="CUI32" s="545"/>
      <c r="CUJ32" s="545"/>
      <c r="CUK32" s="545"/>
      <c r="CUL32" s="545"/>
      <c r="CUM32" s="545"/>
      <c r="CUN32" s="545"/>
      <c r="CUO32" s="545"/>
      <c r="CUP32" s="545"/>
      <c r="CUQ32" s="545"/>
      <c r="CUR32" s="545"/>
      <c r="CUS32" s="545"/>
      <c r="CUT32" s="545"/>
      <c r="CUU32" s="545"/>
      <c r="CUV32" s="545"/>
      <c r="CUW32" s="545"/>
      <c r="CUX32" s="545"/>
      <c r="CUY32" s="545"/>
      <c r="CUZ32" s="545"/>
      <c r="CVA32" s="545"/>
      <c r="CVB32" s="545"/>
      <c r="CVC32" s="545"/>
      <c r="CVD32" s="545"/>
      <c r="CVE32" s="545"/>
      <c r="CVF32" s="545"/>
      <c r="CVG32" s="545"/>
      <c r="CVH32" s="545"/>
      <c r="CVI32" s="545"/>
      <c r="CVJ32" s="545"/>
      <c r="CVK32" s="545"/>
      <c r="CVL32" s="545"/>
      <c r="CVM32" s="545"/>
      <c r="CVN32" s="545"/>
      <c r="CVO32" s="545"/>
      <c r="CVP32" s="545"/>
      <c r="CVQ32" s="545"/>
      <c r="CVR32" s="545"/>
      <c r="CVS32" s="545"/>
      <c r="CVT32" s="545"/>
      <c r="CVU32" s="545"/>
      <c r="CVV32" s="545"/>
      <c r="CVW32" s="545"/>
      <c r="CVX32" s="545"/>
      <c r="CVY32" s="545"/>
      <c r="CVZ32" s="545"/>
      <c r="CWA32" s="545"/>
      <c r="CWB32" s="545"/>
      <c r="CWC32" s="545"/>
      <c r="CWD32" s="545"/>
      <c r="CWE32" s="545"/>
      <c r="CWF32" s="545"/>
      <c r="CWG32" s="545"/>
      <c r="CWH32" s="545"/>
      <c r="CWI32" s="545"/>
      <c r="CWJ32" s="545"/>
      <c r="CWK32" s="545"/>
      <c r="CWL32" s="545"/>
      <c r="CWM32" s="545"/>
      <c r="CWN32" s="545"/>
      <c r="CWO32" s="545"/>
      <c r="CWP32" s="545"/>
      <c r="CWQ32" s="545"/>
      <c r="CWR32" s="545"/>
      <c r="CWS32" s="545"/>
      <c r="CWT32" s="545"/>
      <c r="CWU32" s="545"/>
      <c r="CWV32" s="545"/>
      <c r="CWW32" s="545"/>
      <c r="CWX32" s="545"/>
      <c r="CWY32" s="545"/>
      <c r="CWZ32" s="545"/>
      <c r="CXA32" s="545"/>
      <c r="CXB32" s="545"/>
      <c r="CXC32" s="545"/>
      <c r="CXD32" s="545"/>
      <c r="CXE32" s="545"/>
      <c r="CXF32" s="545"/>
      <c r="CXG32" s="545"/>
      <c r="CXH32" s="545"/>
      <c r="CXI32" s="545"/>
      <c r="CXJ32" s="545"/>
      <c r="CXK32" s="545"/>
      <c r="CXL32" s="545"/>
      <c r="CXM32" s="545"/>
      <c r="CXN32" s="545"/>
      <c r="CXO32" s="545"/>
      <c r="CXP32" s="545"/>
      <c r="CXQ32" s="545"/>
      <c r="CXR32" s="545"/>
      <c r="CXS32" s="545"/>
      <c r="CXT32" s="545"/>
      <c r="CXU32" s="545"/>
      <c r="CXV32" s="545"/>
      <c r="CXW32" s="545"/>
      <c r="CXX32" s="545"/>
      <c r="CXY32" s="545"/>
      <c r="CXZ32" s="545"/>
      <c r="CYA32" s="545"/>
      <c r="CYB32" s="545"/>
      <c r="CYC32" s="545"/>
      <c r="CYD32" s="545"/>
      <c r="CYE32" s="545"/>
      <c r="CYF32" s="545"/>
      <c r="CYG32" s="545"/>
      <c r="CYH32" s="545"/>
      <c r="CYI32" s="545"/>
      <c r="CYJ32" s="545"/>
      <c r="CYK32" s="545"/>
      <c r="CYL32" s="545"/>
      <c r="CYM32" s="545"/>
      <c r="CYN32" s="545"/>
      <c r="CYO32" s="545"/>
      <c r="CYP32" s="545"/>
      <c r="CYQ32" s="545"/>
      <c r="CYR32" s="545"/>
      <c r="CYS32" s="545"/>
      <c r="CYT32" s="545"/>
      <c r="CYU32" s="545"/>
      <c r="CYV32" s="545"/>
      <c r="CYW32" s="545"/>
      <c r="CYX32" s="545"/>
      <c r="CYY32" s="545"/>
      <c r="CYZ32" s="545"/>
      <c r="CZA32" s="545"/>
      <c r="CZB32" s="545"/>
      <c r="CZC32" s="545"/>
      <c r="CZD32" s="545"/>
      <c r="CZE32" s="545"/>
      <c r="CZF32" s="545"/>
      <c r="CZG32" s="545"/>
      <c r="CZH32" s="545"/>
      <c r="CZI32" s="545"/>
      <c r="CZJ32" s="545"/>
      <c r="CZK32" s="545"/>
      <c r="CZL32" s="545"/>
      <c r="CZM32" s="545"/>
      <c r="CZN32" s="545"/>
      <c r="CZO32" s="545"/>
      <c r="CZP32" s="545"/>
      <c r="CZQ32" s="545"/>
      <c r="CZR32" s="545"/>
      <c r="CZS32" s="545"/>
      <c r="CZT32" s="545"/>
      <c r="CZU32" s="545"/>
      <c r="CZV32" s="545"/>
      <c r="CZW32" s="545"/>
      <c r="CZX32" s="545"/>
      <c r="CZY32" s="545"/>
      <c r="CZZ32" s="545"/>
      <c r="DAA32" s="545"/>
      <c r="DAB32" s="545"/>
      <c r="DAC32" s="545"/>
      <c r="DAD32" s="545"/>
      <c r="DAE32" s="545"/>
      <c r="DAF32" s="545"/>
      <c r="DAG32" s="545"/>
      <c r="DAH32" s="545"/>
      <c r="DAI32" s="545"/>
      <c r="DAJ32" s="545"/>
      <c r="DAK32" s="545"/>
      <c r="DAL32" s="545"/>
      <c r="DAM32" s="545"/>
      <c r="DAN32" s="545"/>
      <c r="DAO32" s="545"/>
      <c r="DAP32" s="545"/>
      <c r="DAQ32" s="545"/>
      <c r="DAR32" s="545"/>
      <c r="DAS32" s="545"/>
      <c r="DAT32" s="545"/>
      <c r="DAU32" s="545"/>
      <c r="DAV32" s="545"/>
      <c r="DAW32" s="545"/>
      <c r="DAX32" s="545"/>
      <c r="DAY32" s="545"/>
      <c r="DAZ32" s="545"/>
      <c r="DBA32" s="545"/>
      <c r="DBB32" s="545"/>
      <c r="DBC32" s="545"/>
      <c r="DBD32" s="545"/>
      <c r="DBE32" s="545"/>
      <c r="DBF32" s="545"/>
      <c r="DBG32" s="545"/>
      <c r="DBH32" s="545"/>
      <c r="DBI32" s="545"/>
      <c r="DBJ32" s="545"/>
      <c r="DBK32" s="545"/>
      <c r="DBL32" s="545"/>
      <c r="DBM32" s="545"/>
      <c r="DBN32" s="545"/>
      <c r="DBO32" s="545"/>
      <c r="DBP32" s="545"/>
      <c r="DBQ32" s="545"/>
      <c r="DBR32" s="545"/>
      <c r="DBS32" s="545"/>
      <c r="DBT32" s="545"/>
      <c r="DBU32" s="545"/>
      <c r="DBV32" s="545"/>
      <c r="DBW32" s="545"/>
      <c r="DBX32" s="545"/>
      <c r="DBY32" s="545"/>
      <c r="DBZ32" s="545"/>
      <c r="DCA32" s="545"/>
      <c r="DCB32" s="545"/>
      <c r="DCC32" s="545"/>
      <c r="DCD32" s="545"/>
      <c r="DCE32" s="545"/>
      <c r="DCF32" s="545"/>
      <c r="DCG32" s="545"/>
      <c r="DCH32" s="545"/>
      <c r="DCI32" s="545"/>
      <c r="DCJ32" s="545"/>
      <c r="DCK32" s="545"/>
      <c r="DCL32" s="545"/>
      <c r="DCM32" s="545"/>
      <c r="DCN32" s="545"/>
      <c r="DCO32" s="545"/>
      <c r="DCP32" s="545"/>
      <c r="DCQ32" s="545"/>
      <c r="DCR32" s="545"/>
      <c r="DCS32" s="545"/>
      <c r="DCT32" s="545"/>
      <c r="DCU32" s="545"/>
      <c r="DCV32" s="545"/>
      <c r="DCW32" s="545"/>
      <c r="DCX32" s="545"/>
      <c r="DCY32" s="545"/>
      <c r="DCZ32" s="545"/>
      <c r="DDA32" s="545"/>
      <c r="DDB32" s="545"/>
      <c r="DDC32" s="545"/>
      <c r="DDD32" s="545"/>
      <c r="DDE32" s="545"/>
      <c r="DDF32" s="545"/>
      <c r="DDG32" s="545"/>
      <c r="DDH32" s="545"/>
      <c r="DDI32" s="545"/>
      <c r="DDJ32" s="545"/>
      <c r="DDK32" s="545"/>
      <c r="DDL32" s="545"/>
      <c r="DDM32" s="545"/>
      <c r="DDN32" s="545"/>
      <c r="DDO32" s="545"/>
      <c r="DDP32" s="545"/>
      <c r="DDQ32" s="545"/>
      <c r="DDR32" s="545"/>
      <c r="DDS32" s="545"/>
      <c r="DDT32" s="545"/>
      <c r="DDU32" s="545"/>
      <c r="DDV32" s="545"/>
      <c r="DDW32" s="545"/>
      <c r="DDX32" s="545"/>
      <c r="DDY32" s="545"/>
      <c r="DDZ32" s="545"/>
      <c r="DEA32" s="545"/>
      <c r="DEB32" s="545"/>
      <c r="DEC32" s="545"/>
      <c r="DED32" s="545"/>
      <c r="DEE32" s="545"/>
      <c r="DEF32" s="545"/>
      <c r="DEG32" s="545"/>
      <c r="DEH32" s="545"/>
      <c r="DEI32" s="545"/>
      <c r="DEJ32" s="545"/>
      <c r="DEK32" s="545"/>
      <c r="DEL32" s="545"/>
      <c r="DEM32" s="545"/>
      <c r="DEN32" s="545"/>
      <c r="DEO32" s="545"/>
      <c r="DEP32" s="545"/>
      <c r="DEQ32" s="545"/>
      <c r="DER32" s="545"/>
      <c r="DES32" s="545"/>
      <c r="DET32" s="545"/>
      <c r="DEU32" s="545"/>
      <c r="DEV32" s="545"/>
      <c r="DEW32" s="545"/>
      <c r="DEX32" s="545"/>
      <c r="DEY32" s="545"/>
      <c r="DEZ32" s="545"/>
      <c r="DFA32" s="545"/>
      <c r="DFB32" s="545"/>
      <c r="DFC32" s="545"/>
      <c r="DFD32" s="545"/>
      <c r="DFE32" s="545"/>
      <c r="DFF32" s="545"/>
      <c r="DFG32" s="545"/>
      <c r="DFH32" s="545"/>
      <c r="DFI32" s="545"/>
      <c r="DFJ32" s="545"/>
      <c r="DFK32" s="545"/>
      <c r="DFL32" s="545"/>
      <c r="DFM32" s="545"/>
      <c r="DFN32" s="545"/>
      <c r="DFO32" s="545"/>
      <c r="DFP32" s="545"/>
      <c r="DFQ32" s="545"/>
      <c r="DFR32" s="545"/>
      <c r="DFS32" s="545"/>
      <c r="DFT32" s="545"/>
      <c r="DFU32" s="545"/>
      <c r="DFV32" s="545"/>
      <c r="DFW32" s="545"/>
      <c r="DFX32" s="545"/>
      <c r="DFY32" s="545"/>
      <c r="DFZ32" s="545"/>
      <c r="DGA32" s="545"/>
      <c r="DGB32" s="545"/>
      <c r="DGC32" s="545"/>
      <c r="DGD32" s="545"/>
      <c r="DGE32" s="545"/>
      <c r="DGF32" s="545"/>
      <c r="DGG32" s="545"/>
      <c r="DGH32" s="545"/>
      <c r="DGI32" s="545"/>
      <c r="DGJ32" s="545"/>
      <c r="DGK32" s="545"/>
      <c r="DGL32" s="545"/>
      <c r="DGM32" s="545"/>
      <c r="DGN32" s="545"/>
      <c r="DGO32" s="545"/>
      <c r="DGP32" s="545"/>
      <c r="DGQ32" s="545"/>
      <c r="DGR32" s="545"/>
      <c r="DGS32" s="545"/>
      <c r="DGT32" s="545"/>
      <c r="DGU32" s="545"/>
      <c r="DGV32" s="545"/>
      <c r="DGW32" s="545"/>
      <c r="DGX32" s="545"/>
      <c r="DGY32" s="545"/>
      <c r="DGZ32" s="545"/>
      <c r="DHA32" s="545"/>
      <c r="DHB32" s="545"/>
      <c r="DHC32" s="545"/>
      <c r="DHD32" s="545"/>
      <c r="DHE32" s="545"/>
      <c r="DHF32" s="545"/>
      <c r="DHG32" s="545"/>
      <c r="DHH32" s="545"/>
      <c r="DHI32" s="545"/>
      <c r="DHJ32" s="545"/>
      <c r="DHK32" s="545"/>
      <c r="DHL32" s="545"/>
      <c r="DHM32" s="545"/>
      <c r="DHN32" s="545"/>
      <c r="DHO32" s="545"/>
      <c r="DHP32" s="545"/>
      <c r="DHQ32" s="545"/>
      <c r="DHR32" s="545"/>
      <c r="DHS32" s="545"/>
      <c r="DHT32" s="545"/>
      <c r="DHU32" s="545"/>
      <c r="DHV32" s="545"/>
      <c r="DHW32" s="545"/>
      <c r="DHX32" s="545"/>
      <c r="DHY32" s="545"/>
      <c r="DHZ32" s="545"/>
      <c r="DIA32" s="545"/>
      <c r="DIB32" s="545"/>
      <c r="DIC32" s="545"/>
      <c r="DID32" s="545"/>
      <c r="DIE32" s="545"/>
      <c r="DIF32" s="545"/>
      <c r="DIG32" s="545"/>
      <c r="DIH32" s="545"/>
      <c r="DII32" s="545"/>
      <c r="DIJ32" s="545"/>
      <c r="DIK32" s="545"/>
      <c r="DIL32" s="545"/>
      <c r="DIM32" s="545"/>
      <c r="DIN32" s="545"/>
      <c r="DIO32" s="545"/>
      <c r="DIP32" s="545"/>
      <c r="DIQ32" s="545"/>
      <c r="DIR32" s="545"/>
      <c r="DIS32" s="545"/>
      <c r="DIT32" s="545"/>
      <c r="DIU32" s="545"/>
      <c r="DIV32" s="545"/>
      <c r="DIW32" s="545"/>
      <c r="DIX32" s="545"/>
      <c r="DIY32" s="545"/>
      <c r="DIZ32" s="545"/>
      <c r="DJA32" s="545"/>
      <c r="DJB32" s="545"/>
      <c r="DJC32" s="545"/>
      <c r="DJD32" s="545"/>
      <c r="DJE32" s="545"/>
      <c r="DJF32" s="545"/>
      <c r="DJG32" s="545"/>
      <c r="DJH32" s="545"/>
      <c r="DJI32" s="545"/>
      <c r="DJJ32" s="545"/>
      <c r="DJK32" s="545"/>
      <c r="DJL32" s="545"/>
      <c r="DJM32" s="545"/>
      <c r="DJN32" s="545"/>
      <c r="DJO32" s="545"/>
      <c r="DJP32" s="545"/>
      <c r="DJQ32" s="545"/>
      <c r="DJR32" s="545"/>
      <c r="DJS32" s="545"/>
      <c r="DJT32" s="545"/>
      <c r="DJU32" s="545"/>
      <c r="DJV32" s="545"/>
      <c r="DJW32" s="545"/>
      <c r="DJX32" s="545"/>
      <c r="DJY32" s="545"/>
      <c r="DJZ32" s="545"/>
      <c r="DKA32" s="545"/>
      <c r="DKB32" s="545"/>
      <c r="DKC32" s="545"/>
      <c r="DKD32" s="545"/>
      <c r="DKE32" s="545"/>
      <c r="DKF32" s="545"/>
      <c r="DKG32" s="545"/>
      <c r="DKH32" s="545"/>
      <c r="DKI32" s="545"/>
      <c r="DKJ32" s="545"/>
      <c r="DKK32" s="545"/>
      <c r="DKL32" s="545"/>
      <c r="DKM32" s="545"/>
      <c r="DKN32" s="545"/>
      <c r="DKO32" s="545"/>
      <c r="DKP32" s="545"/>
      <c r="DKQ32" s="545"/>
      <c r="DKR32" s="545"/>
      <c r="DKS32" s="545"/>
      <c r="DKT32" s="545"/>
      <c r="DKU32" s="545"/>
      <c r="DKV32" s="545"/>
      <c r="DKW32" s="545"/>
      <c r="DKX32" s="545"/>
      <c r="DKY32" s="545"/>
      <c r="DKZ32" s="545"/>
      <c r="DLA32" s="545"/>
      <c r="DLB32" s="545"/>
      <c r="DLC32" s="545"/>
      <c r="DLD32" s="545"/>
      <c r="DLE32" s="545"/>
      <c r="DLF32" s="545"/>
      <c r="DLG32" s="545"/>
      <c r="DLH32" s="545"/>
      <c r="DLI32" s="545"/>
      <c r="DLJ32" s="545"/>
      <c r="DLK32" s="545"/>
      <c r="DLL32" s="545"/>
      <c r="DLM32" s="545"/>
      <c r="DLN32" s="545"/>
      <c r="DLO32" s="545"/>
      <c r="DLP32" s="545"/>
      <c r="DLQ32" s="545"/>
      <c r="DLR32" s="545"/>
      <c r="DLS32" s="545"/>
      <c r="DLT32" s="545"/>
      <c r="DLU32" s="545"/>
      <c r="DLV32" s="545"/>
      <c r="DLW32" s="545"/>
      <c r="DLX32" s="545"/>
      <c r="DLY32" s="545"/>
      <c r="DLZ32" s="545"/>
      <c r="DMA32" s="545"/>
      <c r="DMB32" s="545"/>
      <c r="DMC32" s="545"/>
      <c r="DMD32" s="545"/>
      <c r="DME32" s="545"/>
      <c r="DMF32" s="545"/>
      <c r="DMG32" s="545"/>
      <c r="DMH32" s="545"/>
      <c r="DMI32" s="545"/>
      <c r="DMJ32" s="545"/>
      <c r="DMK32" s="545"/>
      <c r="DML32" s="545"/>
      <c r="DMM32" s="545"/>
      <c r="DMN32" s="545"/>
      <c r="DMO32" s="545"/>
      <c r="DMP32" s="545"/>
      <c r="DMQ32" s="545"/>
      <c r="DMR32" s="545"/>
      <c r="DMS32" s="545"/>
      <c r="DMT32" s="545"/>
      <c r="DMU32" s="545"/>
      <c r="DMV32" s="545"/>
      <c r="DMW32" s="545"/>
      <c r="DMX32" s="545"/>
      <c r="DMY32" s="545"/>
      <c r="DMZ32" s="545"/>
      <c r="DNA32" s="545"/>
      <c r="DNB32" s="545"/>
      <c r="DNC32" s="545"/>
      <c r="DND32" s="545"/>
      <c r="DNE32" s="545"/>
      <c r="DNF32" s="545"/>
      <c r="DNG32" s="545"/>
      <c r="DNH32" s="545"/>
      <c r="DNI32" s="545"/>
      <c r="DNJ32" s="545"/>
      <c r="DNK32" s="545"/>
      <c r="DNL32" s="545"/>
      <c r="DNM32" s="545"/>
      <c r="DNN32" s="545"/>
      <c r="DNO32" s="545"/>
      <c r="DNP32" s="545"/>
      <c r="DNQ32" s="545"/>
      <c r="DNR32" s="545"/>
      <c r="DNS32" s="545"/>
      <c r="DNT32" s="545"/>
      <c r="DNU32" s="545"/>
      <c r="DNV32" s="545"/>
      <c r="DNW32" s="545"/>
      <c r="DNX32" s="545"/>
      <c r="DNY32" s="545"/>
      <c r="DNZ32" s="545"/>
      <c r="DOA32" s="545"/>
      <c r="DOB32" s="545"/>
      <c r="DOC32" s="545"/>
      <c r="DOD32" s="545"/>
      <c r="DOE32" s="545"/>
      <c r="DOF32" s="545"/>
      <c r="DOG32" s="545"/>
      <c r="DOH32" s="545"/>
      <c r="DOI32" s="545"/>
      <c r="DOJ32" s="545"/>
      <c r="DOK32" s="545"/>
      <c r="DOL32" s="545"/>
      <c r="DOM32" s="545"/>
      <c r="DON32" s="545"/>
      <c r="DOO32" s="545"/>
      <c r="DOP32" s="545"/>
      <c r="DOQ32" s="545"/>
      <c r="DOR32" s="545"/>
      <c r="DOS32" s="545"/>
      <c r="DOT32" s="545"/>
      <c r="DOU32" s="545"/>
      <c r="DOV32" s="545"/>
      <c r="DOW32" s="545"/>
      <c r="DOX32" s="545"/>
      <c r="DOY32" s="545"/>
      <c r="DOZ32" s="545"/>
      <c r="DPA32" s="545"/>
      <c r="DPB32" s="545"/>
      <c r="DPC32" s="545"/>
      <c r="DPD32" s="545"/>
      <c r="DPE32" s="545"/>
      <c r="DPF32" s="545"/>
      <c r="DPG32" s="545"/>
      <c r="DPH32" s="545"/>
      <c r="DPI32" s="545"/>
      <c r="DPJ32" s="545"/>
      <c r="DPK32" s="545"/>
      <c r="DPL32" s="545"/>
      <c r="DPM32" s="545"/>
      <c r="DPN32" s="545"/>
      <c r="DPO32" s="545"/>
      <c r="DPP32" s="545"/>
      <c r="DPQ32" s="545"/>
      <c r="DPR32" s="545"/>
      <c r="DPS32" s="545"/>
      <c r="DPT32" s="545"/>
      <c r="DPU32" s="545"/>
      <c r="DPV32" s="545"/>
      <c r="DPW32" s="545"/>
      <c r="DPX32" s="545"/>
      <c r="DPY32" s="545"/>
      <c r="DPZ32" s="545"/>
      <c r="DQA32" s="545"/>
      <c r="DQB32" s="545"/>
      <c r="DQC32" s="545"/>
      <c r="DQD32" s="545"/>
      <c r="DQE32" s="545"/>
      <c r="DQF32" s="545"/>
      <c r="DQG32" s="545"/>
      <c r="DQH32" s="545"/>
      <c r="DQI32" s="545"/>
      <c r="DQJ32" s="545"/>
      <c r="DQK32" s="545"/>
      <c r="DQL32" s="545"/>
      <c r="DQM32" s="545"/>
      <c r="DQN32" s="545"/>
      <c r="DQO32" s="545"/>
      <c r="DQP32" s="545"/>
      <c r="DQQ32" s="545"/>
      <c r="DQR32" s="545"/>
      <c r="DQS32" s="545"/>
      <c r="DQT32" s="545"/>
      <c r="DQU32" s="545"/>
      <c r="DQV32" s="545"/>
      <c r="DQW32" s="545"/>
      <c r="DQX32" s="545"/>
      <c r="DQY32" s="545"/>
      <c r="DQZ32" s="545"/>
      <c r="DRA32" s="545"/>
      <c r="DRB32" s="545"/>
      <c r="DRC32" s="545"/>
      <c r="DRD32" s="545"/>
      <c r="DRE32" s="545"/>
      <c r="DRF32" s="545"/>
      <c r="DRG32" s="545"/>
      <c r="DRH32" s="545"/>
      <c r="DRI32" s="545"/>
      <c r="DRJ32" s="545"/>
      <c r="DRK32" s="545"/>
      <c r="DRL32" s="545"/>
      <c r="DRM32" s="545"/>
      <c r="DRN32" s="545"/>
      <c r="DRO32" s="545"/>
      <c r="DRP32" s="545"/>
      <c r="DRQ32" s="545"/>
      <c r="DRR32" s="545"/>
      <c r="DRS32" s="545"/>
      <c r="DRT32" s="545"/>
      <c r="DRU32" s="545"/>
      <c r="DRV32" s="545"/>
      <c r="DRW32" s="545"/>
      <c r="DRX32" s="545"/>
      <c r="DRY32" s="545"/>
      <c r="DRZ32" s="545"/>
      <c r="DSA32" s="545"/>
      <c r="DSB32" s="545"/>
      <c r="DSC32" s="545"/>
      <c r="DSD32" s="545"/>
      <c r="DSE32" s="545"/>
      <c r="DSF32" s="545"/>
      <c r="DSG32" s="545"/>
      <c r="DSH32" s="545"/>
      <c r="DSI32" s="545"/>
      <c r="DSJ32" s="545"/>
      <c r="DSK32" s="545"/>
      <c r="DSL32" s="545"/>
      <c r="DSM32" s="545"/>
      <c r="DSN32" s="545"/>
      <c r="DSO32" s="545"/>
      <c r="DSP32" s="545"/>
      <c r="DSQ32" s="545"/>
      <c r="DSR32" s="545"/>
      <c r="DSS32" s="545"/>
      <c r="DST32" s="545"/>
      <c r="DSU32" s="545"/>
      <c r="DSV32" s="545"/>
      <c r="DSW32" s="545"/>
      <c r="DSX32" s="545"/>
      <c r="DSY32" s="545"/>
      <c r="DSZ32" s="545"/>
      <c r="DTA32" s="545"/>
      <c r="DTB32" s="545"/>
      <c r="DTC32" s="545"/>
      <c r="DTD32" s="545"/>
      <c r="DTE32" s="545"/>
      <c r="DTF32" s="545"/>
      <c r="DTG32" s="545"/>
      <c r="DTH32" s="545"/>
      <c r="DTI32" s="545"/>
      <c r="DTJ32" s="545"/>
      <c r="DTK32" s="545"/>
      <c r="DTL32" s="545"/>
      <c r="DTM32" s="545"/>
      <c r="DTN32" s="545"/>
      <c r="DTO32" s="545"/>
      <c r="DTP32" s="545"/>
      <c r="DTQ32" s="545"/>
      <c r="DTR32" s="545"/>
      <c r="DTS32" s="545"/>
      <c r="DTT32" s="545"/>
      <c r="DTU32" s="545"/>
      <c r="DTV32" s="545"/>
      <c r="DTW32" s="545"/>
      <c r="DTX32" s="545"/>
      <c r="DTY32" s="545"/>
      <c r="DTZ32" s="545"/>
      <c r="DUA32" s="545"/>
      <c r="DUB32" s="545"/>
      <c r="DUC32" s="545"/>
      <c r="DUD32" s="545"/>
      <c r="DUE32" s="545"/>
      <c r="DUF32" s="545"/>
      <c r="DUG32" s="545"/>
      <c r="DUH32" s="545"/>
      <c r="DUI32" s="545"/>
      <c r="DUJ32" s="545"/>
      <c r="DUK32" s="545"/>
      <c r="DUL32" s="545"/>
      <c r="DUM32" s="545"/>
      <c r="DUN32" s="545"/>
      <c r="DUO32" s="545"/>
      <c r="DUP32" s="545"/>
      <c r="DUQ32" s="545"/>
      <c r="DUR32" s="545"/>
      <c r="DUS32" s="545"/>
      <c r="DUT32" s="545"/>
      <c r="DUU32" s="545"/>
      <c r="DUV32" s="545"/>
      <c r="DUW32" s="545"/>
      <c r="DUX32" s="545"/>
      <c r="DUY32" s="545"/>
      <c r="DUZ32" s="545"/>
      <c r="DVA32" s="545"/>
      <c r="DVB32" s="545"/>
      <c r="DVC32" s="545"/>
      <c r="DVD32" s="545"/>
      <c r="DVE32" s="545"/>
      <c r="DVF32" s="545"/>
      <c r="DVG32" s="545"/>
      <c r="DVH32" s="545"/>
      <c r="DVI32" s="545"/>
      <c r="DVJ32" s="545"/>
      <c r="DVK32" s="545"/>
      <c r="DVL32" s="545"/>
      <c r="DVM32" s="545"/>
      <c r="DVN32" s="545"/>
      <c r="DVO32" s="545"/>
      <c r="DVP32" s="545"/>
      <c r="DVQ32" s="545"/>
      <c r="DVR32" s="545"/>
      <c r="DVS32" s="545"/>
      <c r="DVT32" s="545"/>
      <c r="DVU32" s="545"/>
      <c r="DVV32" s="545"/>
      <c r="DVW32" s="545"/>
      <c r="DVX32" s="545"/>
      <c r="DVY32" s="545"/>
      <c r="DVZ32" s="545"/>
      <c r="DWA32" s="545"/>
      <c r="DWB32" s="545"/>
      <c r="DWC32" s="545"/>
      <c r="DWD32" s="545"/>
      <c r="DWE32" s="545"/>
      <c r="DWF32" s="545"/>
      <c r="DWG32" s="545"/>
      <c r="DWH32" s="545"/>
      <c r="DWI32" s="545"/>
      <c r="DWJ32" s="545"/>
      <c r="DWK32" s="545"/>
      <c r="DWL32" s="545"/>
      <c r="DWM32" s="545"/>
      <c r="DWN32" s="545"/>
      <c r="DWO32" s="545"/>
      <c r="DWP32" s="545"/>
      <c r="DWQ32" s="545"/>
      <c r="DWR32" s="545"/>
      <c r="DWS32" s="545"/>
      <c r="DWT32" s="545"/>
      <c r="DWU32" s="545"/>
      <c r="DWV32" s="545"/>
      <c r="DWW32" s="545"/>
      <c r="DWX32" s="545"/>
      <c r="DWY32" s="545"/>
      <c r="DWZ32" s="545"/>
      <c r="DXA32" s="545"/>
      <c r="DXB32" s="545"/>
      <c r="DXC32" s="545"/>
      <c r="DXD32" s="545"/>
      <c r="DXE32" s="545"/>
      <c r="DXF32" s="545"/>
      <c r="DXG32" s="545"/>
      <c r="DXH32" s="545"/>
      <c r="DXI32" s="545"/>
      <c r="DXJ32" s="545"/>
      <c r="DXK32" s="545"/>
      <c r="DXL32" s="545"/>
      <c r="DXM32" s="545"/>
      <c r="DXN32" s="545"/>
      <c r="DXO32" s="545"/>
      <c r="DXP32" s="545"/>
      <c r="DXQ32" s="545"/>
      <c r="DXR32" s="545"/>
      <c r="DXS32" s="545"/>
      <c r="DXT32" s="545"/>
      <c r="DXU32" s="545"/>
      <c r="DXV32" s="545"/>
      <c r="DXW32" s="545"/>
      <c r="DXX32" s="545"/>
      <c r="DXY32" s="545"/>
      <c r="DXZ32" s="545"/>
      <c r="DYA32" s="545"/>
      <c r="DYB32" s="545"/>
      <c r="DYC32" s="545"/>
      <c r="DYD32" s="545"/>
      <c r="DYE32" s="545"/>
      <c r="DYF32" s="545"/>
      <c r="DYG32" s="545"/>
      <c r="DYH32" s="545"/>
      <c r="DYI32" s="545"/>
      <c r="DYJ32" s="545"/>
      <c r="DYK32" s="545"/>
      <c r="DYL32" s="545"/>
      <c r="DYM32" s="545"/>
      <c r="DYN32" s="545"/>
      <c r="DYO32" s="545"/>
      <c r="DYP32" s="545"/>
      <c r="DYQ32" s="545"/>
      <c r="DYR32" s="545"/>
      <c r="DYS32" s="545"/>
      <c r="DYT32" s="545"/>
      <c r="DYU32" s="545"/>
      <c r="DYV32" s="545"/>
      <c r="DYW32" s="545"/>
      <c r="DYX32" s="545"/>
      <c r="DYY32" s="545"/>
      <c r="DYZ32" s="545"/>
      <c r="DZA32" s="545"/>
      <c r="DZB32" s="545"/>
      <c r="DZC32" s="545"/>
      <c r="DZD32" s="545"/>
      <c r="DZE32" s="545"/>
      <c r="DZF32" s="545"/>
      <c r="DZG32" s="545"/>
      <c r="DZH32" s="545"/>
      <c r="DZI32" s="545"/>
      <c r="DZJ32" s="545"/>
      <c r="DZK32" s="545"/>
      <c r="DZL32" s="545"/>
      <c r="DZM32" s="545"/>
      <c r="DZN32" s="545"/>
      <c r="DZO32" s="545"/>
      <c r="DZP32" s="545"/>
      <c r="DZQ32" s="545"/>
      <c r="DZR32" s="545"/>
      <c r="DZS32" s="545"/>
      <c r="DZT32" s="545"/>
      <c r="DZU32" s="545"/>
      <c r="DZV32" s="545"/>
      <c r="DZW32" s="545"/>
      <c r="DZX32" s="545"/>
      <c r="DZY32" s="545"/>
      <c r="DZZ32" s="545"/>
      <c r="EAA32" s="545"/>
      <c r="EAB32" s="545"/>
      <c r="EAC32" s="545"/>
      <c r="EAD32" s="545"/>
      <c r="EAE32" s="545"/>
      <c r="EAF32" s="545"/>
      <c r="EAG32" s="545"/>
      <c r="EAH32" s="545"/>
      <c r="EAI32" s="545"/>
      <c r="EAJ32" s="545"/>
      <c r="EAK32" s="545"/>
      <c r="EAL32" s="545"/>
      <c r="EAM32" s="545"/>
      <c r="EAN32" s="545"/>
      <c r="EAO32" s="545"/>
      <c r="EAP32" s="545"/>
      <c r="EAQ32" s="545"/>
      <c r="EAR32" s="545"/>
      <c r="EAS32" s="545"/>
      <c r="EAT32" s="545"/>
      <c r="EAU32" s="545"/>
      <c r="EAV32" s="545"/>
      <c r="EAW32" s="545"/>
      <c r="EAX32" s="545"/>
      <c r="EAY32" s="545"/>
      <c r="EAZ32" s="545"/>
      <c r="EBA32" s="545"/>
      <c r="EBB32" s="545"/>
      <c r="EBC32" s="545"/>
      <c r="EBD32" s="545"/>
      <c r="EBE32" s="545"/>
      <c r="EBF32" s="545"/>
      <c r="EBG32" s="545"/>
      <c r="EBH32" s="545"/>
      <c r="EBI32" s="545"/>
      <c r="EBJ32" s="545"/>
      <c r="EBK32" s="545"/>
      <c r="EBL32" s="545"/>
      <c r="EBM32" s="545"/>
      <c r="EBN32" s="545"/>
      <c r="EBO32" s="545"/>
      <c r="EBP32" s="545"/>
      <c r="EBQ32" s="545"/>
      <c r="EBR32" s="545"/>
      <c r="EBS32" s="545"/>
      <c r="EBT32" s="545"/>
      <c r="EBU32" s="545"/>
      <c r="EBV32" s="545"/>
      <c r="EBW32" s="545"/>
      <c r="EBX32" s="545"/>
      <c r="EBY32" s="545"/>
      <c r="EBZ32" s="545"/>
      <c r="ECA32" s="545"/>
      <c r="ECB32" s="545"/>
      <c r="ECC32" s="545"/>
      <c r="ECD32" s="545"/>
      <c r="ECE32" s="545"/>
      <c r="ECF32" s="545"/>
      <c r="ECG32" s="545"/>
      <c r="ECH32" s="545"/>
      <c r="ECI32" s="545"/>
      <c r="ECJ32" s="545"/>
      <c r="ECK32" s="545"/>
      <c r="ECL32" s="545"/>
      <c r="ECM32" s="545"/>
      <c r="ECN32" s="545"/>
      <c r="ECO32" s="545"/>
      <c r="ECP32" s="545"/>
      <c r="ECQ32" s="545"/>
      <c r="ECR32" s="545"/>
      <c r="ECS32" s="545"/>
      <c r="ECT32" s="545"/>
      <c r="ECU32" s="545"/>
      <c r="ECV32" s="545"/>
      <c r="ECW32" s="545"/>
      <c r="ECX32" s="545"/>
      <c r="ECY32" s="545"/>
      <c r="ECZ32" s="545"/>
      <c r="EDA32" s="545"/>
      <c r="EDB32" s="545"/>
      <c r="EDC32" s="545"/>
      <c r="EDD32" s="545"/>
      <c r="EDE32" s="545"/>
      <c r="EDF32" s="545"/>
      <c r="EDG32" s="545"/>
      <c r="EDH32" s="545"/>
      <c r="EDI32" s="545"/>
      <c r="EDJ32" s="545"/>
      <c r="EDK32" s="545"/>
      <c r="EDL32" s="545"/>
      <c r="EDM32" s="545"/>
      <c r="EDN32" s="545"/>
      <c r="EDO32" s="545"/>
      <c r="EDP32" s="545"/>
      <c r="EDQ32" s="545"/>
      <c r="EDR32" s="545"/>
      <c r="EDS32" s="545"/>
      <c r="EDT32" s="545"/>
      <c r="EDU32" s="545"/>
      <c r="EDV32" s="545"/>
      <c r="EDW32" s="545"/>
      <c r="EDX32" s="545"/>
      <c r="EDY32" s="545"/>
      <c r="EDZ32" s="545"/>
      <c r="EEA32" s="545"/>
      <c r="EEB32" s="545"/>
      <c r="EEC32" s="545"/>
      <c r="EED32" s="545"/>
      <c r="EEE32" s="545"/>
      <c r="EEF32" s="545"/>
      <c r="EEG32" s="545"/>
      <c r="EEH32" s="545"/>
      <c r="EEI32" s="545"/>
      <c r="EEJ32" s="545"/>
      <c r="EEK32" s="545"/>
      <c r="EEL32" s="545"/>
      <c r="EEM32" s="545"/>
      <c r="EEN32" s="545"/>
      <c r="EEO32" s="545"/>
      <c r="EEP32" s="545"/>
      <c r="EEQ32" s="545"/>
      <c r="EER32" s="545"/>
      <c r="EES32" s="545"/>
      <c r="EET32" s="545"/>
      <c r="EEU32" s="545"/>
      <c r="EEV32" s="545"/>
      <c r="EEW32" s="545"/>
      <c r="EEX32" s="545"/>
      <c r="EEY32" s="545"/>
      <c r="EEZ32" s="545"/>
      <c r="EFA32" s="545"/>
      <c r="EFB32" s="545"/>
      <c r="EFC32" s="545"/>
      <c r="EFD32" s="545"/>
      <c r="EFE32" s="545"/>
      <c r="EFF32" s="545"/>
      <c r="EFG32" s="545"/>
      <c r="EFH32" s="545"/>
      <c r="EFI32" s="545"/>
      <c r="EFJ32" s="545"/>
      <c r="EFK32" s="545"/>
      <c r="EFL32" s="545"/>
      <c r="EFM32" s="545"/>
      <c r="EFN32" s="545"/>
      <c r="EFO32" s="545"/>
      <c r="EFP32" s="545"/>
      <c r="EFQ32" s="545"/>
      <c r="EFR32" s="545"/>
      <c r="EFS32" s="545"/>
      <c r="EFT32" s="545"/>
      <c r="EFU32" s="545"/>
      <c r="EFV32" s="545"/>
      <c r="EFW32" s="545"/>
      <c r="EFX32" s="545"/>
      <c r="EFY32" s="545"/>
      <c r="EFZ32" s="545"/>
      <c r="EGA32" s="545"/>
      <c r="EGB32" s="545"/>
      <c r="EGC32" s="545"/>
      <c r="EGD32" s="545"/>
      <c r="EGE32" s="545"/>
      <c r="EGF32" s="545"/>
      <c r="EGG32" s="545"/>
      <c r="EGH32" s="545"/>
      <c r="EGI32" s="545"/>
      <c r="EGJ32" s="545"/>
      <c r="EGK32" s="545"/>
      <c r="EGL32" s="545"/>
      <c r="EGM32" s="545"/>
      <c r="EGN32" s="545"/>
      <c r="EGO32" s="545"/>
      <c r="EGP32" s="545"/>
      <c r="EGQ32" s="545"/>
      <c r="EGR32" s="545"/>
      <c r="EGS32" s="545"/>
      <c r="EGT32" s="545"/>
      <c r="EGU32" s="545"/>
      <c r="EGV32" s="545"/>
      <c r="EGW32" s="545"/>
      <c r="EGX32" s="545"/>
      <c r="EGY32" s="545"/>
      <c r="EGZ32" s="545"/>
      <c r="EHA32" s="545"/>
      <c r="EHB32" s="545"/>
      <c r="EHC32" s="545"/>
      <c r="EHD32" s="545"/>
      <c r="EHE32" s="545"/>
      <c r="EHF32" s="545"/>
      <c r="EHG32" s="545"/>
      <c r="EHH32" s="545"/>
      <c r="EHI32" s="545"/>
      <c r="EHJ32" s="545"/>
      <c r="EHK32" s="545"/>
      <c r="EHL32" s="545"/>
      <c r="EHM32" s="545"/>
      <c r="EHN32" s="545"/>
      <c r="EHO32" s="545"/>
      <c r="EHP32" s="545"/>
      <c r="EHQ32" s="545"/>
      <c r="EHR32" s="545"/>
      <c r="EHS32" s="545"/>
      <c r="EHT32" s="545"/>
      <c r="EHU32" s="545"/>
      <c r="EHV32" s="545"/>
      <c r="EHW32" s="545"/>
      <c r="EHX32" s="545"/>
      <c r="EHY32" s="545"/>
      <c r="EHZ32" s="545"/>
      <c r="EIA32" s="545"/>
      <c r="EIB32" s="545"/>
      <c r="EIC32" s="545"/>
      <c r="EID32" s="545"/>
      <c r="EIE32" s="545"/>
      <c r="EIF32" s="545"/>
      <c r="EIG32" s="545"/>
      <c r="EIH32" s="545"/>
      <c r="EII32" s="545"/>
      <c r="EIJ32" s="545"/>
      <c r="EIK32" s="545"/>
      <c r="EIL32" s="545"/>
      <c r="EIM32" s="545"/>
      <c r="EIN32" s="545"/>
      <c r="EIO32" s="545"/>
      <c r="EIP32" s="545"/>
      <c r="EIQ32" s="545"/>
      <c r="EIR32" s="545"/>
      <c r="EIS32" s="545"/>
      <c r="EIT32" s="545"/>
      <c r="EIU32" s="545"/>
      <c r="EIV32" s="545"/>
      <c r="EIW32" s="545"/>
      <c r="EIX32" s="545"/>
      <c r="EIY32" s="545"/>
      <c r="EIZ32" s="545"/>
      <c r="EJA32" s="545"/>
      <c r="EJB32" s="545"/>
      <c r="EJC32" s="545"/>
      <c r="EJD32" s="545"/>
      <c r="EJE32" s="545"/>
      <c r="EJF32" s="545"/>
      <c r="EJG32" s="545"/>
      <c r="EJH32" s="545"/>
      <c r="EJI32" s="545"/>
      <c r="EJJ32" s="545"/>
      <c r="EJK32" s="545"/>
      <c r="EJL32" s="545"/>
      <c r="EJM32" s="545"/>
      <c r="EJN32" s="545"/>
      <c r="EJO32" s="545"/>
      <c r="EJP32" s="545"/>
      <c r="EJQ32" s="545"/>
      <c r="EJR32" s="545"/>
      <c r="EJS32" s="545"/>
      <c r="EJT32" s="545"/>
      <c r="EJU32" s="545"/>
      <c r="EJV32" s="545"/>
      <c r="EJW32" s="545"/>
      <c r="EJX32" s="545"/>
      <c r="EJY32" s="545"/>
      <c r="EJZ32" s="545"/>
      <c r="EKA32" s="545"/>
      <c r="EKB32" s="545"/>
      <c r="EKC32" s="545"/>
      <c r="EKD32" s="545"/>
      <c r="EKE32" s="545"/>
      <c r="EKF32" s="545"/>
      <c r="EKG32" s="545"/>
      <c r="EKH32" s="545"/>
      <c r="EKI32" s="545"/>
      <c r="EKJ32" s="545"/>
      <c r="EKK32" s="545"/>
      <c r="EKL32" s="545"/>
      <c r="EKM32" s="545"/>
      <c r="EKN32" s="545"/>
      <c r="EKO32" s="545"/>
      <c r="EKP32" s="545"/>
      <c r="EKQ32" s="545"/>
      <c r="EKR32" s="545"/>
      <c r="EKS32" s="545"/>
      <c r="EKT32" s="545"/>
      <c r="EKU32" s="545"/>
      <c r="EKV32" s="545"/>
      <c r="EKW32" s="545"/>
      <c r="EKX32" s="545"/>
      <c r="EKY32" s="545"/>
      <c r="EKZ32" s="545"/>
      <c r="ELA32" s="545"/>
      <c r="ELB32" s="545"/>
      <c r="ELC32" s="545"/>
      <c r="ELD32" s="545"/>
      <c r="ELE32" s="545"/>
      <c r="ELF32" s="545"/>
      <c r="ELG32" s="545"/>
      <c r="ELH32" s="545"/>
      <c r="ELI32" s="545"/>
      <c r="ELJ32" s="545"/>
      <c r="ELK32" s="545"/>
      <c r="ELL32" s="545"/>
      <c r="ELM32" s="545"/>
      <c r="ELN32" s="545"/>
      <c r="ELO32" s="545"/>
      <c r="ELP32" s="545"/>
      <c r="ELQ32" s="545"/>
      <c r="ELR32" s="545"/>
      <c r="ELS32" s="545"/>
      <c r="ELT32" s="545"/>
      <c r="ELU32" s="545"/>
      <c r="ELV32" s="545"/>
      <c r="ELW32" s="545"/>
      <c r="ELX32" s="545"/>
      <c r="ELY32" s="545"/>
      <c r="ELZ32" s="545"/>
      <c r="EMA32" s="545"/>
      <c r="EMB32" s="545"/>
      <c r="EMC32" s="545"/>
      <c r="EMD32" s="545"/>
      <c r="EME32" s="545"/>
      <c r="EMF32" s="545"/>
      <c r="EMG32" s="545"/>
      <c r="EMH32" s="545"/>
      <c r="EMI32" s="545"/>
      <c r="EMJ32" s="545"/>
      <c r="EMK32" s="545"/>
      <c r="EML32" s="545"/>
      <c r="EMM32" s="545"/>
      <c r="EMN32" s="545"/>
      <c r="EMO32" s="545"/>
      <c r="EMP32" s="545"/>
      <c r="EMQ32" s="545"/>
      <c r="EMR32" s="545"/>
      <c r="EMS32" s="545"/>
      <c r="EMT32" s="545"/>
      <c r="EMU32" s="545"/>
      <c r="EMV32" s="545"/>
      <c r="EMW32" s="545"/>
      <c r="EMX32" s="545"/>
      <c r="EMY32" s="545"/>
      <c r="EMZ32" s="545"/>
      <c r="ENA32" s="545"/>
      <c r="ENB32" s="545"/>
      <c r="ENC32" s="545"/>
      <c r="END32" s="545"/>
      <c r="ENE32" s="545"/>
      <c r="ENF32" s="545"/>
      <c r="ENG32" s="545"/>
      <c r="ENH32" s="545"/>
      <c r="ENI32" s="545"/>
      <c r="ENJ32" s="545"/>
      <c r="ENK32" s="545"/>
      <c r="ENL32" s="545"/>
      <c r="ENM32" s="545"/>
      <c r="ENN32" s="545"/>
      <c r="ENO32" s="545"/>
      <c r="ENP32" s="545"/>
      <c r="ENQ32" s="545"/>
      <c r="ENR32" s="545"/>
      <c r="ENS32" s="545"/>
      <c r="ENT32" s="545"/>
      <c r="ENU32" s="545"/>
      <c r="ENV32" s="545"/>
      <c r="ENW32" s="545"/>
      <c r="ENX32" s="545"/>
      <c r="ENY32" s="545"/>
      <c r="ENZ32" s="545"/>
      <c r="EOA32" s="545"/>
      <c r="EOB32" s="545"/>
      <c r="EOC32" s="545"/>
      <c r="EOD32" s="545"/>
      <c r="EOE32" s="545"/>
      <c r="EOF32" s="545"/>
      <c r="EOG32" s="545"/>
      <c r="EOH32" s="545"/>
      <c r="EOI32" s="545"/>
      <c r="EOJ32" s="545"/>
      <c r="EOK32" s="545"/>
      <c r="EOL32" s="545"/>
      <c r="EOM32" s="545"/>
      <c r="EON32" s="545"/>
      <c r="EOO32" s="545"/>
      <c r="EOP32" s="545"/>
      <c r="EOQ32" s="545"/>
      <c r="EOR32" s="545"/>
      <c r="EOS32" s="545"/>
      <c r="EOT32" s="545"/>
      <c r="EOU32" s="545"/>
      <c r="EOV32" s="545"/>
      <c r="EOW32" s="545"/>
      <c r="EOX32" s="545"/>
      <c r="EOY32" s="545"/>
      <c r="EOZ32" s="545"/>
      <c r="EPA32" s="545"/>
      <c r="EPB32" s="545"/>
      <c r="EPC32" s="545"/>
      <c r="EPD32" s="545"/>
      <c r="EPE32" s="545"/>
      <c r="EPF32" s="545"/>
      <c r="EPG32" s="545"/>
      <c r="EPH32" s="545"/>
      <c r="EPI32" s="545"/>
      <c r="EPJ32" s="545"/>
      <c r="EPK32" s="545"/>
      <c r="EPL32" s="545"/>
      <c r="EPM32" s="545"/>
      <c r="EPN32" s="545"/>
      <c r="EPO32" s="545"/>
      <c r="EPP32" s="545"/>
      <c r="EPQ32" s="545"/>
      <c r="EPR32" s="545"/>
      <c r="EPS32" s="545"/>
      <c r="EPT32" s="545"/>
      <c r="EPU32" s="545"/>
      <c r="EPV32" s="545"/>
      <c r="EPW32" s="545"/>
      <c r="EPX32" s="545"/>
      <c r="EPY32" s="545"/>
      <c r="EPZ32" s="545"/>
      <c r="EQA32" s="545"/>
      <c r="EQB32" s="545"/>
      <c r="EQC32" s="545"/>
      <c r="EQD32" s="545"/>
      <c r="EQE32" s="545"/>
      <c r="EQF32" s="545"/>
      <c r="EQG32" s="545"/>
      <c r="EQH32" s="545"/>
      <c r="EQI32" s="545"/>
      <c r="EQJ32" s="545"/>
      <c r="EQK32" s="545"/>
      <c r="EQL32" s="545"/>
      <c r="EQM32" s="545"/>
      <c r="EQN32" s="545"/>
      <c r="EQO32" s="545"/>
      <c r="EQP32" s="545"/>
      <c r="EQQ32" s="545"/>
      <c r="EQR32" s="545"/>
      <c r="EQS32" s="545"/>
      <c r="EQT32" s="545"/>
      <c r="EQU32" s="545"/>
      <c r="EQV32" s="545"/>
      <c r="EQW32" s="545"/>
      <c r="EQX32" s="545"/>
      <c r="EQY32" s="545"/>
      <c r="EQZ32" s="545"/>
      <c r="ERA32" s="545"/>
      <c r="ERB32" s="545"/>
      <c r="ERC32" s="545"/>
      <c r="ERD32" s="545"/>
      <c r="ERE32" s="545"/>
      <c r="ERF32" s="545"/>
      <c r="ERG32" s="545"/>
      <c r="ERH32" s="545"/>
      <c r="ERI32" s="545"/>
      <c r="ERJ32" s="545"/>
      <c r="ERK32" s="545"/>
      <c r="ERL32" s="545"/>
      <c r="ERM32" s="545"/>
      <c r="ERN32" s="545"/>
      <c r="ERO32" s="545"/>
      <c r="ERP32" s="545"/>
      <c r="ERQ32" s="545"/>
      <c r="ERR32" s="545"/>
      <c r="ERS32" s="545"/>
      <c r="ERT32" s="545"/>
      <c r="ERU32" s="545"/>
      <c r="ERV32" s="545"/>
      <c r="ERW32" s="545"/>
      <c r="ERX32" s="545"/>
      <c r="ERY32" s="545"/>
      <c r="ERZ32" s="545"/>
      <c r="ESA32" s="545"/>
      <c r="ESB32" s="545"/>
      <c r="ESC32" s="545"/>
      <c r="ESD32" s="545"/>
      <c r="ESE32" s="545"/>
      <c r="ESF32" s="545"/>
      <c r="ESG32" s="545"/>
      <c r="ESH32" s="545"/>
      <c r="ESI32" s="545"/>
      <c r="ESJ32" s="545"/>
      <c r="ESK32" s="545"/>
      <c r="ESL32" s="545"/>
      <c r="ESM32" s="545"/>
      <c r="ESN32" s="545"/>
      <c r="ESO32" s="545"/>
      <c r="ESP32" s="545"/>
      <c r="ESQ32" s="545"/>
      <c r="ESR32" s="545"/>
      <c r="ESS32" s="545"/>
      <c r="EST32" s="545"/>
      <c r="ESU32" s="545"/>
      <c r="ESV32" s="545"/>
      <c r="ESW32" s="545"/>
      <c r="ESX32" s="545"/>
      <c r="ESY32" s="545"/>
      <c r="ESZ32" s="545"/>
      <c r="ETA32" s="545"/>
      <c r="ETB32" s="545"/>
      <c r="ETC32" s="545"/>
      <c r="ETD32" s="545"/>
      <c r="ETE32" s="545"/>
      <c r="ETF32" s="545"/>
      <c r="ETG32" s="545"/>
      <c r="ETH32" s="545"/>
      <c r="ETI32" s="545"/>
      <c r="ETJ32" s="545"/>
      <c r="ETK32" s="545"/>
      <c r="ETL32" s="545"/>
      <c r="ETM32" s="545"/>
      <c r="ETN32" s="545"/>
      <c r="ETO32" s="545"/>
      <c r="ETP32" s="545"/>
      <c r="ETQ32" s="545"/>
      <c r="ETR32" s="545"/>
      <c r="ETS32" s="545"/>
      <c r="ETT32" s="545"/>
      <c r="ETU32" s="545"/>
      <c r="ETV32" s="545"/>
      <c r="ETW32" s="545"/>
      <c r="ETX32" s="545"/>
      <c r="ETY32" s="545"/>
      <c r="ETZ32" s="545"/>
      <c r="EUA32" s="545"/>
      <c r="EUB32" s="545"/>
      <c r="EUC32" s="545"/>
      <c r="EUD32" s="545"/>
      <c r="EUE32" s="545"/>
      <c r="EUF32" s="545"/>
      <c r="EUG32" s="545"/>
      <c r="EUH32" s="545"/>
      <c r="EUI32" s="545"/>
      <c r="EUJ32" s="545"/>
      <c r="EUK32" s="545"/>
      <c r="EUL32" s="545"/>
      <c r="EUM32" s="545"/>
      <c r="EUN32" s="545"/>
      <c r="EUO32" s="545"/>
      <c r="EUP32" s="545"/>
      <c r="EUQ32" s="545"/>
      <c r="EUR32" s="545"/>
      <c r="EUS32" s="545"/>
      <c r="EUT32" s="545"/>
      <c r="EUU32" s="545"/>
      <c r="EUV32" s="545"/>
      <c r="EUW32" s="545"/>
      <c r="EUX32" s="545"/>
      <c r="EUY32" s="545"/>
      <c r="EUZ32" s="545"/>
      <c r="EVA32" s="545"/>
      <c r="EVB32" s="545"/>
      <c r="EVC32" s="545"/>
      <c r="EVD32" s="545"/>
      <c r="EVE32" s="545"/>
      <c r="EVF32" s="545"/>
      <c r="EVG32" s="545"/>
      <c r="EVH32" s="545"/>
      <c r="EVI32" s="545"/>
      <c r="EVJ32" s="545"/>
      <c r="EVK32" s="545"/>
      <c r="EVL32" s="545"/>
      <c r="EVM32" s="545"/>
      <c r="EVN32" s="545"/>
      <c r="EVO32" s="545"/>
      <c r="EVP32" s="545"/>
      <c r="EVQ32" s="545"/>
      <c r="EVR32" s="545"/>
      <c r="EVS32" s="545"/>
      <c r="EVT32" s="545"/>
      <c r="EVU32" s="545"/>
      <c r="EVV32" s="545"/>
      <c r="EVW32" s="545"/>
      <c r="EVX32" s="545"/>
      <c r="EVY32" s="545"/>
      <c r="EVZ32" s="545"/>
      <c r="EWA32" s="545"/>
      <c r="EWB32" s="545"/>
      <c r="EWC32" s="545"/>
      <c r="EWD32" s="545"/>
      <c r="EWE32" s="545"/>
      <c r="EWF32" s="545"/>
      <c r="EWG32" s="545"/>
      <c r="EWH32" s="545"/>
      <c r="EWI32" s="545"/>
      <c r="EWJ32" s="545"/>
      <c r="EWK32" s="545"/>
      <c r="EWL32" s="545"/>
      <c r="EWM32" s="545"/>
      <c r="EWN32" s="545"/>
      <c r="EWO32" s="545"/>
      <c r="EWP32" s="545"/>
      <c r="EWQ32" s="545"/>
      <c r="EWR32" s="545"/>
      <c r="EWS32" s="545"/>
      <c r="EWT32" s="545"/>
      <c r="EWU32" s="545"/>
      <c r="EWV32" s="545"/>
      <c r="EWW32" s="545"/>
      <c r="EWX32" s="545"/>
      <c r="EWY32" s="545"/>
      <c r="EWZ32" s="545"/>
      <c r="EXA32" s="545"/>
      <c r="EXB32" s="545"/>
      <c r="EXC32" s="545"/>
      <c r="EXD32" s="545"/>
      <c r="EXE32" s="545"/>
      <c r="EXF32" s="545"/>
      <c r="EXG32" s="545"/>
      <c r="EXH32" s="545"/>
      <c r="EXI32" s="545"/>
      <c r="EXJ32" s="545"/>
      <c r="EXK32" s="545"/>
      <c r="EXL32" s="545"/>
      <c r="EXM32" s="545"/>
      <c r="EXN32" s="545"/>
      <c r="EXO32" s="545"/>
      <c r="EXP32" s="545"/>
      <c r="EXQ32" s="545"/>
      <c r="EXR32" s="545"/>
      <c r="EXS32" s="545"/>
      <c r="EXT32" s="545"/>
      <c r="EXU32" s="545"/>
      <c r="EXV32" s="545"/>
      <c r="EXW32" s="545"/>
      <c r="EXX32" s="545"/>
      <c r="EXY32" s="545"/>
      <c r="EXZ32" s="545"/>
      <c r="EYA32" s="545"/>
      <c r="EYB32" s="545"/>
      <c r="EYC32" s="545"/>
      <c r="EYD32" s="545"/>
      <c r="EYE32" s="545"/>
      <c r="EYF32" s="545"/>
      <c r="EYG32" s="545"/>
      <c r="EYH32" s="545"/>
      <c r="EYI32" s="545"/>
      <c r="EYJ32" s="545"/>
      <c r="EYK32" s="545"/>
      <c r="EYL32" s="545"/>
      <c r="EYM32" s="545"/>
      <c r="EYN32" s="545"/>
      <c r="EYO32" s="545"/>
      <c r="EYP32" s="545"/>
      <c r="EYQ32" s="545"/>
      <c r="EYR32" s="545"/>
      <c r="EYS32" s="545"/>
      <c r="EYT32" s="545"/>
      <c r="EYU32" s="545"/>
      <c r="EYV32" s="545"/>
      <c r="EYW32" s="545"/>
      <c r="EYX32" s="545"/>
      <c r="EYY32" s="545"/>
      <c r="EYZ32" s="545"/>
      <c r="EZA32" s="545"/>
      <c r="EZB32" s="545"/>
      <c r="EZC32" s="545"/>
      <c r="EZD32" s="545"/>
      <c r="EZE32" s="545"/>
      <c r="EZF32" s="545"/>
      <c r="EZG32" s="545"/>
      <c r="EZH32" s="545"/>
      <c r="EZI32" s="545"/>
      <c r="EZJ32" s="545"/>
      <c r="EZK32" s="545"/>
      <c r="EZL32" s="545"/>
      <c r="EZM32" s="545"/>
      <c r="EZN32" s="545"/>
      <c r="EZO32" s="545"/>
      <c r="EZP32" s="545"/>
      <c r="EZQ32" s="545"/>
      <c r="EZR32" s="545"/>
      <c r="EZS32" s="545"/>
      <c r="EZT32" s="545"/>
      <c r="EZU32" s="545"/>
      <c r="EZV32" s="545"/>
      <c r="EZW32" s="545"/>
      <c r="EZX32" s="545"/>
      <c r="EZY32" s="545"/>
      <c r="EZZ32" s="545"/>
      <c r="FAA32" s="545"/>
      <c r="FAB32" s="545"/>
      <c r="FAC32" s="545"/>
      <c r="FAD32" s="545"/>
      <c r="FAE32" s="545"/>
      <c r="FAF32" s="545"/>
      <c r="FAG32" s="545"/>
      <c r="FAH32" s="545"/>
      <c r="FAI32" s="545"/>
      <c r="FAJ32" s="545"/>
      <c r="FAK32" s="545"/>
      <c r="FAL32" s="545"/>
      <c r="FAM32" s="545"/>
      <c r="FAN32" s="545"/>
      <c r="FAO32" s="545"/>
      <c r="FAP32" s="545"/>
      <c r="FAQ32" s="545"/>
      <c r="FAR32" s="545"/>
      <c r="FAS32" s="545"/>
      <c r="FAT32" s="545"/>
      <c r="FAU32" s="545"/>
      <c r="FAV32" s="545"/>
      <c r="FAW32" s="545"/>
      <c r="FAX32" s="545"/>
      <c r="FAY32" s="545"/>
      <c r="FAZ32" s="545"/>
      <c r="FBA32" s="545"/>
      <c r="FBB32" s="545"/>
      <c r="FBC32" s="545"/>
      <c r="FBD32" s="545"/>
      <c r="FBE32" s="545"/>
      <c r="FBF32" s="545"/>
      <c r="FBG32" s="545"/>
      <c r="FBH32" s="545"/>
      <c r="FBI32" s="545"/>
      <c r="FBJ32" s="545"/>
      <c r="FBK32" s="545"/>
      <c r="FBL32" s="545"/>
      <c r="FBM32" s="545"/>
      <c r="FBN32" s="545"/>
      <c r="FBO32" s="545"/>
      <c r="FBP32" s="545"/>
      <c r="FBQ32" s="545"/>
      <c r="FBR32" s="545"/>
      <c r="FBS32" s="545"/>
      <c r="FBT32" s="545"/>
      <c r="FBU32" s="545"/>
      <c r="FBV32" s="545"/>
      <c r="FBW32" s="545"/>
      <c r="FBX32" s="545"/>
      <c r="FBY32" s="545"/>
      <c r="FBZ32" s="545"/>
      <c r="FCA32" s="545"/>
      <c r="FCB32" s="545"/>
      <c r="FCC32" s="545"/>
      <c r="FCD32" s="545"/>
      <c r="FCE32" s="545"/>
      <c r="FCF32" s="545"/>
      <c r="FCG32" s="545"/>
      <c r="FCH32" s="545"/>
      <c r="FCI32" s="545"/>
      <c r="FCJ32" s="545"/>
      <c r="FCK32" s="545"/>
      <c r="FCL32" s="545"/>
      <c r="FCM32" s="545"/>
      <c r="FCN32" s="545"/>
      <c r="FCO32" s="545"/>
      <c r="FCP32" s="545"/>
      <c r="FCQ32" s="545"/>
      <c r="FCR32" s="545"/>
      <c r="FCS32" s="545"/>
      <c r="FCT32" s="545"/>
      <c r="FCU32" s="545"/>
      <c r="FCV32" s="545"/>
      <c r="FCW32" s="545"/>
      <c r="FCX32" s="545"/>
      <c r="FCY32" s="545"/>
      <c r="FCZ32" s="545"/>
      <c r="FDA32" s="545"/>
      <c r="FDB32" s="545"/>
      <c r="FDC32" s="545"/>
      <c r="FDD32" s="545"/>
      <c r="FDE32" s="545"/>
      <c r="FDF32" s="545"/>
      <c r="FDG32" s="545"/>
      <c r="FDH32" s="545"/>
      <c r="FDI32" s="545"/>
      <c r="FDJ32" s="545"/>
      <c r="FDK32" s="545"/>
      <c r="FDL32" s="545"/>
      <c r="FDM32" s="545"/>
      <c r="FDN32" s="545"/>
      <c r="FDO32" s="545"/>
      <c r="FDP32" s="545"/>
      <c r="FDQ32" s="545"/>
      <c r="FDR32" s="545"/>
      <c r="FDS32" s="545"/>
      <c r="FDT32" s="545"/>
      <c r="FDU32" s="545"/>
      <c r="FDV32" s="545"/>
      <c r="FDW32" s="545"/>
      <c r="FDX32" s="545"/>
      <c r="FDY32" s="545"/>
      <c r="FDZ32" s="545"/>
      <c r="FEA32" s="545"/>
      <c r="FEB32" s="545"/>
      <c r="FEC32" s="545"/>
      <c r="FED32" s="545"/>
      <c r="FEE32" s="545"/>
      <c r="FEF32" s="545"/>
      <c r="FEG32" s="545"/>
      <c r="FEH32" s="545"/>
      <c r="FEI32" s="545"/>
      <c r="FEJ32" s="545"/>
      <c r="FEK32" s="545"/>
      <c r="FEL32" s="545"/>
      <c r="FEM32" s="545"/>
      <c r="FEN32" s="545"/>
      <c r="FEO32" s="545"/>
      <c r="FEP32" s="545"/>
      <c r="FEQ32" s="545"/>
      <c r="FER32" s="545"/>
      <c r="FES32" s="545"/>
      <c r="FET32" s="545"/>
      <c r="FEU32" s="545"/>
      <c r="FEV32" s="545"/>
      <c r="FEW32" s="545"/>
      <c r="FEX32" s="545"/>
      <c r="FEY32" s="545"/>
      <c r="FEZ32" s="545"/>
      <c r="FFA32" s="545"/>
      <c r="FFB32" s="545"/>
      <c r="FFC32" s="545"/>
      <c r="FFD32" s="545"/>
      <c r="FFE32" s="545"/>
      <c r="FFF32" s="545"/>
      <c r="FFG32" s="545"/>
      <c r="FFH32" s="545"/>
      <c r="FFI32" s="545"/>
      <c r="FFJ32" s="545"/>
      <c r="FFK32" s="545"/>
      <c r="FFL32" s="545"/>
      <c r="FFM32" s="545"/>
      <c r="FFN32" s="545"/>
      <c r="FFO32" s="545"/>
      <c r="FFP32" s="545"/>
      <c r="FFQ32" s="545"/>
      <c r="FFR32" s="545"/>
      <c r="FFS32" s="545"/>
      <c r="FFT32" s="545"/>
      <c r="FFU32" s="545"/>
      <c r="FFV32" s="545"/>
      <c r="FFW32" s="545"/>
      <c r="FFX32" s="545"/>
      <c r="FFY32" s="545"/>
      <c r="FFZ32" s="545"/>
      <c r="FGA32" s="545"/>
      <c r="FGB32" s="545"/>
      <c r="FGC32" s="545"/>
      <c r="FGD32" s="545"/>
      <c r="FGE32" s="545"/>
      <c r="FGF32" s="545"/>
      <c r="FGG32" s="545"/>
      <c r="FGH32" s="545"/>
      <c r="FGI32" s="545"/>
      <c r="FGJ32" s="545"/>
      <c r="FGK32" s="545"/>
      <c r="FGL32" s="545"/>
      <c r="FGM32" s="545"/>
      <c r="FGN32" s="545"/>
      <c r="FGO32" s="545"/>
      <c r="FGP32" s="545"/>
      <c r="FGQ32" s="545"/>
      <c r="FGR32" s="545"/>
      <c r="FGS32" s="545"/>
      <c r="FGT32" s="545"/>
      <c r="FGU32" s="545"/>
      <c r="FGV32" s="545"/>
      <c r="FGW32" s="545"/>
      <c r="FGX32" s="545"/>
      <c r="FGY32" s="545"/>
      <c r="FGZ32" s="545"/>
      <c r="FHA32" s="545"/>
      <c r="FHB32" s="545"/>
      <c r="FHC32" s="545"/>
      <c r="FHD32" s="545"/>
      <c r="FHE32" s="545"/>
      <c r="FHF32" s="545"/>
      <c r="FHG32" s="545"/>
      <c r="FHH32" s="545"/>
      <c r="FHI32" s="545"/>
      <c r="FHJ32" s="545"/>
      <c r="FHK32" s="545"/>
      <c r="FHL32" s="545"/>
      <c r="FHM32" s="545"/>
      <c r="FHN32" s="545"/>
      <c r="FHO32" s="545"/>
      <c r="FHP32" s="545"/>
      <c r="FHQ32" s="545"/>
      <c r="FHR32" s="545"/>
      <c r="FHS32" s="545"/>
      <c r="FHT32" s="545"/>
      <c r="FHU32" s="545"/>
      <c r="FHV32" s="545"/>
      <c r="FHW32" s="545"/>
      <c r="FHX32" s="545"/>
      <c r="FHY32" s="545"/>
      <c r="FHZ32" s="545"/>
      <c r="FIA32" s="545"/>
      <c r="FIB32" s="545"/>
      <c r="FIC32" s="545"/>
      <c r="FID32" s="545"/>
      <c r="FIE32" s="545"/>
      <c r="FIF32" s="545"/>
      <c r="FIG32" s="545"/>
      <c r="FIH32" s="545"/>
      <c r="FII32" s="545"/>
      <c r="FIJ32" s="545"/>
      <c r="FIK32" s="545"/>
      <c r="FIL32" s="545"/>
      <c r="FIM32" s="545"/>
      <c r="FIN32" s="545"/>
      <c r="FIO32" s="545"/>
      <c r="FIP32" s="545"/>
      <c r="FIQ32" s="545"/>
      <c r="FIR32" s="545"/>
      <c r="FIS32" s="545"/>
      <c r="FIT32" s="545"/>
      <c r="FIU32" s="545"/>
      <c r="FIV32" s="545"/>
      <c r="FIW32" s="545"/>
      <c r="FIX32" s="545"/>
      <c r="FIY32" s="545"/>
      <c r="FIZ32" s="545"/>
      <c r="FJA32" s="545"/>
      <c r="FJB32" s="545"/>
      <c r="FJC32" s="545"/>
      <c r="FJD32" s="545"/>
      <c r="FJE32" s="545"/>
      <c r="FJF32" s="545"/>
      <c r="FJG32" s="545"/>
      <c r="FJH32" s="545"/>
      <c r="FJI32" s="545"/>
      <c r="FJJ32" s="545"/>
      <c r="FJK32" s="545"/>
      <c r="FJL32" s="545"/>
      <c r="FJM32" s="545"/>
      <c r="FJN32" s="545"/>
      <c r="FJO32" s="545"/>
      <c r="FJP32" s="545"/>
      <c r="FJQ32" s="545"/>
      <c r="FJR32" s="545"/>
      <c r="FJS32" s="545"/>
      <c r="FJT32" s="545"/>
      <c r="FJU32" s="545"/>
      <c r="FJV32" s="545"/>
      <c r="FJW32" s="545"/>
      <c r="FJX32" s="545"/>
      <c r="FJY32" s="545"/>
      <c r="FJZ32" s="545"/>
      <c r="FKA32" s="545"/>
      <c r="FKB32" s="545"/>
      <c r="FKC32" s="545"/>
      <c r="FKD32" s="545"/>
      <c r="FKE32" s="545"/>
      <c r="FKF32" s="545"/>
      <c r="FKG32" s="545"/>
      <c r="FKH32" s="545"/>
      <c r="FKI32" s="545"/>
      <c r="FKJ32" s="545"/>
      <c r="FKK32" s="545"/>
      <c r="FKL32" s="545"/>
      <c r="FKM32" s="545"/>
      <c r="FKN32" s="545"/>
      <c r="FKO32" s="545"/>
      <c r="FKP32" s="545"/>
      <c r="FKQ32" s="545"/>
      <c r="FKR32" s="545"/>
      <c r="FKS32" s="545"/>
      <c r="FKT32" s="545"/>
      <c r="FKU32" s="545"/>
      <c r="FKV32" s="545"/>
      <c r="FKW32" s="545"/>
      <c r="FKX32" s="545"/>
      <c r="FKY32" s="545"/>
      <c r="FKZ32" s="545"/>
      <c r="FLA32" s="545"/>
      <c r="FLB32" s="545"/>
      <c r="FLC32" s="545"/>
      <c r="FLD32" s="545"/>
      <c r="FLE32" s="545"/>
      <c r="FLF32" s="545"/>
      <c r="FLG32" s="545"/>
      <c r="FLH32" s="545"/>
      <c r="FLI32" s="545"/>
      <c r="FLJ32" s="545"/>
      <c r="FLK32" s="545"/>
      <c r="FLL32" s="545"/>
      <c r="FLM32" s="545"/>
      <c r="FLN32" s="545"/>
      <c r="FLO32" s="545"/>
      <c r="FLP32" s="545"/>
      <c r="FLQ32" s="545"/>
      <c r="FLR32" s="545"/>
      <c r="FLS32" s="545"/>
      <c r="FLT32" s="545"/>
      <c r="FLU32" s="545"/>
      <c r="FLV32" s="545"/>
      <c r="FLW32" s="545"/>
      <c r="FLX32" s="545"/>
      <c r="FLY32" s="545"/>
      <c r="FLZ32" s="545"/>
      <c r="FMA32" s="545"/>
      <c r="FMB32" s="545"/>
      <c r="FMC32" s="545"/>
      <c r="FMD32" s="545"/>
      <c r="FME32" s="545"/>
      <c r="FMF32" s="545"/>
      <c r="FMG32" s="545"/>
      <c r="FMH32" s="545"/>
      <c r="FMI32" s="545"/>
      <c r="FMJ32" s="545"/>
      <c r="FMK32" s="545"/>
      <c r="FML32" s="545"/>
      <c r="FMM32" s="545"/>
      <c r="FMN32" s="545"/>
      <c r="FMO32" s="545"/>
      <c r="FMP32" s="545"/>
      <c r="FMQ32" s="545"/>
      <c r="FMR32" s="545"/>
      <c r="FMS32" s="545"/>
      <c r="FMT32" s="545"/>
      <c r="FMU32" s="545"/>
      <c r="FMV32" s="545"/>
      <c r="FMW32" s="545"/>
      <c r="FMX32" s="545"/>
      <c r="FMY32" s="545"/>
      <c r="FMZ32" s="545"/>
      <c r="FNA32" s="545"/>
      <c r="FNB32" s="545"/>
      <c r="FNC32" s="545"/>
      <c r="FND32" s="545"/>
      <c r="FNE32" s="545"/>
      <c r="FNF32" s="545"/>
      <c r="FNG32" s="545"/>
      <c r="FNH32" s="545"/>
      <c r="FNI32" s="545"/>
      <c r="FNJ32" s="545"/>
      <c r="FNK32" s="545"/>
      <c r="FNL32" s="545"/>
      <c r="FNM32" s="545"/>
      <c r="FNN32" s="545"/>
      <c r="FNO32" s="545"/>
      <c r="FNP32" s="545"/>
      <c r="FNQ32" s="545"/>
      <c r="FNR32" s="545"/>
      <c r="FNS32" s="545"/>
      <c r="FNT32" s="545"/>
      <c r="FNU32" s="545"/>
      <c r="FNV32" s="545"/>
      <c r="FNW32" s="545"/>
      <c r="FNX32" s="545"/>
      <c r="FNY32" s="545"/>
      <c r="FNZ32" s="545"/>
      <c r="FOA32" s="545"/>
      <c r="FOB32" s="545"/>
      <c r="FOC32" s="545"/>
      <c r="FOD32" s="545"/>
      <c r="FOE32" s="545"/>
      <c r="FOF32" s="545"/>
      <c r="FOG32" s="545"/>
      <c r="FOH32" s="545"/>
      <c r="FOI32" s="545"/>
      <c r="FOJ32" s="545"/>
      <c r="FOK32" s="545"/>
      <c r="FOL32" s="545"/>
      <c r="FOM32" s="545"/>
      <c r="FON32" s="545"/>
      <c r="FOO32" s="545"/>
      <c r="FOP32" s="545"/>
      <c r="FOQ32" s="545"/>
      <c r="FOR32" s="545"/>
      <c r="FOS32" s="545"/>
      <c r="FOT32" s="545"/>
      <c r="FOU32" s="545"/>
      <c r="FOV32" s="545"/>
      <c r="FOW32" s="545"/>
      <c r="FOX32" s="545"/>
      <c r="FOY32" s="545"/>
      <c r="FOZ32" s="545"/>
      <c r="FPA32" s="545"/>
      <c r="FPB32" s="545"/>
      <c r="FPC32" s="545"/>
      <c r="FPD32" s="545"/>
      <c r="FPE32" s="545"/>
      <c r="FPF32" s="545"/>
      <c r="FPG32" s="545"/>
      <c r="FPH32" s="545"/>
      <c r="FPI32" s="545"/>
      <c r="FPJ32" s="545"/>
      <c r="FPK32" s="545"/>
      <c r="FPL32" s="545"/>
      <c r="FPM32" s="545"/>
      <c r="FPN32" s="545"/>
      <c r="FPO32" s="545"/>
      <c r="FPP32" s="545"/>
      <c r="FPQ32" s="545"/>
      <c r="FPR32" s="545"/>
      <c r="FPS32" s="545"/>
      <c r="FPT32" s="545"/>
      <c r="FPU32" s="545"/>
      <c r="FPV32" s="545"/>
      <c r="FPW32" s="545"/>
      <c r="FPX32" s="545"/>
      <c r="FPY32" s="545"/>
      <c r="FPZ32" s="545"/>
      <c r="FQA32" s="545"/>
      <c r="FQB32" s="545"/>
      <c r="FQC32" s="545"/>
      <c r="FQD32" s="545"/>
      <c r="FQE32" s="545"/>
      <c r="FQF32" s="545"/>
      <c r="FQG32" s="545"/>
      <c r="FQH32" s="545"/>
      <c r="FQI32" s="545"/>
      <c r="FQJ32" s="545"/>
      <c r="FQK32" s="545"/>
      <c r="FQL32" s="545"/>
      <c r="FQM32" s="545"/>
      <c r="FQN32" s="545"/>
      <c r="FQO32" s="545"/>
      <c r="FQP32" s="545"/>
      <c r="FQQ32" s="545"/>
      <c r="FQR32" s="545"/>
      <c r="FQS32" s="545"/>
      <c r="FQT32" s="545"/>
      <c r="FQU32" s="545"/>
      <c r="FQV32" s="545"/>
      <c r="FQW32" s="545"/>
      <c r="FQX32" s="545"/>
      <c r="FQY32" s="545"/>
      <c r="FQZ32" s="545"/>
      <c r="FRA32" s="545"/>
      <c r="FRB32" s="545"/>
      <c r="FRC32" s="545"/>
      <c r="FRD32" s="545"/>
      <c r="FRE32" s="545"/>
      <c r="FRF32" s="545"/>
      <c r="FRG32" s="545"/>
      <c r="FRH32" s="545"/>
      <c r="FRI32" s="545"/>
      <c r="FRJ32" s="545"/>
      <c r="FRK32" s="545"/>
      <c r="FRL32" s="545"/>
      <c r="FRM32" s="545"/>
      <c r="FRN32" s="545"/>
      <c r="FRO32" s="545"/>
      <c r="FRP32" s="545"/>
      <c r="FRQ32" s="545"/>
      <c r="FRR32" s="545"/>
      <c r="FRS32" s="545"/>
      <c r="FRT32" s="545"/>
      <c r="FRU32" s="545"/>
      <c r="FRV32" s="545"/>
      <c r="FRW32" s="545"/>
      <c r="FRX32" s="545"/>
      <c r="FRY32" s="545"/>
      <c r="FRZ32" s="545"/>
      <c r="FSA32" s="545"/>
      <c r="FSB32" s="545"/>
      <c r="FSC32" s="545"/>
      <c r="FSD32" s="545"/>
      <c r="FSE32" s="545"/>
      <c r="FSF32" s="545"/>
      <c r="FSG32" s="545"/>
      <c r="FSH32" s="545"/>
      <c r="FSI32" s="545"/>
      <c r="FSJ32" s="545"/>
      <c r="FSK32" s="545"/>
      <c r="FSL32" s="545"/>
      <c r="FSM32" s="545"/>
      <c r="FSN32" s="545"/>
      <c r="FSO32" s="545"/>
      <c r="FSP32" s="545"/>
      <c r="FSQ32" s="545"/>
      <c r="FSR32" s="545"/>
      <c r="FSS32" s="545"/>
      <c r="FST32" s="545"/>
      <c r="FSU32" s="545"/>
      <c r="FSV32" s="545"/>
      <c r="FSW32" s="545"/>
      <c r="FSX32" s="545"/>
      <c r="FSY32" s="545"/>
      <c r="FSZ32" s="545"/>
      <c r="FTA32" s="545"/>
      <c r="FTB32" s="545"/>
      <c r="FTC32" s="545"/>
      <c r="FTD32" s="545"/>
      <c r="FTE32" s="545"/>
      <c r="FTF32" s="545"/>
      <c r="FTG32" s="545"/>
      <c r="FTH32" s="545"/>
      <c r="FTI32" s="545"/>
      <c r="FTJ32" s="545"/>
      <c r="FTK32" s="545"/>
      <c r="FTL32" s="545"/>
      <c r="FTM32" s="545"/>
      <c r="FTN32" s="545"/>
      <c r="FTO32" s="545"/>
      <c r="FTP32" s="545"/>
      <c r="FTQ32" s="545"/>
      <c r="FTR32" s="545"/>
      <c r="FTS32" s="545"/>
      <c r="FTT32" s="545"/>
      <c r="FTU32" s="545"/>
      <c r="FTV32" s="545"/>
      <c r="FTW32" s="545"/>
      <c r="FTX32" s="545"/>
      <c r="FTY32" s="545"/>
      <c r="FTZ32" s="545"/>
      <c r="FUA32" s="545"/>
      <c r="FUB32" s="545"/>
      <c r="FUC32" s="545"/>
      <c r="FUD32" s="545"/>
      <c r="FUE32" s="545"/>
      <c r="FUF32" s="545"/>
      <c r="FUG32" s="545"/>
      <c r="FUH32" s="545"/>
      <c r="FUI32" s="545"/>
      <c r="FUJ32" s="545"/>
      <c r="FUK32" s="545"/>
      <c r="FUL32" s="545"/>
      <c r="FUM32" s="545"/>
      <c r="FUN32" s="545"/>
      <c r="FUO32" s="545"/>
      <c r="FUP32" s="545"/>
      <c r="FUQ32" s="545"/>
      <c r="FUR32" s="545"/>
      <c r="FUS32" s="545"/>
      <c r="FUT32" s="545"/>
      <c r="FUU32" s="545"/>
      <c r="FUV32" s="545"/>
      <c r="FUW32" s="545"/>
      <c r="FUX32" s="545"/>
      <c r="FUY32" s="545"/>
      <c r="FUZ32" s="545"/>
      <c r="FVA32" s="545"/>
      <c r="FVB32" s="545"/>
      <c r="FVC32" s="545"/>
      <c r="FVD32" s="545"/>
      <c r="FVE32" s="545"/>
      <c r="FVF32" s="545"/>
      <c r="FVG32" s="545"/>
      <c r="FVH32" s="545"/>
      <c r="FVI32" s="545"/>
      <c r="FVJ32" s="545"/>
      <c r="FVK32" s="545"/>
      <c r="FVL32" s="545"/>
      <c r="FVM32" s="545"/>
      <c r="FVN32" s="545"/>
      <c r="FVO32" s="545"/>
      <c r="FVP32" s="545"/>
      <c r="FVQ32" s="545"/>
      <c r="FVR32" s="545"/>
      <c r="FVS32" s="545"/>
      <c r="FVT32" s="545"/>
      <c r="FVU32" s="545"/>
      <c r="FVV32" s="545"/>
      <c r="FVW32" s="545"/>
      <c r="FVX32" s="545"/>
      <c r="FVY32" s="545"/>
      <c r="FVZ32" s="545"/>
      <c r="FWA32" s="545"/>
      <c r="FWB32" s="545"/>
      <c r="FWC32" s="545"/>
      <c r="FWD32" s="545"/>
      <c r="FWE32" s="545"/>
      <c r="FWF32" s="545"/>
      <c r="FWG32" s="545"/>
      <c r="FWH32" s="545"/>
      <c r="FWI32" s="545"/>
      <c r="FWJ32" s="545"/>
      <c r="FWK32" s="545"/>
      <c r="FWL32" s="545"/>
      <c r="FWM32" s="545"/>
      <c r="FWN32" s="545"/>
      <c r="FWO32" s="545"/>
      <c r="FWP32" s="545"/>
      <c r="FWQ32" s="545"/>
      <c r="FWR32" s="545"/>
      <c r="FWS32" s="545"/>
      <c r="FWT32" s="545"/>
      <c r="FWU32" s="545"/>
      <c r="FWV32" s="545"/>
      <c r="FWW32" s="545"/>
      <c r="FWX32" s="545"/>
      <c r="FWY32" s="545"/>
      <c r="FWZ32" s="545"/>
      <c r="FXA32" s="545"/>
      <c r="FXB32" s="545"/>
      <c r="FXC32" s="545"/>
      <c r="FXD32" s="545"/>
      <c r="FXE32" s="545"/>
      <c r="FXF32" s="545"/>
      <c r="FXG32" s="545"/>
      <c r="FXH32" s="545"/>
      <c r="FXI32" s="545"/>
      <c r="FXJ32" s="545"/>
      <c r="FXK32" s="545"/>
      <c r="FXL32" s="545"/>
      <c r="FXM32" s="545"/>
      <c r="FXN32" s="545"/>
      <c r="FXO32" s="545"/>
      <c r="FXP32" s="545"/>
      <c r="FXQ32" s="545"/>
      <c r="FXR32" s="545"/>
      <c r="FXS32" s="545"/>
      <c r="FXT32" s="545"/>
      <c r="FXU32" s="545"/>
      <c r="FXV32" s="545"/>
      <c r="FXW32" s="545"/>
      <c r="FXX32" s="545"/>
      <c r="FXY32" s="545"/>
      <c r="FXZ32" s="545"/>
      <c r="FYA32" s="545"/>
      <c r="FYB32" s="545"/>
      <c r="FYC32" s="545"/>
      <c r="FYD32" s="545"/>
      <c r="FYE32" s="545"/>
      <c r="FYF32" s="545"/>
      <c r="FYG32" s="545"/>
      <c r="FYH32" s="545"/>
      <c r="FYI32" s="545"/>
      <c r="FYJ32" s="545"/>
      <c r="FYK32" s="545"/>
      <c r="FYL32" s="545"/>
      <c r="FYM32" s="545"/>
      <c r="FYN32" s="545"/>
      <c r="FYO32" s="545"/>
      <c r="FYP32" s="545"/>
      <c r="FYQ32" s="545"/>
      <c r="FYR32" s="545"/>
      <c r="FYS32" s="545"/>
      <c r="FYT32" s="545"/>
      <c r="FYU32" s="545"/>
      <c r="FYV32" s="545"/>
      <c r="FYW32" s="545"/>
      <c r="FYX32" s="545"/>
      <c r="FYY32" s="545"/>
      <c r="FYZ32" s="545"/>
      <c r="FZA32" s="545"/>
      <c r="FZB32" s="545"/>
      <c r="FZC32" s="545"/>
      <c r="FZD32" s="545"/>
      <c r="FZE32" s="545"/>
      <c r="FZF32" s="545"/>
      <c r="FZG32" s="545"/>
      <c r="FZH32" s="545"/>
      <c r="FZI32" s="545"/>
      <c r="FZJ32" s="545"/>
      <c r="FZK32" s="545"/>
      <c r="FZL32" s="545"/>
      <c r="FZM32" s="545"/>
      <c r="FZN32" s="545"/>
      <c r="FZO32" s="545"/>
      <c r="FZP32" s="545"/>
      <c r="FZQ32" s="545"/>
      <c r="FZR32" s="545"/>
      <c r="FZS32" s="545"/>
      <c r="FZT32" s="545"/>
      <c r="FZU32" s="545"/>
      <c r="FZV32" s="545"/>
      <c r="FZW32" s="545"/>
      <c r="FZX32" s="545"/>
      <c r="FZY32" s="545"/>
      <c r="FZZ32" s="545"/>
      <c r="GAA32" s="545"/>
      <c r="GAB32" s="545"/>
      <c r="GAC32" s="545"/>
      <c r="GAD32" s="545"/>
      <c r="GAE32" s="545"/>
      <c r="GAF32" s="545"/>
      <c r="GAG32" s="545"/>
      <c r="GAH32" s="545"/>
      <c r="GAI32" s="545"/>
      <c r="GAJ32" s="545"/>
      <c r="GAK32" s="545"/>
      <c r="GAL32" s="545"/>
      <c r="GAM32" s="545"/>
      <c r="GAN32" s="545"/>
      <c r="GAO32" s="545"/>
      <c r="GAP32" s="545"/>
      <c r="GAQ32" s="545"/>
      <c r="GAR32" s="545"/>
      <c r="GAS32" s="545"/>
      <c r="GAT32" s="545"/>
      <c r="GAU32" s="545"/>
      <c r="GAV32" s="545"/>
      <c r="GAW32" s="545"/>
      <c r="GAX32" s="545"/>
      <c r="GAY32" s="545"/>
      <c r="GAZ32" s="545"/>
      <c r="GBA32" s="545"/>
      <c r="GBB32" s="545"/>
      <c r="GBC32" s="545"/>
      <c r="GBD32" s="545"/>
      <c r="GBE32" s="545"/>
      <c r="GBF32" s="545"/>
      <c r="GBG32" s="545"/>
      <c r="GBH32" s="545"/>
      <c r="GBI32" s="545"/>
      <c r="GBJ32" s="545"/>
      <c r="GBK32" s="545"/>
      <c r="GBL32" s="545"/>
      <c r="GBM32" s="545"/>
      <c r="GBN32" s="545"/>
      <c r="GBO32" s="545"/>
      <c r="GBP32" s="545"/>
      <c r="GBQ32" s="545"/>
      <c r="GBR32" s="545"/>
      <c r="GBS32" s="545"/>
      <c r="GBT32" s="545"/>
      <c r="GBU32" s="545"/>
      <c r="GBV32" s="545"/>
      <c r="GBW32" s="545"/>
      <c r="GBX32" s="545"/>
      <c r="GBY32" s="545"/>
      <c r="GBZ32" s="545"/>
      <c r="GCA32" s="545"/>
      <c r="GCB32" s="545"/>
      <c r="GCC32" s="545"/>
      <c r="GCD32" s="545"/>
      <c r="GCE32" s="545"/>
      <c r="GCF32" s="545"/>
      <c r="GCG32" s="545"/>
      <c r="GCH32" s="545"/>
      <c r="GCI32" s="545"/>
      <c r="GCJ32" s="545"/>
      <c r="GCK32" s="545"/>
      <c r="GCL32" s="545"/>
      <c r="GCM32" s="545"/>
      <c r="GCN32" s="545"/>
      <c r="GCO32" s="545"/>
      <c r="GCP32" s="545"/>
      <c r="GCQ32" s="545"/>
      <c r="GCR32" s="545"/>
      <c r="GCS32" s="545"/>
      <c r="GCT32" s="545"/>
      <c r="GCU32" s="545"/>
      <c r="GCV32" s="545"/>
      <c r="GCW32" s="545"/>
      <c r="GCX32" s="545"/>
      <c r="GCY32" s="545"/>
      <c r="GCZ32" s="545"/>
      <c r="GDA32" s="545"/>
      <c r="GDB32" s="545"/>
      <c r="GDC32" s="545"/>
      <c r="GDD32" s="545"/>
      <c r="GDE32" s="545"/>
      <c r="GDF32" s="545"/>
      <c r="GDG32" s="545"/>
      <c r="GDH32" s="545"/>
      <c r="GDI32" s="545"/>
      <c r="GDJ32" s="545"/>
      <c r="GDK32" s="545"/>
      <c r="GDL32" s="545"/>
      <c r="GDM32" s="545"/>
      <c r="GDN32" s="545"/>
      <c r="GDO32" s="545"/>
      <c r="GDP32" s="545"/>
      <c r="GDQ32" s="545"/>
      <c r="GDR32" s="545"/>
      <c r="GDS32" s="545"/>
      <c r="GDT32" s="545"/>
      <c r="GDU32" s="545"/>
      <c r="GDV32" s="545"/>
      <c r="GDW32" s="545"/>
      <c r="GDX32" s="545"/>
      <c r="GDY32" s="545"/>
      <c r="GDZ32" s="545"/>
      <c r="GEA32" s="545"/>
      <c r="GEB32" s="545"/>
      <c r="GEC32" s="545"/>
      <c r="GED32" s="545"/>
      <c r="GEE32" s="545"/>
      <c r="GEF32" s="545"/>
      <c r="GEG32" s="545"/>
      <c r="GEH32" s="545"/>
      <c r="GEI32" s="545"/>
      <c r="GEJ32" s="545"/>
      <c r="GEK32" s="545"/>
      <c r="GEL32" s="545"/>
      <c r="GEM32" s="545"/>
      <c r="GEN32" s="545"/>
      <c r="GEO32" s="545"/>
      <c r="GEP32" s="545"/>
      <c r="GEQ32" s="545"/>
      <c r="GER32" s="545"/>
      <c r="GES32" s="545"/>
      <c r="GET32" s="545"/>
      <c r="GEU32" s="545"/>
      <c r="GEV32" s="545"/>
      <c r="GEW32" s="545"/>
      <c r="GEX32" s="545"/>
      <c r="GEY32" s="545"/>
      <c r="GEZ32" s="545"/>
      <c r="GFA32" s="545"/>
      <c r="GFB32" s="545"/>
      <c r="GFC32" s="545"/>
      <c r="GFD32" s="545"/>
      <c r="GFE32" s="545"/>
      <c r="GFF32" s="545"/>
      <c r="GFG32" s="545"/>
      <c r="GFH32" s="545"/>
      <c r="GFI32" s="545"/>
      <c r="GFJ32" s="545"/>
      <c r="GFK32" s="545"/>
      <c r="GFL32" s="545"/>
      <c r="GFM32" s="545"/>
      <c r="GFN32" s="545"/>
      <c r="GFO32" s="545"/>
      <c r="GFP32" s="545"/>
      <c r="GFQ32" s="545"/>
      <c r="GFR32" s="545"/>
      <c r="GFS32" s="545"/>
      <c r="GFT32" s="545"/>
      <c r="GFU32" s="545"/>
      <c r="GFV32" s="545"/>
      <c r="GFW32" s="545"/>
      <c r="GFX32" s="545"/>
      <c r="GFY32" s="545"/>
      <c r="GFZ32" s="545"/>
      <c r="GGA32" s="545"/>
      <c r="GGB32" s="545"/>
      <c r="GGC32" s="545"/>
      <c r="GGD32" s="545"/>
      <c r="GGE32" s="545"/>
      <c r="GGF32" s="545"/>
      <c r="GGG32" s="545"/>
      <c r="GGH32" s="545"/>
      <c r="GGI32" s="545"/>
      <c r="GGJ32" s="545"/>
      <c r="GGK32" s="545"/>
      <c r="GGL32" s="545"/>
      <c r="GGM32" s="545"/>
      <c r="GGN32" s="545"/>
      <c r="GGO32" s="545"/>
      <c r="GGP32" s="545"/>
      <c r="GGQ32" s="545"/>
      <c r="GGR32" s="545"/>
      <c r="GGS32" s="545"/>
      <c r="GGT32" s="545"/>
      <c r="GGU32" s="545"/>
      <c r="GGV32" s="545"/>
      <c r="GGW32" s="545"/>
      <c r="GGX32" s="545"/>
      <c r="GGY32" s="545"/>
      <c r="GGZ32" s="545"/>
      <c r="GHA32" s="545"/>
      <c r="GHB32" s="545"/>
      <c r="GHC32" s="545"/>
      <c r="GHD32" s="545"/>
      <c r="GHE32" s="545"/>
      <c r="GHF32" s="545"/>
      <c r="GHG32" s="545"/>
      <c r="GHH32" s="545"/>
      <c r="GHI32" s="545"/>
      <c r="GHJ32" s="545"/>
      <c r="GHK32" s="545"/>
      <c r="GHL32" s="545"/>
      <c r="GHM32" s="545"/>
      <c r="GHN32" s="545"/>
      <c r="GHO32" s="545"/>
      <c r="GHP32" s="545"/>
      <c r="GHQ32" s="545"/>
      <c r="GHR32" s="545"/>
      <c r="GHS32" s="545"/>
      <c r="GHT32" s="545"/>
      <c r="GHU32" s="545"/>
      <c r="GHV32" s="545"/>
      <c r="GHW32" s="545"/>
      <c r="GHX32" s="545"/>
      <c r="GHY32" s="545"/>
      <c r="GHZ32" s="545"/>
      <c r="GIA32" s="545"/>
      <c r="GIB32" s="545"/>
      <c r="GIC32" s="545"/>
      <c r="GID32" s="545"/>
      <c r="GIE32" s="545"/>
      <c r="GIF32" s="545"/>
      <c r="GIG32" s="545"/>
      <c r="GIH32" s="545"/>
      <c r="GII32" s="545"/>
      <c r="GIJ32" s="545"/>
      <c r="GIK32" s="545"/>
      <c r="GIL32" s="545"/>
      <c r="GIM32" s="545"/>
      <c r="GIN32" s="545"/>
      <c r="GIO32" s="545"/>
      <c r="GIP32" s="545"/>
      <c r="GIQ32" s="545"/>
      <c r="GIR32" s="545"/>
      <c r="GIS32" s="545"/>
      <c r="GIT32" s="545"/>
      <c r="GIU32" s="545"/>
      <c r="GIV32" s="545"/>
      <c r="GIW32" s="545"/>
      <c r="GIX32" s="545"/>
      <c r="GIY32" s="545"/>
      <c r="GIZ32" s="545"/>
      <c r="GJA32" s="545"/>
      <c r="GJB32" s="545"/>
      <c r="GJC32" s="545"/>
      <c r="GJD32" s="545"/>
      <c r="GJE32" s="545"/>
      <c r="GJF32" s="545"/>
      <c r="GJG32" s="545"/>
      <c r="GJH32" s="545"/>
      <c r="GJI32" s="545"/>
      <c r="GJJ32" s="545"/>
      <c r="GJK32" s="545"/>
      <c r="GJL32" s="545"/>
      <c r="GJM32" s="545"/>
      <c r="GJN32" s="545"/>
      <c r="GJO32" s="545"/>
      <c r="GJP32" s="545"/>
      <c r="GJQ32" s="545"/>
      <c r="GJR32" s="545"/>
      <c r="GJS32" s="545"/>
      <c r="GJT32" s="545"/>
      <c r="GJU32" s="545"/>
      <c r="GJV32" s="545"/>
      <c r="GJW32" s="545"/>
      <c r="GJX32" s="545"/>
      <c r="GJY32" s="545"/>
      <c r="GJZ32" s="545"/>
      <c r="GKA32" s="545"/>
      <c r="GKB32" s="545"/>
      <c r="GKC32" s="545"/>
      <c r="GKD32" s="545"/>
      <c r="GKE32" s="545"/>
      <c r="GKF32" s="545"/>
      <c r="GKG32" s="545"/>
      <c r="GKH32" s="545"/>
      <c r="GKI32" s="545"/>
      <c r="GKJ32" s="545"/>
      <c r="GKK32" s="545"/>
      <c r="GKL32" s="545"/>
      <c r="GKM32" s="545"/>
      <c r="GKN32" s="545"/>
      <c r="GKO32" s="545"/>
      <c r="GKP32" s="545"/>
      <c r="GKQ32" s="545"/>
      <c r="GKR32" s="545"/>
      <c r="GKS32" s="545"/>
      <c r="GKT32" s="545"/>
      <c r="GKU32" s="545"/>
      <c r="GKV32" s="545"/>
      <c r="GKW32" s="545"/>
      <c r="GKX32" s="545"/>
      <c r="GKY32" s="545"/>
      <c r="GKZ32" s="545"/>
      <c r="GLA32" s="545"/>
      <c r="GLB32" s="545"/>
      <c r="GLC32" s="545"/>
      <c r="GLD32" s="545"/>
      <c r="GLE32" s="545"/>
      <c r="GLF32" s="545"/>
      <c r="GLG32" s="545"/>
      <c r="GLH32" s="545"/>
      <c r="GLI32" s="545"/>
      <c r="GLJ32" s="545"/>
      <c r="GLK32" s="545"/>
      <c r="GLL32" s="545"/>
      <c r="GLM32" s="545"/>
      <c r="GLN32" s="545"/>
      <c r="GLO32" s="545"/>
      <c r="GLP32" s="545"/>
      <c r="GLQ32" s="545"/>
      <c r="GLR32" s="545"/>
      <c r="GLS32" s="545"/>
      <c r="GLT32" s="545"/>
      <c r="GLU32" s="545"/>
      <c r="GLV32" s="545"/>
      <c r="GLW32" s="545"/>
      <c r="GLX32" s="545"/>
      <c r="GLY32" s="545"/>
      <c r="GLZ32" s="545"/>
      <c r="GMA32" s="545"/>
      <c r="GMB32" s="545"/>
      <c r="GMC32" s="545"/>
      <c r="GMD32" s="545"/>
      <c r="GME32" s="545"/>
      <c r="GMF32" s="545"/>
      <c r="GMG32" s="545"/>
      <c r="GMH32" s="545"/>
      <c r="GMI32" s="545"/>
      <c r="GMJ32" s="545"/>
      <c r="GMK32" s="545"/>
      <c r="GML32" s="545"/>
      <c r="GMM32" s="545"/>
      <c r="GMN32" s="545"/>
      <c r="GMO32" s="545"/>
      <c r="GMP32" s="545"/>
      <c r="GMQ32" s="545"/>
      <c r="GMR32" s="545"/>
      <c r="GMS32" s="545"/>
      <c r="GMT32" s="545"/>
      <c r="GMU32" s="545"/>
      <c r="GMV32" s="545"/>
      <c r="GMW32" s="545"/>
      <c r="GMX32" s="545"/>
      <c r="GMY32" s="545"/>
      <c r="GMZ32" s="545"/>
      <c r="GNA32" s="545"/>
      <c r="GNB32" s="545"/>
      <c r="GNC32" s="545"/>
      <c r="GND32" s="545"/>
      <c r="GNE32" s="545"/>
      <c r="GNF32" s="545"/>
      <c r="GNG32" s="545"/>
      <c r="GNH32" s="545"/>
      <c r="GNI32" s="545"/>
      <c r="GNJ32" s="545"/>
      <c r="GNK32" s="545"/>
      <c r="GNL32" s="545"/>
      <c r="GNM32" s="545"/>
      <c r="GNN32" s="545"/>
      <c r="GNO32" s="545"/>
      <c r="GNP32" s="545"/>
      <c r="GNQ32" s="545"/>
      <c r="GNR32" s="545"/>
      <c r="GNS32" s="545"/>
      <c r="GNT32" s="545"/>
      <c r="GNU32" s="545"/>
      <c r="GNV32" s="545"/>
      <c r="GNW32" s="545"/>
      <c r="GNX32" s="545"/>
      <c r="GNY32" s="545"/>
      <c r="GNZ32" s="545"/>
      <c r="GOA32" s="545"/>
      <c r="GOB32" s="545"/>
      <c r="GOC32" s="545"/>
      <c r="GOD32" s="545"/>
      <c r="GOE32" s="545"/>
      <c r="GOF32" s="545"/>
      <c r="GOG32" s="545"/>
      <c r="GOH32" s="545"/>
      <c r="GOI32" s="545"/>
      <c r="GOJ32" s="545"/>
      <c r="GOK32" s="545"/>
      <c r="GOL32" s="545"/>
      <c r="GOM32" s="545"/>
      <c r="GON32" s="545"/>
      <c r="GOO32" s="545"/>
      <c r="GOP32" s="545"/>
      <c r="GOQ32" s="545"/>
      <c r="GOR32" s="545"/>
      <c r="GOS32" s="545"/>
      <c r="GOT32" s="545"/>
      <c r="GOU32" s="545"/>
      <c r="GOV32" s="545"/>
      <c r="GOW32" s="545"/>
      <c r="GOX32" s="545"/>
      <c r="GOY32" s="545"/>
      <c r="GOZ32" s="545"/>
      <c r="GPA32" s="545"/>
      <c r="GPB32" s="545"/>
      <c r="GPC32" s="545"/>
      <c r="GPD32" s="545"/>
      <c r="GPE32" s="545"/>
      <c r="GPF32" s="545"/>
      <c r="GPG32" s="545"/>
      <c r="GPH32" s="545"/>
      <c r="GPI32" s="545"/>
      <c r="GPJ32" s="545"/>
      <c r="GPK32" s="545"/>
      <c r="GPL32" s="545"/>
      <c r="GPM32" s="545"/>
      <c r="GPN32" s="545"/>
      <c r="GPO32" s="545"/>
      <c r="GPP32" s="545"/>
      <c r="GPQ32" s="545"/>
      <c r="GPR32" s="545"/>
      <c r="GPS32" s="545"/>
      <c r="GPT32" s="545"/>
      <c r="GPU32" s="545"/>
      <c r="GPV32" s="545"/>
      <c r="GPW32" s="545"/>
      <c r="GPX32" s="545"/>
      <c r="GPY32" s="545"/>
      <c r="GPZ32" s="545"/>
      <c r="GQA32" s="545"/>
      <c r="GQB32" s="545"/>
      <c r="GQC32" s="545"/>
      <c r="GQD32" s="545"/>
      <c r="GQE32" s="545"/>
      <c r="GQF32" s="545"/>
      <c r="GQG32" s="545"/>
      <c r="GQH32" s="545"/>
      <c r="GQI32" s="545"/>
      <c r="GQJ32" s="545"/>
      <c r="GQK32" s="545"/>
      <c r="GQL32" s="545"/>
      <c r="GQM32" s="545"/>
      <c r="GQN32" s="545"/>
      <c r="GQO32" s="545"/>
      <c r="GQP32" s="545"/>
      <c r="GQQ32" s="545"/>
      <c r="GQR32" s="545"/>
      <c r="GQS32" s="545"/>
      <c r="GQT32" s="545"/>
      <c r="GQU32" s="545"/>
      <c r="GQV32" s="545"/>
      <c r="GQW32" s="545"/>
      <c r="GQX32" s="545"/>
      <c r="GQY32" s="545"/>
      <c r="GQZ32" s="545"/>
      <c r="GRA32" s="545"/>
      <c r="GRB32" s="545"/>
      <c r="GRC32" s="545"/>
      <c r="GRD32" s="545"/>
      <c r="GRE32" s="545"/>
      <c r="GRF32" s="545"/>
      <c r="GRG32" s="545"/>
      <c r="GRH32" s="545"/>
      <c r="GRI32" s="545"/>
      <c r="GRJ32" s="545"/>
      <c r="GRK32" s="545"/>
      <c r="GRL32" s="545"/>
      <c r="GRM32" s="545"/>
      <c r="GRN32" s="545"/>
      <c r="GRO32" s="545"/>
      <c r="GRP32" s="545"/>
      <c r="GRQ32" s="545"/>
      <c r="GRR32" s="545"/>
      <c r="GRS32" s="545"/>
      <c r="GRT32" s="545"/>
      <c r="GRU32" s="545"/>
      <c r="GRV32" s="545"/>
      <c r="GRW32" s="545"/>
      <c r="GRX32" s="545"/>
      <c r="GRY32" s="545"/>
      <c r="GRZ32" s="545"/>
      <c r="GSA32" s="545"/>
      <c r="GSB32" s="545"/>
      <c r="GSC32" s="545"/>
      <c r="GSD32" s="545"/>
      <c r="GSE32" s="545"/>
      <c r="GSF32" s="545"/>
      <c r="GSG32" s="545"/>
      <c r="GSH32" s="545"/>
      <c r="GSI32" s="545"/>
      <c r="GSJ32" s="545"/>
      <c r="GSK32" s="545"/>
      <c r="GSL32" s="545"/>
      <c r="GSM32" s="545"/>
      <c r="GSN32" s="545"/>
      <c r="GSO32" s="545"/>
      <c r="GSP32" s="545"/>
      <c r="GSQ32" s="545"/>
      <c r="GSR32" s="545"/>
      <c r="GSS32" s="545"/>
      <c r="GST32" s="545"/>
      <c r="GSU32" s="545"/>
      <c r="GSV32" s="545"/>
      <c r="GSW32" s="545"/>
      <c r="GSX32" s="545"/>
      <c r="GSY32" s="545"/>
      <c r="GSZ32" s="545"/>
      <c r="GTA32" s="545"/>
      <c r="GTB32" s="545"/>
      <c r="GTC32" s="545"/>
      <c r="GTD32" s="545"/>
      <c r="GTE32" s="545"/>
      <c r="GTF32" s="545"/>
      <c r="GTG32" s="545"/>
      <c r="GTH32" s="545"/>
      <c r="GTI32" s="545"/>
      <c r="GTJ32" s="545"/>
      <c r="GTK32" s="545"/>
      <c r="GTL32" s="545"/>
      <c r="GTM32" s="545"/>
      <c r="GTN32" s="545"/>
      <c r="GTO32" s="545"/>
      <c r="GTP32" s="545"/>
      <c r="GTQ32" s="545"/>
      <c r="GTR32" s="545"/>
      <c r="GTS32" s="545"/>
      <c r="GTT32" s="545"/>
      <c r="GTU32" s="545"/>
      <c r="GTV32" s="545"/>
      <c r="GTW32" s="545"/>
      <c r="GTX32" s="545"/>
      <c r="GTY32" s="545"/>
      <c r="GTZ32" s="545"/>
      <c r="GUA32" s="545"/>
      <c r="GUB32" s="545"/>
      <c r="GUC32" s="545"/>
      <c r="GUD32" s="545"/>
      <c r="GUE32" s="545"/>
      <c r="GUF32" s="545"/>
      <c r="GUG32" s="545"/>
      <c r="GUH32" s="545"/>
      <c r="GUI32" s="545"/>
      <c r="GUJ32" s="545"/>
      <c r="GUK32" s="545"/>
      <c r="GUL32" s="545"/>
      <c r="GUM32" s="545"/>
      <c r="GUN32" s="545"/>
      <c r="GUO32" s="545"/>
      <c r="GUP32" s="545"/>
      <c r="GUQ32" s="545"/>
      <c r="GUR32" s="545"/>
      <c r="GUS32" s="545"/>
      <c r="GUT32" s="545"/>
      <c r="GUU32" s="545"/>
      <c r="GUV32" s="545"/>
      <c r="GUW32" s="545"/>
      <c r="GUX32" s="545"/>
      <c r="GUY32" s="545"/>
      <c r="GUZ32" s="545"/>
      <c r="GVA32" s="545"/>
      <c r="GVB32" s="545"/>
      <c r="GVC32" s="545"/>
      <c r="GVD32" s="545"/>
      <c r="GVE32" s="545"/>
      <c r="GVF32" s="545"/>
      <c r="GVG32" s="545"/>
      <c r="GVH32" s="545"/>
      <c r="GVI32" s="545"/>
      <c r="GVJ32" s="545"/>
      <c r="GVK32" s="545"/>
      <c r="GVL32" s="545"/>
      <c r="GVM32" s="545"/>
      <c r="GVN32" s="545"/>
      <c r="GVO32" s="545"/>
      <c r="GVP32" s="545"/>
      <c r="GVQ32" s="545"/>
      <c r="GVR32" s="545"/>
      <c r="GVS32" s="545"/>
      <c r="GVT32" s="545"/>
      <c r="GVU32" s="545"/>
      <c r="GVV32" s="545"/>
      <c r="GVW32" s="545"/>
      <c r="GVX32" s="545"/>
      <c r="GVY32" s="545"/>
      <c r="GVZ32" s="545"/>
      <c r="GWA32" s="545"/>
      <c r="GWB32" s="545"/>
      <c r="GWC32" s="545"/>
      <c r="GWD32" s="545"/>
      <c r="GWE32" s="545"/>
      <c r="GWF32" s="545"/>
      <c r="GWG32" s="545"/>
      <c r="GWH32" s="545"/>
      <c r="GWI32" s="545"/>
      <c r="GWJ32" s="545"/>
      <c r="GWK32" s="545"/>
      <c r="GWL32" s="545"/>
      <c r="GWM32" s="545"/>
      <c r="GWN32" s="545"/>
      <c r="GWO32" s="545"/>
      <c r="GWP32" s="545"/>
      <c r="GWQ32" s="545"/>
      <c r="GWR32" s="545"/>
      <c r="GWS32" s="545"/>
      <c r="GWT32" s="545"/>
      <c r="GWU32" s="545"/>
      <c r="GWV32" s="545"/>
      <c r="GWW32" s="545"/>
      <c r="GWX32" s="545"/>
      <c r="GWY32" s="545"/>
      <c r="GWZ32" s="545"/>
      <c r="GXA32" s="545"/>
      <c r="GXB32" s="545"/>
      <c r="GXC32" s="545"/>
      <c r="GXD32" s="545"/>
      <c r="GXE32" s="545"/>
      <c r="GXF32" s="545"/>
      <c r="GXG32" s="545"/>
      <c r="GXH32" s="545"/>
      <c r="GXI32" s="545"/>
      <c r="GXJ32" s="545"/>
      <c r="GXK32" s="545"/>
      <c r="GXL32" s="545"/>
      <c r="GXM32" s="545"/>
      <c r="GXN32" s="545"/>
      <c r="GXO32" s="545"/>
      <c r="GXP32" s="545"/>
      <c r="GXQ32" s="545"/>
      <c r="GXR32" s="545"/>
      <c r="GXS32" s="545"/>
      <c r="GXT32" s="545"/>
      <c r="GXU32" s="545"/>
      <c r="GXV32" s="545"/>
      <c r="GXW32" s="545"/>
      <c r="GXX32" s="545"/>
      <c r="GXY32" s="545"/>
      <c r="GXZ32" s="545"/>
      <c r="GYA32" s="545"/>
      <c r="GYB32" s="545"/>
      <c r="GYC32" s="545"/>
      <c r="GYD32" s="545"/>
      <c r="GYE32" s="545"/>
      <c r="GYF32" s="545"/>
      <c r="GYG32" s="545"/>
      <c r="GYH32" s="545"/>
      <c r="GYI32" s="545"/>
      <c r="GYJ32" s="545"/>
      <c r="GYK32" s="545"/>
      <c r="GYL32" s="545"/>
      <c r="GYM32" s="545"/>
      <c r="GYN32" s="545"/>
      <c r="GYO32" s="545"/>
      <c r="GYP32" s="545"/>
      <c r="GYQ32" s="545"/>
      <c r="GYR32" s="545"/>
      <c r="GYS32" s="545"/>
      <c r="GYT32" s="545"/>
      <c r="GYU32" s="545"/>
      <c r="GYV32" s="545"/>
      <c r="GYW32" s="545"/>
      <c r="GYX32" s="545"/>
      <c r="GYY32" s="545"/>
      <c r="GYZ32" s="545"/>
      <c r="GZA32" s="545"/>
      <c r="GZB32" s="545"/>
      <c r="GZC32" s="545"/>
      <c r="GZD32" s="545"/>
      <c r="GZE32" s="545"/>
      <c r="GZF32" s="545"/>
      <c r="GZG32" s="545"/>
      <c r="GZH32" s="545"/>
      <c r="GZI32" s="545"/>
      <c r="GZJ32" s="545"/>
      <c r="GZK32" s="545"/>
      <c r="GZL32" s="545"/>
      <c r="GZM32" s="545"/>
      <c r="GZN32" s="545"/>
      <c r="GZO32" s="545"/>
      <c r="GZP32" s="545"/>
      <c r="GZQ32" s="545"/>
      <c r="GZR32" s="545"/>
      <c r="GZS32" s="545"/>
      <c r="GZT32" s="545"/>
      <c r="GZU32" s="545"/>
      <c r="GZV32" s="545"/>
      <c r="GZW32" s="545"/>
      <c r="GZX32" s="545"/>
      <c r="GZY32" s="545"/>
      <c r="GZZ32" s="545"/>
      <c r="HAA32" s="545"/>
      <c r="HAB32" s="545"/>
      <c r="HAC32" s="545"/>
      <c r="HAD32" s="545"/>
      <c r="HAE32" s="545"/>
      <c r="HAF32" s="545"/>
      <c r="HAG32" s="545"/>
      <c r="HAH32" s="545"/>
      <c r="HAI32" s="545"/>
      <c r="HAJ32" s="545"/>
      <c r="HAK32" s="545"/>
      <c r="HAL32" s="545"/>
      <c r="HAM32" s="545"/>
      <c r="HAN32" s="545"/>
      <c r="HAO32" s="545"/>
      <c r="HAP32" s="545"/>
      <c r="HAQ32" s="545"/>
      <c r="HAR32" s="545"/>
      <c r="HAS32" s="545"/>
      <c r="HAT32" s="545"/>
      <c r="HAU32" s="545"/>
      <c r="HAV32" s="545"/>
      <c r="HAW32" s="545"/>
      <c r="HAX32" s="545"/>
      <c r="HAY32" s="545"/>
      <c r="HAZ32" s="545"/>
      <c r="HBA32" s="545"/>
      <c r="HBB32" s="545"/>
      <c r="HBC32" s="545"/>
      <c r="HBD32" s="545"/>
      <c r="HBE32" s="545"/>
      <c r="HBF32" s="545"/>
      <c r="HBG32" s="545"/>
      <c r="HBH32" s="545"/>
      <c r="HBI32" s="545"/>
      <c r="HBJ32" s="545"/>
      <c r="HBK32" s="545"/>
      <c r="HBL32" s="545"/>
      <c r="HBM32" s="545"/>
      <c r="HBN32" s="545"/>
      <c r="HBO32" s="545"/>
      <c r="HBP32" s="545"/>
      <c r="HBQ32" s="545"/>
      <c r="HBR32" s="545"/>
      <c r="HBS32" s="545"/>
      <c r="HBT32" s="545"/>
      <c r="HBU32" s="545"/>
      <c r="HBV32" s="545"/>
      <c r="HBW32" s="545"/>
      <c r="HBX32" s="545"/>
      <c r="HBY32" s="545"/>
      <c r="HBZ32" s="545"/>
      <c r="HCA32" s="545"/>
      <c r="HCB32" s="545"/>
      <c r="HCC32" s="545"/>
      <c r="HCD32" s="545"/>
      <c r="HCE32" s="545"/>
      <c r="HCF32" s="545"/>
      <c r="HCG32" s="545"/>
      <c r="HCH32" s="545"/>
      <c r="HCI32" s="545"/>
      <c r="HCJ32" s="545"/>
      <c r="HCK32" s="545"/>
      <c r="HCL32" s="545"/>
      <c r="HCM32" s="545"/>
      <c r="HCN32" s="545"/>
      <c r="HCO32" s="545"/>
      <c r="HCP32" s="545"/>
      <c r="HCQ32" s="545"/>
      <c r="HCR32" s="545"/>
      <c r="HCS32" s="545"/>
      <c r="HCT32" s="545"/>
      <c r="HCU32" s="545"/>
      <c r="HCV32" s="545"/>
      <c r="HCW32" s="545"/>
      <c r="HCX32" s="545"/>
      <c r="HCY32" s="545"/>
      <c r="HCZ32" s="545"/>
      <c r="HDA32" s="545"/>
      <c r="HDB32" s="545"/>
      <c r="HDC32" s="545"/>
      <c r="HDD32" s="545"/>
      <c r="HDE32" s="545"/>
      <c r="HDF32" s="545"/>
      <c r="HDG32" s="545"/>
      <c r="HDH32" s="545"/>
      <c r="HDI32" s="545"/>
      <c r="HDJ32" s="545"/>
      <c r="HDK32" s="545"/>
      <c r="HDL32" s="545"/>
      <c r="HDM32" s="545"/>
      <c r="HDN32" s="545"/>
      <c r="HDO32" s="545"/>
      <c r="HDP32" s="545"/>
      <c r="HDQ32" s="545"/>
      <c r="HDR32" s="545"/>
      <c r="HDS32" s="545"/>
      <c r="HDT32" s="545"/>
      <c r="HDU32" s="545"/>
      <c r="HDV32" s="545"/>
      <c r="HDW32" s="545"/>
      <c r="HDX32" s="545"/>
      <c r="HDY32" s="545"/>
      <c r="HDZ32" s="545"/>
      <c r="HEA32" s="545"/>
      <c r="HEB32" s="545"/>
      <c r="HEC32" s="545"/>
      <c r="HED32" s="545"/>
      <c r="HEE32" s="545"/>
      <c r="HEF32" s="545"/>
      <c r="HEG32" s="545"/>
      <c r="HEH32" s="545"/>
      <c r="HEI32" s="545"/>
      <c r="HEJ32" s="545"/>
      <c r="HEK32" s="545"/>
      <c r="HEL32" s="545"/>
      <c r="HEM32" s="545"/>
      <c r="HEN32" s="545"/>
      <c r="HEO32" s="545"/>
      <c r="HEP32" s="545"/>
      <c r="HEQ32" s="545"/>
      <c r="HER32" s="545"/>
      <c r="HES32" s="545"/>
      <c r="HET32" s="545"/>
      <c r="HEU32" s="545"/>
      <c r="HEV32" s="545"/>
      <c r="HEW32" s="545"/>
      <c r="HEX32" s="545"/>
      <c r="HEY32" s="545"/>
      <c r="HEZ32" s="545"/>
      <c r="HFA32" s="545"/>
      <c r="HFB32" s="545"/>
      <c r="HFC32" s="545"/>
      <c r="HFD32" s="545"/>
      <c r="HFE32" s="545"/>
      <c r="HFF32" s="545"/>
      <c r="HFG32" s="545"/>
      <c r="HFH32" s="545"/>
      <c r="HFI32" s="545"/>
      <c r="HFJ32" s="545"/>
      <c r="HFK32" s="545"/>
      <c r="HFL32" s="545"/>
      <c r="HFM32" s="545"/>
      <c r="HFN32" s="545"/>
      <c r="HFO32" s="545"/>
      <c r="HFP32" s="545"/>
      <c r="HFQ32" s="545"/>
      <c r="HFR32" s="545"/>
      <c r="HFS32" s="545"/>
      <c r="HFT32" s="545"/>
      <c r="HFU32" s="545"/>
      <c r="HFV32" s="545"/>
      <c r="HFW32" s="545"/>
      <c r="HFX32" s="545"/>
      <c r="HFY32" s="545"/>
      <c r="HFZ32" s="545"/>
      <c r="HGA32" s="545"/>
      <c r="HGB32" s="545"/>
      <c r="HGC32" s="545"/>
      <c r="HGD32" s="545"/>
      <c r="HGE32" s="545"/>
      <c r="HGF32" s="545"/>
      <c r="HGG32" s="545"/>
      <c r="HGH32" s="545"/>
      <c r="HGI32" s="545"/>
      <c r="HGJ32" s="545"/>
      <c r="HGK32" s="545"/>
      <c r="HGL32" s="545"/>
      <c r="HGM32" s="545"/>
      <c r="HGN32" s="545"/>
      <c r="HGO32" s="545"/>
      <c r="HGP32" s="545"/>
      <c r="HGQ32" s="545"/>
      <c r="HGR32" s="545"/>
      <c r="HGS32" s="545"/>
      <c r="HGT32" s="545"/>
      <c r="HGU32" s="545"/>
      <c r="HGV32" s="545"/>
      <c r="HGW32" s="545"/>
      <c r="HGX32" s="545"/>
      <c r="HGY32" s="545"/>
      <c r="HGZ32" s="545"/>
      <c r="HHA32" s="545"/>
      <c r="HHB32" s="545"/>
      <c r="HHC32" s="545"/>
      <c r="HHD32" s="545"/>
      <c r="HHE32" s="545"/>
      <c r="HHF32" s="545"/>
      <c r="HHG32" s="545"/>
      <c r="HHH32" s="545"/>
      <c r="HHI32" s="545"/>
      <c r="HHJ32" s="545"/>
      <c r="HHK32" s="545"/>
      <c r="HHL32" s="545"/>
      <c r="HHM32" s="545"/>
      <c r="HHN32" s="545"/>
      <c r="HHO32" s="545"/>
      <c r="HHP32" s="545"/>
      <c r="HHQ32" s="545"/>
      <c r="HHR32" s="545"/>
      <c r="HHS32" s="545"/>
      <c r="HHT32" s="545"/>
      <c r="HHU32" s="545"/>
      <c r="HHV32" s="545"/>
      <c r="HHW32" s="545"/>
      <c r="HHX32" s="545"/>
      <c r="HHY32" s="545"/>
      <c r="HHZ32" s="545"/>
      <c r="HIA32" s="545"/>
      <c r="HIB32" s="545"/>
      <c r="HIC32" s="545"/>
      <c r="HID32" s="545"/>
      <c r="HIE32" s="545"/>
      <c r="HIF32" s="545"/>
      <c r="HIG32" s="545"/>
      <c r="HIH32" s="545"/>
      <c r="HII32" s="545"/>
      <c r="HIJ32" s="545"/>
      <c r="HIK32" s="545"/>
      <c r="HIL32" s="545"/>
      <c r="HIM32" s="545"/>
      <c r="HIN32" s="545"/>
      <c r="HIO32" s="545"/>
      <c r="HIP32" s="545"/>
      <c r="HIQ32" s="545"/>
      <c r="HIR32" s="545"/>
      <c r="HIS32" s="545"/>
      <c r="HIT32" s="545"/>
      <c r="HIU32" s="545"/>
      <c r="HIV32" s="545"/>
      <c r="HIW32" s="545"/>
      <c r="HIX32" s="545"/>
      <c r="HIY32" s="545"/>
      <c r="HIZ32" s="545"/>
      <c r="HJA32" s="545"/>
      <c r="HJB32" s="545"/>
      <c r="HJC32" s="545"/>
      <c r="HJD32" s="545"/>
      <c r="HJE32" s="545"/>
      <c r="HJF32" s="545"/>
      <c r="HJG32" s="545"/>
      <c r="HJH32" s="545"/>
      <c r="HJI32" s="545"/>
      <c r="HJJ32" s="545"/>
      <c r="HJK32" s="545"/>
      <c r="HJL32" s="545"/>
      <c r="HJM32" s="545"/>
      <c r="HJN32" s="545"/>
      <c r="HJO32" s="545"/>
      <c r="HJP32" s="545"/>
      <c r="HJQ32" s="545"/>
      <c r="HJR32" s="545"/>
      <c r="HJS32" s="545"/>
      <c r="HJT32" s="545"/>
      <c r="HJU32" s="545"/>
      <c r="HJV32" s="545"/>
      <c r="HJW32" s="545"/>
      <c r="HJX32" s="545"/>
      <c r="HJY32" s="545"/>
      <c r="HJZ32" s="545"/>
      <c r="HKA32" s="545"/>
      <c r="HKB32" s="545"/>
      <c r="HKC32" s="545"/>
      <c r="HKD32" s="545"/>
      <c r="HKE32" s="545"/>
      <c r="HKF32" s="545"/>
      <c r="HKG32" s="545"/>
      <c r="HKH32" s="545"/>
      <c r="HKI32" s="545"/>
      <c r="HKJ32" s="545"/>
      <c r="HKK32" s="545"/>
      <c r="HKL32" s="545"/>
      <c r="HKM32" s="545"/>
      <c r="HKN32" s="545"/>
      <c r="HKO32" s="545"/>
      <c r="HKP32" s="545"/>
      <c r="HKQ32" s="545"/>
      <c r="HKR32" s="545"/>
      <c r="HKS32" s="545"/>
      <c r="HKT32" s="545"/>
      <c r="HKU32" s="545"/>
      <c r="HKV32" s="545"/>
      <c r="HKW32" s="545"/>
      <c r="HKX32" s="545"/>
      <c r="HKY32" s="545"/>
      <c r="HKZ32" s="545"/>
      <c r="HLA32" s="545"/>
      <c r="HLB32" s="545"/>
      <c r="HLC32" s="545"/>
      <c r="HLD32" s="545"/>
      <c r="HLE32" s="545"/>
      <c r="HLF32" s="545"/>
      <c r="HLG32" s="545"/>
      <c r="HLH32" s="545"/>
      <c r="HLI32" s="545"/>
      <c r="HLJ32" s="545"/>
      <c r="HLK32" s="545"/>
      <c r="HLL32" s="545"/>
      <c r="HLM32" s="545"/>
      <c r="HLN32" s="545"/>
      <c r="HLO32" s="545"/>
      <c r="HLP32" s="545"/>
      <c r="HLQ32" s="545"/>
      <c r="HLR32" s="545"/>
      <c r="HLS32" s="545"/>
      <c r="HLT32" s="545"/>
      <c r="HLU32" s="545"/>
      <c r="HLV32" s="545"/>
      <c r="HLW32" s="545"/>
      <c r="HLX32" s="545"/>
      <c r="HLY32" s="545"/>
      <c r="HLZ32" s="545"/>
      <c r="HMA32" s="545"/>
      <c r="HMB32" s="545"/>
      <c r="HMC32" s="545"/>
      <c r="HMD32" s="545"/>
      <c r="HME32" s="545"/>
      <c r="HMF32" s="545"/>
      <c r="HMG32" s="545"/>
      <c r="HMH32" s="545"/>
      <c r="HMI32" s="545"/>
      <c r="HMJ32" s="545"/>
      <c r="HMK32" s="545"/>
      <c r="HML32" s="545"/>
      <c r="HMM32" s="545"/>
      <c r="HMN32" s="545"/>
      <c r="HMO32" s="545"/>
      <c r="HMP32" s="545"/>
      <c r="HMQ32" s="545"/>
      <c r="HMR32" s="545"/>
      <c r="HMS32" s="545"/>
      <c r="HMT32" s="545"/>
      <c r="HMU32" s="545"/>
      <c r="HMV32" s="545"/>
      <c r="HMW32" s="545"/>
      <c r="HMX32" s="545"/>
      <c r="HMY32" s="545"/>
      <c r="HMZ32" s="545"/>
      <c r="HNA32" s="545"/>
      <c r="HNB32" s="545"/>
      <c r="HNC32" s="545"/>
      <c r="HND32" s="545"/>
      <c r="HNE32" s="545"/>
      <c r="HNF32" s="545"/>
      <c r="HNG32" s="545"/>
      <c r="HNH32" s="545"/>
      <c r="HNI32" s="545"/>
      <c r="HNJ32" s="545"/>
      <c r="HNK32" s="545"/>
      <c r="HNL32" s="545"/>
      <c r="HNM32" s="545"/>
      <c r="HNN32" s="545"/>
      <c r="HNO32" s="545"/>
      <c r="HNP32" s="545"/>
      <c r="HNQ32" s="545"/>
      <c r="HNR32" s="545"/>
      <c r="HNS32" s="545"/>
      <c r="HNT32" s="545"/>
      <c r="HNU32" s="545"/>
      <c r="HNV32" s="545"/>
      <c r="HNW32" s="545"/>
      <c r="HNX32" s="545"/>
      <c r="HNY32" s="545"/>
      <c r="HNZ32" s="545"/>
      <c r="HOA32" s="545"/>
      <c r="HOB32" s="545"/>
      <c r="HOC32" s="545"/>
      <c r="HOD32" s="545"/>
      <c r="HOE32" s="545"/>
      <c r="HOF32" s="545"/>
      <c r="HOG32" s="545"/>
      <c r="HOH32" s="545"/>
      <c r="HOI32" s="545"/>
      <c r="HOJ32" s="545"/>
      <c r="HOK32" s="545"/>
      <c r="HOL32" s="545"/>
      <c r="HOM32" s="545"/>
      <c r="HON32" s="545"/>
      <c r="HOO32" s="545"/>
      <c r="HOP32" s="545"/>
      <c r="HOQ32" s="545"/>
      <c r="HOR32" s="545"/>
      <c r="HOS32" s="545"/>
      <c r="HOT32" s="545"/>
      <c r="HOU32" s="545"/>
      <c r="HOV32" s="545"/>
      <c r="HOW32" s="545"/>
      <c r="HOX32" s="545"/>
      <c r="HOY32" s="545"/>
      <c r="HOZ32" s="545"/>
      <c r="HPA32" s="545"/>
      <c r="HPB32" s="545"/>
      <c r="HPC32" s="545"/>
      <c r="HPD32" s="545"/>
      <c r="HPE32" s="545"/>
      <c r="HPF32" s="545"/>
      <c r="HPG32" s="545"/>
      <c r="HPH32" s="545"/>
      <c r="HPI32" s="545"/>
      <c r="HPJ32" s="545"/>
      <c r="HPK32" s="545"/>
      <c r="HPL32" s="545"/>
      <c r="HPM32" s="545"/>
      <c r="HPN32" s="545"/>
      <c r="HPO32" s="545"/>
      <c r="HPP32" s="545"/>
      <c r="HPQ32" s="545"/>
      <c r="HPR32" s="545"/>
      <c r="HPS32" s="545"/>
      <c r="HPT32" s="545"/>
      <c r="HPU32" s="545"/>
      <c r="HPV32" s="545"/>
      <c r="HPW32" s="545"/>
      <c r="HPX32" s="545"/>
      <c r="HPY32" s="545"/>
      <c r="HPZ32" s="545"/>
      <c r="HQA32" s="545"/>
      <c r="HQB32" s="545"/>
      <c r="HQC32" s="545"/>
      <c r="HQD32" s="545"/>
      <c r="HQE32" s="545"/>
      <c r="HQF32" s="545"/>
      <c r="HQG32" s="545"/>
      <c r="HQH32" s="545"/>
      <c r="HQI32" s="545"/>
      <c r="HQJ32" s="545"/>
      <c r="HQK32" s="545"/>
      <c r="HQL32" s="545"/>
      <c r="HQM32" s="545"/>
      <c r="HQN32" s="545"/>
      <c r="HQO32" s="545"/>
      <c r="HQP32" s="545"/>
      <c r="HQQ32" s="545"/>
      <c r="HQR32" s="545"/>
      <c r="HQS32" s="545"/>
      <c r="HQT32" s="545"/>
      <c r="HQU32" s="545"/>
      <c r="HQV32" s="545"/>
      <c r="HQW32" s="545"/>
      <c r="HQX32" s="545"/>
      <c r="HQY32" s="545"/>
      <c r="HQZ32" s="545"/>
      <c r="HRA32" s="545"/>
      <c r="HRB32" s="545"/>
      <c r="HRC32" s="545"/>
      <c r="HRD32" s="545"/>
      <c r="HRE32" s="545"/>
      <c r="HRF32" s="545"/>
      <c r="HRG32" s="545"/>
      <c r="HRH32" s="545"/>
      <c r="HRI32" s="545"/>
      <c r="HRJ32" s="545"/>
      <c r="HRK32" s="545"/>
      <c r="HRL32" s="545"/>
      <c r="HRM32" s="545"/>
      <c r="HRN32" s="545"/>
      <c r="HRO32" s="545"/>
      <c r="HRP32" s="545"/>
      <c r="HRQ32" s="545"/>
      <c r="HRR32" s="545"/>
      <c r="HRS32" s="545"/>
      <c r="HRT32" s="545"/>
      <c r="HRU32" s="545"/>
      <c r="HRV32" s="545"/>
      <c r="HRW32" s="545"/>
      <c r="HRX32" s="545"/>
      <c r="HRY32" s="545"/>
      <c r="HRZ32" s="545"/>
      <c r="HSA32" s="545"/>
      <c r="HSB32" s="545"/>
      <c r="HSC32" s="545"/>
      <c r="HSD32" s="545"/>
      <c r="HSE32" s="545"/>
      <c r="HSF32" s="545"/>
      <c r="HSG32" s="545"/>
      <c r="HSH32" s="545"/>
      <c r="HSI32" s="545"/>
      <c r="HSJ32" s="545"/>
      <c r="HSK32" s="545"/>
      <c r="HSL32" s="545"/>
      <c r="HSM32" s="545"/>
      <c r="HSN32" s="545"/>
      <c r="HSO32" s="545"/>
      <c r="HSP32" s="545"/>
      <c r="HSQ32" s="545"/>
      <c r="HSR32" s="545"/>
      <c r="HSS32" s="545"/>
      <c r="HST32" s="545"/>
      <c r="HSU32" s="545"/>
      <c r="HSV32" s="545"/>
      <c r="HSW32" s="545"/>
      <c r="HSX32" s="545"/>
      <c r="HSY32" s="545"/>
      <c r="HSZ32" s="545"/>
      <c r="HTA32" s="545"/>
      <c r="HTB32" s="545"/>
      <c r="HTC32" s="545"/>
      <c r="HTD32" s="545"/>
      <c r="HTE32" s="545"/>
      <c r="HTF32" s="545"/>
      <c r="HTG32" s="545"/>
      <c r="HTH32" s="545"/>
      <c r="HTI32" s="545"/>
      <c r="HTJ32" s="545"/>
      <c r="HTK32" s="545"/>
      <c r="HTL32" s="545"/>
      <c r="HTM32" s="545"/>
      <c r="HTN32" s="545"/>
      <c r="HTO32" s="545"/>
      <c r="HTP32" s="545"/>
      <c r="HTQ32" s="545"/>
      <c r="HTR32" s="545"/>
      <c r="HTS32" s="545"/>
      <c r="HTT32" s="545"/>
      <c r="HTU32" s="545"/>
      <c r="HTV32" s="545"/>
      <c r="HTW32" s="545"/>
      <c r="HTX32" s="545"/>
      <c r="HTY32" s="545"/>
      <c r="HTZ32" s="545"/>
      <c r="HUA32" s="545"/>
      <c r="HUB32" s="545"/>
      <c r="HUC32" s="545"/>
      <c r="HUD32" s="545"/>
      <c r="HUE32" s="545"/>
      <c r="HUF32" s="545"/>
      <c r="HUG32" s="545"/>
      <c r="HUH32" s="545"/>
      <c r="HUI32" s="545"/>
      <c r="HUJ32" s="545"/>
      <c r="HUK32" s="545"/>
      <c r="HUL32" s="545"/>
      <c r="HUM32" s="545"/>
      <c r="HUN32" s="545"/>
      <c r="HUO32" s="545"/>
      <c r="HUP32" s="545"/>
      <c r="HUQ32" s="545"/>
      <c r="HUR32" s="545"/>
      <c r="HUS32" s="545"/>
      <c r="HUT32" s="545"/>
      <c r="HUU32" s="545"/>
      <c r="HUV32" s="545"/>
      <c r="HUW32" s="545"/>
      <c r="HUX32" s="545"/>
      <c r="HUY32" s="545"/>
      <c r="HUZ32" s="545"/>
      <c r="HVA32" s="545"/>
      <c r="HVB32" s="545"/>
      <c r="HVC32" s="545"/>
      <c r="HVD32" s="545"/>
      <c r="HVE32" s="545"/>
      <c r="HVF32" s="545"/>
      <c r="HVG32" s="545"/>
      <c r="HVH32" s="545"/>
      <c r="HVI32" s="545"/>
      <c r="HVJ32" s="545"/>
      <c r="HVK32" s="545"/>
      <c r="HVL32" s="545"/>
      <c r="HVM32" s="545"/>
      <c r="HVN32" s="545"/>
      <c r="HVO32" s="545"/>
      <c r="HVP32" s="545"/>
      <c r="HVQ32" s="545"/>
      <c r="HVR32" s="545"/>
      <c r="HVS32" s="545"/>
      <c r="HVT32" s="545"/>
      <c r="HVU32" s="545"/>
      <c r="HVV32" s="545"/>
      <c r="HVW32" s="545"/>
      <c r="HVX32" s="545"/>
      <c r="HVY32" s="545"/>
      <c r="HVZ32" s="545"/>
      <c r="HWA32" s="545"/>
      <c r="HWB32" s="545"/>
      <c r="HWC32" s="545"/>
      <c r="HWD32" s="545"/>
      <c r="HWE32" s="545"/>
      <c r="HWF32" s="545"/>
      <c r="HWG32" s="545"/>
      <c r="HWH32" s="545"/>
      <c r="HWI32" s="545"/>
      <c r="HWJ32" s="545"/>
      <c r="HWK32" s="545"/>
      <c r="HWL32" s="545"/>
      <c r="HWM32" s="545"/>
      <c r="HWN32" s="545"/>
      <c r="HWO32" s="545"/>
      <c r="HWP32" s="545"/>
      <c r="HWQ32" s="545"/>
      <c r="HWR32" s="545"/>
      <c r="HWS32" s="545"/>
      <c r="HWT32" s="545"/>
      <c r="HWU32" s="545"/>
      <c r="HWV32" s="545"/>
      <c r="HWW32" s="545"/>
      <c r="HWX32" s="545"/>
      <c r="HWY32" s="545"/>
      <c r="HWZ32" s="545"/>
      <c r="HXA32" s="545"/>
      <c r="HXB32" s="545"/>
      <c r="HXC32" s="545"/>
      <c r="HXD32" s="545"/>
      <c r="HXE32" s="545"/>
      <c r="HXF32" s="545"/>
      <c r="HXG32" s="545"/>
      <c r="HXH32" s="545"/>
      <c r="HXI32" s="545"/>
      <c r="HXJ32" s="545"/>
      <c r="HXK32" s="545"/>
      <c r="HXL32" s="545"/>
      <c r="HXM32" s="545"/>
      <c r="HXN32" s="545"/>
      <c r="HXO32" s="545"/>
      <c r="HXP32" s="545"/>
      <c r="HXQ32" s="545"/>
      <c r="HXR32" s="545"/>
      <c r="HXS32" s="545"/>
      <c r="HXT32" s="545"/>
      <c r="HXU32" s="545"/>
      <c r="HXV32" s="545"/>
      <c r="HXW32" s="545"/>
      <c r="HXX32" s="545"/>
      <c r="HXY32" s="545"/>
      <c r="HXZ32" s="545"/>
      <c r="HYA32" s="545"/>
      <c r="HYB32" s="545"/>
      <c r="HYC32" s="545"/>
      <c r="HYD32" s="545"/>
      <c r="HYE32" s="545"/>
      <c r="HYF32" s="545"/>
      <c r="HYG32" s="545"/>
      <c r="HYH32" s="545"/>
      <c r="HYI32" s="545"/>
      <c r="HYJ32" s="545"/>
      <c r="HYK32" s="545"/>
      <c r="HYL32" s="545"/>
      <c r="HYM32" s="545"/>
      <c r="HYN32" s="545"/>
      <c r="HYO32" s="545"/>
      <c r="HYP32" s="545"/>
      <c r="HYQ32" s="545"/>
      <c r="HYR32" s="545"/>
      <c r="HYS32" s="545"/>
      <c r="HYT32" s="545"/>
      <c r="HYU32" s="545"/>
      <c r="HYV32" s="545"/>
      <c r="HYW32" s="545"/>
      <c r="HYX32" s="545"/>
      <c r="HYY32" s="545"/>
      <c r="HYZ32" s="545"/>
      <c r="HZA32" s="545"/>
      <c r="HZB32" s="545"/>
      <c r="HZC32" s="545"/>
      <c r="HZD32" s="545"/>
      <c r="HZE32" s="545"/>
      <c r="HZF32" s="545"/>
      <c r="HZG32" s="545"/>
      <c r="HZH32" s="545"/>
      <c r="HZI32" s="545"/>
      <c r="HZJ32" s="545"/>
      <c r="HZK32" s="545"/>
      <c r="HZL32" s="545"/>
      <c r="HZM32" s="545"/>
      <c r="HZN32" s="545"/>
      <c r="HZO32" s="545"/>
      <c r="HZP32" s="545"/>
      <c r="HZQ32" s="545"/>
      <c r="HZR32" s="545"/>
      <c r="HZS32" s="545"/>
      <c r="HZT32" s="545"/>
      <c r="HZU32" s="545"/>
      <c r="HZV32" s="545"/>
      <c r="HZW32" s="545"/>
      <c r="HZX32" s="545"/>
      <c r="HZY32" s="545"/>
      <c r="HZZ32" s="545"/>
      <c r="IAA32" s="545"/>
      <c r="IAB32" s="545"/>
      <c r="IAC32" s="545"/>
      <c r="IAD32" s="545"/>
      <c r="IAE32" s="545"/>
      <c r="IAF32" s="545"/>
      <c r="IAG32" s="545"/>
      <c r="IAH32" s="545"/>
      <c r="IAI32" s="545"/>
      <c r="IAJ32" s="545"/>
      <c r="IAK32" s="545"/>
      <c r="IAL32" s="545"/>
      <c r="IAM32" s="545"/>
      <c r="IAN32" s="545"/>
      <c r="IAO32" s="545"/>
      <c r="IAP32" s="545"/>
      <c r="IAQ32" s="545"/>
      <c r="IAR32" s="545"/>
      <c r="IAS32" s="545"/>
      <c r="IAT32" s="545"/>
      <c r="IAU32" s="545"/>
      <c r="IAV32" s="545"/>
      <c r="IAW32" s="545"/>
      <c r="IAX32" s="545"/>
      <c r="IAY32" s="545"/>
      <c r="IAZ32" s="545"/>
      <c r="IBA32" s="545"/>
      <c r="IBB32" s="545"/>
      <c r="IBC32" s="545"/>
      <c r="IBD32" s="545"/>
      <c r="IBE32" s="545"/>
      <c r="IBF32" s="545"/>
      <c r="IBG32" s="545"/>
      <c r="IBH32" s="545"/>
      <c r="IBI32" s="545"/>
      <c r="IBJ32" s="545"/>
      <c r="IBK32" s="545"/>
      <c r="IBL32" s="545"/>
      <c r="IBM32" s="545"/>
      <c r="IBN32" s="545"/>
      <c r="IBO32" s="545"/>
      <c r="IBP32" s="545"/>
      <c r="IBQ32" s="545"/>
      <c r="IBR32" s="545"/>
      <c r="IBS32" s="545"/>
      <c r="IBT32" s="545"/>
      <c r="IBU32" s="545"/>
      <c r="IBV32" s="545"/>
      <c r="IBW32" s="545"/>
      <c r="IBX32" s="545"/>
      <c r="IBY32" s="545"/>
      <c r="IBZ32" s="545"/>
      <c r="ICA32" s="545"/>
      <c r="ICB32" s="545"/>
      <c r="ICC32" s="545"/>
      <c r="ICD32" s="545"/>
      <c r="ICE32" s="545"/>
      <c r="ICF32" s="545"/>
      <c r="ICG32" s="545"/>
      <c r="ICH32" s="545"/>
      <c r="ICI32" s="545"/>
      <c r="ICJ32" s="545"/>
      <c r="ICK32" s="545"/>
      <c r="ICL32" s="545"/>
      <c r="ICM32" s="545"/>
      <c r="ICN32" s="545"/>
      <c r="ICO32" s="545"/>
      <c r="ICP32" s="545"/>
      <c r="ICQ32" s="545"/>
      <c r="ICR32" s="545"/>
      <c r="ICS32" s="545"/>
      <c r="ICT32" s="545"/>
      <c r="ICU32" s="545"/>
      <c r="ICV32" s="545"/>
      <c r="ICW32" s="545"/>
      <c r="ICX32" s="545"/>
      <c r="ICY32" s="545"/>
      <c r="ICZ32" s="545"/>
      <c r="IDA32" s="545"/>
      <c r="IDB32" s="545"/>
      <c r="IDC32" s="545"/>
      <c r="IDD32" s="545"/>
      <c r="IDE32" s="545"/>
      <c r="IDF32" s="545"/>
      <c r="IDG32" s="545"/>
      <c r="IDH32" s="545"/>
      <c r="IDI32" s="545"/>
      <c r="IDJ32" s="545"/>
      <c r="IDK32" s="545"/>
      <c r="IDL32" s="545"/>
      <c r="IDM32" s="545"/>
      <c r="IDN32" s="545"/>
      <c r="IDO32" s="545"/>
      <c r="IDP32" s="545"/>
      <c r="IDQ32" s="545"/>
      <c r="IDR32" s="545"/>
      <c r="IDS32" s="545"/>
      <c r="IDT32" s="545"/>
      <c r="IDU32" s="545"/>
      <c r="IDV32" s="545"/>
      <c r="IDW32" s="545"/>
      <c r="IDX32" s="545"/>
      <c r="IDY32" s="545"/>
      <c r="IDZ32" s="545"/>
      <c r="IEA32" s="545"/>
      <c r="IEB32" s="545"/>
      <c r="IEC32" s="545"/>
      <c r="IED32" s="545"/>
      <c r="IEE32" s="545"/>
      <c r="IEF32" s="545"/>
      <c r="IEG32" s="545"/>
      <c r="IEH32" s="545"/>
      <c r="IEI32" s="545"/>
      <c r="IEJ32" s="545"/>
      <c r="IEK32" s="545"/>
      <c r="IEL32" s="545"/>
      <c r="IEM32" s="545"/>
      <c r="IEN32" s="545"/>
      <c r="IEO32" s="545"/>
      <c r="IEP32" s="545"/>
      <c r="IEQ32" s="545"/>
      <c r="IER32" s="545"/>
      <c r="IES32" s="545"/>
      <c r="IET32" s="545"/>
      <c r="IEU32" s="545"/>
      <c r="IEV32" s="545"/>
      <c r="IEW32" s="545"/>
      <c r="IEX32" s="545"/>
      <c r="IEY32" s="545"/>
      <c r="IEZ32" s="545"/>
      <c r="IFA32" s="545"/>
      <c r="IFB32" s="545"/>
      <c r="IFC32" s="545"/>
      <c r="IFD32" s="545"/>
      <c r="IFE32" s="545"/>
      <c r="IFF32" s="545"/>
      <c r="IFG32" s="545"/>
      <c r="IFH32" s="545"/>
      <c r="IFI32" s="545"/>
      <c r="IFJ32" s="545"/>
      <c r="IFK32" s="545"/>
      <c r="IFL32" s="545"/>
      <c r="IFM32" s="545"/>
      <c r="IFN32" s="545"/>
      <c r="IFO32" s="545"/>
      <c r="IFP32" s="545"/>
      <c r="IFQ32" s="545"/>
      <c r="IFR32" s="545"/>
      <c r="IFS32" s="545"/>
      <c r="IFT32" s="545"/>
      <c r="IFU32" s="545"/>
      <c r="IFV32" s="545"/>
      <c r="IFW32" s="545"/>
      <c r="IFX32" s="545"/>
      <c r="IFY32" s="545"/>
      <c r="IFZ32" s="545"/>
      <c r="IGA32" s="545"/>
      <c r="IGB32" s="545"/>
      <c r="IGC32" s="545"/>
      <c r="IGD32" s="545"/>
      <c r="IGE32" s="545"/>
      <c r="IGF32" s="545"/>
      <c r="IGG32" s="545"/>
      <c r="IGH32" s="545"/>
      <c r="IGI32" s="545"/>
      <c r="IGJ32" s="545"/>
      <c r="IGK32" s="545"/>
      <c r="IGL32" s="545"/>
      <c r="IGM32" s="545"/>
      <c r="IGN32" s="545"/>
      <c r="IGO32" s="545"/>
      <c r="IGP32" s="545"/>
      <c r="IGQ32" s="545"/>
      <c r="IGR32" s="545"/>
      <c r="IGS32" s="545"/>
      <c r="IGT32" s="545"/>
      <c r="IGU32" s="545"/>
      <c r="IGV32" s="545"/>
      <c r="IGW32" s="545"/>
      <c r="IGX32" s="545"/>
      <c r="IGY32" s="545"/>
      <c r="IGZ32" s="545"/>
      <c r="IHA32" s="545"/>
      <c r="IHB32" s="545"/>
      <c r="IHC32" s="545"/>
      <c r="IHD32" s="545"/>
      <c r="IHE32" s="545"/>
      <c r="IHF32" s="545"/>
      <c r="IHG32" s="545"/>
      <c r="IHH32" s="545"/>
      <c r="IHI32" s="545"/>
      <c r="IHJ32" s="545"/>
      <c r="IHK32" s="545"/>
      <c r="IHL32" s="545"/>
      <c r="IHM32" s="545"/>
      <c r="IHN32" s="545"/>
      <c r="IHO32" s="545"/>
      <c r="IHP32" s="545"/>
      <c r="IHQ32" s="545"/>
      <c r="IHR32" s="545"/>
      <c r="IHS32" s="545"/>
      <c r="IHT32" s="545"/>
      <c r="IHU32" s="545"/>
      <c r="IHV32" s="545"/>
      <c r="IHW32" s="545"/>
      <c r="IHX32" s="545"/>
      <c r="IHY32" s="545"/>
      <c r="IHZ32" s="545"/>
      <c r="IIA32" s="545"/>
      <c r="IIB32" s="545"/>
      <c r="IIC32" s="545"/>
      <c r="IID32" s="545"/>
      <c r="IIE32" s="545"/>
      <c r="IIF32" s="545"/>
      <c r="IIG32" s="545"/>
      <c r="IIH32" s="545"/>
      <c r="III32" s="545"/>
      <c r="IIJ32" s="545"/>
      <c r="IIK32" s="545"/>
      <c r="IIL32" s="545"/>
      <c r="IIM32" s="545"/>
      <c r="IIN32" s="545"/>
      <c r="IIO32" s="545"/>
      <c r="IIP32" s="545"/>
      <c r="IIQ32" s="545"/>
      <c r="IIR32" s="545"/>
      <c r="IIS32" s="545"/>
      <c r="IIT32" s="545"/>
      <c r="IIU32" s="545"/>
      <c r="IIV32" s="545"/>
      <c r="IIW32" s="545"/>
      <c r="IIX32" s="545"/>
      <c r="IIY32" s="545"/>
      <c r="IIZ32" s="545"/>
      <c r="IJA32" s="545"/>
      <c r="IJB32" s="545"/>
      <c r="IJC32" s="545"/>
      <c r="IJD32" s="545"/>
      <c r="IJE32" s="545"/>
      <c r="IJF32" s="545"/>
      <c r="IJG32" s="545"/>
      <c r="IJH32" s="545"/>
      <c r="IJI32" s="545"/>
      <c r="IJJ32" s="545"/>
      <c r="IJK32" s="545"/>
      <c r="IJL32" s="545"/>
      <c r="IJM32" s="545"/>
      <c r="IJN32" s="545"/>
      <c r="IJO32" s="545"/>
      <c r="IJP32" s="545"/>
      <c r="IJQ32" s="545"/>
      <c r="IJR32" s="545"/>
      <c r="IJS32" s="545"/>
      <c r="IJT32" s="545"/>
      <c r="IJU32" s="545"/>
      <c r="IJV32" s="545"/>
      <c r="IJW32" s="545"/>
      <c r="IJX32" s="545"/>
      <c r="IJY32" s="545"/>
      <c r="IJZ32" s="545"/>
      <c r="IKA32" s="545"/>
      <c r="IKB32" s="545"/>
      <c r="IKC32" s="545"/>
      <c r="IKD32" s="545"/>
      <c r="IKE32" s="545"/>
      <c r="IKF32" s="545"/>
      <c r="IKG32" s="545"/>
      <c r="IKH32" s="545"/>
      <c r="IKI32" s="545"/>
      <c r="IKJ32" s="545"/>
      <c r="IKK32" s="545"/>
      <c r="IKL32" s="545"/>
      <c r="IKM32" s="545"/>
      <c r="IKN32" s="545"/>
      <c r="IKO32" s="545"/>
      <c r="IKP32" s="545"/>
      <c r="IKQ32" s="545"/>
      <c r="IKR32" s="545"/>
      <c r="IKS32" s="545"/>
      <c r="IKT32" s="545"/>
      <c r="IKU32" s="545"/>
      <c r="IKV32" s="545"/>
      <c r="IKW32" s="545"/>
      <c r="IKX32" s="545"/>
      <c r="IKY32" s="545"/>
      <c r="IKZ32" s="545"/>
      <c r="ILA32" s="545"/>
      <c r="ILB32" s="545"/>
      <c r="ILC32" s="545"/>
      <c r="ILD32" s="545"/>
      <c r="ILE32" s="545"/>
      <c r="ILF32" s="545"/>
      <c r="ILG32" s="545"/>
      <c r="ILH32" s="545"/>
      <c r="ILI32" s="545"/>
      <c r="ILJ32" s="545"/>
      <c r="ILK32" s="545"/>
      <c r="ILL32" s="545"/>
      <c r="ILM32" s="545"/>
      <c r="ILN32" s="545"/>
      <c r="ILO32" s="545"/>
      <c r="ILP32" s="545"/>
      <c r="ILQ32" s="545"/>
      <c r="ILR32" s="545"/>
      <c r="ILS32" s="545"/>
      <c r="ILT32" s="545"/>
      <c r="ILU32" s="545"/>
      <c r="ILV32" s="545"/>
      <c r="ILW32" s="545"/>
      <c r="ILX32" s="545"/>
      <c r="ILY32" s="545"/>
      <c r="ILZ32" s="545"/>
      <c r="IMA32" s="545"/>
      <c r="IMB32" s="545"/>
      <c r="IMC32" s="545"/>
      <c r="IMD32" s="545"/>
      <c r="IME32" s="545"/>
      <c r="IMF32" s="545"/>
      <c r="IMG32" s="545"/>
      <c r="IMH32" s="545"/>
      <c r="IMI32" s="545"/>
      <c r="IMJ32" s="545"/>
      <c r="IMK32" s="545"/>
      <c r="IML32" s="545"/>
      <c r="IMM32" s="545"/>
      <c r="IMN32" s="545"/>
      <c r="IMO32" s="545"/>
      <c r="IMP32" s="545"/>
      <c r="IMQ32" s="545"/>
      <c r="IMR32" s="545"/>
      <c r="IMS32" s="545"/>
      <c r="IMT32" s="545"/>
      <c r="IMU32" s="545"/>
      <c r="IMV32" s="545"/>
      <c r="IMW32" s="545"/>
      <c r="IMX32" s="545"/>
      <c r="IMY32" s="545"/>
      <c r="IMZ32" s="545"/>
      <c r="INA32" s="545"/>
      <c r="INB32" s="545"/>
      <c r="INC32" s="545"/>
      <c r="IND32" s="545"/>
      <c r="INE32" s="545"/>
      <c r="INF32" s="545"/>
      <c r="ING32" s="545"/>
      <c r="INH32" s="545"/>
      <c r="INI32" s="545"/>
      <c r="INJ32" s="545"/>
      <c r="INK32" s="545"/>
      <c r="INL32" s="545"/>
      <c r="INM32" s="545"/>
      <c r="INN32" s="545"/>
      <c r="INO32" s="545"/>
      <c r="INP32" s="545"/>
      <c r="INQ32" s="545"/>
      <c r="INR32" s="545"/>
      <c r="INS32" s="545"/>
      <c r="INT32" s="545"/>
      <c r="INU32" s="545"/>
      <c r="INV32" s="545"/>
      <c r="INW32" s="545"/>
      <c r="INX32" s="545"/>
      <c r="INY32" s="545"/>
      <c r="INZ32" s="545"/>
      <c r="IOA32" s="545"/>
      <c r="IOB32" s="545"/>
      <c r="IOC32" s="545"/>
      <c r="IOD32" s="545"/>
      <c r="IOE32" s="545"/>
      <c r="IOF32" s="545"/>
      <c r="IOG32" s="545"/>
      <c r="IOH32" s="545"/>
      <c r="IOI32" s="545"/>
      <c r="IOJ32" s="545"/>
      <c r="IOK32" s="545"/>
      <c r="IOL32" s="545"/>
      <c r="IOM32" s="545"/>
      <c r="ION32" s="545"/>
      <c r="IOO32" s="545"/>
      <c r="IOP32" s="545"/>
      <c r="IOQ32" s="545"/>
      <c r="IOR32" s="545"/>
      <c r="IOS32" s="545"/>
      <c r="IOT32" s="545"/>
      <c r="IOU32" s="545"/>
      <c r="IOV32" s="545"/>
      <c r="IOW32" s="545"/>
      <c r="IOX32" s="545"/>
      <c r="IOY32" s="545"/>
      <c r="IOZ32" s="545"/>
      <c r="IPA32" s="545"/>
      <c r="IPB32" s="545"/>
      <c r="IPC32" s="545"/>
      <c r="IPD32" s="545"/>
      <c r="IPE32" s="545"/>
      <c r="IPF32" s="545"/>
      <c r="IPG32" s="545"/>
      <c r="IPH32" s="545"/>
      <c r="IPI32" s="545"/>
      <c r="IPJ32" s="545"/>
      <c r="IPK32" s="545"/>
      <c r="IPL32" s="545"/>
      <c r="IPM32" s="545"/>
      <c r="IPN32" s="545"/>
      <c r="IPO32" s="545"/>
      <c r="IPP32" s="545"/>
      <c r="IPQ32" s="545"/>
      <c r="IPR32" s="545"/>
      <c r="IPS32" s="545"/>
      <c r="IPT32" s="545"/>
      <c r="IPU32" s="545"/>
      <c r="IPV32" s="545"/>
      <c r="IPW32" s="545"/>
      <c r="IPX32" s="545"/>
      <c r="IPY32" s="545"/>
      <c r="IPZ32" s="545"/>
      <c r="IQA32" s="545"/>
      <c r="IQB32" s="545"/>
      <c r="IQC32" s="545"/>
      <c r="IQD32" s="545"/>
      <c r="IQE32" s="545"/>
      <c r="IQF32" s="545"/>
      <c r="IQG32" s="545"/>
      <c r="IQH32" s="545"/>
      <c r="IQI32" s="545"/>
      <c r="IQJ32" s="545"/>
      <c r="IQK32" s="545"/>
      <c r="IQL32" s="545"/>
      <c r="IQM32" s="545"/>
      <c r="IQN32" s="545"/>
      <c r="IQO32" s="545"/>
      <c r="IQP32" s="545"/>
      <c r="IQQ32" s="545"/>
      <c r="IQR32" s="545"/>
      <c r="IQS32" s="545"/>
      <c r="IQT32" s="545"/>
      <c r="IQU32" s="545"/>
      <c r="IQV32" s="545"/>
      <c r="IQW32" s="545"/>
      <c r="IQX32" s="545"/>
      <c r="IQY32" s="545"/>
      <c r="IQZ32" s="545"/>
      <c r="IRA32" s="545"/>
      <c r="IRB32" s="545"/>
      <c r="IRC32" s="545"/>
      <c r="IRD32" s="545"/>
      <c r="IRE32" s="545"/>
      <c r="IRF32" s="545"/>
      <c r="IRG32" s="545"/>
      <c r="IRH32" s="545"/>
      <c r="IRI32" s="545"/>
      <c r="IRJ32" s="545"/>
      <c r="IRK32" s="545"/>
      <c r="IRL32" s="545"/>
      <c r="IRM32" s="545"/>
      <c r="IRN32" s="545"/>
      <c r="IRO32" s="545"/>
      <c r="IRP32" s="545"/>
      <c r="IRQ32" s="545"/>
      <c r="IRR32" s="545"/>
      <c r="IRS32" s="545"/>
      <c r="IRT32" s="545"/>
      <c r="IRU32" s="545"/>
      <c r="IRV32" s="545"/>
      <c r="IRW32" s="545"/>
      <c r="IRX32" s="545"/>
      <c r="IRY32" s="545"/>
      <c r="IRZ32" s="545"/>
      <c r="ISA32" s="545"/>
      <c r="ISB32" s="545"/>
      <c r="ISC32" s="545"/>
      <c r="ISD32" s="545"/>
      <c r="ISE32" s="545"/>
      <c r="ISF32" s="545"/>
      <c r="ISG32" s="545"/>
      <c r="ISH32" s="545"/>
      <c r="ISI32" s="545"/>
      <c r="ISJ32" s="545"/>
      <c r="ISK32" s="545"/>
      <c r="ISL32" s="545"/>
      <c r="ISM32" s="545"/>
      <c r="ISN32" s="545"/>
      <c r="ISO32" s="545"/>
      <c r="ISP32" s="545"/>
      <c r="ISQ32" s="545"/>
      <c r="ISR32" s="545"/>
      <c r="ISS32" s="545"/>
      <c r="IST32" s="545"/>
      <c r="ISU32" s="545"/>
      <c r="ISV32" s="545"/>
      <c r="ISW32" s="545"/>
      <c r="ISX32" s="545"/>
      <c r="ISY32" s="545"/>
      <c r="ISZ32" s="545"/>
      <c r="ITA32" s="545"/>
      <c r="ITB32" s="545"/>
      <c r="ITC32" s="545"/>
      <c r="ITD32" s="545"/>
      <c r="ITE32" s="545"/>
      <c r="ITF32" s="545"/>
      <c r="ITG32" s="545"/>
      <c r="ITH32" s="545"/>
      <c r="ITI32" s="545"/>
      <c r="ITJ32" s="545"/>
      <c r="ITK32" s="545"/>
      <c r="ITL32" s="545"/>
      <c r="ITM32" s="545"/>
      <c r="ITN32" s="545"/>
      <c r="ITO32" s="545"/>
      <c r="ITP32" s="545"/>
      <c r="ITQ32" s="545"/>
      <c r="ITR32" s="545"/>
      <c r="ITS32" s="545"/>
      <c r="ITT32" s="545"/>
      <c r="ITU32" s="545"/>
      <c r="ITV32" s="545"/>
      <c r="ITW32" s="545"/>
      <c r="ITX32" s="545"/>
      <c r="ITY32" s="545"/>
      <c r="ITZ32" s="545"/>
      <c r="IUA32" s="545"/>
      <c r="IUB32" s="545"/>
      <c r="IUC32" s="545"/>
      <c r="IUD32" s="545"/>
      <c r="IUE32" s="545"/>
      <c r="IUF32" s="545"/>
      <c r="IUG32" s="545"/>
      <c r="IUH32" s="545"/>
      <c r="IUI32" s="545"/>
      <c r="IUJ32" s="545"/>
      <c r="IUK32" s="545"/>
      <c r="IUL32" s="545"/>
      <c r="IUM32" s="545"/>
      <c r="IUN32" s="545"/>
      <c r="IUO32" s="545"/>
      <c r="IUP32" s="545"/>
      <c r="IUQ32" s="545"/>
      <c r="IUR32" s="545"/>
      <c r="IUS32" s="545"/>
      <c r="IUT32" s="545"/>
      <c r="IUU32" s="545"/>
      <c r="IUV32" s="545"/>
      <c r="IUW32" s="545"/>
      <c r="IUX32" s="545"/>
      <c r="IUY32" s="545"/>
      <c r="IUZ32" s="545"/>
      <c r="IVA32" s="545"/>
      <c r="IVB32" s="545"/>
      <c r="IVC32" s="545"/>
      <c r="IVD32" s="545"/>
      <c r="IVE32" s="545"/>
      <c r="IVF32" s="545"/>
      <c r="IVG32" s="545"/>
      <c r="IVH32" s="545"/>
      <c r="IVI32" s="545"/>
      <c r="IVJ32" s="545"/>
      <c r="IVK32" s="545"/>
      <c r="IVL32" s="545"/>
      <c r="IVM32" s="545"/>
      <c r="IVN32" s="545"/>
      <c r="IVO32" s="545"/>
      <c r="IVP32" s="545"/>
      <c r="IVQ32" s="545"/>
      <c r="IVR32" s="545"/>
      <c r="IVS32" s="545"/>
      <c r="IVT32" s="545"/>
      <c r="IVU32" s="545"/>
      <c r="IVV32" s="545"/>
      <c r="IVW32" s="545"/>
      <c r="IVX32" s="545"/>
      <c r="IVY32" s="545"/>
      <c r="IVZ32" s="545"/>
      <c r="IWA32" s="545"/>
      <c r="IWB32" s="545"/>
      <c r="IWC32" s="545"/>
      <c r="IWD32" s="545"/>
      <c r="IWE32" s="545"/>
      <c r="IWF32" s="545"/>
      <c r="IWG32" s="545"/>
      <c r="IWH32" s="545"/>
      <c r="IWI32" s="545"/>
      <c r="IWJ32" s="545"/>
      <c r="IWK32" s="545"/>
      <c r="IWL32" s="545"/>
      <c r="IWM32" s="545"/>
      <c r="IWN32" s="545"/>
      <c r="IWO32" s="545"/>
      <c r="IWP32" s="545"/>
      <c r="IWQ32" s="545"/>
      <c r="IWR32" s="545"/>
      <c r="IWS32" s="545"/>
      <c r="IWT32" s="545"/>
      <c r="IWU32" s="545"/>
      <c r="IWV32" s="545"/>
      <c r="IWW32" s="545"/>
      <c r="IWX32" s="545"/>
      <c r="IWY32" s="545"/>
      <c r="IWZ32" s="545"/>
      <c r="IXA32" s="545"/>
      <c r="IXB32" s="545"/>
      <c r="IXC32" s="545"/>
      <c r="IXD32" s="545"/>
      <c r="IXE32" s="545"/>
      <c r="IXF32" s="545"/>
      <c r="IXG32" s="545"/>
      <c r="IXH32" s="545"/>
      <c r="IXI32" s="545"/>
      <c r="IXJ32" s="545"/>
      <c r="IXK32" s="545"/>
      <c r="IXL32" s="545"/>
      <c r="IXM32" s="545"/>
      <c r="IXN32" s="545"/>
      <c r="IXO32" s="545"/>
      <c r="IXP32" s="545"/>
      <c r="IXQ32" s="545"/>
      <c r="IXR32" s="545"/>
      <c r="IXS32" s="545"/>
      <c r="IXT32" s="545"/>
      <c r="IXU32" s="545"/>
      <c r="IXV32" s="545"/>
      <c r="IXW32" s="545"/>
      <c r="IXX32" s="545"/>
      <c r="IXY32" s="545"/>
      <c r="IXZ32" s="545"/>
      <c r="IYA32" s="545"/>
      <c r="IYB32" s="545"/>
      <c r="IYC32" s="545"/>
      <c r="IYD32" s="545"/>
      <c r="IYE32" s="545"/>
      <c r="IYF32" s="545"/>
      <c r="IYG32" s="545"/>
      <c r="IYH32" s="545"/>
      <c r="IYI32" s="545"/>
      <c r="IYJ32" s="545"/>
      <c r="IYK32" s="545"/>
      <c r="IYL32" s="545"/>
      <c r="IYM32" s="545"/>
      <c r="IYN32" s="545"/>
      <c r="IYO32" s="545"/>
      <c r="IYP32" s="545"/>
      <c r="IYQ32" s="545"/>
      <c r="IYR32" s="545"/>
      <c r="IYS32" s="545"/>
      <c r="IYT32" s="545"/>
      <c r="IYU32" s="545"/>
      <c r="IYV32" s="545"/>
      <c r="IYW32" s="545"/>
      <c r="IYX32" s="545"/>
      <c r="IYY32" s="545"/>
      <c r="IYZ32" s="545"/>
      <c r="IZA32" s="545"/>
      <c r="IZB32" s="545"/>
      <c r="IZC32" s="545"/>
      <c r="IZD32" s="545"/>
      <c r="IZE32" s="545"/>
      <c r="IZF32" s="545"/>
      <c r="IZG32" s="545"/>
      <c r="IZH32" s="545"/>
      <c r="IZI32" s="545"/>
      <c r="IZJ32" s="545"/>
      <c r="IZK32" s="545"/>
      <c r="IZL32" s="545"/>
      <c r="IZM32" s="545"/>
      <c r="IZN32" s="545"/>
      <c r="IZO32" s="545"/>
      <c r="IZP32" s="545"/>
      <c r="IZQ32" s="545"/>
      <c r="IZR32" s="545"/>
      <c r="IZS32" s="545"/>
      <c r="IZT32" s="545"/>
      <c r="IZU32" s="545"/>
      <c r="IZV32" s="545"/>
      <c r="IZW32" s="545"/>
      <c r="IZX32" s="545"/>
      <c r="IZY32" s="545"/>
      <c r="IZZ32" s="545"/>
      <c r="JAA32" s="545"/>
      <c r="JAB32" s="545"/>
      <c r="JAC32" s="545"/>
      <c r="JAD32" s="545"/>
      <c r="JAE32" s="545"/>
      <c r="JAF32" s="545"/>
      <c r="JAG32" s="545"/>
      <c r="JAH32" s="545"/>
      <c r="JAI32" s="545"/>
      <c r="JAJ32" s="545"/>
      <c r="JAK32" s="545"/>
      <c r="JAL32" s="545"/>
      <c r="JAM32" s="545"/>
      <c r="JAN32" s="545"/>
      <c r="JAO32" s="545"/>
      <c r="JAP32" s="545"/>
      <c r="JAQ32" s="545"/>
      <c r="JAR32" s="545"/>
      <c r="JAS32" s="545"/>
      <c r="JAT32" s="545"/>
      <c r="JAU32" s="545"/>
      <c r="JAV32" s="545"/>
      <c r="JAW32" s="545"/>
      <c r="JAX32" s="545"/>
      <c r="JAY32" s="545"/>
      <c r="JAZ32" s="545"/>
      <c r="JBA32" s="545"/>
      <c r="JBB32" s="545"/>
      <c r="JBC32" s="545"/>
      <c r="JBD32" s="545"/>
      <c r="JBE32" s="545"/>
      <c r="JBF32" s="545"/>
      <c r="JBG32" s="545"/>
      <c r="JBH32" s="545"/>
      <c r="JBI32" s="545"/>
      <c r="JBJ32" s="545"/>
      <c r="JBK32" s="545"/>
      <c r="JBL32" s="545"/>
      <c r="JBM32" s="545"/>
      <c r="JBN32" s="545"/>
      <c r="JBO32" s="545"/>
      <c r="JBP32" s="545"/>
      <c r="JBQ32" s="545"/>
      <c r="JBR32" s="545"/>
      <c r="JBS32" s="545"/>
      <c r="JBT32" s="545"/>
      <c r="JBU32" s="545"/>
      <c r="JBV32" s="545"/>
      <c r="JBW32" s="545"/>
      <c r="JBX32" s="545"/>
      <c r="JBY32" s="545"/>
      <c r="JBZ32" s="545"/>
      <c r="JCA32" s="545"/>
      <c r="JCB32" s="545"/>
      <c r="JCC32" s="545"/>
      <c r="JCD32" s="545"/>
      <c r="JCE32" s="545"/>
      <c r="JCF32" s="545"/>
      <c r="JCG32" s="545"/>
      <c r="JCH32" s="545"/>
      <c r="JCI32" s="545"/>
      <c r="JCJ32" s="545"/>
      <c r="JCK32" s="545"/>
      <c r="JCL32" s="545"/>
      <c r="JCM32" s="545"/>
      <c r="JCN32" s="545"/>
      <c r="JCO32" s="545"/>
      <c r="JCP32" s="545"/>
      <c r="JCQ32" s="545"/>
      <c r="JCR32" s="545"/>
      <c r="JCS32" s="545"/>
      <c r="JCT32" s="545"/>
      <c r="JCU32" s="545"/>
      <c r="JCV32" s="545"/>
      <c r="JCW32" s="545"/>
      <c r="JCX32" s="545"/>
      <c r="JCY32" s="545"/>
      <c r="JCZ32" s="545"/>
      <c r="JDA32" s="545"/>
      <c r="JDB32" s="545"/>
      <c r="JDC32" s="545"/>
      <c r="JDD32" s="545"/>
      <c r="JDE32" s="545"/>
      <c r="JDF32" s="545"/>
      <c r="JDG32" s="545"/>
      <c r="JDH32" s="545"/>
      <c r="JDI32" s="545"/>
      <c r="JDJ32" s="545"/>
      <c r="JDK32" s="545"/>
      <c r="JDL32" s="545"/>
      <c r="JDM32" s="545"/>
      <c r="JDN32" s="545"/>
      <c r="JDO32" s="545"/>
      <c r="JDP32" s="545"/>
      <c r="JDQ32" s="545"/>
      <c r="JDR32" s="545"/>
      <c r="JDS32" s="545"/>
      <c r="JDT32" s="545"/>
      <c r="JDU32" s="545"/>
      <c r="JDV32" s="545"/>
      <c r="JDW32" s="545"/>
      <c r="JDX32" s="545"/>
      <c r="JDY32" s="545"/>
      <c r="JDZ32" s="545"/>
      <c r="JEA32" s="545"/>
      <c r="JEB32" s="545"/>
      <c r="JEC32" s="545"/>
      <c r="JED32" s="545"/>
      <c r="JEE32" s="545"/>
      <c r="JEF32" s="545"/>
      <c r="JEG32" s="545"/>
      <c r="JEH32" s="545"/>
      <c r="JEI32" s="545"/>
      <c r="JEJ32" s="545"/>
      <c r="JEK32" s="545"/>
      <c r="JEL32" s="545"/>
      <c r="JEM32" s="545"/>
      <c r="JEN32" s="545"/>
      <c r="JEO32" s="545"/>
      <c r="JEP32" s="545"/>
      <c r="JEQ32" s="545"/>
      <c r="JER32" s="545"/>
      <c r="JES32" s="545"/>
      <c r="JET32" s="545"/>
      <c r="JEU32" s="545"/>
      <c r="JEV32" s="545"/>
      <c r="JEW32" s="545"/>
      <c r="JEX32" s="545"/>
      <c r="JEY32" s="545"/>
      <c r="JEZ32" s="545"/>
      <c r="JFA32" s="545"/>
      <c r="JFB32" s="545"/>
      <c r="JFC32" s="545"/>
      <c r="JFD32" s="545"/>
      <c r="JFE32" s="545"/>
      <c r="JFF32" s="545"/>
      <c r="JFG32" s="545"/>
      <c r="JFH32" s="545"/>
      <c r="JFI32" s="545"/>
      <c r="JFJ32" s="545"/>
      <c r="JFK32" s="545"/>
      <c r="JFL32" s="545"/>
      <c r="JFM32" s="545"/>
      <c r="JFN32" s="545"/>
      <c r="JFO32" s="545"/>
      <c r="JFP32" s="545"/>
      <c r="JFQ32" s="545"/>
      <c r="JFR32" s="545"/>
      <c r="JFS32" s="545"/>
      <c r="JFT32" s="545"/>
      <c r="JFU32" s="545"/>
      <c r="JFV32" s="545"/>
      <c r="JFW32" s="545"/>
      <c r="JFX32" s="545"/>
      <c r="JFY32" s="545"/>
      <c r="JFZ32" s="545"/>
      <c r="JGA32" s="545"/>
      <c r="JGB32" s="545"/>
      <c r="JGC32" s="545"/>
      <c r="JGD32" s="545"/>
      <c r="JGE32" s="545"/>
      <c r="JGF32" s="545"/>
      <c r="JGG32" s="545"/>
      <c r="JGH32" s="545"/>
      <c r="JGI32" s="545"/>
      <c r="JGJ32" s="545"/>
      <c r="JGK32" s="545"/>
      <c r="JGL32" s="545"/>
      <c r="JGM32" s="545"/>
      <c r="JGN32" s="545"/>
      <c r="JGO32" s="545"/>
      <c r="JGP32" s="545"/>
      <c r="JGQ32" s="545"/>
      <c r="JGR32" s="545"/>
      <c r="JGS32" s="545"/>
      <c r="JGT32" s="545"/>
      <c r="JGU32" s="545"/>
      <c r="JGV32" s="545"/>
      <c r="JGW32" s="545"/>
      <c r="JGX32" s="545"/>
      <c r="JGY32" s="545"/>
      <c r="JGZ32" s="545"/>
      <c r="JHA32" s="545"/>
      <c r="JHB32" s="545"/>
      <c r="JHC32" s="545"/>
      <c r="JHD32" s="545"/>
      <c r="JHE32" s="545"/>
      <c r="JHF32" s="545"/>
      <c r="JHG32" s="545"/>
      <c r="JHH32" s="545"/>
      <c r="JHI32" s="545"/>
      <c r="JHJ32" s="545"/>
      <c r="JHK32" s="545"/>
      <c r="JHL32" s="545"/>
      <c r="JHM32" s="545"/>
      <c r="JHN32" s="545"/>
      <c r="JHO32" s="545"/>
      <c r="JHP32" s="545"/>
      <c r="JHQ32" s="545"/>
      <c r="JHR32" s="545"/>
      <c r="JHS32" s="545"/>
      <c r="JHT32" s="545"/>
      <c r="JHU32" s="545"/>
      <c r="JHV32" s="545"/>
      <c r="JHW32" s="545"/>
      <c r="JHX32" s="545"/>
      <c r="JHY32" s="545"/>
      <c r="JHZ32" s="545"/>
      <c r="JIA32" s="545"/>
      <c r="JIB32" s="545"/>
      <c r="JIC32" s="545"/>
      <c r="JID32" s="545"/>
      <c r="JIE32" s="545"/>
      <c r="JIF32" s="545"/>
      <c r="JIG32" s="545"/>
      <c r="JIH32" s="545"/>
      <c r="JII32" s="545"/>
      <c r="JIJ32" s="545"/>
      <c r="JIK32" s="545"/>
      <c r="JIL32" s="545"/>
      <c r="JIM32" s="545"/>
      <c r="JIN32" s="545"/>
      <c r="JIO32" s="545"/>
      <c r="JIP32" s="545"/>
      <c r="JIQ32" s="545"/>
      <c r="JIR32" s="545"/>
      <c r="JIS32" s="545"/>
      <c r="JIT32" s="545"/>
      <c r="JIU32" s="545"/>
      <c r="JIV32" s="545"/>
      <c r="JIW32" s="545"/>
      <c r="JIX32" s="545"/>
      <c r="JIY32" s="545"/>
      <c r="JIZ32" s="545"/>
      <c r="JJA32" s="545"/>
      <c r="JJB32" s="545"/>
      <c r="JJC32" s="545"/>
      <c r="JJD32" s="545"/>
      <c r="JJE32" s="545"/>
      <c r="JJF32" s="545"/>
      <c r="JJG32" s="545"/>
      <c r="JJH32" s="545"/>
      <c r="JJI32" s="545"/>
      <c r="JJJ32" s="545"/>
      <c r="JJK32" s="545"/>
      <c r="JJL32" s="545"/>
      <c r="JJM32" s="545"/>
      <c r="JJN32" s="545"/>
      <c r="JJO32" s="545"/>
      <c r="JJP32" s="545"/>
      <c r="JJQ32" s="545"/>
      <c r="JJR32" s="545"/>
      <c r="JJS32" s="545"/>
      <c r="JJT32" s="545"/>
      <c r="JJU32" s="545"/>
      <c r="JJV32" s="545"/>
      <c r="JJW32" s="545"/>
      <c r="JJX32" s="545"/>
      <c r="JJY32" s="545"/>
      <c r="JJZ32" s="545"/>
      <c r="JKA32" s="545"/>
      <c r="JKB32" s="545"/>
      <c r="JKC32" s="545"/>
      <c r="JKD32" s="545"/>
      <c r="JKE32" s="545"/>
      <c r="JKF32" s="545"/>
      <c r="JKG32" s="545"/>
      <c r="JKH32" s="545"/>
      <c r="JKI32" s="545"/>
      <c r="JKJ32" s="545"/>
      <c r="JKK32" s="545"/>
      <c r="JKL32" s="545"/>
      <c r="JKM32" s="545"/>
      <c r="JKN32" s="545"/>
      <c r="JKO32" s="545"/>
      <c r="JKP32" s="545"/>
      <c r="JKQ32" s="545"/>
      <c r="JKR32" s="545"/>
      <c r="JKS32" s="545"/>
      <c r="JKT32" s="545"/>
      <c r="JKU32" s="545"/>
      <c r="JKV32" s="545"/>
      <c r="JKW32" s="545"/>
      <c r="JKX32" s="545"/>
      <c r="JKY32" s="545"/>
      <c r="JKZ32" s="545"/>
      <c r="JLA32" s="545"/>
      <c r="JLB32" s="545"/>
      <c r="JLC32" s="545"/>
      <c r="JLD32" s="545"/>
      <c r="JLE32" s="545"/>
      <c r="JLF32" s="545"/>
      <c r="JLG32" s="545"/>
      <c r="JLH32" s="545"/>
      <c r="JLI32" s="545"/>
      <c r="JLJ32" s="545"/>
      <c r="JLK32" s="545"/>
      <c r="JLL32" s="545"/>
      <c r="JLM32" s="545"/>
      <c r="JLN32" s="545"/>
      <c r="JLO32" s="545"/>
      <c r="JLP32" s="545"/>
      <c r="JLQ32" s="545"/>
      <c r="JLR32" s="545"/>
      <c r="JLS32" s="545"/>
      <c r="JLT32" s="545"/>
      <c r="JLU32" s="545"/>
      <c r="JLV32" s="545"/>
      <c r="JLW32" s="545"/>
      <c r="JLX32" s="545"/>
      <c r="JLY32" s="545"/>
      <c r="JLZ32" s="545"/>
      <c r="JMA32" s="545"/>
      <c r="JMB32" s="545"/>
      <c r="JMC32" s="545"/>
      <c r="JMD32" s="545"/>
      <c r="JME32" s="545"/>
      <c r="JMF32" s="545"/>
      <c r="JMG32" s="545"/>
      <c r="JMH32" s="545"/>
      <c r="JMI32" s="545"/>
      <c r="JMJ32" s="545"/>
      <c r="JMK32" s="545"/>
      <c r="JML32" s="545"/>
      <c r="JMM32" s="545"/>
      <c r="JMN32" s="545"/>
      <c r="JMO32" s="545"/>
      <c r="JMP32" s="545"/>
      <c r="JMQ32" s="545"/>
      <c r="JMR32" s="545"/>
      <c r="JMS32" s="545"/>
      <c r="JMT32" s="545"/>
      <c r="JMU32" s="545"/>
      <c r="JMV32" s="545"/>
      <c r="JMW32" s="545"/>
      <c r="JMX32" s="545"/>
      <c r="JMY32" s="545"/>
      <c r="JMZ32" s="545"/>
      <c r="JNA32" s="545"/>
      <c r="JNB32" s="545"/>
      <c r="JNC32" s="545"/>
      <c r="JND32" s="545"/>
      <c r="JNE32" s="545"/>
      <c r="JNF32" s="545"/>
      <c r="JNG32" s="545"/>
      <c r="JNH32" s="545"/>
      <c r="JNI32" s="545"/>
      <c r="JNJ32" s="545"/>
      <c r="JNK32" s="545"/>
      <c r="JNL32" s="545"/>
      <c r="JNM32" s="545"/>
      <c r="JNN32" s="545"/>
      <c r="JNO32" s="545"/>
      <c r="JNP32" s="545"/>
      <c r="JNQ32" s="545"/>
      <c r="JNR32" s="545"/>
      <c r="JNS32" s="545"/>
      <c r="JNT32" s="545"/>
      <c r="JNU32" s="545"/>
      <c r="JNV32" s="545"/>
      <c r="JNW32" s="545"/>
      <c r="JNX32" s="545"/>
      <c r="JNY32" s="545"/>
      <c r="JNZ32" s="545"/>
      <c r="JOA32" s="545"/>
      <c r="JOB32" s="545"/>
      <c r="JOC32" s="545"/>
      <c r="JOD32" s="545"/>
      <c r="JOE32" s="545"/>
      <c r="JOF32" s="545"/>
      <c r="JOG32" s="545"/>
      <c r="JOH32" s="545"/>
      <c r="JOI32" s="545"/>
      <c r="JOJ32" s="545"/>
      <c r="JOK32" s="545"/>
      <c r="JOL32" s="545"/>
      <c r="JOM32" s="545"/>
      <c r="JON32" s="545"/>
      <c r="JOO32" s="545"/>
      <c r="JOP32" s="545"/>
      <c r="JOQ32" s="545"/>
      <c r="JOR32" s="545"/>
      <c r="JOS32" s="545"/>
      <c r="JOT32" s="545"/>
      <c r="JOU32" s="545"/>
      <c r="JOV32" s="545"/>
      <c r="JOW32" s="545"/>
      <c r="JOX32" s="545"/>
      <c r="JOY32" s="545"/>
      <c r="JOZ32" s="545"/>
      <c r="JPA32" s="545"/>
      <c r="JPB32" s="545"/>
      <c r="JPC32" s="545"/>
      <c r="JPD32" s="545"/>
      <c r="JPE32" s="545"/>
      <c r="JPF32" s="545"/>
      <c r="JPG32" s="545"/>
      <c r="JPH32" s="545"/>
      <c r="JPI32" s="545"/>
      <c r="JPJ32" s="545"/>
      <c r="JPK32" s="545"/>
      <c r="JPL32" s="545"/>
      <c r="JPM32" s="545"/>
      <c r="JPN32" s="545"/>
      <c r="JPO32" s="545"/>
      <c r="JPP32" s="545"/>
      <c r="JPQ32" s="545"/>
      <c r="JPR32" s="545"/>
      <c r="JPS32" s="545"/>
      <c r="JPT32" s="545"/>
      <c r="JPU32" s="545"/>
      <c r="JPV32" s="545"/>
      <c r="JPW32" s="545"/>
      <c r="JPX32" s="545"/>
      <c r="JPY32" s="545"/>
      <c r="JPZ32" s="545"/>
      <c r="JQA32" s="545"/>
      <c r="JQB32" s="545"/>
      <c r="JQC32" s="545"/>
      <c r="JQD32" s="545"/>
      <c r="JQE32" s="545"/>
      <c r="JQF32" s="545"/>
      <c r="JQG32" s="545"/>
      <c r="JQH32" s="545"/>
      <c r="JQI32" s="545"/>
      <c r="JQJ32" s="545"/>
      <c r="JQK32" s="545"/>
      <c r="JQL32" s="545"/>
      <c r="JQM32" s="545"/>
      <c r="JQN32" s="545"/>
      <c r="JQO32" s="545"/>
      <c r="JQP32" s="545"/>
      <c r="JQQ32" s="545"/>
      <c r="JQR32" s="545"/>
      <c r="JQS32" s="545"/>
      <c r="JQT32" s="545"/>
      <c r="JQU32" s="545"/>
      <c r="JQV32" s="545"/>
      <c r="JQW32" s="545"/>
      <c r="JQX32" s="545"/>
      <c r="JQY32" s="545"/>
      <c r="JQZ32" s="545"/>
      <c r="JRA32" s="545"/>
      <c r="JRB32" s="545"/>
      <c r="JRC32" s="545"/>
      <c r="JRD32" s="545"/>
      <c r="JRE32" s="545"/>
      <c r="JRF32" s="545"/>
      <c r="JRG32" s="545"/>
      <c r="JRH32" s="545"/>
      <c r="JRI32" s="545"/>
      <c r="JRJ32" s="545"/>
      <c r="JRK32" s="545"/>
      <c r="JRL32" s="545"/>
      <c r="JRM32" s="545"/>
      <c r="JRN32" s="545"/>
      <c r="JRO32" s="545"/>
      <c r="JRP32" s="545"/>
      <c r="JRQ32" s="545"/>
      <c r="JRR32" s="545"/>
      <c r="JRS32" s="545"/>
      <c r="JRT32" s="545"/>
      <c r="JRU32" s="545"/>
      <c r="JRV32" s="545"/>
      <c r="JRW32" s="545"/>
      <c r="JRX32" s="545"/>
      <c r="JRY32" s="545"/>
      <c r="JRZ32" s="545"/>
      <c r="JSA32" s="545"/>
      <c r="JSB32" s="545"/>
      <c r="JSC32" s="545"/>
      <c r="JSD32" s="545"/>
      <c r="JSE32" s="545"/>
      <c r="JSF32" s="545"/>
      <c r="JSG32" s="545"/>
      <c r="JSH32" s="545"/>
      <c r="JSI32" s="545"/>
      <c r="JSJ32" s="545"/>
      <c r="JSK32" s="545"/>
      <c r="JSL32" s="545"/>
      <c r="JSM32" s="545"/>
      <c r="JSN32" s="545"/>
      <c r="JSO32" s="545"/>
      <c r="JSP32" s="545"/>
      <c r="JSQ32" s="545"/>
      <c r="JSR32" s="545"/>
      <c r="JSS32" s="545"/>
      <c r="JST32" s="545"/>
      <c r="JSU32" s="545"/>
      <c r="JSV32" s="545"/>
      <c r="JSW32" s="545"/>
      <c r="JSX32" s="545"/>
      <c r="JSY32" s="545"/>
      <c r="JSZ32" s="545"/>
      <c r="JTA32" s="545"/>
      <c r="JTB32" s="545"/>
      <c r="JTC32" s="545"/>
      <c r="JTD32" s="545"/>
      <c r="JTE32" s="545"/>
      <c r="JTF32" s="545"/>
      <c r="JTG32" s="545"/>
      <c r="JTH32" s="545"/>
      <c r="JTI32" s="545"/>
      <c r="JTJ32" s="545"/>
      <c r="JTK32" s="545"/>
      <c r="JTL32" s="545"/>
      <c r="JTM32" s="545"/>
      <c r="JTN32" s="545"/>
      <c r="JTO32" s="545"/>
      <c r="JTP32" s="545"/>
      <c r="JTQ32" s="545"/>
      <c r="JTR32" s="545"/>
      <c r="JTS32" s="545"/>
      <c r="JTT32" s="545"/>
      <c r="JTU32" s="545"/>
      <c r="JTV32" s="545"/>
      <c r="JTW32" s="545"/>
      <c r="JTX32" s="545"/>
      <c r="JTY32" s="545"/>
      <c r="JTZ32" s="545"/>
      <c r="JUA32" s="545"/>
      <c r="JUB32" s="545"/>
      <c r="JUC32" s="545"/>
      <c r="JUD32" s="545"/>
      <c r="JUE32" s="545"/>
      <c r="JUF32" s="545"/>
      <c r="JUG32" s="545"/>
      <c r="JUH32" s="545"/>
      <c r="JUI32" s="545"/>
      <c r="JUJ32" s="545"/>
      <c r="JUK32" s="545"/>
      <c r="JUL32" s="545"/>
      <c r="JUM32" s="545"/>
      <c r="JUN32" s="545"/>
      <c r="JUO32" s="545"/>
      <c r="JUP32" s="545"/>
      <c r="JUQ32" s="545"/>
      <c r="JUR32" s="545"/>
      <c r="JUS32" s="545"/>
      <c r="JUT32" s="545"/>
      <c r="JUU32" s="545"/>
      <c r="JUV32" s="545"/>
      <c r="JUW32" s="545"/>
      <c r="JUX32" s="545"/>
      <c r="JUY32" s="545"/>
      <c r="JUZ32" s="545"/>
      <c r="JVA32" s="545"/>
      <c r="JVB32" s="545"/>
      <c r="JVC32" s="545"/>
      <c r="JVD32" s="545"/>
      <c r="JVE32" s="545"/>
      <c r="JVF32" s="545"/>
      <c r="JVG32" s="545"/>
      <c r="JVH32" s="545"/>
      <c r="JVI32" s="545"/>
      <c r="JVJ32" s="545"/>
      <c r="JVK32" s="545"/>
      <c r="JVL32" s="545"/>
      <c r="JVM32" s="545"/>
      <c r="JVN32" s="545"/>
      <c r="JVO32" s="545"/>
      <c r="JVP32" s="545"/>
      <c r="JVQ32" s="545"/>
      <c r="JVR32" s="545"/>
      <c r="JVS32" s="545"/>
      <c r="JVT32" s="545"/>
      <c r="JVU32" s="545"/>
      <c r="JVV32" s="545"/>
      <c r="JVW32" s="545"/>
      <c r="JVX32" s="545"/>
      <c r="JVY32" s="545"/>
      <c r="JVZ32" s="545"/>
      <c r="JWA32" s="545"/>
      <c r="JWB32" s="545"/>
      <c r="JWC32" s="545"/>
      <c r="JWD32" s="545"/>
      <c r="JWE32" s="545"/>
      <c r="JWF32" s="545"/>
      <c r="JWG32" s="545"/>
      <c r="JWH32" s="545"/>
      <c r="JWI32" s="545"/>
      <c r="JWJ32" s="545"/>
      <c r="JWK32" s="545"/>
      <c r="JWL32" s="545"/>
      <c r="JWM32" s="545"/>
      <c r="JWN32" s="545"/>
      <c r="JWO32" s="545"/>
      <c r="JWP32" s="545"/>
      <c r="JWQ32" s="545"/>
      <c r="JWR32" s="545"/>
      <c r="JWS32" s="545"/>
      <c r="JWT32" s="545"/>
      <c r="JWU32" s="545"/>
      <c r="JWV32" s="545"/>
      <c r="JWW32" s="545"/>
      <c r="JWX32" s="545"/>
      <c r="JWY32" s="545"/>
      <c r="JWZ32" s="545"/>
      <c r="JXA32" s="545"/>
      <c r="JXB32" s="545"/>
      <c r="JXC32" s="545"/>
      <c r="JXD32" s="545"/>
      <c r="JXE32" s="545"/>
      <c r="JXF32" s="545"/>
      <c r="JXG32" s="545"/>
      <c r="JXH32" s="545"/>
      <c r="JXI32" s="545"/>
      <c r="JXJ32" s="545"/>
      <c r="JXK32" s="545"/>
      <c r="JXL32" s="545"/>
      <c r="JXM32" s="545"/>
      <c r="JXN32" s="545"/>
      <c r="JXO32" s="545"/>
      <c r="JXP32" s="545"/>
      <c r="JXQ32" s="545"/>
      <c r="JXR32" s="545"/>
      <c r="JXS32" s="545"/>
      <c r="JXT32" s="545"/>
      <c r="JXU32" s="545"/>
      <c r="JXV32" s="545"/>
      <c r="JXW32" s="545"/>
      <c r="JXX32" s="545"/>
      <c r="JXY32" s="545"/>
      <c r="JXZ32" s="545"/>
      <c r="JYA32" s="545"/>
      <c r="JYB32" s="545"/>
      <c r="JYC32" s="545"/>
      <c r="JYD32" s="545"/>
      <c r="JYE32" s="545"/>
      <c r="JYF32" s="545"/>
      <c r="JYG32" s="545"/>
      <c r="JYH32" s="545"/>
      <c r="JYI32" s="545"/>
      <c r="JYJ32" s="545"/>
      <c r="JYK32" s="545"/>
      <c r="JYL32" s="545"/>
      <c r="JYM32" s="545"/>
      <c r="JYN32" s="545"/>
      <c r="JYO32" s="545"/>
      <c r="JYP32" s="545"/>
      <c r="JYQ32" s="545"/>
      <c r="JYR32" s="545"/>
      <c r="JYS32" s="545"/>
      <c r="JYT32" s="545"/>
      <c r="JYU32" s="545"/>
      <c r="JYV32" s="545"/>
      <c r="JYW32" s="545"/>
      <c r="JYX32" s="545"/>
      <c r="JYY32" s="545"/>
      <c r="JYZ32" s="545"/>
      <c r="JZA32" s="545"/>
      <c r="JZB32" s="545"/>
      <c r="JZC32" s="545"/>
      <c r="JZD32" s="545"/>
      <c r="JZE32" s="545"/>
      <c r="JZF32" s="545"/>
      <c r="JZG32" s="545"/>
      <c r="JZH32" s="545"/>
      <c r="JZI32" s="545"/>
      <c r="JZJ32" s="545"/>
      <c r="JZK32" s="545"/>
      <c r="JZL32" s="545"/>
      <c r="JZM32" s="545"/>
      <c r="JZN32" s="545"/>
      <c r="JZO32" s="545"/>
      <c r="JZP32" s="545"/>
      <c r="JZQ32" s="545"/>
      <c r="JZR32" s="545"/>
      <c r="JZS32" s="545"/>
      <c r="JZT32" s="545"/>
      <c r="JZU32" s="545"/>
      <c r="JZV32" s="545"/>
      <c r="JZW32" s="545"/>
      <c r="JZX32" s="545"/>
      <c r="JZY32" s="545"/>
      <c r="JZZ32" s="545"/>
      <c r="KAA32" s="545"/>
      <c r="KAB32" s="545"/>
      <c r="KAC32" s="545"/>
      <c r="KAD32" s="545"/>
      <c r="KAE32" s="545"/>
      <c r="KAF32" s="545"/>
      <c r="KAG32" s="545"/>
      <c r="KAH32" s="545"/>
      <c r="KAI32" s="545"/>
      <c r="KAJ32" s="545"/>
      <c r="KAK32" s="545"/>
      <c r="KAL32" s="545"/>
      <c r="KAM32" s="545"/>
      <c r="KAN32" s="545"/>
      <c r="KAO32" s="545"/>
      <c r="KAP32" s="545"/>
      <c r="KAQ32" s="545"/>
      <c r="KAR32" s="545"/>
      <c r="KAS32" s="545"/>
      <c r="KAT32" s="545"/>
      <c r="KAU32" s="545"/>
      <c r="KAV32" s="545"/>
      <c r="KAW32" s="545"/>
      <c r="KAX32" s="545"/>
      <c r="KAY32" s="545"/>
      <c r="KAZ32" s="545"/>
      <c r="KBA32" s="545"/>
      <c r="KBB32" s="545"/>
      <c r="KBC32" s="545"/>
      <c r="KBD32" s="545"/>
      <c r="KBE32" s="545"/>
      <c r="KBF32" s="545"/>
      <c r="KBG32" s="545"/>
      <c r="KBH32" s="545"/>
      <c r="KBI32" s="545"/>
      <c r="KBJ32" s="545"/>
      <c r="KBK32" s="545"/>
      <c r="KBL32" s="545"/>
      <c r="KBM32" s="545"/>
      <c r="KBN32" s="545"/>
      <c r="KBO32" s="545"/>
      <c r="KBP32" s="545"/>
      <c r="KBQ32" s="545"/>
      <c r="KBR32" s="545"/>
      <c r="KBS32" s="545"/>
      <c r="KBT32" s="545"/>
      <c r="KBU32" s="545"/>
      <c r="KBV32" s="545"/>
      <c r="KBW32" s="545"/>
      <c r="KBX32" s="545"/>
      <c r="KBY32" s="545"/>
      <c r="KBZ32" s="545"/>
      <c r="KCA32" s="545"/>
      <c r="KCB32" s="545"/>
      <c r="KCC32" s="545"/>
      <c r="KCD32" s="545"/>
      <c r="KCE32" s="545"/>
      <c r="KCF32" s="545"/>
      <c r="KCG32" s="545"/>
      <c r="KCH32" s="545"/>
      <c r="KCI32" s="545"/>
      <c r="KCJ32" s="545"/>
      <c r="KCK32" s="545"/>
      <c r="KCL32" s="545"/>
      <c r="KCM32" s="545"/>
      <c r="KCN32" s="545"/>
      <c r="KCO32" s="545"/>
      <c r="KCP32" s="545"/>
      <c r="KCQ32" s="545"/>
      <c r="KCR32" s="545"/>
      <c r="KCS32" s="545"/>
      <c r="KCT32" s="545"/>
      <c r="KCU32" s="545"/>
      <c r="KCV32" s="545"/>
      <c r="KCW32" s="545"/>
      <c r="KCX32" s="545"/>
      <c r="KCY32" s="545"/>
      <c r="KCZ32" s="545"/>
      <c r="KDA32" s="545"/>
      <c r="KDB32" s="545"/>
      <c r="KDC32" s="545"/>
      <c r="KDD32" s="545"/>
      <c r="KDE32" s="545"/>
      <c r="KDF32" s="545"/>
      <c r="KDG32" s="545"/>
      <c r="KDH32" s="545"/>
      <c r="KDI32" s="545"/>
      <c r="KDJ32" s="545"/>
      <c r="KDK32" s="545"/>
      <c r="KDL32" s="545"/>
      <c r="KDM32" s="545"/>
      <c r="KDN32" s="545"/>
      <c r="KDO32" s="545"/>
      <c r="KDP32" s="545"/>
      <c r="KDQ32" s="545"/>
      <c r="KDR32" s="545"/>
      <c r="KDS32" s="545"/>
      <c r="KDT32" s="545"/>
      <c r="KDU32" s="545"/>
      <c r="KDV32" s="545"/>
      <c r="KDW32" s="545"/>
      <c r="KDX32" s="545"/>
      <c r="KDY32" s="545"/>
      <c r="KDZ32" s="545"/>
      <c r="KEA32" s="545"/>
      <c r="KEB32" s="545"/>
      <c r="KEC32" s="545"/>
      <c r="KED32" s="545"/>
      <c r="KEE32" s="545"/>
      <c r="KEF32" s="545"/>
      <c r="KEG32" s="545"/>
      <c r="KEH32" s="545"/>
      <c r="KEI32" s="545"/>
      <c r="KEJ32" s="545"/>
      <c r="KEK32" s="545"/>
      <c r="KEL32" s="545"/>
      <c r="KEM32" s="545"/>
      <c r="KEN32" s="545"/>
      <c r="KEO32" s="545"/>
      <c r="KEP32" s="545"/>
      <c r="KEQ32" s="545"/>
      <c r="KER32" s="545"/>
      <c r="KES32" s="545"/>
      <c r="KET32" s="545"/>
      <c r="KEU32" s="545"/>
      <c r="KEV32" s="545"/>
      <c r="KEW32" s="545"/>
      <c r="KEX32" s="545"/>
      <c r="KEY32" s="545"/>
      <c r="KEZ32" s="545"/>
      <c r="KFA32" s="545"/>
      <c r="KFB32" s="545"/>
      <c r="KFC32" s="545"/>
      <c r="KFD32" s="545"/>
      <c r="KFE32" s="545"/>
      <c r="KFF32" s="545"/>
      <c r="KFG32" s="545"/>
      <c r="KFH32" s="545"/>
      <c r="KFI32" s="545"/>
      <c r="KFJ32" s="545"/>
      <c r="KFK32" s="545"/>
      <c r="KFL32" s="545"/>
      <c r="KFM32" s="545"/>
      <c r="KFN32" s="545"/>
      <c r="KFO32" s="545"/>
      <c r="KFP32" s="545"/>
      <c r="KFQ32" s="545"/>
      <c r="KFR32" s="545"/>
      <c r="KFS32" s="545"/>
      <c r="KFT32" s="545"/>
      <c r="KFU32" s="545"/>
      <c r="KFV32" s="545"/>
      <c r="KFW32" s="545"/>
      <c r="KFX32" s="545"/>
      <c r="KFY32" s="545"/>
      <c r="KFZ32" s="545"/>
      <c r="KGA32" s="545"/>
      <c r="KGB32" s="545"/>
      <c r="KGC32" s="545"/>
      <c r="KGD32" s="545"/>
      <c r="KGE32" s="545"/>
      <c r="KGF32" s="545"/>
      <c r="KGG32" s="545"/>
      <c r="KGH32" s="545"/>
      <c r="KGI32" s="545"/>
      <c r="KGJ32" s="545"/>
      <c r="KGK32" s="545"/>
      <c r="KGL32" s="545"/>
      <c r="KGM32" s="545"/>
      <c r="KGN32" s="545"/>
      <c r="KGO32" s="545"/>
      <c r="KGP32" s="545"/>
      <c r="KGQ32" s="545"/>
      <c r="KGR32" s="545"/>
      <c r="KGS32" s="545"/>
      <c r="KGT32" s="545"/>
      <c r="KGU32" s="545"/>
      <c r="KGV32" s="545"/>
      <c r="KGW32" s="545"/>
      <c r="KGX32" s="545"/>
      <c r="KGY32" s="545"/>
      <c r="KGZ32" s="545"/>
      <c r="KHA32" s="545"/>
      <c r="KHB32" s="545"/>
      <c r="KHC32" s="545"/>
      <c r="KHD32" s="545"/>
      <c r="KHE32" s="545"/>
      <c r="KHF32" s="545"/>
      <c r="KHG32" s="545"/>
      <c r="KHH32" s="545"/>
      <c r="KHI32" s="545"/>
      <c r="KHJ32" s="545"/>
      <c r="KHK32" s="545"/>
      <c r="KHL32" s="545"/>
      <c r="KHM32" s="545"/>
      <c r="KHN32" s="545"/>
      <c r="KHO32" s="545"/>
      <c r="KHP32" s="545"/>
      <c r="KHQ32" s="545"/>
      <c r="KHR32" s="545"/>
      <c r="KHS32" s="545"/>
      <c r="KHT32" s="545"/>
      <c r="KHU32" s="545"/>
      <c r="KHV32" s="545"/>
      <c r="KHW32" s="545"/>
      <c r="KHX32" s="545"/>
      <c r="KHY32" s="545"/>
      <c r="KHZ32" s="545"/>
      <c r="KIA32" s="545"/>
      <c r="KIB32" s="545"/>
      <c r="KIC32" s="545"/>
      <c r="KID32" s="545"/>
      <c r="KIE32" s="545"/>
      <c r="KIF32" s="545"/>
      <c r="KIG32" s="545"/>
      <c r="KIH32" s="545"/>
      <c r="KII32" s="545"/>
      <c r="KIJ32" s="545"/>
      <c r="KIK32" s="545"/>
      <c r="KIL32" s="545"/>
      <c r="KIM32" s="545"/>
      <c r="KIN32" s="545"/>
      <c r="KIO32" s="545"/>
      <c r="KIP32" s="545"/>
      <c r="KIQ32" s="545"/>
      <c r="KIR32" s="545"/>
      <c r="KIS32" s="545"/>
      <c r="KIT32" s="545"/>
      <c r="KIU32" s="545"/>
      <c r="KIV32" s="545"/>
      <c r="KIW32" s="545"/>
      <c r="KIX32" s="545"/>
      <c r="KIY32" s="545"/>
      <c r="KIZ32" s="545"/>
      <c r="KJA32" s="545"/>
      <c r="KJB32" s="545"/>
      <c r="KJC32" s="545"/>
      <c r="KJD32" s="545"/>
      <c r="KJE32" s="545"/>
      <c r="KJF32" s="545"/>
      <c r="KJG32" s="545"/>
      <c r="KJH32" s="545"/>
      <c r="KJI32" s="545"/>
      <c r="KJJ32" s="545"/>
      <c r="KJK32" s="545"/>
      <c r="KJL32" s="545"/>
      <c r="KJM32" s="545"/>
      <c r="KJN32" s="545"/>
      <c r="KJO32" s="545"/>
      <c r="KJP32" s="545"/>
      <c r="KJQ32" s="545"/>
      <c r="KJR32" s="545"/>
      <c r="KJS32" s="545"/>
      <c r="KJT32" s="545"/>
      <c r="KJU32" s="545"/>
      <c r="KJV32" s="545"/>
      <c r="KJW32" s="545"/>
      <c r="KJX32" s="545"/>
      <c r="KJY32" s="545"/>
      <c r="KJZ32" s="545"/>
      <c r="KKA32" s="545"/>
      <c r="KKB32" s="545"/>
      <c r="KKC32" s="545"/>
      <c r="KKD32" s="545"/>
      <c r="KKE32" s="545"/>
      <c r="KKF32" s="545"/>
      <c r="KKG32" s="545"/>
      <c r="KKH32" s="545"/>
      <c r="KKI32" s="545"/>
      <c r="KKJ32" s="545"/>
      <c r="KKK32" s="545"/>
      <c r="KKL32" s="545"/>
      <c r="KKM32" s="545"/>
      <c r="KKN32" s="545"/>
      <c r="KKO32" s="545"/>
      <c r="KKP32" s="545"/>
      <c r="KKQ32" s="545"/>
      <c r="KKR32" s="545"/>
      <c r="KKS32" s="545"/>
      <c r="KKT32" s="545"/>
      <c r="KKU32" s="545"/>
      <c r="KKV32" s="545"/>
      <c r="KKW32" s="545"/>
      <c r="KKX32" s="545"/>
      <c r="KKY32" s="545"/>
      <c r="KKZ32" s="545"/>
      <c r="KLA32" s="545"/>
      <c r="KLB32" s="545"/>
      <c r="KLC32" s="545"/>
      <c r="KLD32" s="545"/>
      <c r="KLE32" s="545"/>
      <c r="KLF32" s="545"/>
      <c r="KLG32" s="545"/>
      <c r="KLH32" s="545"/>
      <c r="KLI32" s="545"/>
      <c r="KLJ32" s="545"/>
      <c r="KLK32" s="545"/>
      <c r="KLL32" s="545"/>
      <c r="KLM32" s="545"/>
      <c r="KLN32" s="545"/>
      <c r="KLO32" s="545"/>
      <c r="KLP32" s="545"/>
      <c r="KLQ32" s="545"/>
      <c r="KLR32" s="545"/>
      <c r="KLS32" s="545"/>
      <c r="KLT32" s="545"/>
      <c r="KLU32" s="545"/>
      <c r="KLV32" s="545"/>
      <c r="KLW32" s="545"/>
      <c r="KLX32" s="545"/>
      <c r="KLY32" s="545"/>
      <c r="KLZ32" s="545"/>
      <c r="KMA32" s="545"/>
      <c r="KMB32" s="545"/>
      <c r="KMC32" s="545"/>
      <c r="KMD32" s="545"/>
      <c r="KME32" s="545"/>
      <c r="KMF32" s="545"/>
      <c r="KMG32" s="545"/>
      <c r="KMH32" s="545"/>
      <c r="KMI32" s="545"/>
      <c r="KMJ32" s="545"/>
      <c r="KMK32" s="545"/>
      <c r="KML32" s="545"/>
      <c r="KMM32" s="545"/>
      <c r="KMN32" s="545"/>
      <c r="KMO32" s="545"/>
      <c r="KMP32" s="545"/>
      <c r="KMQ32" s="545"/>
      <c r="KMR32" s="545"/>
      <c r="KMS32" s="545"/>
      <c r="KMT32" s="545"/>
      <c r="KMU32" s="545"/>
      <c r="KMV32" s="545"/>
      <c r="KMW32" s="545"/>
      <c r="KMX32" s="545"/>
      <c r="KMY32" s="545"/>
      <c r="KMZ32" s="545"/>
      <c r="KNA32" s="545"/>
      <c r="KNB32" s="545"/>
      <c r="KNC32" s="545"/>
      <c r="KND32" s="545"/>
      <c r="KNE32" s="545"/>
      <c r="KNF32" s="545"/>
      <c r="KNG32" s="545"/>
      <c r="KNH32" s="545"/>
      <c r="KNI32" s="545"/>
      <c r="KNJ32" s="545"/>
      <c r="KNK32" s="545"/>
      <c r="KNL32" s="545"/>
      <c r="KNM32" s="545"/>
      <c r="KNN32" s="545"/>
      <c r="KNO32" s="545"/>
      <c r="KNP32" s="545"/>
      <c r="KNQ32" s="545"/>
      <c r="KNR32" s="545"/>
      <c r="KNS32" s="545"/>
      <c r="KNT32" s="545"/>
      <c r="KNU32" s="545"/>
      <c r="KNV32" s="545"/>
      <c r="KNW32" s="545"/>
      <c r="KNX32" s="545"/>
      <c r="KNY32" s="545"/>
      <c r="KNZ32" s="545"/>
      <c r="KOA32" s="545"/>
      <c r="KOB32" s="545"/>
      <c r="KOC32" s="545"/>
      <c r="KOD32" s="545"/>
      <c r="KOE32" s="545"/>
      <c r="KOF32" s="545"/>
      <c r="KOG32" s="545"/>
      <c r="KOH32" s="545"/>
      <c r="KOI32" s="545"/>
      <c r="KOJ32" s="545"/>
      <c r="KOK32" s="545"/>
      <c r="KOL32" s="545"/>
      <c r="KOM32" s="545"/>
      <c r="KON32" s="545"/>
      <c r="KOO32" s="545"/>
      <c r="KOP32" s="545"/>
      <c r="KOQ32" s="545"/>
      <c r="KOR32" s="545"/>
      <c r="KOS32" s="545"/>
      <c r="KOT32" s="545"/>
      <c r="KOU32" s="545"/>
      <c r="KOV32" s="545"/>
      <c r="KOW32" s="545"/>
      <c r="KOX32" s="545"/>
      <c r="KOY32" s="545"/>
      <c r="KOZ32" s="545"/>
      <c r="KPA32" s="545"/>
      <c r="KPB32" s="545"/>
      <c r="KPC32" s="545"/>
      <c r="KPD32" s="545"/>
      <c r="KPE32" s="545"/>
      <c r="KPF32" s="545"/>
      <c r="KPG32" s="545"/>
      <c r="KPH32" s="545"/>
      <c r="KPI32" s="545"/>
      <c r="KPJ32" s="545"/>
      <c r="KPK32" s="545"/>
      <c r="KPL32" s="545"/>
      <c r="KPM32" s="545"/>
      <c r="KPN32" s="545"/>
      <c r="KPO32" s="545"/>
      <c r="KPP32" s="545"/>
      <c r="KPQ32" s="545"/>
      <c r="KPR32" s="545"/>
      <c r="KPS32" s="545"/>
      <c r="KPT32" s="545"/>
      <c r="KPU32" s="545"/>
      <c r="KPV32" s="545"/>
      <c r="KPW32" s="545"/>
      <c r="KPX32" s="545"/>
      <c r="KPY32" s="545"/>
      <c r="KPZ32" s="545"/>
      <c r="KQA32" s="545"/>
      <c r="KQB32" s="545"/>
      <c r="KQC32" s="545"/>
      <c r="KQD32" s="545"/>
      <c r="KQE32" s="545"/>
      <c r="KQF32" s="545"/>
      <c r="KQG32" s="545"/>
      <c r="KQH32" s="545"/>
      <c r="KQI32" s="545"/>
      <c r="KQJ32" s="545"/>
      <c r="KQK32" s="545"/>
      <c r="KQL32" s="545"/>
      <c r="KQM32" s="545"/>
      <c r="KQN32" s="545"/>
      <c r="KQO32" s="545"/>
      <c r="KQP32" s="545"/>
      <c r="KQQ32" s="545"/>
      <c r="KQR32" s="545"/>
      <c r="KQS32" s="545"/>
      <c r="KQT32" s="545"/>
      <c r="KQU32" s="545"/>
      <c r="KQV32" s="545"/>
      <c r="KQW32" s="545"/>
      <c r="KQX32" s="545"/>
      <c r="KQY32" s="545"/>
      <c r="KQZ32" s="545"/>
      <c r="KRA32" s="545"/>
      <c r="KRB32" s="545"/>
      <c r="KRC32" s="545"/>
      <c r="KRD32" s="545"/>
      <c r="KRE32" s="545"/>
      <c r="KRF32" s="545"/>
      <c r="KRG32" s="545"/>
      <c r="KRH32" s="545"/>
      <c r="KRI32" s="545"/>
      <c r="KRJ32" s="545"/>
      <c r="KRK32" s="545"/>
      <c r="KRL32" s="545"/>
      <c r="KRM32" s="545"/>
      <c r="KRN32" s="545"/>
      <c r="KRO32" s="545"/>
      <c r="KRP32" s="545"/>
      <c r="KRQ32" s="545"/>
      <c r="KRR32" s="545"/>
      <c r="KRS32" s="545"/>
      <c r="KRT32" s="545"/>
      <c r="KRU32" s="545"/>
      <c r="KRV32" s="545"/>
      <c r="KRW32" s="545"/>
      <c r="KRX32" s="545"/>
      <c r="KRY32" s="545"/>
      <c r="KRZ32" s="545"/>
      <c r="KSA32" s="545"/>
      <c r="KSB32" s="545"/>
      <c r="KSC32" s="545"/>
      <c r="KSD32" s="545"/>
      <c r="KSE32" s="545"/>
      <c r="KSF32" s="545"/>
      <c r="KSG32" s="545"/>
      <c r="KSH32" s="545"/>
      <c r="KSI32" s="545"/>
      <c r="KSJ32" s="545"/>
      <c r="KSK32" s="545"/>
      <c r="KSL32" s="545"/>
      <c r="KSM32" s="545"/>
      <c r="KSN32" s="545"/>
      <c r="KSO32" s="545"/>
      <c r="KSP32" s="545"/>
      <c r="KSQ32" s="545"/>
      <c r="KSR32" s="545"/>
      <c r="KSS32" s="545"/>
      <c r="KST32" s="545"/>
      <c r="KSU32" s="545"/>
      <c r="KSV32" s="545"/>
      <c r="KSW32" s="545"/>
      <c r="KSX32" s="545"/>
      <c r="KSY32" s="545"/>
      <c r="KSZ32" s="545"/>
      <c r="KTA32" s="545"/>
      <c r="KTB32" s="545"/>
      <c r="KTC32" s="545"/>
      <c r="KTD32" s="545"/>
      <c r="KTE32" s="545"/>
      <c r="KTF32" s="545"/>
      <c r="KTG32" s="545"/>
      <c r="KTH32" s="545"/>
      <c r="KTI32" s="545"/>
      <c r="KTJ32" s="545"/>
      <c r="KTK32" s="545"/>
      <c r="KTL32" s="545"/>
      <c r="KTM32" s="545"/>
      <c r="KTN32" s="545"/>
      <c r="KTO32" s="545"/>
      <c r="KTP32" s="545"/>
      <c r="KTQ32" s="545"/>
      <c r="KTR32" s="545"/>
      <c r="KTS32" s="545"/>
      <c r="KTT32" s="545"/>
      <c r="KTU32" s="545"/>
      <c r="KTV32" s="545"/>
      <c r="KTW32" s="545"/>
      <c r="KTX32" s="545"/>
      <c r="KTY32" s="545"/>
      <c r="KTZ32" s="545"/>
      <c r="KUA32" s="545"/>
      <c r="KUB32" s="545"/>
      <c r="KUC32" s="545"/>
      <c r="KUD32" s="545"/>
      <c r="KUE32" s="545"/>
      <c r="KUF32" s="545"/>
      <c r="KUG32" s="545"/>
      <c r="KUH32" s="545"/>
      <c r="KUI32" s="545"/>
      <c r="KUJ32" s="545"/>
      <c r="KUK32" s="545"/>
      <c r="KUL32" s="545"/>
      <c r="KUM32" s="545"/>
      <c r="KUN32" s="545"/>
      <c r="KUO32" s="545"/>
      <c r="KUP32" s="545"/>
      <c r="KUQ32" s="545"/>
      <c r="KUR32" s="545"/>
      <c r="KUS32" s="545"/>
      <c r="KUT32" s="545"/>
      <c r="KUU32" s="545"/>
      <c r="KUV32" s="545"/>
      <c r="KUW32" s="545"/>
      <c r="KUX32" s="545"/>
      <c r="KUY32" s="545"/>
      <c r="KUZ32" s="545"/>
      <c r="KVA32" s="545"/>
      <c r="KVB32" s="545"/>
      <c r="KVC32" s="545"/>
      <c r="KVD32" s="545"/>
      <c r="KVE32" s="545"/>
      <c r="KVF32" s="545"/>
      <c r="KVG32" s="545"/>
      <c r="KVH32" s="545"/>
      <c r="KVI32" s="545"/>
      <c r="KVJ32" s="545"/>
      <c r="KVK32" s="545"/>
      <c r="KVL32" s="545"/>
      <c r="KVM32" s="545"/>
      <c r="KVN32" s="545"/>
      <c r="KVO32" s="545"/>
      <c r="KVP32" s="545"/>
      <c r="KVQ32" s="545"/>
      <c r="KVR32" s="545"/>
      <c r="KVS32" s="545"/>
      <c r="KVT32" s="545"/>
      <c r="KVU32" s="545"/>
      <c r="KVV32" s="545"/>
      <c r="KVW32" s="545"/>
      <c r="KVX32" s="545"/>
      <c r="KVY32" s="545"/>
      <c r="KVZ32" s="545"/>
      <c r="KWA32" s="545"/>
      <c r="KWB32" s="545"/>
      <c r="KWC32" s="545"/>
      <c r="KWD32" s="545"/>
      <c r="KWE32" s="545"/>
      <c r="KWF32" s="545"/>
      <c r="KWG32" s="545"/>
      <c r="KWH32" s="545"/>
      <c r="KWI32" s="545"/>
      <c r="KWJ32" s="545"/>
      <c r="KWK32" s="545"/>
      <c r="KWL32" s="545"/>
      <c r="KWM32" s="545"/>
      <c r="KWN32" s="545"/>
      <c r="KWO32" s="545"/>
      <c r="KWP32" s="545"/>
      <c r="KWQ32" s="545"/>
      <c r="KWR32" s="545"/>
      <c r="KWS32" s="545"/>
      <c r="KWT32" s="545"/>
      <c r="KWU32" s="545"/>
      <c r="KWV32" s="545"/>
      <c r="KWW32" s="545"/>
      <c r="KWX32" s="545"/>
      <c r="KWY32" s="545"/>
      <c r="KWZ32" s="545"/>
      <c r="KXA32" s="545"/>
      <c r="KXB32" s="545"/>
      <c r="KXC32" s="545"/>
      <c r="KXD32" s="545"/>
      <c r="KXE32" s="545"/>
      <c r="KXF32" s="545"/>
      <c r="KXG32" s="545"/>
      <c r="KXH32" s="545"/>
      <c r="KXI32" s="545"/>
      <c r="KXJ32" s="545"/>
      <c r="KXK32" s="545"/>
      <c r="KXL32" s="545"/>
      <c r="KXM32" s="545"/>
      <c r="KXN32" s="545"/>
      <c r="KXO32" s="545"/>
      <c r="KXP32" s="545"/>
      <c r="KXQ32" s="545"/>
      <c r="KXR32" s="545"/>
      <c r="KXS32" s="545"/>
      <c r="KXT32" s="545"/>
      <c r="KXU32" s="545"/>
      <c r="KXV32" s="545"/>
      <c r="KXW32" s="545"/>
      <c r="KXX32" s="545"/>
      <c r="KXY32" s="545"/>
      <c r="KXZ32" s="545"/>
      <c r="KYA32" s="545"/>
      <c r="KYB32" s="545"/>
      <c r="KYC32" s="545"/>
      <c r="KYD32" s="545"/>
      <c r="KYE32" s="545"/>
      <c r="KYF32" s="545"/>
      <c r="KYG32" s="545"/>
      <c r="KYH32" s="545"/>
      <c r="KYI32" s="545"/>
      <c r="KYJ32" s="545"/>
      <c r="KYK32" s="545"/>
      <c r="KYL32" s="545"/>
      <c r="KYM32" s="545"/>
      <c r="KYN32" s="545"/>
      <c r="KYO32" s="545"/>
      <c r="KYP32" s="545"/>
      <c r="KYQ32" s="545"/>
      <c r="KYR32" s="545"/>
      <c r="KYS32" s="545"/>
      <c r="KYT32" s="545"/>
      <c r="KYU32" s="545"/>
      <c r="KYV32" s="545"/>
      <c r="KYW32" s="545"/>
      <c r="KYX32" s="545"/>
      <c r="KYY32" s="545"/>
      <c r="KYZ32" s="545"/>
      <c r="KZA32" s="545"/>
      <c r="KZB32" s="545"/>
      <c r="KZC32" s="545"/>
      <c r="KZD32" s="545"/>
      <c r="KZE32" s="545"/>
      <c r="KZF32" s="545"/>
      <c r="KZG32" s="545"/>
      <c r="KZH32" s="545"/>
      <c r="KZI32" s="545"/>
      <c r="KZJ32" s="545"/>
      <c r="KZK32" s="545"/>
      <c r="KZL32" s="545"/>
      <c r="KZM32" s="545"/>
      <c r="KZN32" s="545"/>
      <c r="KZO32" s="545"/>
      <c r="KZP32" s="545"/>
      <c r="KZQ32" s="545"/>
      <c r="KZR32" s="545"/>
      <c r="KZS32" s="545"/>
      <c r="KZT32" s="545"/>
      <c r="KZU32" s="545"/>
      <c r="KZV32" s="545"/>
      <c r="KZW32" s="545"/>
      <c r="KZX32" s="545"/>
      <c r="KZY32" s="545"/>
      <c r="KZZ32" s="545"/>
      <c r="LAA32" s="545"/>
      <c r="LAB32" s="545"/>
      <c r="LAC32" s="545"/>
      <c r="LAD32" s="545"/>
      <c r="LAE32" s="545"/>
      <c r="LAF32" s="545"/>
      <c r="LAG32" s="545"/>
      <c r="LAH32" s="545"/>
      <c r="LAI32" s="545"/>
      <c r="LAJ32" s="545"/>
      <c r="LAK32" s="545"/>
      <c r="LAL32" s="545"/>
      <c r="LAM32" s="545"/>
      <c r="LAN32" s="545"/>
      <c r="LAO32" s="545"/>
      <c r="LAP32" s="545"/>
      <c r="LAQ32" s="545"/>
      <c r="LAR32" s="545"/>
      <c r="LAS32" s="545"/>
      <c r="LAT32" s="545"/>
      <c r="LAU32" s="545"/>
      <c r="LAV32" s="545"/>
      <c r="LAW32" s="545"/>
      <c r="LAX32" s="545"/>
      <c r="LAY32" s="545"/>
      <c r="LAZ32" s="545"/>
      <c r="LBA32" s="545"/>
      <c r="LBB32" s="545"/>
      <c r="LBC32" s="545"/>
      <c r="LBD32" s="545"/>
      <c r="LBE32" s="545"/>
      <c r="LBF32" s="545"/>
      <c r="LBG32" s="545"/>
      <c r="LBH32" s="545"/>
      <c r="LBI32" s="545"/>
      <c r="LBJ32" s="545"/>
      <c r="LBK32" s="545"/>
      <c r="LBL32" s="545"/>
      <c r="LBM32" s="545"/>
      <c r="LBN32" s="545"/>
      <c r="LBO32" s="545"/>
      <c r="LBP32" s="545"/>
      <c r="LBQ32" s="545"/>
      <c r="LBR32" s="545"/>
      <c r="LBS32" s="545"/>
      <c r="LBT32" s="545"/>
      <c r="LBU32" s="545"/>
      <c r="LBV32" s="545"/>
      <c r="LBW32" s="545"/>
      <c r="LBX32" s="545"/>
      <c r="LBY32" s="545"/>
      <c r="LBZ32" s="545"/>
      <c r="LCA32" s="545"/>
      <c r="LCB32" s="545"/>
      <c r="LCC32" s="545"/>
      <c r="LCD32" s="545"/>
      <c r="LCE32" s="545"/>
      <c r="LCF32" s="545"/>
      <c r="LCG32" s="545"/>
      <c r="LCH32" s="545"/>
      <c r="LCI32" s="545"/>
      <c r="LCJ32" s="545"/>
      <c r="LCK32" s="545"/>
      <c r="LCL32" s="545"/>
      <c r="LCM32" s="545"/>
      <c r="LCN32" s="545"/>
      <c r="LCO32" s="545"/>
      <c r="LCP32" s="545"/>
      <c r="LCQ32" s="545"/>
      <c r="LCR32" s="545"/>
      <c r="LCS32" s="545"/>
      <c r="LCT32" s="545"/>
      <c r="LCU32" s="545"/>
      <c r="LCV32" s="545"/>
      <c r="LCW32" s="545"/>
      <c r="LCX32" s="545"/>
      <c r="LCY32" s="545"/>
      <c r="LCZ32" s="545"/>
      <c r="LDA32" s="545"/>
      <c r="LDB32" s="545"/>
      <c r="LDC32" s="545"/>
      <c r="LDD32" s="545"/>
      <c r="LDE32" s="545"/>
      <c r="LDF32" s="545"/>
      <c r="LDG32" s="545"/>
      <c r="LDH32" s="545"/>
      <c r="LDI32" s="545"/>
      <c r="LDJ32" s="545"/>
      <c r="LDK32" s="545"/>
      <c r="LDL32" s="545"/>
      <c r="LDM32" s="545"/>
      <c r="LDN32" s="545"/>
      <c r="LDO32" s="545"/>
      <c r="LDP32" s="545"/>
      <c r="LDQ32" s="545"/>
      <c r="LDR32" s="545"/>
      <c r="LDS32" s="545"/>
      <c r="LDT32" s="545"/>
      <c r="LDU32" s="545"/>
      <c r="LDV32" s="545"/>
      <c r="LDW32" s="545"/>
      <c r="LDX32" s="545"/>
      <c r="LDY32" s="545"/>
      <c r="LDZ32" s="545"/>
      <c r="LEA32" s="545"/>
      <c r="LEB32" s="545"/>
      <c r="LEC32" s="545"/>
      <c r="LED32" s="545"/>
      <c r="LEE32" s="545"/>
      <c r="LEF32" s="545"/>
      <c r="LEG32" s="545"/>
      <c r="LEH32" s="545"/>
      <c r="LEI32" s="545"/>
      <c r="LEJ32" s="545"/>
      <c r="LEK32" s="545"/>
      <c r="LEL32" s="545"/>
      <c r="LEM32" s="545"/>
      <c r="LEN32" s="545"/>
      <c r="LEO32" s="545"/>
      <c r="LEP32" s="545"/>
      <c r="LEQ32" s="545"/>
      <c r="LER32" s="545"/>
      <c r="LES32" s="545"/>
      <c r="LET32" s="545"/>
      <c r="LEU32" s="545"/>
      <c r="LEV32" s="545"/>
      <c r="LEW32" s="545"/>
      <c r="LEX32" s="545"/>
      <c r="LEY32" s="545"/>
      <c r="LEZ32" s="545"/>
      <c r="LFA32" s="545"/>
      <c r="LFB32" s="545"/>
      <c r="LFC32" s="545"/>
      <c r="LFD32" s="545"/>
      <c r="LFE32" s="545"/>
      <c r="LFF32" s="545"/>
      <c r="LFG32" s="545"/>
      <c r="LFH32" s="545"/>
      <c r="LFI32" s="545"/>
      <c r="LFJ32" s="545"/>
      <c r="LFK32" s="545"/>
      <c r="LFL32" s="545"/>
      <c r="LFM32" s="545"/>
      <c r="LFN32" s="545"/>
      <c r="LFO32" s="545"/>
      <c r="LFP32" s="545"/>
      <c r="LFQ32" s="545"/>
      <c r="LFR32" s="545"/>
      <c r="LFS32" s="545"/>
      <c r="LFT32" s="545"/>
      <c r="LFU32" s="545"/>
      <c r="LFV32" s="545"/>
      <c r="LFW32" s="545"/>
      <c r="LFX32" s="545"/>
      <c r="LFY32" s="545"/>
      <c r="LFZ32" s="545"/>
      <c r="LGA32" s="545"/>
      <c r="LGB32" s="545"/>
      <c r="LGC32" s="545"/>
      <c r="LGD32" s="545"/>
      <c r="LGE32" s="545"/>
      <c r="LGF32" s="545"/>
      <c r="LGG32" s="545"/>
      <c r="LGH32" s="545"/>
      <c r="LGI32" s="545"/>
      <c r="LGJ32" s="545"/>
      <c r="LGK32" s="545"/>
      <c r="LGL32" s="545"/>
      <c r="LGM32" s="545"/>
      <c r="LGN32" s="545"/>
      <c r="LGO32" s="545"/>
      <c r="LGP32" s="545"/>
      <c r="LGQ32" s="545"/>
      <c r="LGR32" s="545"/>
      <c r="LGS32" s="545"/>
      <c r="LGT32" s="545"/>
      <c r="LGU32" s="545"/>
      <c r="LGV32" s="545"/>
      <c r="LGW32" s="545"/>
      <c r="LGX32" s="545"/>
      <c r="LGY32" s="545"/>
      <c r="LGZ32" s="545"/>
      <c r="LHA32" s="545"/>
      <c r="LHB32" s="545"/>
      <c r="LHC32" s="545"/>
      <c r="LHD32" s="545"/>
      <c r="LHE32" s="545"/>
      <c r="LHF32" s="545"/>
      <c r="LHG32" s="545"/>
      <c r="LHH32" s="545"/>
      <c r="LHI32" s="545"/>
      <c r="LHJ32" s="545"/>
      <c r="LHK32" s="545"/>
      <c r="LHL32" s="545"/>
      <c r="LHM32" s="545"/>
      <c r="LHN32" s="545"/>
      <c r="LHO32" s="545"/>
      <c r="LHP32" s="545"/>
      <c r="LHQ32" s="545"/>
      <c r="LHR32" s="545"/>
      <c r="LHS32" s="545"/>
      <c r="LHT32" s="545"/>
      <c r="LHU32" s="545"/>
      <c r="LHV32" s="545"/>
      <c r="LHW32" s="545"/>
      <c r="LHX32" s="545"/>
      <c r="LHY32" s="545"/>
      <c r="LHZ32" s="545"/>
      <c r="LIA32" s="545"/>
      <c r="LIB32" s="545"/>
      <c r="LIC32" s="545"/>
      <c r="LID32" s="545"/>
      <c r="LIE32" s="545"/>
      <c r="LIF32" s="545"/>
      <c r="LIG32" s="545"/>
      <c r="LIH32" s="545"/>
      <c r="LII32" s="545"/>
      <c r="LIJ32" s="545"/>
      <c r="LIK32" s="545"/>
      <c r="LIL32" s="545"/>
      <c r="LIM32" s="545"/>
      <c r="LIN32" s="545"/>
      <c r="LIO32" s="545"/>
      <c r="LIP32" s="545"/>
      <c r="LIQ32" s="545"/>
      <c r="LIR32" s="545"/>
      <c r="LIS32" s="545"/>
      <c r="LIT32" s="545"/>
      <c r="LIU32" s="545"/>
      <c r="LIV32" s="545"/>
      <c r="LIW32" s="545"/>
      <c r="LIX32" s="545"/>
      <c r="LIY32" s="545"/>
      <c r="LIZ32" s="545"/>
      <c r="LJA32" s="545"/>
      <c r="LJB32" s="545"/>
      <c r="LJC32" s="545"/>
      <c r="LJD32" s="545"/>
      <c r="LJE32" s="545"/>
      <c r="LJF32" s="545"/>
      <c r="LJG32" s="545"/>
      <c r="LJH32" s="545"/>
      <c r="LJI32" s="545"/>
      <c r="LJJ32" s="545"/>
      <c r="LJK32" s="545"/>
      <c r="LJL32" s="545"/>
      <c r="LJM32" s="545"/>
      <c r="LJN32" s="545"/>
      <c r="LJO32" s="545"/>
      <c r="LJP32" s="545"/>
      <c r="LJQ32" s="545"/>
      <c r="LJR32" s="545"/>
      <c r="LJS32" s="545"/>
      <c r="LJT32" s="545"/>
      <c r="LJU32" s="545"/>
      <c r="LJV32" s="545"/>
      <c r="LJW32" s="545"/>
      <c r="LJX32" s="545"/>
      <c r="LJY32" s="545"/>
      <c r="LJZ32" s="545"/>
      <c r="LKA32" s="545"/>
      <c r="LKB32" s="545"/>
      <c r="LKC32" s="545"/>
      <c r="LKD32" s="545"/>
      <c r="LKE32" s="545"/>
      <c r="LKF32" s="545"/>
      <c r="LKG32" s="545"/>
      <c r="LKH32" s="545"/>
      <c r="LKI32" s="545"/>
      <c r="LKJ32" s="545"/>
      <c r="LKK32" s="545"/>
      <c r="LKL32" s="545"/>
      <c r="LKM32" s="545"/>
      <c r="LKN32" s="545"/>
      <c r="LKO32" s="545"/>
      <c r="LKP32" s="545"/>
      <c r="LKQ32" s="545"/>
      <c r="LKR32" s="545"/>
      <c r="LKS32" s="545"/>
      <c r="LKT32" s="545"/>
      <c r="LKU32" s="545"/>
      <c r="LKV32" s="545"/>
      <c r="LKW32" s="545"/>
      <c r="LKX32" s="545"/>
      <c r="LKY32" s="545"/>
      <c r="LKZ32" s="545"/>
      <c r="LLA32" s="545"/>
      <c r="LLB32" s="545"/>
      <c r="LLC32" s="545"/>
      <c r="LLD32" s="545"/>
      <c r="LLE32" s="545"/>
      <c r="LLF32" s="545"/>
      <c r="LLG32" s="545"/>
      <c r="LLH32" s="545"/>
      <c r="LLI32" s="545"/>
      <c r="LLJ32" s="545"/>
      <c r="LLK32" s="545"/>
      <c r="LLL32" s="545"/>
      <c r="LLM32" s="545"/>
      <c r="LLN32" s="545"/>
      <c r="LLO32" s="545"/>
      <c r="LLP32" s="545"/>
      <c r="LLQ32" s="545"/>
      <c r="LLR32" s="545"/>
      <c r="LLS32" s="545"/>
      <c r="LLT32" s="545"/>
      <c r="LLU32" s="545"/>
      <c r="LLV32" s="545"/>
      <c r="LLW32" s="545"/>
      <c r="LLX32" s="545"/>
      <c r="LLY32" s="545"/>
      <c r="LLZ32" s="545"/>
      <c r="LMA32" s="545"/>
      <c r="LMB32" s="545"/>
      <c r="LMC32" s="545"/>
      <c r="LMD32" s="545"/>
      <c r="LME32" s="545"/>
      <c r="LMF32" s="545"/>
      <c r="LMG32" s="545"/>
      <c r="LMH32" s="545"/>
      <c r="LMI32" s="545"/>
      <c r="LMJ32" s="545"/>
      <c r="LMK32" s="545"/>
      <c r="LML32" s="545"/>
      <c r="LMM32" s="545"/>
      <c r="LMN32" s="545"/>
      <c r="LMO32" s="545"/>
      <c r="LMP32" s="545"/>
      <c r="LMQ32" s="545"/>
      <c r="LMR32" s="545"/>
      <c r="LMS32" s="545"/>
      <c r="LMT32" s="545"/>
      <c r="LMU32" s="545"/>
      <c r="LMV32" s="545"/>
      <c r="LMW32" s="545"/>
      <c r="LMX32" s="545"/>
      <c r="LMY32" s="545"/>
      <c r="LMZ32" s="545"/>
      <c r="LNA32" s="545"/>
      <c r="LNB32" s="545"/>
      <c r="LNC32" s="545"/>
      <c r="LND32" s="545"/>
      <c r="LNE32" s="545"/>
      <c r="LNF32" s="545"/>
      <c r="LNG32" s="545"/>
      <c r="LNH32" s="545"/>
      <c r="LNI32" s="545"/>
      <c r="LNJ32" s="545"/>
      <c r="LNK32" s="545"/>
      <c r="LNL32" s="545"/>
      <c r="LNM32" s="545"/>
      <c r="LNN32" s="545"/>
      <c r="LNO32" s="545"/>
      <c r="LNP32" s="545"/>
      <c r="LNQ32" s="545"/>
      <c r="LNR32" s="545"/>
      <c r="LNS32" s="545"/>
      <c r="LNT32" s="545"/>
      <c r="LNU32" s="545"/>
      <c r="LNV32" s="545"/>
      <c r="LNW32" s="545"/>
      <c r="LNX32" s="545"/>
      <c r="LNY32" s="545"/>
      <c r="LNZ32" s="545"/>
      <c r="LOA32" s="545"/>
      <c r="LOB32" s="545"/>
      <c r="LOC32" s="545"/>
      <c r="LOD32" s="545"/>
      <c r="LOE32" s="545"/>
      <c r="LOF32" s="545"/>
      <c r="LOG32" s="545"/>
      <c r="LOH32" s="545"/>
      <c r="LOI32" s="545"/>
      <c r="LOJ32" s="545"/>
      <c r="LOK32" s="545"/>
      <c r="LOL32" s="545"/>
      <c r="LOM32" s="545"/>
      <c r="LON32" s="545"/>
      <c r="LOO32" s="545"/>
      <c r="LOP32" s="545"/>
      <c r="LOQ32" s="545"/>
      <c r="LOR32" s="545"/>
      <c r="LOS32" s="545"/>
      <c r="LOT32" s="545"/>
      <c r="LOU32" s="545"/>
      <c r="LOV32" s="545"/>
      <c r="LOW32" s="545"/>
      <c r="LOX32" s="545"/>
      <c r="LOY32" s="545"/>
      <c r="LOZ32" s="545"/>
      <c r="LPA32" s="545"/>
      <c r="LPB32" s="545"/>
      <c r="LPC32" s="545"/>
      <c r="LPD32" s="545"/>
      <c r="LPE32" s="545"/>
      <c r="LPF32" s="545"/>
      <c r="LPG32" s="545"/>
      <c r="LPH32" s="545"/>
      <c r="LPI32" s="545"/>
      <c r="LPJ32" s="545"/>
      <c r="LPK32" s="545"/>
      <c r="LPL32" s="545"/>
      <c r="LPM32" s="545"/>
      <c r="LPN32" s="545"/>
      <c r="LPO32" s="545"/>
      <c r="LPP32" s="545"/>
      <c r="LPQ32" s="545"/>
      <c r="LPR32" s="545"/>
      <c r="LPS32" s="545"/>
      <c r="LPT32" s="545"/>
      <c r="LPU32" s="545"/>
      <c r="LPV32" s="545"/>
      <c r="LPW32" s="545"/>
      <c r="LPX32" s="545"/>
      <c r="LPY32" s="545"/>
      <c r="LPZ32" s="545"/>
      <c r="LQA32" s="545"/>
      <c r="LQB32" s="545"/>
      <c r="LQC32" s="545"/>
      <c r="LQD32" s="545"/>
      <c r="LQE32" s="545"/>
      <c r="LQF32" s="545"/>
      <c r="LQG32" s="545"/>
      <c r="LQH32" s="545"/>
      <c r="LQI32" s="545"/>
      <c r="LQJ32" s="545"/>
      <c r="LQK32" s="545"/>
      <c r="LQL32" s="545"/>
      <c r="LQM32" s="545"/>
      <c r="LQN32" s="545"/>
      <c r="LQO32" s="545"/>
      <c r="LQP32" s="545"/>
      <c r="LQQ32" s="545"/>
      <c r="LQR32" s="545"/>
      <c r="LQS32" s="545"/>
      <c r="LQT32" s="545"/>
      <c r="LQU32" s="545"/>
      <c r="LQV32" s="545"/>
      <c r="LQW32" s="545"/>
      <c r="LQX32" s="545"/>
      <c r="LQY32" s="545"/>
      <c r="LQZ32" s="545"/>
      <c r="LRA32" s="545"/>
      <c r="LRB32" s="545"/>
      <c r="LRC32" s="545"/>
      <c r="LRD32" s="545"/>
      <c r="LRE32" s="545"/>
      <c r="LRF32" s="545"/>
      <c r="LRG32" s="545"/>
      <c r="LRH32" s="545"/>
      <c r="LRI32" s="545"/>
      <c r="LRJ32" s="545"/>
      <c r="LRK32" s="545"/>
      <c r="LRL32" s="545"/>
      <c r="LRM32" s="545"/>
      <c r="LRN32" s="545"/>
      <c r="LRO32" s="545"/>
      <c r="LRP32" s="545"/>
      <c r="LRQ32" s="545"/>
      <c r="LRR32" s="545"/>
      <c r="LRS32" s="545"/>
      <c r="LRT32" s="545"/>
      <c r="LRU32" s="545"/>
      <c r="LRV32" s="545"/>
      <c r="LRW32" s="545"/>
      <c r="LRX32" s="545"/>
      <c r="LRY32" s="545"/>
      <c r="LRZ32" s="545"/>
      <c r="LSA32" s="545"/>
      <c r="LSB32" s="545"/>
      <c r="LSC32" s="545"/>
      <c r="LSD32" s="545"/>
      <c r="LSE32" s="545"/>
      <c r="LSF32" s="545"/>
      <c r="LSG32" s="545"/>
      <c r="LSH32" s="545"/>
      <c r="LSI32" s="545"/>
      <c r="LSJ32" s="545"/>
      <c r="LSK32" s="545"/>
      <c r="LSL32" s="545"/>
      <c r="LSM32" s="545"/>
      <c r="LSN32" s="545"/>
      <c r="LSO32" s="545"/>
      <c r="LSP32" s="545"/>
      <c r="LSQ32" s="545"/>
      <c r="LSR32" s="545"/>
      <c r="LSS32" s="545"/>
      <c r="LST32" s="545"/>
      <c r="LSU32" s="545"/>
      <c r="LSV32" s="545"/>
      <c r="LSW32" s="545"/>
      <c r="LSX32" s="545"/>
      <c r="LSY32" s="545"/>
      <c r="LSZ32" s="545"/>
      <c r="LTA32" s="545"/>
      <c r="LTB32" s="545"/>
      <c r="LTC32" s="545"/>
      <c r="LTD32" s="545"/>
      <c r="LTE32" s="545"/>
      <c r="LTF32" s="545"/>
      <c r="LTG32" s="545"/>
      <c r="LTH32" s="545"/>
      <c r="LTI32" s="545"/>
      <c r="LTJ32" s="545"/>
      <c r="LTK32" s="545"/>
      <c r="LTL32" s="545"/>
      <c r="LTM32" s="545"/>
      <c r="LTN32" s="545"/>
      <c r="LTO32" s="545"/>
      <c r="LTP32" s="545"/>
      <c r="LTQ32" s="545"/>
      <c r="LTR32" s="545"/>
      <c r="LTS32" s="545"/>
      <c r="LTT32" s="545"/>
      <c r="LTU32" s="545"/>
      <c r="LTV32" s="545"/>
      <c r="LTW32" s="545"/>
      <c r="LTX32" s="545"/>
      <c r="LTY32" s="545"/>
      <c r="LTZ32" s="545"/>
      <c r="LUA32" s="545"/>
      <c r="LUB32" s="545"/>
      <c r="LUC32" s="545"/>
      <c r="LUD32" s="545"/>
      <c r="LUE32" s="545"/>
      <c r="LUF32" s="545"/>
      <c r="LUG32" s="545"/>
      <c r="LUH32" s="545"/>
      <c r="LUI32" s="545"/>
      <c r="LUJ32" s="545"/>
      <c r="LUK32" s="545"/>
      <c r="LUL32" s="545"/>
      <c r="LUM32" s="545"/>
      <c r="LUN32" s="545"/>
      <c r="LUO32" s="545"/>
      <c r="LUP32" s="545"/>
      <c r="LUQ32" s="545"/>
      <c r="LUR32" s="545"/>
      <c r="LUS32" s="545"/>
      <c r="LUT32" s="545"/>
      <c r="LUU32" s="545"/>
      <c r="LUV32" s="545"/>
      <c r="LUW32" s="545"/>
      <c r="LUX32" s="545"/>
      <c r="LUY32" s="545"/>
      <c r="LUZ32" s="545"/>
      <c r="LVA32" s="545"/>
      <c r="LVB32" s="545"/>
      <c r="LVC32" s="545"/>
      <c r="LVD32" s="545"/>
      <c r="LVE32" s="545"/>
      <c r="LVF32" s="545"/>
      <c r="LVG32" s="545"/>
      <c r="LVH32" s="545"/>
      <c r="LVI32" s="545"/>
      <c r="LVJ32" s="545"/>
      <c r="LVK32" s="545"/>
      <c r="LVL32" s="545"/>
      <c r="LVM32" s="545"/>
      <c r="LVN32" s="545"/>
      <c r="LVO32" s="545"/>
      <c r="LVP32" s="545"/>
      <c r="LVQ32" s="545"/>
      <c r="LVR32" s="545"/>
      <c r="LVS32" s="545"/>
      <c r="LVT32" s="545"/>
      <c r="LVU32" s="545"/>
      <c r="LVV32" s="545"/>
      <c r="LVW32" s="545"/>
      <c r="LVX32" s="545"/>
      <c r="LVY32" s="545"/>
      <c r="LVZ32" s="545"/>
      <c r="LWA32" s="545"/>
      <c r="LWB32" s="545"/>
      <c r="LWC32" s="545"/>
      <c r="LWD32" s="545"/>
      <c r="LWE32" s="545"/>
      <c r="LWF32" s="545"/>
      <c r="LWG32" s="545"/>
      <c r="LWH32" s="545"/>
      <c r="LWI32" s="545"/>
      <c r="LWJ32" s="545"/>
      <c r="LWK32" s="545"/>
      <c r="LWL32" s="545"/>
      <c r="LWM32" s="545"/>
      <c r="LWN32" s="545"/>
      <c r="LWO32" s="545"/>
      <c r="LWP32" s="545"/>
      <c r="LWQ32" s="545"/>
      <c r="LWR32" s="545"/>
      <c r="LWS32" s="545"/>
      <c r="LWT32" s="545"/>
      <c r="LWU32" s="545"/>
      <c r="LWV32" s="545"/>
      <c r="LWW32" s="545"/>
      <c r="LWX32" s="545"/>
      <c r="LWY32" s="545"/>
      <c r="LWZ32" s="545"/>
      <c r="LXA32" s="545"/>
      <c r="LXB32" s="545"/>
      <c r="LXC32" s="545"/>
      <c r="LXD32" s="545"/>
      <c r="LXE32" s="545"/>
      <c r="LXF32" s="545"/>
      <c r="LXG32" s="545"/>
      <c r="LXH32" s="545"/>
      <c r="LXI32" s="545"/>
      <c r="LXJ32" s="545"/>
      <c r="LXK32" s="545"/>
      <c r="LXL32" s="545"/>
      <c r="LXM32" s="545"/>
      <c r="LXN32" s="545"/>
      <c r="LXO32" s="545"/>
      <c r="LXP32" s="545"/>
      <c r="LXQ32" s="545"/>
      <c r="LXR32" s="545"/>
      <c r="LXS32" s="545"/>
      <c r="LXT32" s="545"/>
      <c r="LXU32" s="545"/>
      <c r="LXV32" s="545"/>
      <c r="LXW32" s="545"/>
      <c r="LXX32" s="545"/>
      <c r="LXY32" s="545"/>
      <c r="LXZ32" s="545"/>
      <c r="LYA32" s="545"/>
      <c r="LYB32" s="545"/>
      <c r="LYC32" s="545"/>
      <c r="LYD32" s="545"/>
      <c r="LYE32" s="545"/>
      <c r="LYF32" s="545"/>
      <c r="LYG32" s="545"/>
      <c r="LYH32" s="545"/>
      <c r="LYI32" s="545"/>
      <c r="LYJ32" s="545"/>
      <c r="LYK32" s="545"/>
      <c r="LYL32" s="545"/>
      <c r="LYM32" s="545"/>
      <c r="LYN32" s="545"/>
      <c r="LYO32" s="545"/>
      <c r="LYP32" s="545"/>
      <c r="LYQ32" s="545"/>
      <c r="LYR32" s="545"/>
      <c r="LYS32" s="545"/>
      <c r="LYT32" s="545"/>
      <c r="LYU32" s="545"/>
      <c r="LYV32" s="545"/>
      <c r="LYW32" s="545"/>
      <c r="LYX32" s="545"/>
      <c r="LYY32" s="545"/>
      <c r="LYZ32" s="545"/>
      <c r="LZA32" s="545"/>
      <c r="LZB32" s="545"/>
      <c r="LZC32" s="545"/>
      <c r="LZD32" s="545"/>
      <c r="LZE32" s="545"/>
      <c r="LZF32" s="545"/>
      <c r="LZG32" s="545"/>
      <c r="LZH32" s="545"/>
      <c r="LZI32" s="545"/>
      <c r="LZJ32" s="545"/>
      <c r="LZK32" s="545"/>
      <c r="LZL32" s="545"/>
      <c r="LZM32" s="545"/>
      <c r="LZN32" s="545"/>
      <c r="LZO32" s="545"/>
      <c r="LZP32" s="545"/>
      <c r="LZQ32" s="545"/>
      <c r="LZR32" s="545"/>
      <c r="LZS32" s="545"/>
      <c r="LZT32" s="545"/>
      <c r="LZU32" s="545"/>
      <c r="LZV32" s="545"/>
      <c r="LZW32" s="545"/>
      <c r="LZX32" s="545"/>
      <c r="LZY32" s="545"/>
      <c r="LZZ32" s="545"/>
      <c r="MAA32" s="545"/>
      <c r="MAB32" s="545"/>
      <c r="MAC32" s="545"/>
      <c r="MAD32" s="545"/>
      <c r="MAE32" s="545"/>
      <c r="MAF32" s="545"/>
      <c r="MAG32" s="545"/>
      <c r="MAH32" s="545"/>
      <c r="MAI32" s="545"/>
      <c r="MAJ32" s="545"/>
      <c r="MAK32" s="545"/>
      <c r="MAL32" s="545"/>
      <c r="MAM32" s="545"/>
      <c r="MAN32" s="545"/>
      <c r="MAO32" s="545"/>
      <c r="MAP32" s="545"/>
      <c r="MAQ32" s="545"/>
      <c r="MAR32" s="545"/>
      <c r="MAS32" s="545"/>
      <c r="MAT32" s="545"/>
      <c r="MAU32" s="545"/>
      <c r="MAV32" s="545"/>
      <c r="MAW32" s="545"/>
      <c r="MAX32" s="545"/>
      <c r="MAY32" s="545"/>
      <c r="MAZ32" s="545"/>
      <c r="MBA32" s="545"/>
      <c r="MBB32" s="545"/>
      <c r="MBC32" s="545"/>
      <c r="MBD32" s="545"/>
      <c r="MBE32" s="545"/>
      <c r="MBF32" s="545"/>
      <c r="MBG32" s="545"/>
      <c r="MBH32" s="545"/>
      <c r="MBI32" s="545"/>
      <c r="MBJ32" s="545"/>
      <c r="MBK32" s="545"/>
      <c r="MBL32" s="545"/>
      <c r="MBM32" s="545"/>
      <c r="MBN32" s="545"/>
      <c r="MBO32" s="545"/>
      <c r="MBP32" s="545"/>
      <c r="MBQ32" s="545"/>
      <c r="MBR32" s="545"/>
      <c r="MBS32" s="545"/>
      <c r="MBT32" s="545"/>
      <c r="MBU32" s="545"/>
      <c r="MBV32" s="545"/>
      <c r="MBW32" s="545"/>
      <c r="MBX32" s="545"/>
      <c r="MBY32" s="545"/>
      <c r="MBZ32" s="545"/>
      <c r="MCA32" s="545"/>
      <c r="MCB32" s="545"/>
      <c r="MCC32" s="545"/>
      <c r="MCD32" s="545"/>
      <c r="MCE32" s="545"/>
      <c r="MCF32" s="545"/>
      <c r="MCG32" s="545"/>
      <c r="MCH32" s="545"/>
      <c r="MCI32" s="545"/>
      <c r="MCJ32" s="545"/>
      <c r="MCK32" s="545"/>
      <c r="MCL32" s="545"/>
      <c r="MCM32" s="545"/>
      <c r="MCN32" s="545"/>
      <c r="MCO32" s="545"/>
      <c r="MCP32" s="545"/>
      <c r="MCQ32" s="545"/>
      <c r="MCR32" s="545"/>
      <c r="MCS32" s="545"/>
      <c r="MCT32" s="545"/>
      <c r="MCU32" s="545"/>
      <c r="MCV32" s="545"/>
      <c r="MCW32" s="545"/>
      <c r="MCX32" s="545"/>
      <c r="MCY32" s="545"/>
      <c r="MCZ32" s="545"/>
      <c r="MDA32" s="545"/>
      <c r="MDB32" s="545"/>
      <c r="MDC32" s="545"/>
      <c r="MDD32" s="545"/>
      <c r="MDE32" s="545"/>
      <c r="MDF32" s="545"/>
      <c r="MDG32" s="545"/>
      <c r="MDH32" s="545"/>
      <c r="MDI32" s="545"/>
      <c r="MDJ32" s="545"/>
      <c r="MDK32" s="545"/>
      <c r="MDL32" s="545"/>
      <c r="MDM32" s="545"/>
      <c r="MDN32" s="545"/>
      <c r="MDO32" s="545"/>
      <c r="MDP32" s="545"/>
      <c r="MDQ32" s="545"/>
      <c r="MDR32" s="545"/>
      <c r="MDS32" s="545"/>
      <c r="MDT32" s="545"/>
      <c r="MDU32" s="545"/>
      <c r="MDV32" s="545"/>
      <c r="MDW32" s="545"/>
      <c r="MDX32" s="545"/>
      <c r="MDY32" s="545"/>
      <c r="MDZ32" s="545"/>
      <c r="MEA32" s="545"/>
      <c r="MEB32" s="545"/>
      <c r="MEC32" s="545"/>
      <c r="MED32" s="545"/>
      <c r="MEE32" s="545"/>
      <c r="MEF32" s="545"/>
      <c r="MEG32" s="545"/>
      <c r="MEH32" s="545"/>
      <c r="MEI32" s="545"/>
      <c r="MEJ32" s="545"/>
      <c r="MEK32" s="545"/>
      <c r="MEL32" s="545"/>
      <c r="MEM32" s="545"/>
      <c r="MEN32" s="545"/>
      <c r="MEO32" s="545"/>
      <c r="MEP32" s="545"/>
      <c r="MEQ32" s="545"/>
      <c r="MER32" s="545"/>
      <c r="MES32" s="545"/>
      <c r="MET32" s="545"/>
      <c r="MEU32" s="545"/>
      <c r="MEV32" s="545"/>
      <c r="MEW32" s="545"/>
      <c r="MEX32" s="545"/>
      <c r="MEY32" s="545"/>
      <c r="MEZ32" s="545"/>
      <c r="MFA32" s="545"/>
      <c r="MFB32" s="545"/>
      <c r="MFC32" s="545"/>
      <c r="MFD32" s="545"/>
      <c r="MFE32" s="545"/>
      <c r="MFF32" s="545"/>
      <c r="MFG32" s="545"/>
      <c r="MFH32" s="545"/>
      <c r="MFI32" s="545"/>
      <c r="MFJ32" s="545"/>
      <c r="MFK32" s="545"/>
      <c r="MFL32" s="545"/>
      <c r="MFM32" s="545"/>
      <c r="MFN32" s="545"/>
      <c r="MFO32" s="545"/>
      <c r="MFP32" s="545"/>
      <c r="MFQ32" s="545"/>
      <c r="MFR32" s="545"/>
      <c r="MFS32" s="545"/>
      <c r="MFT32" s="545"/>
      <c r="MFU32" s="545"/>
      <c r="MFV32" s="545"/>
      <c r="MFW32" s="545"/>
      <c r="MFX32" s="545"/>
      <c r="MFY32" s="545"/>
      <c r="MFZ32" s="545"/>
      <c r="MGA32" s="545"/>
      <c r="MGB32" s="545"/>
      <c r="MGC32" s="545"/>
      <c r="MGD32" s="545"/>
      <c r="MGE32" s="545"/>
      <c r="MGF32" s="545"/>
      <c r="MGG32" s="545"/>
      <c r="MGH32" s="545"/>
      <c r="MGI32" s="545"/>
      <c r="MGJ32" s="545"/>
      <c r="MGK32" s="545"/>
      <c r="MGL32" s="545"/>
      <c r="MGM32" s="545"/>
      <c r="MGN32" s="545"/>
      <c r="MGO32" s="545"/>
      <c r="MGP32" s="545"/>
      <c r="MGQ32" s="545"/>
      <c r="MGR32" s="545"/>
      <c r="MGS32" s="545"/>
      <c r="MGT32" s="545"/>
      <c r="MGU32" s="545"/>
      <c r="MGV32" s="545"/>
      <c r="MGW32" s="545"/>
      <c r="MGX32" s="545"/>
      <c r="MGY32" s="545"/>
      <c r="MGZ32" s="545"/>
      <c r="MHA32" s="545"/>
      <c r="MHB32" s="545"/>
      <c r="MHC32" s="545"/>
      <c r="MHD32" s="545"/>
      <c r="MHE32" s="545"/>
      <c r="MHF32" s="545"/>
      <c r="MHG32" s="545"/>
      <c r="MHH32" s="545"/>
      <c r="MHI32" s="545"/>
      <c r="MHJ32" s="545"/>
      <c r="MHK32" s="545"/>
      <c r="MHL32" s="545"/>
      <c r="MHM32" s="545"/>
      <c r="MHN32" s="545"/>
      <c r="MHO32" s="545"/>
      <c r="MHP32" s="545"/>
      <c r="MHQ32" s="545"/>
      <c r="MHR32" s="545"/>
      <c r="MHS32" s="545"/>
      <c r="MHT32" s="545"/>
      <c r="MHU32" s="545"/>
      <c r="MHV32" s="545"/>
      <c r="MHW32" s="545"/>
      <c r="MHX32" s="545"/>
      <c r="MHY32" s="545"/>
      <c r="MHZ32" s="545"/>
      <c r="MIA32" s="545"/>
      <c r="MIB32" s="545"/>
      <c r="MIC32" s="545"/>
      <c r="MID32" s="545"/>
      <c r="MIE32" s="545"/>
      <c r="MIF32" s="545"/>
      <c r="MIG32" s="545"/>
      <c r="MIH32" s="545"/>
      <c r="MII32" s="545"/>
      <c r="MIJ32" s="545"/>
      <c r="MIK32" s="545"/>
      <c r="MIL32" s="545"/>
      <c r="MIM32" s="545"/>
      <c r="MIN32" s="545"/>
      <c r="MIO32" s="545"/>
      <c r="MIP32" s="545"/>
      <c r="MIQ32" s="545"/>
      <c r="MIR32" s="545"/>
      <c r="MIS32" s="545"/>
      <c r="MIT32" s="545"/>
      <c r="MIU32" s="545"/>
      <c r="MIV32" s="545"/>
      <c r="MIW32" s="545"/>
      <c r="MIX32" s="545"/>
      <c r="MIY32" s="545"/>
      <c r="MIZ32" s="545"/>
      <c r="MJA32" s="545"/>
      <c r="MJB32" s="545"/>
      <c r="MJC32" s="545"/>
      <c r="MJD32" s="545"/>
      <c r="MJE32" s="545"/>
      <c r="MJF32" s="545"/>
      <c r="MJG32" s="545"/>
      <c r="MJH32" s="545"/>
      <c r="MJI32" s="545"/>
      <c r="MJJ32" s="545"/>
      <c r="MJK32" s="545"/>
      <c r="MJL32" s="545"/>
      <c r="MJM32" s="545"/>
      <c r="MJN32" s="545"/>
      <c r="MJO32" s="545"/>
      <c r="MJP32" s="545"/>
      <c r="MJQ32" s="545"/>
      <c r="MJR32" s="545"/>
      <c r="MJS32" s="545"/>
      <c r="MJT32" s="545"/>
      <c r="MJU32" s="545"/>
      <c r="MJV32" s="545"/>
      <c r="MJW32" s="545"/>
      <c r="MJX32" s="545"/>
      <c r="MJY32" s="545"/>
      <c r="MJZ32" s="545"/>
      <c r="MKA32" s="545"/>
      <c r="MKB32" s="545"/>
      <c r="MKC32" s="545"/>
      <c r="MKD32" s="545"/>
      <c r="MKE32" s="545"/>
      <c r="MKF32" s="545"/>
      <c r="MKG32" s="545"/>
      <c r="MKH32" s="545"/>
      <c r="MKI32" s="545"/>
      <c r="MKJ32" s="545"/>
      <c r="MKK32" s="545"/>
      <c r="MKL32" s="545"/>
      <c r="MKM32" s="545"/>
      <c r="MKN32" s="545"/>
      <c r="MKO32" s="545"/>
      <c r="MKP32" s="545"/>
      <c r="MKQ32" s="545"/>
      <c r="MKR32" s="545"/>
      <c r="MKS32" s="545"/>
      <c r="MKT32" s="545"/>
      <c r="MKU32" s="545"/>
      <c r="MKV32" s="545"/>
      <c r="MKW32" s="545"/>
      <c r="MKX32" s="545"/>
      <c r="MKY32" s="545"/>
      <c r="MKZ32" s="545"/>
      <c r="MLA32" s="545"/>
      <c r="MLB32" s="545"/>
      <c r="MLC32" s="545"/>
      <c r="MLD32" s="545"/>
      <c r="MLE32" s="545"/>
      <c r="MLF32" s="545"/>
      <c r="MLG32" s="545"/>
      <c r="MLH32" s="545"/>
      <c r="MLI32" s="545"/>
      <c r="MLJ32" s="545"/>
      <c r="MLK32" s="545"/>
      <c r="MLL32" s="545"/>
      <c r="MLM32" s="545"/>
      <c r="MLN32" s="545"/>
      <c r="MLO32" s="545"/>
      <c r="MLP32" s="545"/>
      <c r="MLQ32" s="545"/>
      <c r="MLR32" s="545"/>
      <c r="MLS32" s="545"/>
      <c r="MLT32" s="545"/>
      <c r="MLU32" s="545"/>
      <c r="MLV32" s="545"/>
      <c r="MLW32" s="545"/>
      <c r="MLX32" s="545"/>
      <c r="MLY32" s="545"/>
      <c r="MLZ32" s="545"/>
      <c r="MMA32" s="545"/>
      <c r="MMB32" s="545"/>
      <c r="MMC32" s="545"/>
      <c r="MMD32" s="545"/>
      <c r="MME32" s="545"/>
      <c r="MMF32" s="545"/>
      <c r="MMG32" s="545"/>
      <c r="MMH32" s="545"/>
      <c r="MMI32" s="545"/>
      <c r="MMJ32" s="545"/>
      <c r="MMK32" s="545"/>
      <c r="MML32" s="545"/>
      <c r="MMM32" s="545"/>
      <c r="MMN32" s="545"/>
      <c r="MMO32" s="545"/>
      <c r="MMP32" s="545"/>
      <c r="MMQ32" s="545"/>
      <c r="MMR32" s="545"/>
      <c r="MMS32" s="545"/>
      <c r="MMT32" s="545"/>
      <c r="MMU32" s="545"/>
      <c r="MMV32" s="545"/>
      <c r="MMW32" s="545"/>
      <c r="MMX32" s="545"/>
      <c r="MMY32" s="545"/>
      <c r="MMZ32" s="545"/>
      <c r="MNA32" s="545"/>
      <c r="MNB32" s="545"/>
      <c r="MNC32" s="545"/>
      <c r="MND32" s="545"/>
      <c r="MNE32" s="545"/>
      <c r="MNF32" s="545"/>
      <c r="MNG32" s="545"/>
      <c r="MNH32" s="545"/>
      <c r="MNI32" s="545"/>
      <c r="MNJ32" s="545"/>
      <c r="MNK32" s="545"/>
      <c r="MNL32" s="545"/>
      <c r="MNM32" s="545"/>
      <c r="MNN32" s="545"/>
      <c r="MNO32" s="545"/>
      <c r="MNP32" s="545"/>
      <c r="MNQ32" s="545"/>
      <c r="MNR32" s="545"/>
      <c r="MNS32" s="545"/>
      <c r="MNT32" s="545"/>
      <c r="MNU32" s="545"/>
      <c r="MNV32" s="545"/>
      <c r="MNW32" s="545"/>
      <c r="MNX32" s="545"/>
      <c r="MNY32" s="545"/>
      <c r="MNZ32" s="545"/>
      <c r="MOA32" s="545"/>
      <c r="MOB32" s="545"/>
      <c r="MOC32" s="545"/>
      <c r="MOD32" s="545"/>
      <c r="MOE32" s="545"/>
      <c r="MOF32" s="545"/>
      <c r="MOG32" s="545"/>
      <c r="MOH32" s="545"/>
      <c r="MOI32" s="545"/>
      <c r="MOJ32" s="545"/>
      <c r="MOK32" s="545"/>
      <c r="MOL32" s="545"/>
      <c r="MOM32" s="545"/>
      <c r="MON32" s="545"/>
      <c r="MOO32" s="545"/>
      <c r="MOP32" s="545"/>
      <c r="MOQ32" s="545"/>
      <c r="MOR32" s="545"/>
      <c r="MOS32" s="545"/>
      <c r="MOT32" s="545"/>
      <c r="MOU32" s="545"/>
      <c r="MOV32" s="545"/>
      <c r="MOW32" s="545"/>
      <c r="MOX32" s="545"/>
      <c r="MOY32" s="545"/>
      <c r="MOZ32" s="545"/>
      <c r="MPA32" s="545"/>
      <c r="MPB32" s="545"/>
      <c r="MPC32" s="545"/>
      <c r="MPD32" s="545"/>
      <c r="MPE32" s="545"/>
      <c r="MPF32" s="545"/>
      <c r="MPG32" s="545"/>
      <c r="MPH32" s="545"/>
      <c r="MPI32" s="545"/>
      <c r="MPJ32" s="545"/>
      <c r="MPK32" s="545"/>
      <c r="MPL32" s="545"/>
      <c r="MPM32" s="545"/>
      <c r="MPN32" s="545"/>
      <c r="MPO32" s="545"/>
      <c r="MPP32" s="545"/>
      <c r="MPQ32" s="545"/>
      <c r="MPR32" s="545"/>
      <c r="MPS32" s="545"/>
      <c r="MPT32" s="545"/>
      <c r="MPU32" s="545"/>
      <c r="MPV32" s="545"/>
      <c r="MPW32" s="545"/>
      <c r="MPX32" s="545"/>
      <c r="MPY32" s="545"/>
      <c r="MPZ32" s="545"/>
      <c r="MQA32" s="545"/>
      <c r="MQB32" s="545"/>
      <c r="MQC32" s="545"/>
      <c r="MQD32" s="545"/>
      <c r="MQE32" s="545"/>
      <c r="MQF32" s="545"/>
      <c r="MQG32" s="545"/>
      <c r="MQH32" s="545"/>
      <c r="MQI32" s="545"/>
      <c r="MQJ32" s="545"/>
      <c r="MQK32" s="545"/>
      <c r="MQL32" s="545"/>
      <c r="MQM32" s="545"/>
      <c r="MQN32" s="545"/>
      <c r="MQO32" s="545"/>
      <c r="MQP32" s="545"/>
      <c r="MQQ32" s="545"/>
      <c r="MQR32" s="545"/>
      <c r="MQS32" s="545"/>
      <c r="MQT32" s="545"/>
      <c r="MQU32" s="545"/>
      <c r="MQV32" s="545"/>
      <c r="MQW32" s="545"/>
      <c r="MQX32" s="545"/>
      <c r="MQY32" s="545"/>
      <c r="MQZ32" s="545"/>
      <c r="MRA32" s="545"/>
      <c r="MRB32" s="545"/>
      <c r="MRC32" s="545"/>
      <c r="MRD32" s="545"/>
      <c r="MRE32" s="545"/>
      <c r="MRF32" s="545"/>
      <c r="MRG32" s="545"/>
      <c r="MRH32" s="545"/>
      <c r="MRI32" s="545"/>
      <c r="MRJ32" s="545"/>
      <c r="MRK32" s="545"/>
      <c r="MRL32" s="545"/>
      <c r="MRM32" s="545"/>
      <c r="MRN32" s="545"/>
      <c r="MRO32" s="545"/>
      <c r="MRP32" s="545"/>
      <c r="MRQ32" s="545"/>
      <c r="MRR32" s="545"/>
      <c r="MRS32" s="545"/>
      <c r="MRT32" s="545"/>
      <c r="MRU32" s="545"/>
      <c r="MRV32" s="545"/>
      <c r="MRW32" s="545"/>
      <c r="MRX32" s="545"/>
      <c r="MRY32" s="545"/>
      <c r="MRZ32" s="545"/>
      <c r="MSA32" s="545"/>
      <c r="MSB32" s="545"/>
      <c r="MSC32" s="545"/>
      <c r="MSD32" s="545"/>
      <c r="MSE32" s="545"/>
      <c r="MSF32" s="545"/>
      <c r="MSG32" s="545"/>
      <c r="MSH32" s="545"/>
      <c r="MSI32" s="545"/>
      <c r="MSJ32" s="545"/>
      <c r="MSK32" s="545"/>
      <c r="MSL32" s="545"/>
      <c r="MSM32" s="545"/>
      <c r="MSN32" s="545"/>
      <c r="MSO32" s="545"/>
      <c r="MSP32" s="545"/>
      <c r="MSQ32" s="545"/>
      <c r="MSR32" s="545"/>
      <c r="MSS32" s="545"/>
      <c r="MST32" s="545"/>
      <c r="MSU32" s="545"/>
      <c r="MSV32" s="545"/>
      <c r="MSW32" s="545"/>
      <c r="MSX32" s="545"/>
      <c r="MSY32" s="545"/>
      <c r="MSZ32" s="545"/>
      <c r="MTA32" s="545"/>
      <c r="MTB32" s="545"/>
      <c r="MTC32" s="545"/>
      <c r="MTD32" s="545"/>
      <c r="MTE32" s="545"/>
      <c r="MTF32" s="545"/>
      <c r="MTG32" s="545"/>
      <c r="MTH32" s="545"/>
      <c r="MTI32" s="545"/>
      <c r="MTJ32" s="545"/>
      <c r="MTK32" s="545"/>
      <c r="MTL32" s="545"/>
      <c r="MTM32" s="545"/>
      <c r="MTN32" s="545"/>
      <c r="MTO32" s="545"/>
      <c r="MTP32" s="545"/>
      <c r="MTQ32" s="545"/>
      <c r="MTR32" s="545"/>
      <c r="MTS32" s="545"/>
      <c r="MTT32" s="545"/>
      <c r="MTU32" s="545"/>
      <c r="MTV32" s="545"/>
      <c r="MTW32" s="545"/>
      <c r="MTX32" s="545"/>
      <c r="MTY32" s="545"/>
      <c r="MTZ32" s="545"/>
      <c r="MUA32" s="545"/>
      <c r="MUB32" s="545"/>
      <c r="MUC32" s="545"/>
      <c r="MUD32" s="545"/>
      <c r="MUE32" s="545"/>
      <c r="MUF32" s="545"/>
      <c r="MUG32" s="545"/>
      <c r="MUH32" s="545"/>
      <c r="MUI32" s="545"/>
      <c r="MUJ32" s="545"/>
      <c r="MUK32" s="545"/>
      <c r="MUL32" s="545"/>
      <c r="MUM32" s="545"/>
      <c r="MUN32" s="545"/>
      <c r="MUO32" s="545"/>
      <c r="MUP32" s="545"/>
      <c r="MUQ32" s="545"/>
      <c r="MUR32" s="545"/>
      <c r="MUS32" s="545"/>
      <c r="MUT32" s="545"/>
      <c r="MUU32" s="545"/>
      <c r="MUV32" s="545"/>
      <c r="MUW32" s="545"/>
      <c r="MUX32" s="545"/>
      <c r="MUY32" s="545"/>
      <c r="MUZ32" s="545"/>
      <c r="MVA32" s="545"/>
      <c r="MVB32" s="545"/>
      <c r="MVC32" s="545"/>
      <c r="MVD32" s="545"/>
      <c r="MVE32" s="545"/>
      <c r="MVF32" s="545"/>
      <c r="MVG32" s="545"/>
      <c r="MVH32" s="545"/>
      <c r="MVI32" s="545"/>
      <c r="MVJ32" s="545"/>
      <c r="MVK32" s="545"/>
      <c r="MVL32" s="545"/>
      <c r="MVM32" s="545"/>
      <c r="MVN32" s="545"/>
      <c r="MVO32" s="545"/>
      <c r="MVP32" s="545"/>
      <c r="MVQ32" s="545"/>
      <c r="MVR32" s="545"/>
      <c r="MVS32" s="545"/>
      <c r="MVT32" s="545"/>
      <c r="MVU32" s="545"/>
      <c r="MVV32" s="545"/>
      <c r="MVW32" s="545"/>
      <c r="MVX32" s="545"/>
      <c r="MVY32" s="545"/>
      <c r="MVZ32" s="545"/>
      <c r="MWA32" s="545"/>
      <c r="MWB32" s="545"/>
      <c r="MWC32" s="545"/>
      <c r="MWD32" s="545"/>
      <c r="MWE32" s="545"/>
      <c r="MWF32" s="545"/>
      <c r="MWG32" s="545"/>
      <c r="MWH32" s="545"/>
      <c r="MWI32" s="545"/>
      <c r="MWJ32" s="545"/>
      <c r="MWK32" s="545"/>
      <c r="MWL32" s="545"/>
      <c r="MWM32" s="545"/>
      <c r="MWN32" s="545"/>
      <c r="MWO32" s="545"/>
      <c r="MWP32" s="545"/>
      <c r="MWQ32" s="545"/>
      <c r="MWR32" s="545"/>
      <c r="MWS32" s="545"/>
      <c r="MWT32" s="545"/>
      <c r="MWU32" s="545"/>
      <c r="MWV32" s="545"/>
      <c r="MWW32" s="545"/>
      <c r="MWX32" s="545"/>
      <c r="MWY32" s="545"/>
      <c r="MWZ32" s="545"/>
      <c r="MXA32" s="545"/>
      <c r="MXB32" s="545"/>
      <c r="MXC32" s="545"/>
      <c r="MXD32" s="545"/>
      <c r="MXE32" s="545"/>
      <c r="MXF32" s="545"/>
      <c r="MXG32" s="545"/>
      <c r="MXH32" s="545"/>
      <c r="MXI32" s="545"/>
      <c r="MXJ32" s="545"/>
      <c r="MXK32" s="545"/>
      <c r="MXL32" s="545"/>
      <c r="MXM32" s="545"/>
      <c r="MXN32" s="545"/>
      <c r="MXO32" s="545"/>
      <c r="MXP32" s="545"/>
      <c r="MXQ32" s="545"/>
      <c r="MXR32" s="545"/>
      <c r="MXS32" s="545"/>
      <c r="MXT32" s="545"/>
      <c r="MXU32" s="545"/>
      <c r="MXV32" s="545"/>
      <c r="MXW32" s="545"/>
      <c r="MXX32" s="545"/>
      <c r="MXY32" s="545"/>
      <c r="MXZ32" s="545"/>
      <c r="MYA32" s="545"/>
      <c r="MYB32" s="545"/>
      <c r="MYC32" s="545"/>
      <c r="MYD32" s="545"/>
      <c r="MYE32" s="545"/>
      <c r="MYF32" s="545"/>
      <c r="MYG32" s="545"/>
      <c r="MYH32" s="545"/>
      <c r="MYI32" s="545"/>
      <c r="MYJ32" s="545"/>
      <c r="MYK32" s="545"/>
      <c r="MYL32" s="545"/>
      <c r="MYM32" s="545"/>
      <c r="MYN32" s="545"/>
      <c r="MYO32" s="545"/>
      <c r="MYP32" s="545"/>
      <c r="MYQ32" s="545"/>
      <c r="MYR32" s="545"/>
      <c r="MYS32" s="545"/>
      <c r="MYT32" s="545"/>
      <c r="MYU32" s="545"/>
      <c r="MYV32" s="545"/>
      <c r="MYW32" s="545"/>
      <c r="MYX32" s="545"/>
      <c r="MYY32" s="545"/>
      <c r="MYZ32" s="545"/>
      <c r="MZA32" s="545"/>
      <c r="MZB32" s="545"/>
      <c r="MZC32" s="545"/>
      <c r="MZD32" s="545"/>
      <c r="MZE32" s="545"/>
      <c r="MZF32" s="545"/>
      <c r="MZG32" s="545"/>
      <c r="MZH32" s="545"/>
      <c r="MZI32" s="545"/>
      <c r="MZJ32" s="545"/>
      <c r="MZK32" s="545"/>
      <c r="MZL32" s="545"/>
      <c r="MZM32" s="545"/>
      <c r="MZN32" s="545"/>
      <c r="MZO32" s="545"/>
      <c r="MZP32" s="545"/>
      <c r="MZQ32" s="545"/>
      <c r="MZR32" s="545"/>
      <c r="MZS32" s="545"/>
      <c r="MZT32" s="545"/>
      <c r="MZU32" s="545"/>
      <c r="MZV32" s="545"/>
      <c r="MZW32" s="545"/>
      <c r="MZX32" s="545"/>
      <c r="MZY32" s="545"/>
      <c r="MZZ32" s="545"/>
      <c r="NAA32" s="545"/>
      <c r="NAB32" s="545"/>
      <c r="NAC32" s="545"/>
      <c r="NAD32" s="545"/>
      <c r="NAE32" s="545"/>
      <c r="NAF32" s="545"/>
      <c r="NAG32" s="545"/>
      <c r="NAH32" s="545"/>
      <c r="NAI32" s="545"/>
      <c r="NAJ32" s="545"/>
      <c r="NAK32" s="545"/>
      <c r="NAL32" s="545"/>
      <c r="NAM32" s="545"/>
      <c r="NAN32" s="545"/>
      <c r="NAO32" s="545"/>
      <c r="NAP32" s="545"/>
      <c r="NAQ32" s="545"/>
      <c r="NAR32" s="545"/>
      <c r="NAS32" s="545"/>
      <c r="NAT32" s="545"/>
      <c r="NAU32" s="545"/>
      <c r="NAV32" s="545"/>
      <c r="NAW32" s="545"/>
      <c r="NAX32" s="545"/>
      <c r="NAY32" s="545"/>
      <c r="NAZ32" s="545"/>
      <c r="NBA32" s="545"/>
      <c r="NBB32" s="545"/>
      <c r="NBC32" s="545"/>
      <c r="NBD32" s="545"/>
      <c r="NBE32" s="545"/>
      <c r="NBF32" s="545"/>
      <c r="NBG32" s="545"/>
      <c r="NBH32" s="545"/>
      <c r="NBI32" s="545"/>
      <c r="NBJ32" s="545"/>
      <c r="NBK32" s="545"/>
      <c r="NBL32" s="545"/>
      <c r="NBM32" s="545"/>
      <c r="NBN32" s="545"/>
      <c r="NBO32" s="545"/>
      <c r="NBP32" s="545"/>
      <c r="NBQ32" s="545"/>
      <c r="NBR32" s="545"/>
      <c r="NBS32" s="545"/>
      <c r="NBT32" s="545"/>
      <c r="NBU32" s="545"/>
      <c r="NBV32" s="545"/>
      <c r="NBW32" s="545"/>
      <c r="NBX32" s="545"/>
      <c r="NBY32" s="545"/>
      <c r="NBZ32" s="545"/>
      <c r="NCA32" s="545"/>
      <c r="NCB32" s="545"/>
      <c r="NCC32" s="545"/>
      <c r="NCD32" s="545"/>
      <c r="NCE32" s="545"/>
      <c r="NCF32" s="545"/>
      <c r="NCG32" s="545"/>
      <c r="NCH32" s="545"/>
      <c r="NCI32" s="545"/>
      <c r="NCJ32" s="545"/>
      <c r="NCK32" s="545"/>
      <c r="NCL32" s="545"/>
      <c r="NCM32" s="545"/>
      <c r="NCN32" s="545"/>
      <c r="NCO32" s="545"/>
      <c r="NCP32" s="545"/>
      <c r="NCQ32" s="545"/>
      <c r="NCR32" s="545"/>
      <c r="NCS32" s="545"/>
      <c r="NCT32" s="545"/>
      <c r="NCU32" s="545"/>
      <c r="NCV32" s="545"/>
      <c r="NCW32" s="545"/>
      <c r="NCX32" s="545"/>
      <c r="NCY32" s="545"/>
      <c r="NCZ32" s="545"/>
      <c r="NDA32" s="545"/>
      <c r="NDB32" s="545"/>
      <c r="NDC32" s="545"/>
      <c r="NDD32" s="545"/>
      <c r="NDE32" s="545"/>
      <c r="NDF32" s="545"/>
      <c r="NDG32" s="545"/>
      <c r="NDH32" s="545"/>
      <c r="NDI32" s="545"/>
      <c r="NDJ32" s="545"/>
      <c r="NDK32" s="545"/>
      <c r="NDL32" s="545"/>
      <c r="NDM32" s="545"/>
      <c r="NDN32" s="545"/>
      <c r="NDO32" s="545"/>
      <c r="NDP32" s="545"/>
      <c r="NDQ32" s="545"/>
      <c r="NDR32" s="545"/>
      <c r="NDS32" s="545"/>
      <c r="NDT32" s="545"/>
      <c r="NDU32" s="545"/>
      <c r="NDV32" s="545"/>
      <c r="NDW32" s="545"/>
      <c r="NDX32" s="545"/>
      <c r="NDY32" s="545"/>
      <c r="NDZ32" s="545"/>
      <c r="NEA32" s="545"/>
      <c r="NEB32" s="545"/>
      <c r="NEC32" s="545"/>
      <c r="NED32" s="545"/>
      <c r="NEE32" s="545"/>
      <c r="NEF32" s="545"/>
      <c r="NEG32" s="545"/>
      <c r="NEH32" s="545"/>
      <c r="NEI32" s="545"/>
      <c r="NEJ32" s="545"/>
      <c r="NEK32" s="545"/>
      <c r="NEL32" s="545"/>
      <c r="NEM32" s="545"/>
      <c r="NEN32" s="545"/>
      <c r="NEO32" s="545"/>
      <c r="NEP32" s="545"/>
      <c r="NEQ32" s="545"/>
      <c r="NER32" s="545"/>
      <c r="NES32" s="545"/>
      <c r="NET32" s="545"/>
      <c r="NEU32" s="545"/>
      <c r="NEV32" s="545"/>
      <c r="NEW32" s="545"/>
      <c r="NEX32" s="545"/>
      <c r="NEY32" s="545"/>
      <c r="NEZ32" s="545"/>
      <c r="NFA32" s="545"/>
      <c r="NFB32" s="545"/>
      <c r="NFC32" s="545"/>
      <c r="NFD32" s="545"/>
      <c r="NFE32" s="545"/>
      <c r="NFF32" s="545"/>
      <c r="NFG32" s="545"/>
      <c r="NFH32" s="545"/>
      <c r="NFI32" s="545"/>
      <c r="NFJ32" s="545"/>
      <c r="NFK32" s="545"/>
      <c r="NFL32" s="545"/>
      <c r="NFM32" s="545"/>
      <c r="NFN32" s="545"/>
      <c r="NFO32" s="545"/>
      <c r="NFP32" s="545"/>
      <c r="NFQ32" s="545"/>
      <c r="NFR32" s="545"/>
      <c r="NFS32" s="545"/>
      <c r="NFT32" s="545"/>
      <c r="NFU32" s="545"/>
      <c r="NFV32" s="545"/>
      <c r="NFW32" s="545"/>
      <c r="NFX32" s="545"/>
      <c r="NFY32" s="545"/>
      <c r="NFZ32" s="545"/>
      <c r="NGA32" s="545"/>
      <c r="NGB32" s="545"/>
      <c r="NGC32" s="545"/>
      <c r="NGD32" s="545"/>
      <c r="NGE32" s="545"/>
      <c r="NGF32" s="545"/>
      <c r="NGG32" s="545"/>
      <c r="NGH32" s="545"/>
      <c r="NGI32" s="545"/>
      <c r="NGJ32" s="545"/>
      <c r="NGK32" s="545"/>
      <c r="NGL32" s="545"/>
      <c r="NGM32" s="545"/>
      <c r="NGN32" s="545"/>
      <c r="NGO32" s="545"/>
      <c r="NGP32" s="545"/>
      <c r="NGQ32" s="545"/>
      <c r="NGR32" s="545"/>
      <c r="NGS32" s="545"/>
      <c r="NGT32" s="545"/>
      <c r="NGU32" s="545"/>
      <c r="NGV32" s="545"/>
      <c r="NGW32" s="545"/>
      <c r="NGX32" s="545"/>
      <c r="NGY32" s="545"/>
      <c r="NGZ32" s="545"/>
      <c r="NHA32" s="545"/>
      <c r="NHB32" s="545"/>
      <c r="NHC32" s="545"/>
      <c r="NHD32" s="545"/>
      <c r="NHE32" s="545"/>
      <c r="NHF32" s="545"/>
      <c r="NHG32" s="545"/>
      <c r="NHH32" s="545"/>
      <c r="NHI32" s="545"/>
      <c r="NHJ32" s="545"/>
      <c r="NHK32" s="545"/>
      <c r="NHL32" s="545"/>
      <c r="NHM32" s="545"/>
      <c r="NHN32" s="545"/>
      <c r="NHO32" s="545"/>
      <c r="NHP32" s="545"/>
      <c r="NHQ32" s="545"/>
      <c r="NHR32" s="545"/>
      <c r="NHS32" s="545"/>
      <c r="NHT32" s="545"/>
      <c r="NHU32" s="545"/>
      <c r="NHV32" s="545"/>
      <c r="NHW32" s="545"/>
      <c r="NHX32" s="545"/>
      <c r="NHY32" s="545"/>
      <c r="NHZ32" s="545"/>
      <c r="NIA32" s="545"/>
      <c r="NIB32" s="545"/>
      <c r="NIC32" s="545"/>
      <c r="NID32" s="545"/>
      <c r="NIE32" s="545"/>
      <c r="NIF32" s="545"/>
      <c r="NIG32" s="545"/>
      <c r="NIH32" s="545"/>
      <c r="NII32" s="545"/>
      <c r="NIJ32" s="545"/>
      <c r="NIK32" s="545"/>
      <c r="NIL32" s="545"/>
      <c r="NIM32" s="545"/>
      <c r="NIN32" s="545"/>
      <c r="NIO32" s="545"/>
      <c r="NIP32" s="545"/>
      <c r="NIQ32" s="545"/>
      <c r="NIR32" s="545"/>
      <c r="NIS32" s="545"/>
      <c r="NIT32" s="545"/>
      <c r="NIU32" s="545"/>
      <c r="NIV32" s="545"/>
      <c r="NIW32" s="545"/>
      <c r="NIX32" s="545"/>
      <c r="NIY32" s="545"/>
      <c r="NIZ32" s="545"/>
      <c r="NJA32" s="545"/>
      <c r="NJB32" s="545"/>
      <c r="NJC32" s="545"/>
      <c r="NJD32" s="545"/>
      <c r="NJE32" s="545"/>
      <c r="NJF32" s="545"/>
      <c r="NJG32" s="545"/>
      <c r="NJH32" s="545"/>
      <c r="NJI32" s="545"/>
      <c r="NJJ32" s="545"/>
      <c r="NJK32" s="545"/>
      <c r="NJL32" s="545"/>
      <c r="NJM32" s="545"/>
      <c r="NJN32" s="545"/>
      <c r="NJO32" s="545"/>
      <c r="NJP32" s="545"/>
      <c r="NJQ32" s="545"/>
      <c r="NJR32" s="545"/>
      <c r="NJS32" s="545"/>
      <c r="NJT32" s="545"/>
      <c r="NJU32" s="545"/>
      <c r="NJV32" s="545"/>
      <c r="NJW32" s="545"/>
      <c r="NJX32" s="545"/>
      <c r="NJY32" s="545"/>
      <c r="NJZ32" s="545"/>
      <c r="NKA32" s="545"/>
      <c r="NKB32" s="545"/>
      <c r="NKC32" s="545"/>
      <c r="NKD32" s="545"/>
      <c r="NKE32" s="545"/>
      <c r="NKF32" s="545"/>
      <c r="NKG32" s="545"/>
      <c r="NKH32" s="545"/>
      <c r="NKI32" s="545"/>
      <c r="NKJ32" s="545"/>
      <c r="NKK32" s="545"/>
      <c r="NKL32" s="545"/>
      <c r="NKM32" s="545"/>
      <c r="NKN32" s="545"/>
      <c r="NKO32" s="545"/>
      <c r="NKP32" s="545"/>
      <c r="NKQ32" s="545"/>
      <c r="NKR32" s="545"/>
      <c r="NKS32" s="545"/>
      <c r="NKT32" s="545"/>
      <c r="NKU32" s="545"/>
      <c r="NKV32" s="545"/>
      <c r="NKW32" s="545"/>
      <c r="NKX32" s="545"/>
      <c r="NKY32" s="545"/>
      <c r="NKZ32" s="545"/>
      <c r="NLA32" s="545"/>
      <c r="NLB32" s="545"/>
      <c r="NLC32" s="545"/>
      <c r="NLD32" s="545"/>
      <c r="NLE32" s="545"/>
      <c r="NLF32" s="545"/>
      <c r="NLG32" s="545"/>
      <c r="NLH32" s="545"/>
      <c r="NLI32" s="545"/>
      <c r="NLJ32" s="545"/>
      <c r="NLK32" s="545"/>
      <c r="NLL32" s="545"/>
      <c r="NLM32" s="545"/>
      <c r="NLN32" s="545"/>
      <c r="NLO32" s="545"/>
      <c r="NLP32" s="545"/>
      <c r="NLQ32" s="545"/>
      <c r="NLR32" s="545"/>
      <c r="NLS32" s="545"/>
      <c r="NLT32" s="545"/>
      <c r="NLU32" s="545"/>
      <c r="NLV32" s="545"/>
      <c r="NLW32" s="545"/>
      <c r="NLX32" s="545"/>
      <c r="NLY32" s="545"/>
      <c r="NLZ32" s="545"/>
      <c r="NMA32" s="545"/>
      <c r="NMB32" s="545"/>
      <c r="NMC32" s="545"/>
      <c r="NMD32" s="545"/>
      <c r="NME32" s="545"/>
      <c r="NMF32" s="545"/>
      <c r="NMG32" s="545"/>
      <c r="NMH32" s="545"/>
      <c r="NMI32" s="545"/>
      <c r="NMJ32" s="545"/>
      <c r="NMK32" s="545"/>
      <c r="NML32" s="545"/>
      <c r="NMM32" s="545"/>
      <c r="NMN32" s="545"/>
      <c r="NMO32" s="545"/>
      <c r="NMP32" s="545"/>
      <c r="NMQ32" s="545"/>
      <c r="NMR32" s="545"/>
      <c r="NMS32" s="545"/>
      <c r="NMT32" s="545"/>
      <c r="NMU32" s="545"/>
      <c r="NMV32" s="545"/>
      <c r="NMW32" s="545"/>
      <c r="NMX32" s="545"/>
      <c r="NMY32" s="545"/>
      <c r="NMZ32" s="545"/>
      <c r="NNA32" s="545"/>
      <c r="NNB32" s="545"/>
      <c r="NNC32" s="545"/>
      <c r="NND32" s="545"/>
      <c r="NNE32" s="545"/>
      <c r="NNF32" s="545"/>
      <c r="NNG32" s="545"/>
      <c r="NNH32" s="545"/>
      <c r="NNI32" s="545"/>
      <c r="NNJ32" s="545"/>
      <c r="NNK32" s="545"/>
      <c r="NNL32" s="545"/>
      <c r="NNM32" s="545"/>
      <c r="NNN32" s="545"/>
      <c r="NNO32" s="545"/>
      <c r="NNP32" s="545"/>
      <c r="NNQ32" s="545"/>
      <c r="NNR32" s="545"/>
      <c r="NNS32" s="545"/>
      <c r="NNT32" s="545"/>
      <c r="NNU32" s="545"/>
      <c r="NNV32" s="545"/>
      <c r="NNW32" s="545"/>
      <c r="NNX32" s="545"/>
      <c r="NNY32" s="545"/>
      <c r="NNZ32" s="545"/>
      <c r="NOA32" s="545"/>
      <c r="NOB32" s="545"/>
      <c r="NOC32" s="545"/>
      <c r="NOD32" s="545"/>
      <c r="NOE32" s="545"/>
      <c r="NOF32" s="545"/>
      <c r="NOG32" s="545"/>
      <c r="NOH32" s="545"/>
      <c r="NOI32" s="545"/>
      <c r="NOJ32" s="545"/>
      <c r="NOK32" s="545"/>
      <c r="NOL32" s="545"/>
      <c r="NOM32" s="545"/>
      <c r="NON32" s="545"/>
      <c r="NOO32" s="545"/>
      <c r="NOP32" s="545"/>
      <c r="NOQ32" s="545"/>
      <c r="NOR32" s="545"/>
      <c r="NOS32" s="545"/>
      <c r="NOT32" s="545"/>
      <c r="NOU32" s="545"/>
      <c r="NOV32" s="545"/>
      <c r="NOW32" s="545"/>
      <c r="NOX32" s="545"/>
      <c r="NOY32" s="545"/>
      <c r="NOZ32" s="545"/>
      <c r="NPA32" s="545"/>
      <c r="NPB32" s="545"/>
      <c r="NPC32" s="545"/>
      <c r="NPD32" s="545"/>
      <c r="NPE32" s="545"/>
      <c r="NPF32" s="545"/>
      <c r="NPG32" s="545"/>
      <c r="NPH32" s="545"/>
      <c r="NPI32" s="545"/>
      <c r="NPJ32" s="545"/>
      <c r="NPK32" s="545"/>
      <c r="NPL32" s="545"/>
      <c r="NPM32" s="545"/>
      <c r="NPN32" s="545"/>
      <c r="NPO32" s="545"/>
      <c r="NPP32" s="545"/>
      <c r="NPQ32" s="545"/>
      <c r="NPR32" s="545"/>
      <c r="NPS32" s="545"/>
      <c r="NPT32" s="545"/>
      <c r="NPU32" s="545"/>
      <c r="NPV32" s="545"/>
      <c r="NPW32" s="545"/>
      <c r="NPX32" s="545"/>
      <c r="NPY32" s="545"/>
      <c r="NPZ32" s="545"/>
      <c r="NQA32" s="545"/>
      <c r="NQB32" s="545"/>
      <c r="NQC32" s="545"/>
      <c r="NQD32" s="545"/>
      <c r="NQE32" s="545"/>
      <c r="NQF32" s="545"/>
      <c r="NQG32" s="545"/>
      <c r="NQH32" s="545"/>
      <c r="NQI32" s="545"/>
      <c r="NQJ32" s="545"/>
      <c r="NQK32" s="545"/>
      <c r="NQL32" s="545"/>
      <c r="NQM32" s="545"/>
      <c r="NQN32" s="545"/>
      <c r="NQO32" s="545"/>
      <c r="NQP32" s="545"/>
      <c r="NQQ32" s="545"/>
      <c r="NQR32" s="545"/>
      <c r="NQS32" s="545"/>
      <c r="NQT32" s="545"/>
      <c r="NQU32" s="545"/>
      <c r="NQV32" s="545"/>
      <c r="NQW32" s="545"/>
      <c r="NQX32" s="545"/>
      <c r="NQY32" s="545"/>
      <c r="NQZ32" s="545"/>
      <c r="NRA32" s="545"/>
      <c r="NRB32" s="545"/>
      <c r="NRC32" s="545"/>
      <c r="NRD32" s="545"/>
      <c r="NRE32" s="545"/>
      <c r="NRF32" s="545"/>
      <c r="NRG32" s="545"/>
      <c r="NRH32" s="545"/>
      <c r="NRI32" s="545"/>
      <c r="NRJ32" s="545"/>
      <c r="NRK32" s="545"/>
      <c r="NRL32" s="545"/>
      <c r="NRM32" s="545"/>
      <c r="NRN32" s="545"/>
      <c r="NRO32" s="545"/>
      <c r="NRP32" s="545"/>
      <c r="NRQ32" s="545"/>
      <c r="NRR32" s="545"/>
      <c r="NRS32" s="545"/>
      <c r="NRT32" s="545"/>
      <c r="NRU32" s="545"/>
      <c r="NRV32" s="545"/>
      <c r="NRW32" s="545"/>
      <c r="NRX32" s="545"/>
      <c r="NRY32" s="545"/>
      <c r="NRZ32" s="545"/>
      <c r="NSA32" s="545"/>
      <c r="NSB32" s="545"/>
      <c r="NSC32" s="545"/>
      <c r="NSD32" s="545"/>
      <c r="NSE32" s="545"/>
      <c r="NSF32" s="545"/>
      <c r="NSG32" s="545"/>
      <c r="NSH32" s="545"/>
      <c r="NSI32" s="545"/>
      <c r="NSJ32" s="545"/>
      <c r="NSK32" s="545"/>
      <c r="NSL32" s="545"/>
      <c r="NSM32" s="545"/>
      <c r="NSN32" s="545"/>
      <c r="NSO32" s="545"/>
      <c r="NSP32" s="545"/>
      <c r="NSQ32" s="545"/>
      <c r="NSR32" s="545"/>
      <c r="NSS32" s="545"/>
      <c r="NST32" s="545"/>
      <c r="NSU32" s="545"/>
      <c r="NSV32" s="545"/>
      <c r="NSW32" s="545"/>
      <c r="NSX32" s="545"/>
      <c r="NSY32" s="545"/>
      <c r="NSZ32" s="545"/>
      <c r="NTA32" s="545"/>
      <c r="NTB32" s="545"/>
      <c r="NTC32" s="545"/>
      <c r="NTD32" s="545"/>
      <c r="NTE32" s="545"/>
      <c r="NTF32" s="545"/>
      <c r="NTG32" s="545"/>
      <c r="NTH32" s="545"/>
      <c r="NTI32" s="545"/>
      <c r="NTJ32" s="545"/>
      <c r="NTK32" s="545"/>
      <c r="NTL32" s="545"/>
      <c r="NTM32" s="545"/>
      <c r="NTN32" s="545"/>
      <c r="NTO32" s="545"/>
      <c r="NTP32" s="545"/>
      <c r="NTQ32" s="545"/>
      <c r="NTR32" s="545"/>
      <c r="NTS32" s="545"/>
      <c r="NTT32" s="545"/>
      <c r="NTU32" s="545"/>
      <c r="NTV32" s="545"/>
      <c r="NTW32" s="545"/>
      <c r="NTX32" s="545"/>
      <c r="NTY32" s="545"/>
      <c r="NTZ32" s="545"/>
      <c r="NUA32" s="545"/>
      <c r="NUB32" s="545"/>
      <c r="NUC32" s="545"/>
      <c r="NUD32" s="545"/>
      <c r="NUE32" s="545"/>
      <c r="NUF32" s="545"/>
      <c r="NUG32" s="545"/>
      <c r="NUH32" s="545"/>
      <c r="NUI32" s="545"/>
      <c r="NUJ32" s="545"/>
      <c r="NUK32" s="545"/>
      <c r="NUL32" s="545"/>
      <c r="NUM32" s="545"/>
      <c r="NUN32" s="545"/>
      <c r="NUO32" s="545"/>
      <c r="NUP32" s="545"/>
      <c r="NUQ32" s="545"/>
      <c r="NUR32" s="545"/>
      <c r="NUS32" s="545"/>
      <c r="NUT32" s="545"/>
      <c r="NUU32" s="545"/>
      <c r="NUV32" s="545"/>
      <c r="NUW32" s="545"/>
      <c r="NUX32" s="545"/>
      <c r="NUY32" s="545"/>
      <c r="NUZ32" s="545"/>
      <c r="NVA32" s="545"/>
      <c r="NVB32" s="545"/>
      <c r="NVC32" s="545"/>
      <c r="NVD32" s="545"/>
      <c r="NVE32" s="545"/>
      <c r="NVF32" s="545"/>
      <c r="NVG32" s="545"/>
      <c r="NVH32" s="545"/>
      <c r="NVI32" s="545"/>
      <c r="NVJ32" s="545"/>
      <c r="NVK32" s="545"/>
      <c r="NVL32" s="545"/>
      <c r="NVM32" s="545"/>
      <c r="NVN32" s="545"/>
      <c r="NVO32" s="545"/>
      <c r="NVP32" s="545"/>
      <c r="NVQ32" s="545"/>
      <c r="NVR32" s="545"/>
      <c r="NVS32" s="545"/>
      <c r="NVT32" s="545"/>
      <c r="NVU32" s="545"/>
      <c r="NVV32" s="545"/>
      <c r="NVW32" s="545"/>
      <c r="NVX32" s="545"/>
      <c r="NVY32" s="545"/>
      <c r="NVZ32" s="545"/>
      <c r="NWA32" s="545"/>
      <c r="NWB32" s="545"/>
      <c r="NWC32" s="545"/>
      <c r="NWD32" s="545"/>
      <c r="NWE32" s="545"/>
      <c r="NWF32" s="545"/>
      <c r="NWG32" s="545"/>
      <c r="NWH32" s="545"/>
      <c r="NWI32" s="545"/>
      <c r="NWJ32" s="545"/>
      <c r="NWK32" s="545"/>
      <c r="NWL32" s="545"/>
      <c r="NWM32" s="545"/>
      <c r="NWN32" s="545"/>
      <c r="NWO32" s="545"/>
      <c r="NWP32" s="545"/>
      <c r="NWQ32" s="545"/>
      <c r="NWR32" s="545"/>
      <c r="NWS32" s="545"/>
      <c r="NWT32" s="545"/>
      <c r="NWU32" s="545"/>
      <c r="NWV32" s="545"/>
      <c r="NWW32" s="545"/>
      <c r="NWX32" s="545"/>
      <c r="NWY32" s="545"/>
      <c r="NWZ32" s="545"/>
      <c r="NXA32" s="545"/>
      <c r="NXB32" s="545"/>
      <c r="NXC32" s="545"/>
      <c r="NXD32" s="545"/>
      <c r="NXE32" s="545"/>
      <c r="NXF32" s="545"/>
      <c r="NXG32" s="545"/>
      <c r="NXH32" s="545"/>
      <c r="NXI32" s="545"/>
      <c r="NXJ32" s="545"/>
      <c r="NXK32" s="545"/>
      <c r="NXL32" s="545"/>
      <c r="NXM32" s="545"/>
      <c r="NXN32" s="545"/>
      <c r="NXO32" s="545"/>
      <c r="NXP32" s="545"/>
      <c r="NXQ32" s="545"/>
      <c r="NXR32" s="545"/>
      <c r="NXS32" s="545"/>
      <c r="NXT32" s="545"/>
      <c r="NXU32" s="545"/>
      <c r="NXV32" s="545"/>
      <c r="NXW32" s="545"/>
      <c r="NXX32" s="545"/>
      <c r="NXY32" s="545"/>
      <c r="NXZ32" s="545"/>
      <c r="NYA32" s="545"/>
      <c r="NYB32" s="545"/>
      <c r="NYC32" s="545"/>
      <c r="NYD32" s="545"/>
      <c r="NYE32" s="545"/>
      <c r="NYF32" s="545"/>
      <c r="NYG32" s="545"/>
      <c r="NYH32" s="545"/>
      <c r="NYI32" s="545"/>
      <c r="NYJ32" s="545"/>
      <c r="NYK32" s="545"/>
      <c r="NYL32" s="545"/>
      <c r="NYM32" s="545"/>
      <c r="NYN32" s="545"/>
      <c r="NYO32" s="545"/>
      <c r="NYP32" s="545"/>
      <c r="NYQ32" s="545"/>
      <c r="NYR32" s="545"/>
      <c r="NYS32" s="545"/>
      <c r="NYT32" s="545"/>
      <c r="NYU32" s="545"/>
      <c r="NYV32" s="545"/>
      <c r="NYW32" s="545"/>
      <c r="NYX32" s="545"/>
      <c r="NYY32" s="545"/>
      <c r="NYZ32" s="545"/>
      <c r="NZA32" s="545"/>
      <c r="NZB32" s="545"/>
      <c r="NZC32" s="545"/>
      <c r="NZD32" s="545"/>
      <c r="NZE32" s="545"/>
      <c r="NZF32" s="545"/>
      <c r="NZG32" s="545"/>
      <c r="NZH32" s="545"/>
      <c r="NZI32" s="545"/>
      <c r="NZJ32" s="545"/>
      <c r="NZK32" s="545"/>
      <c r="NZL32" s="545"/>
      <c r="NZM32" s="545"/>
      <c r="NZN32" s="545"/>
      <c r="NZO32" s="545"/>
      <c r="NZP32" s="545"/>
      <c r="NZQ32" s="545"/>
      <c r="NZR32" s="545"/>
      <c r="NZS32" s="545"/>
      <c r="NZT32" s="545"/>
      <c r="NZU32" s="545"/>
      <c r="NZV32" s="545"/>
      <c r="NZW32" s="545"/>
      <c r="NZX32" s="545"/>
      <c r="NZY32" s="545"/>
      <c r="NZZ32" s="545"/>
      <c r="OAA32" s="545"/>
      <c r="OAB32" s="545"/>
      <c r="OAC32" s="545"/>
      <c r="OAD32" s="545"/>
      <c r="OAE32" s="545"/>
      <c r="OAF32" s="545"/>
      <c r="OAG32" s="545"/>
      <c r="OAH32" s="545"/>
      <c r="OAI32" s="545"/>
      <c r="OAJ32" s="545"/>
      <c r="OAK32" s="545"/>
      <c r="OAL32" s="545"/>
      <c r="OAM32" s="545"/>
      <c r="OAN32" s="545"/>
      <c r="OAO32" s="545"/>
      <c r="OAP32" s="545"/>
      <c r="OAQ32" s="545"/>
      <c r="OAR32" s="545"/>
      <c r="OAS32" s="545"/>
      <c r="OAT32" s="545"/>
      <c r="OAU32" s="545"/>
      <c r="OAV32" s="545"/>
      <c r="OAW32" s="545"/>
      <c r="OAX32" s="545"/>
      <c r="OAY32" s="545"/>
      <c r="OAZ32" s="545"/>
      <c r="OBA32" s="545"/>
      <c r="OBB32" s="545"/>
      <c r="OBC32" s="545"/>
      <c r="OBD32" s="545"/>
      <c r="OBE32" s="545"/>
      <c r="OBF32" s="545"/>
      <c r="OBG32" s="545"/>
      <c r="OBH32" s="545"/>
      <c r="OBI32" s="545"/>
      <c r="OBJ32" s="545"/>
      <c r="OBK32" s="545"/>
      <c r="OBL32" s="545"/>
      <c r="OBM32" s="545"/>
      <c r="OBN32" s="545"/>
      <c r="OBO32" s="545"/>
      <c r="OBP32" s="545"/>
      <c r="OBQ32" s="545"/>
      <c r="OBR32" s="545"/>
      <c r="OBS32" s="545"/>
      <c r="OBT32" s="545"/>
      <c r="OBU32" s="545"/>
      <c r="OBV32" s="545"/>
      <c r="OBW32" s="545"/>
      <c r="OBX32" s="545"/>
      <c r="OBY32" s="545"/>
      <c r="OBZ32" s="545"/>
      <c r="OCA32" s="545"/>
      <c r="OCB32" s="545"/>
      <c r="OCC32" s="545"/>
      <c r="OCD32" s="545"/>
      <c r="OCE32" s="545"/>
      <c r="OCF32" s="545"/>
      <c r="OCG32" s="545"/>
      <c r="OCH32" s="545"/>
      <c r="OCI32" s="545"/>
      <c r="OCJ32" s="545"/>
      <c r="OCK32" s="545"/>
      <c r="OCL32" s="545"/>
      <c r="OCM32" s="545"/>
      <c r="OCN32" s="545"/>
      <c r="OCO32" s="545"/>
      <c r="OCP32" s="545"/>
      <c r="OCQ32" s="545"/>
      <c r="OCR32" s="545"/>
      <c r="OCS32" s="545"/>
      <c r="OCT32" s="545"/>
      <c r="OCU32" s="545"/>
      <c r="OCV32" s="545"/>
      <c r="OCW32" s="545"/>
      <c r="OCX32" s="545"/>
      <c r="OCY32" s="545"/>
      <c r="OCZ32" s="545"/>
      <c r="ODA32" s="545"/>
      <c r="ODB32" s="545"/>
      <c r="ODC32" s="545"/>
      <c r="ODD32" s="545"/>
      <c r="ODE32" s="545"/>
      <c r="ODF32" s="545"/>
      <c r="ODG32" s="545"/>
      <c r="ODH32" s="545"/>
      <c r="ODI32" s="545"/>
      <c r="ODJ32" s="545"/>
      <c r="ODK32" s="545"/>
      <c r="ODL32" s="545"/>
      <c r="ODM32" s="545"/>
      <c r="ODN32" s="545"/>
      <c r="ODO32" s="545"/>
      <c r="ODP32" s="545"/>
      <c r="ODQ32" s="545"/>
      <c r="ODR32" s="545"/>
      <c r="ODS32" s="545"/>
      <c r="ODT32" s="545"/>
      <c r="ODU32" s="545"/>
      <c r="ODV32" s="545"/>
      <c r="ODW32" s="545"/>
      <c r="ODX32" s="545"/>
      <c r="ODY32" s="545"/>
      <c r="ODZ32" s="545"/>
      <c r="OEA32" s="545"/>
      <c r="OEB32" s="545"/>
      <c r="OEC32" s="545"/>
      <c r="OED32" s="545"/>
      <c r="OEE32" s="545"/>
      <c r="OEF32" s="545"/>
      <c r="OEG32" s="545"/>
      <c r="OEH32" s="545"/>
      <c r="OEI32" s="545"/>
      <c r="OEJ32" s="545"/>
      <c r="OEK32" s="545"/>
      <c r="OEL32" s="545"/>
      <c r="OEM32" s="545"/>
      <c r="OEN32" s="545"/>
      <c r="OEO32" s="545"/>
      <c r="OEP32" s="545"/>
      <c r="OEQ32" s="545"/>
      <c r="OER32" s="545"/>
      <c r="OES32" s="545"/>
      <c r="OET32" s="545"/>
      <c r="OEU32" s="545"/>
      <c r="OEV32" s="545"/>
      <c r="OEW32" s="545"/>
      <c r="OEX32" s="545"/>
      <c r="OEY32" s="545"/>
      <c r="OEZ32" s="545"/>
      <c r="OFA32" s="545"/>
      <c r="OFB32" s="545"/>
      <c r="OFC32" s="545"/>
      <c r="OFD32" s="545"/>
      <c r="OFE32" s="545"/>
      <c r="OFF32" s="545"/>
      <c r="OFG32" s="545"/>
      <c r="OFH32" s="545"/>
      <c r="OFI32" s="545"/>
      <c r="OFJ32" s="545"/>
      <c r="OFK32" s="545"/>
      <c r="OFL32" s="545"/>
      <c r="OFM32" s="545"/>
      <c r="OFN32" s="545"/>
      <c r="OFO32" s="545"/>
      <c r="OFP32" s="545"/>
      <c r="OFQ32" s="545"/>
      <c r="OFR32" s="545"/>
      <c r="OFS32" s="545"/>
      <c r="OFT32" s="545"/>
      <c r="OFU32" s="545"/>
      <c r="OFV32" s="545"/>
      <c r="OFW32" s="545"/>
      <c r="OFX32" s="545"/>
      <c r="OFY32" s="545"/>
      <c r="OFZ32" s="545"/>
      <c r="OGA32" s="545"/>
      <c r="OGB32" s="545"/>
      <c r="OGC32" s="545"/>
      <c r="OGD32" s="545"/>
      <c r="OGE32" s="545"/>
      <c r="OGF32" s="545"/>
      <c r="OGG32" s="545"/>
      <c r="OGH32" s="545"/>
      <c r="OGI32" s="545"/>
      <c r="OGJ32" s="545"/>
      <c r="OGK32" s="545"/>
      <c r="OGL32" s="545"/>
      <c r="OGM32" s="545"/>
      <c r="OGN32" s="545"/>
      <c r="OGO32" s="545"/>
      <c r="OGP32" s="545"/>
      <c r="OGQ32" s="545"/>
      <c r="OGR32" s="545"/>
      <c r="OGS32" s="545"/>
      <c r="OGT32" s="545"/>
      <c r="OGU32" s="545"/>
      <c r="OGV32" s="545"/>
      <c r="OGW32" s="545"/>
      <c r="OGX32" s="545"/>
      <c r="OGY32" s="545"/>
      <c r="OGZ32" s="545"/>
      <c r="OHA32" s="545"/>
      <c r="OHB32" s="545"/>
      <c r="OHC32" s="545"/>
      <c r="OHD32" s="545"/>
      <c r="OHE32" s="545"/>
      <c r="OHF32" s="545"/>
      <c r="OHG32" s="545"/>
      <c r="OHH32" s="545"/>
      <c r="OHI32" s="545"/>
      <c r="OHJ32" s="545"/>
      <c r="OHK32" s="545"/>
      <c r="OHL32" s="545"/>
      <c r="OHM32" s="545"/>
      <c r="OHN32" s="545"/>
      <c r="OHO32" s="545"/>
      <c r="OHP32" s="545"/>
      <c r="OHQ32" s="545"/>
      <c r="OHR32" s="545"/>
      <c r="OHS32" s="545"/>
      <c r="OHT32" s="545"/>
      <c r="OHU32" s="545"/>
      <c r="OHV32" s="545"/>
      <c r="OHW32" s="545"/>
      <c r="OHX32" s="545"/>
      <c r="OHY32" s="545"/>
      <c r="OHZ32" s="545"/>
      <c r="OIA32" s="545"/>
      <c r="OIB32" s="545"/>
      <c r="OIC32" s="545"/>
      <c r="OID32" s="545"/>
      <c r="OIE32" s="545"/>
      <c r="OIF32" s="545"/>
      <c r="OIG32" s="545"/>
      <c r="OIH32" s="545"/>
      <c r="OII32" s="545"/>
      <c r="OIJ32" s="545"/>
      <c r="OIK32" s="545"/>
      <c r="OIL32" s="545"/>
      <c r="OIM32" s="545"/>
      <c r="OIN32" s="545"/>
      <c r="OIO32" s="545"/>
      <c r="OIP32" s="545"/>
      <c r="OIQ32" s="545"/>
      <c r="OIR32" s="545"/>
      <c r="OIS32" s="545"/>
      <c r="OIT32" s="545"/>
      <c r="OIU32" s="545"/>
      <c r="OIV32" s="545"/>
      <c r="OIW32" s="545"/>
      <c r="OIX32" s="545"/>
      <c r="OIY32" s="545"/>
      <c r="OIZ32" s="545"/>
      <c r="OJA32" s="545"/>
      <c r="OJB32" s="545"/>
      <c r="OJC32" s="545"/>
      <c r="OJD32" s="545"/>
      <c r="OJE32" s="545"/>
      <c r="OJF32" s="545"/>
      <c r="OJG32" s="545"/>
      <c r="OJH32" s="545"/>
      <c r="OJI32" s="545"/>
      <c r="OJJ32" s="545"/>
      <c r="OJK32" s="545"/>
      <c r="OJL32" s="545"/>
      <c r="OJM32" s="545"/>
      <c r="OJN32" s="545"/>
      <c r="OJO32" s="545"/>
      <c r="OJP32" s="545"/>
      <c r="OJQ32" s="545"/>
      <c r="OJR32" s="545"/>
      <c r="OJS32" s="545"/>
      <c r="OJT32" s="545"/>
      <c r="OJU32" s="545"/>
      <c r="OJV32" s="545"/>
      <c r="OJW32" s="545"/>
      <c r="OJX32" s="545"/>
      <c r="OJY32" s="545"/>
      <c r="OJZ32" s="545"/>
      <c r="OKA32" s="545"/>
      <c r="OKB32" s="545"/>
      <c r="OKC32" s="545"/>
      <c r="OKD32" s="545"/>
      <c r="OKE32" s="545"/>
      <c r="OKF32" s="545"/>
      <c r="OKG32" s="545"/>
      <c r="OKH32" s="545"/>
      <c r="OKI32" s="545"/>
      <c r="OKJ32" s="545"/>
      <c r="OKK32" s="545"/>
      <c r="OKL32" s="545"/>
      <c r="OKM32" s="545"/>
      <c r="OKN32" s="545"/>
      <c r="OKO32" s="545"/>
      <c r="OKP32" s="545"/>
      <c r="OKQ32" s="545"/>
      <c r="OKR32" s="545"/>
      <c r="OKS32" s="545"/>
      <c r="OKT32" s="545"/>
      <c r="OKU32" s="545"/>
      <c r="OKV32" s="545"/>
      <c r="OKW32" s="545"/>
      <c r="OKX32" s="545"/>
      <c r="OKY32" s="545"/>
      <c r="OKZ32" s="545"/>
      <c r="OLA32" s="545"/>
      <c r="OLB32" s="545"/>
      <c r="OLC32" s="545"/>
      <c r="OLD32" s="545"/>
      <c r="OLE32" s="545"/>
      <c r="OLF32" s="545"/>
      <c r="OLG32" s="545"/>
      <c r="OLH32" s="545"/>
      <c r="OLI32" s="545"/>
      <c r="OLJ32" s="545"/>
      <c r="OLK32" s="545"/>
      <c r="OLL32" s="545"/>
      <c r="OLM32" s="545"/>
      <c r="OLN32" s="545"/>
      <c r="OLO32" s="545"/>
      <c r="OLP32" s="545"/>
      <c r="OLQ32" s="545"/>
      <c r="OLR32" s="545"/>
      <c r="OLS32" s="545"/>
      <c r="OLT32" s="545"/>
      <c r="OLU32" s="545"/>
      <c r="OLV32" s="545"/>
      <c r="OLW32" s="545"/>
      <c r="OLX32" s="545"/>
      <c r="OLY32" s="545"/>
      <c r="OLZ32" s="545"/>
      <c r="OMA32" s="545"/>
      <c r="OMB32" s="545"/>
      <c r="OMC32" s="545"/>
      <c r="OMD32" s="545"/>
      <c r="OME32" s="545"/>
      <c r="OMF32" s="545"/>
      <c r="OMG32" s="545"/>
      <c r="OMH32" s="545"/>
      <c r="OMI32" s="545"/>
      <c r="OMJ32" s="545"/>
      <c r="OMK32" s="545"/>
      <c r="OML32" s="545"/>
      <c r="OMM32" s="545"/>
      <c r="OMN32" s="545"/>
      <c r="OMO32" s="545"/>
      <c r="OMP32" s="545"/>
      <c r="OMQ32" s="545"/>
      <c r="OMR32" s="545"/>
      <c r="OMS32" s="545"/>
      <c r="OMT32" s="545"/>
      <c r="OMU32" s="545"/>
      <c r="OMV32" s="545"/>
      <c r="OMW32" s="545"/>
      <c r="OMX32" s="545"/>
      <c r="OMY32" s="545"/>
      <c r="OMZ32" s="545"/>
      <c r="ONA32" s="545"/>
      <c r="ONB32" s="545"/>
      <c r="ONC32" s="545"/>
      <c r="OND32" s="545"/>
      <c r="ONE32" s="545"/>
      <c r="ONF32" s="545"/>
      <c r="ONG32" s="545"/>
      <c r="ONH32" s="545"/>
      <c r="ONI32" s="545"/>
      <c r="ONJ32" s="545"/>
      <c r="ONK32" s="545"/>
      <c r="ONL32" s="545"/>
      <c r="ONM32" s="545"/>
      <c r="ONN32" s="545"/>
      <c r="ONO32" s="545"/>
      <c r="ONP32" s="545"/>
      <c r="ONQ32" s="545"/>
      <c r="ONR32" s="545"/>
      <c r="ONS32" s="545"/>
      <c r="ONT32" s="545"/>
      <c r="ONU32" s="545"/>
      <c r="ONV32" s="545"/>
      <c r="ONW32" s="545"/>
      <c r="ONX32" s="545"/>
      <c r="ONY32" s="545"/>
      <c r="ONZ32" s="545"/>
      <c r="OOA32" s="545"/>
      <c r="OOB32" s="545"/>
      <c r="OOC32" s="545"/>
      <c r="OOD32" s="545"/>
      <c r="OOE32" s="545"/>
      <c r="OOF32" s="545"/>
      <c r="OOG32" s="545"/>
      <c r="OOH32" s="545"/>
      <c r="OOI32" s="545"/>
      <c r="OOJ32" s="545"/>
      <c r="OOK32" s="545"/>
      <c r="OOL32" s="545"/>
      <c r="OOM32" s="545"/>
      <c r="OON32" s="545"/>
      <c r="OOO32" s="545"/>
      <c r="OOP32" s="545"/>
      <c r="OOQ32" s="545"/>
      <c r="OOR32" s="545"/>
      <c r="OOS32" s="545"/>
      <c r="OOT32" s="545"/>
      <c r="OOU32" s="545"/>
      <c r="OOV32" s="545"/>
      <c r="OOW32" s="545"/>
      <c r="OOX32" s="545"/>
      <c r="OOY32" s="545"/>
      <c r="OOZ32" s="545"/>
      <c r="OPA32" s="545"/>
      <c r="OPB32" s="545"/>
      <c r="OPC32" s="545"/>
      <c r="OPD32" s="545"/>
      <c r="OPE32" s="545"/>
      <c r="OPF32" s="545"/>
      <c r="OPG32" s="545"/>
      <c r="OPH32" s="545"/>
      <c r="OPI32" s="545"/>
      <c r="OPJ32" s="545"/>
      <c r="OPK32" s="545"/>
      <c r="OPL32" s="545"/>
      <c r="OPM32" s="545"/>
      <c r="OPN32" s="545"/>
      <c r="OPO32" s="545"/>
      <c r="OPP32" s="545"/>
      <c r="OPQ32" s="545"/>
      <c r="OPR32" s="545"/>
      <c r="OPS32" s="545"/>
      <c r="OPT32" s="545"/>
      <c r="OPU32" s="545"/>
      <c r="OPV32" s="545"/>
      <c r="OPW32" s="545"/>
      <c r="OPX32" s="545"/>
      <c r="OPY32" s="545"/>
      <c r="OPZ32" s="545"/>
      <c r="OQA32" s="545"/>
      <c r="OQB32" s="545"/>
      <c r="OQC32" s="545"/>
      <c r="OQD32" s="545"/>
      <c r="OQE32" s="545"/>
      <c r="OQF32" s="545"/>
      <c r="OQG32" s="545"/>
      <c r="OQH32" s="545"/>
      <c r="OQI32" s="545"/>
      <c r="OQJ32" s="545"/>
      <c r="OQK32" s="545"/>
      <c r="OQL32" s="545"/>
      <c r="OQM32" s="545"/>
      <c r="OQN32" s="545"/>
      <c r="OQO32" s="545"/>
      <c r="OQP32" s="545"/>
      <c r="OQQ32" s="545"/>
      <c r="OQR32" s="545"/>
      <c r="OQS32" s="545"/>
      <c r="OQT32" s="545"/>
      <c r="OQU32" s="545"/>
      <c r="OQV32" s="545"/>
      <c r="OQW32" s="545"/>
      <c r="OQX32" s="545"/>
      <c r="OQY32" s="545"/>
      <c r="OQZ32" s="545"/>
      <c r="ORA32" s="545"/>
      <c r="ORB32" s="545"/>
      <c r="ORC32" s="545"/>
      <c r="ORD32" s="545"/>
      <c r="ORE32" s="545"/>
      <c r="ORF32" s="545"/>
      <c r="ORG32" s="545"/>
      <c r="ORH32" s="545"/>
      <c r="ORI32" s="545"/>
      <c r="ORJ32" s="545"/>
      <c r="ORK32" s="545"/>
      <c r="ORL32" s="545"/>
      <c r="ORM32" s="545"/>
      <c r="ORN32" s="545"/>
      <c r="ORO32" s="545"/>
      <c r="ORP32" s="545"/>
      <c r="ORQ32" s="545"/>
      <c r="ORR32" s="545"/>
      <c r="ORS32" s="545"/>
      <c r="ORT32" s="545"/>
      <c r="ORU32" s="545"/>
      <c r="ORV32" s="545"/>
      <c r="ORW32" s="545"/>
      <c r="ORX32" s="545"/>
      <c r="ORY32" s="545"/>
      <c r="ORZ32" s="545"/>
      <c r="OSA32" s="545"/>
      <c r="OSB32" s="545"/>
      <c r="OSC32" s="545"/>
      <c r="OSD32" s="545"/>
      <c r="OSE32" s="545"/>
      <c r="OSF32" s="545"/>
      <c r="OSG32" s="545"/>
      <c r="OSH32" s="545"/>
      <c r="OSI32" s="545"/>
      <c r="OSJ32" s="545"/>
      <c r="OSK32" s="545"/>
      <c r="OSL32" s="545"/>
      <c r="OSM32" s="545"/>
      <c r="OSN32" s="545"/>
      <c r="OSO32" s="545"/>
      <c r="OSP32" s="545"/>
      <c r="OSQ32" s="545"/>
      <c r="OSR32" s="545"/>
      <c r="OSS32" s="545"/>
      <c r="OST32" s="545"/>
      <c r="OSU32" s="545"/>
      <c r="OSV32" s="545"/>
      <c r="OSW32" s="545"/>
      <c r="OSX32" s="545"/>
      <c r="OSY32" s="545"/>
      <c r="OSZ32" s="545"/>
      <c r="OTA32" s="545"/>
      <c r="OTB32" s="545"/>
      <c r="OTC32" s="545"/>
      <c r="OTD32" s="545"/>
      <c r="OTE32" s="545"/>
      <c r="OTF32" s="545"/>
      <c r="OTG32" s="545"/>
      <c r="OTH32" s="545"/>
      <c r="OTI32" s="545"/>
      <c r="OTJ32" s="545"/>
      <c r="OTK32" s="545"/>
      <c r="OTL32" s="545"/>
      <c r="OTM32" s="545"/>
      <c r="OTN32" s="545"/>
      <c r="OTO32" s="545"/>
      <c r="OTP32" s="545"/>
      <c r="OTQ32" s="545"/>
      <c r="OTR32" s="545"/>
      <c r="OTS32" s="545"/>
      <c r="OTT32" s="545"/>
      <c r="OTU32" s="545"/>
      <c r="OTV32" s="545"/>
      <c r="OTW32" s="545"/>
      <c r="OTX32" s="545"/>
      <c r="OTY32" s="545"/>
      <c r="OTZ32" s="545"/>
      <c r="OUA32" s="545"/>
      <c r="OUB32" s="545"/>
      <c r="OUC32" s="545"/>
      <c r="OUD32" s="545"/>
      <c r="OUE32" s="545"/>
      <c r="OUF32" s="545"/>
      <c r="OUG32" s="545"/>
      <c r="OUH32" s="545"/>
      <c r="OUI32" s="545"/>
      <c r="OUJ32" s="545"/>
      <c r="OUK32" s="545"/>
      <c r="OUL32" s="545"/>
      <c r="OUM32" s="545"/>
      <c r="OUN32" s="545"/>
      <c r="OUO32" s="545"/>
      <c r="OUP32" s="545"/>
      <c r="OUQ32" s="545"/>
      <c r="OUR32" s="545"/>
      <c r="OUS32" s="545"/>
      <c r="OUT32" s="545"/>
      <c r="OUU32" s="545"/>
      <c r="OUV32" s="545"/>
      <c r="OUW32" s="545"/>
      <c r="OUX32" s="545"/>
      <c r="OUY32" s="545"/>
      <c r="OUZ32" s="545"/>
      <c r="OVA32" s="545"/>
      <c r="OVB32" s="545"/>
      <c r="OVC32" s="545"/>
      <c r="OVD32" s="545"/>
      <c r="OVE32" s="545"/>
      <c r="OVF32" s="545"/>
      <c r="OVG32" s="545"/>
      <c r="OVH32" s="545"/>
      <c r="OVI32" s="545"/>
      <c r="OVJ32" s="545"/>
      <c r="OVK32" s="545"/>
      <c r="OVL32" s="545"/>
      <c r="OVM32" s="545"/>
      <c r="OVN32" s="545"/>
      <c r="OVO32" s="545"/>
      <c r="OVP32" s="545"/>
      <c r="OVQ32" s="545"/>
      <c r="OVR32" s="545"/>
      <c r="OVS32" s="545"/>
      <c r="OVT32" s="545"/>
      <c r="OVU32" s="545"/>
      <c r="OVV32" s="545"/>
      <c r="OVW32" s="545"/>
      <c r="OVX32" s="545"/>
      <c r="OVY32" s="545"/>
      <c r="OVZ32" s="545"/>
      <c r="OWA32" s="545"/>
      <c r="OWB32" s="545"/>
      <c r="OWC32" s="545"/>
      <c r="OWD32" s="545"/>
      <c r="OWE32" s="545"/>
      <c r="OWF32" s="545"/>
      <c r="OWG32" s="545"/>
      <c r="OWH32" s="545"/>
      <c r="OWI32" s="545"/>
      <c r="OWJ32" s="545"/>
      <c r="OWK32" s="545"/>
      <c r="OWL32" s="545"/>
      <c r="OWM32" s="545"/>
      <c r="OWN32" s="545"/>
      <c r="OWO32" s="545"/>
      <c r="OWP32" s="545"/>
      <c r="OWQ32" s="545"/>
      <c r="OWR32" s="545"/>
      <c r="OWS32" s="545"/>
      <c r="OWT32" s="545"/>
      <c r="OWU32" s="545"/>
      <c r="OWV32" s="545"/>
      <c r="OWW32" s="545"/>
      <c r="OWX32" s="545"/>
      <c r="OWY32" s="545"/>
      <c r="OWZ32" s="545"/>
      <c r="OXA32" s="545"/>
      <c r="OXB32" s="545"/>
      <c r="OXC32" s="545"/>
      <c r="OXD32" s="545"/>
      <c r="OXE32" s="545"/>
      <c r="OXF32" s="545"/>
      <c r="OXG32" s="545"/>
      <c r="OXH32" s="545"/>
      <c r="OXI32" s="545"/>
      <c r="OXJ32" s="545"/>
      <c r="OXK32" s="545"/>
      <c r="OXL32" s="545"/>
      <c r="OXM32" s="545"/>
      <c r="OXN32" s="545"/>
      <c r="OXO32" s="545"/>
      <c r="OXP32" s="545"/>
      <c r="OXQ32" s="545"/>
      <c r="OXR32" s="545"/>
      <c r="OXS32" s="545"/>
      <c r="OXT32" s="545"/>
      <c r="OXU32" s="545"/>
      <c r="OXV32" s="545"/>
      <c r="OXW32" s="545"/>
      <c r="OXX32" s="545"/>
      <c r="OXY32" s="545"/>
      <c r="OXZ32" s="545"/>
      <c r="OYA32" s="545"/>
      <c r="OYB32" s="545"/>
      <c r="OYC32" s="545"/>
      <c r="OYD32" s="545"/>
      <c r="OYE32" s="545"/>
      <c r="OYF32" s="545"/>
      <c r="OYG32" s="545"/>
      <c r="OYH32" s="545"/>
      <c r="OYI32" s="545"/>
      <c r="OYJ32" s="545"/>
      <c r="OYK32" s="545"/>
      <c r="OYL32" s="545"/>
      <c r="OYM32" s="545"/>
      <c r="OYN32" s="545"/>
      <c r="OYO32" s="545"/>
      <c r="OYP32" s="545"/>
      <c r="OYQ32" s="545"/>
      <c r="OYR32" s="545"/>
      <c r="OYS32" s="545"/>
      <c r="OYT32" s="545"/>
      <c r="OYU32" s="545"/>
      <c r="OYV32" s="545"/>
      <c r="OYW32" s="545"/>
      <c r="OYX32" s="545"/>
      <c r="OYY32" s="545"/>
      <c r="OYZ32" s="545"/>
      <c r="OZA32" s="545"/>
      <c r="OZB32" s="545"/>
      <c r="OZC32" s="545"/>
      <c r="OZD32" s="545"/>
      <c r="OZE32" s="545"/>
      <c r="OZF32" s="545"/>
      <c r="OZG32" s="545"/>
      <c r="OZH32" s="545"/>
      <c r="OZI32" s="545"/>
      <c r="OZJ32" s="545"/>
      <c r="OZK32" s="545"/>
      <c r="OZL32" s="545"/>
      <c r="OZM32" s="545"/>
      <c r="OZN32" s="545"/>
      <c r="OZO32" s="545"/>
      <c r="OZP32" s="545"/>
      <c r="OZQ32" s="545"/>
      <c r="OZR32" s="545"/>
      <c r="OZS32" s="545"/>
      <c r="OZT32" s="545"/>
      <c r="OZU32" s="545"/>
      <c r="OZV32" s="545"/>
      <c r="OZW32" s="545"/>
      <c r="OZX32" s="545"/>
      <c r="OZY32" s="545"/>
      <c r="OZZ32" s="545"/>
      <c r="PAA32" s="545"/>
      <c r="PAB32" s="545"/>
      <c r="PAC32" s="545"/>
      <c r="PAD32" s="545"/>
      <c r="PAE32" s="545"/>
      <c r="PAF32" s="545"/>
      <c r="PAG32" s="545"/>
      <c r="PAH32" s="545"/>
      <c r="PAI32" s="545"/>
      <c r="PAJ32" s="545"/>
      <c r="PAK32" s="545"/>
      <c r="PAL32" s="545"/>
      <c r="PAM32" s="545"/>
      <c r="PAN32" s="545"/>
      <c r="PAO32" s="545"/>
      <c r="PAP32" s="545"/>
      <c r="PAQ32" s="545"/>
      <c r="PAR32" s="545"/>
      <c r="PAS32" s="545"/>
      <c r="PAT32" s="545"/>
      <c r="PAU32" s="545"/>
      <c r="PAV32" s="545"/>
      <c r="PAW32" s="545"/>
      <c r="PAX32" s="545"/>
      <c r="PAY32" s="545"/>
      <c r="PAZ32" s="545"/>
      <c r="PBA32" s="545"/>
      <c r="PBB32" s="545"/>
      <c r="PBC32" s="545"/>
      <c r="PBD32" s="545"/>
      <c r="PBE32" s="545"/>
      <c r="PBF32" s="545"/>
      <c r="PBG32" s="545"/>
      <c r="PBH32" s="545"/>
      <c r="PBI32" s="545"/>
      <c r="PBJ32" s="545"/>
      <c r="PBK32" s="545"/>
      <c r="PBL32" s="545"/>
      <c r="PBM32" s="545"/>
      <c r="PBN32" s="545"/>
      <c r="PBO32" s="545"/>
      <c r="PBP32" s="545"/>
      <c r="PBQ32" s="545"/>
      <c r="PBR32" s="545"/>
      <c r="PBS32" s="545"/>
      <c r="PBT32" s="545"/>
      <c r="PBU32" s="545"/>
      <c r="PBV32" s="545"/>
      <c r="PBW32" s="545"/>
      <c r="PBX32" s="545"/>
      <c r="PBY32" s="545"/>
      <c r="PBZ32" s="545"/>
      <c r="PCA32" s="545"/>
      <c r="PCB32" s="545"/>
      <c r="PCC32" s="545"/>
      <c r="PCD32" s="545"/>
      <c r="PCE32" s="545"/>
      <c r="PCF32" s="545"/>
      <c r="PCG32" s="545"/>
      <c r="PCH32" s="545"/>
      <c r="PCI32" s="545"/>
      <c r="PCJ32" s="545"/>
      <c r="PCK32" s="545"/>
      <c r="PCL32" s="545"/>
      <c r="PCM32" s="545"/>
      <c r="PCN32" s="545"/>
      <c r="PCO32" s="545"/>
      <c r="PCP32" s="545"/>
      <c r="PCQ32" s="545"/>
      <c r="PCR32" s="545"/>
      <c r="PCS32" s="545"/>
      <c r="PCT32" s="545"/>
      <c r="PCU32" s="545"/>
      <c r="PCV32" s="545"/>
      <c r="PCW32" s="545"/>
      <c r="PCX32" s="545"/>
      <c r="PCY32" s="545"/>
      <c r="PCZ32" s="545"/>
      <c r="PDA32" s="545"/>
      <c r="PDB32" s="545"/>
      <c r="PDC32" s="545"/>
      <c r="PDD32" s="545"/>
      <c r="PDE32" s="545"/>
      <c r="PDF32" s="545"/>
      <c r="PDG32" s="545"/>
      <c r="PDH32" s="545"/>
      <c r="PDI32" s="545"/>
      <c r="PDJ32" s="545"/>
      <c r="PDK32" s="545"/>
      <c r="PDL32" s="545"/>
      <c r="PDM32" s="545"/>
      <c r="PDN32" s="545"/>
      <c r="PDO32" s="545"/>
      <c r="PDP32" s="545"/>
      <c r="PDQ32" s="545"/>
      <c r="PDR32" s="545"/>
      <c r="PDS32" s="545"/>
      <c r="PDT32" s="545"/>
      <c r="PDU32" s="545"/>
      <c r="PDV32" s="545"/>
      <c r="PDW32" s="545"/>
      <c r="PDX32" s="545"/>
      <c r="PDY32" s="545"/>
      <c r="PDZ32" s="545"/>
      <c r="PEA32" s="545"/>
      <c r="PEB32" s="545"/>
      <c r="PEC32" s="545"/>
      <c r="PED32" s="545"/>
      <c r="PEE32" s="545"/>
      <c r="PEF32" s="545"/>
      <c r="PEG32" s="545"/>
      <c r="PEH32" s="545"/>
      <c r="PEI32" s="545"/>
      <c r="PEJ32" s="545"/>
      <c r="PEK32" s="545"/>
      <c r="PEL32" s="545"/>
      <c r="PEM32" s="545"/>
      <c r="PEN32" s="545"/>
      <c r="PEO32" s="545"/>
      <c r="PEP32" s="545"/>
      <c r="PEQ32" s="545"/>
      <c r="PER32" s="545"/>
      <c r="PES32" s="545"/>
      <c r="PET32" s="545"/>
      <c r="PEU32" s="545"/>
      <c r="PEV32" s="545"/>
      <c r="PEW32" s="545"/>
      <c r="PEX32" s="545"/>
      <c r="PEY32" s="545"/>
      <c r="PEZ32" s="545"/>
      <c r="PFA32" s="545"/>
      <c r="PFB32" s="545"/>
      <c r="PFC32" s="545"/>
      <c r="PFD32" s="545"/>
      <c r="PFE32" s="545"/>
      <c r="PFF32" s="545"/>
      <c r="PFG32" s="545"/>
      <c r="PFH32" s="545"/>
      <c r="PFI32" s="545"/>
      <c r="PFJ32" s="545"/>
      <c r="PFK32" s="545"/>
      <c r="PFL32" s="545"/>
      <c r="PFM32" s="545"/>
      <c r="PFN32" s="545"/>
      <c r="PFO32" s="545"/>
      <c r="PFP32" s="545"/>
      <c r="PFQ32" s="545"/>
      <c r="PFR32" s="545"/>
      <c r="PFS32" s="545"/>
      <c r="PFT32" s="545"/>
      <c r="PFU32" s="545"/>
      <c r="PFV32" s="545"/>
      <c r="PFW32" s="545"/>
      <c r="PFX32" s="545"/>
      <c r="PFY32" s="545"/>
      <c r="PFZ32" s="545"/>
      <c r="PGA32" s="545"/>
      <c r="PGB32" s="545"/>
      <c r="PGC32" s="545"/>
      <c r="PGD32" s="545"/>
      <c r="PGE32" s="545"/>
      <c r="PGF32" s="545"/>
      <c r="PGG32" s="545"/>
      <c r="PGH32" s="545"/>
      <c r="PGI32" s="545"/>
      <c r="PGJ32" s="545"/>
      <c r="PGK32" s="545"/>
      <c r="PGL32" s="545"/>
      <c r="PGM32" s="545"/>
      <c r="PGN32" s="545"/>
      <c r="PGO32" s="545"/>
      <c r="PGP32" s="545"/>
      <c r="PGQ32" s="545"/>
      <c r="PGR32" s="545"/>
      <c r="PGS32" s="545"/>
      <c r="PGT32" s="545"/>
      <c r="PGU32" s="545"/>
      <c r="PGV32" s="545"/>
      <c r="PGW32" s="545"/>
      <c r="PGX32" s="545"/>
      <c r="PGY32" s="545"/>
      <c r="PGZ32" s="545"/>
      <c r="PHA32" s="545"/>
      <c r="PHB32" s="545"/>
      <c r="PHC32" s="545"/>
      <c r="PHD32" s="545"/>
      <c r="PHE32" s="545"/>
      <c r="PHF32" s="545"/>
      <c r="PHG32" s="545"/>
      <c r="PHH32" s="545"/>
      <c r="PHI32" s="545"/>
      <c r="PHJ32" s="545"/>
      <c r="PHK32" s="545"/>
      <c r="PHL32" s="545"/>
      <c r="PHM32" s="545"/>
      <c r="PHN32" s="545"/>
      <c r="PHO32" s="545"/>
      <c r="PHP32" s="545"/>
      <c r="PHQ32" s="545"/>
      <c r="PHR32" s="545"/>
      <c r="PHS32" s="545"/>
      <c r="PHT32" s="545"/>
      <c r="PHU32" s="545"/>
      <c r="PHV32" s="545"/>
      <c r="PHW32" s="545"/>
      <c r="PHX32" s="545"/>
      <c r="PHY32" s="545"/>
      <c r="PHZ32" s="545"/>
      <c r="PIA32" s="545"/>
      <c r="PIB32" s="545"/>
      <c r="PIC32" s="545"/>
      <c r="PID32" s="545"/>
      <c r="PIE32" s="545"/>
      <c r="PIF32" s="545"/>
      <c r="PIG32" s="545"/>
      <c r="PIH32" s="545"/>
      <c r="PII32" s="545"/>
      <c r="PIJ32" s="545"/>
      <c r="PIK32" s="545"/>
      <c r="PIL32" s="545"/>
      <c r="PIM32" s="545"/>
      <c r="PIN32" s="545"/>
      <c r="PIO32" s="545"/>
      <c r="PIP32" s="545"/>
      <c r="PIQ32" s="545"/>
      <c r="PIR32" s="545"/>
      <c r="PIS32" s="545"/>
      <c r="PIT32" s="545"/>
      <c r="PIU32" s="545"/>
      <c r="PIV32" s="545"/>
      <c r="PIW32" s="545"/>
      <c r="PIX32" s="545"/>
      <c r="PIY32" s="545"/>
      <c r="PIZ32" s="545"/>
      <c r="PJA32" s="545"/>
      <c r="PJB32" s="545"/>
      <c r="PJC32" s="545"/>
      <c r="PJD32" s="545"/>
      <c r="PJE32" s="545"/>
      <c r="PJF32" s="545"/>
      <c r="PJG32" s="545"/>
      <c r="PJH32" s="545"/>
      <c r="PJI32" s="545"/>
      <c r="PJJ32" s="545"/>
      <c r="PJK32" s="545"/>
      <c r="PJL32" s="545"/>
      <c r="PJM32" s="545"/>
      <c r="PJN32" s="545"/>
      <c r="PJO32" s="545"/>
      <c r="PJP32" s="545"/>
      <c r="PJQ32" s="545"/>
      <c r="PJR32" s="545"/>
      <c r="PJS32" s="545"/>
      <c r="PJT32" s="545"/>
      <c r="PJU32" s="545"/>
      <c r="PJV32" s="545"/>
      <c r="PJW32" s="545"/>
      <c r="PJX32" s="545"/>
      <c r="PJY32" s="545"/>
      <c r="PJZ32" s="545"/>
      <c r="PKA32" s="545"/>
      <c r="PKB32" s="545"/>
      <c r="PKC32" s="545"/>
      <c r="PKD32" s="545"/>
      <c r="PKE32" s="545"/>
      <c r="PKF32" s="545"/>
      <c r="PKG32" s="545"/>
      <c r="PKH32" s="545"/>
      <c r="PKI32" s="545"/>
      <c r="PKJ32" s="545"/>
      <c r="PKK32" s="545"/>
      <c r="PKL32" s="545"/>
      <c r="PKM32" s="545"/>
      <c r="PKN32" s="545"/>
      <c r="PKO32" s="545"/>
      <c r="PKP32" s="545"/>
      <c r="PKQ32" s="545"/>
      <c r="PKR32" s="545"/>
      <c r="PKS32" s="545"/>
      <c r="PKT32" s="545"/>
      <c r="PKU32" s="545"/>
      <c r="PKV32" s="545"/>
      <c r="PKW32" s="545"/>
      <c r="PKX32" s="545"/>
      <c r="PKY32" s="545"/>
      <c r="PKZ32" s="545"/>
      <c r="PLA32" s="545"/>
      <c r="PLB32" s="545"/>
      <c r="PLC32" s="545"/>
      <c r="PLD32" s="545"/>
      <c r="PLE32" s="545"/>
      <c r="PLF32" s="545"/>
      <c r="PLG32" s="545"/>
      <c r="PLH32" s="545"/>
      <c r="PLI32" s="545"/>
      <c r="PLJ32" s="545"/>
      <c r="PLK32" s="545"/>
      <c r="PLL32" s="545"/>
      <c r="PLM32" s="545"/>
      <c r="PLN32" s="545"/>
      <c r="PLO32" s="545"/>
      <c r="PLP32" s="545"/>
      <c r="PLQ32" s="545"/>
      <c r="PLR32" s="545"/>
      <c r="PLS32" s="545"/>
      <c r="PLT32" s="545"/>
      <c r="PLU32" s="545"/>
      <c r="PLV32" s="545"/>
      <c r="PLW32" s="545"/>
      <c r="PLX32" s="545"/>
      <c r="PLY32" s="545"/>
      <c r="PLZ32" s="545"/>
      <c r="PMA32" s="545"/>
      <c r="PMB32" s="545"/>
      <c r="PMC32" s="545"/>
      <c r="PMD32" s="545"/>
      <c r="PME32" s="545"/>
      <c r="PMF32" s="545"/>
      <c r="PMG32" s="545"/>
      <c r="PMH32" s="545"/>
      <c r="PMI32" s="545"/>
      <c r="PMJ32" s="545"/>
      <c r="PMK32" s="545"/>
      <c r="PML32" s="545"/>
      <c r="PMM32" s="545"/>
      <c r="PMN32" s="545"/>
      <c r="PMO32" s="545"/>
      <c r="PMP32" s="545"/>
      <c r="PMQ32" s="545"/>
      <c r="PMR32" s="545"/>
      <c r="PMS32" s="545"/>
      <c r="PMT32" s="545"/>
      <c r="PMU32" s="545"/>
      <c r="PMV32" s="545"/>
      <c r="PMW32" s="545"/>
      <c r="PMX32" s="545"/>
      <c r="PMY32" s="545"/>
      <c r="PMZ32" s="545"/>
      <c r="PNA32" s="545"/>
      <c r="PNB32" s="545"/>
      <c r="PNC32" s="545"/>
      <c r="PND32" s="545"/>
      <c r="PNE32" s="545"/>
      <c r="PNF32" s="545"/>
      <c r="PNG32" s="545"/>
      <c r="PNH32" s="545"/>
      <c r="PNI32" s="545"/>
      <c r="PNJ32" s="545"/>
      <c r="PNK32" s="545"/>
      <c r="PNL32" s="545"/>
      <c r="PNM32" s="545"/>
      <c r="PNN32" s="545"/>
      <c r="PNO32" s="545"/>
      <c r="PNP32" s="545"/>
      <c r="PNQ32" s="545"/>
      <c r="PNR32" s="545"/>
      <c r="PNS32" s="545"/>
      <c r="PNT32" s="545"/>
      <c r="PNU32" s="545"/>
      <c r="PNV32" s="545"/>
      <c r="PNW32" s="545"/>
      <c r="PNX32" s="545"/>
      <c r="PNY32" s="545"/>
      <c r="PNZ32" s="545"/>
      <c r="POA32" s="545"/>
      <c r="POB32" s="545"/>
      <c r="POC32" s="545"/>
      <c r="POD32" s="545"/>
      <c r="POE32" s="545"/>
      <c r="POF32" s="545"/>
      <c r="POG32" s="545"/>
      <c r="POH32" s="545"/>
      <c r="POI32" s="545"/>
      <c r="POJ32" s="545"/>
      <c r="POK32" s="545"/>
      <c r="POL32" s="545"/>
      <c r="POM32" s="545"/>
      <c r="PON32" s="545"/>
      <c r="POO32" s="545"/>
      <c r="POP32" s="545"/>
      <c r="POQ32" s="545"/>
      <c r="POR32" s="545"/>
      <c r="POS32" s="545"/>
      <c r="POT32" s="545"/>
      <c r="POU32" s="545"/>
      <c r="POV32" s="545"/>
      <c r="POW32" s="545"/>
      <c r="POX32" s="545"/>
      <c r="POY32" s="545"/>
      <c r="POZ32" s="545"/>
      <c r="PPA32" s="545"/>
      <c r="PPB32" s="545"/>
      <c r="PPC32" s="545"/>
      <c r="PPD32" s="545"/>
      <c r="PPE32" s="545"/>
      <c r="PPF32" s="545"/>
      <c r="PPG32" s="545"/>
      <c r="PPH32" s="545"/>
      <c r="PPI32" s="545"/>
      <c r="PPJ32" s="545"/>
      <c r="PPK32" s="545"/>
      <c r="PPL32" s="545"/>
      <c r="PPM32" s="545"/>
      <c r="PPN32" s="545"/>
      <c r="PPO32" s="545"/>
      <c r="PPP32" s="545"/>
      <c r="PPQ32" s="545"/>
      <c r="PPR32" s="545"/>
      <c r="PPS32" s="545"/>
      <c r="PPT32" s="545"/>
      <c r="PPU32" s="545"/>
      <c r="PPV32" s="545"/>
      <c r="PPW32" s="545"/>
      <c r="PPX32" s="545"/>
      <c r="PPY32" s="545"/>
      <c r="PPZ32" s="545"/>
      <c r="PQA32" s="545"/>
      <c r="PQB32" s="545"/>
      <c r="PQC32" s="545"/>
      <c r="PQD32" s="545"/>
      <c r="PQE32" s="545"/>
      <c r="PQF32" s="545"/>
      <c r="PQG32" s="545"/>
      <c r="PQH32" s="545"/>
      <c r="PQI32" s="545"/>
      <c r="PQJ32" s="545"/>
      <c r="PQK32" s="545"/>
      <c r="PQL32" s="545"/>
      <c r="PQM32" s="545"/>
      <c r="PQN32" s="545"/>
      <c r="PQO32" s="545"/>
      <c r="PQP32" s="545"/>
      <c r="PQQ32" s="545"/>
      <c r="PQR32" s="545"/>
      <c r="PQS32" s="545"/>
      <c r="PQT32" s="545"/>
      <c r="PQU32" s="545"/>
      <c r="PQV32" s="545"/>
      <c r="PQW32" s="545"/>
      <c r="PQX32" s="545"/>
      <c r="PQY32" s="545"/>
      <c r="PQZ32" s="545"/>
      <c r="PRA32" s="545"/>
      <c r="PRB32" s="545"/>
      <c r="PRC32" s="545"/>
      <c r="PRD32" s="545"/>
      <c r="PRE32" s="545"/>
      <c r="PRF32" s="545"/>
      <c r="PRG32" s="545"/>
      <c r="PRH32" s="545"/>
      <c r="PRI32" s="545"/>
      <c r="PRJ32" s="545"/>
      <c r="PRK32" s="545"/>
      <c r="PRL32" s="545"/>
      <c r="PRM32" s="545"/>
      <c r="PRN32" s="545"/>
      <c r="PRO32" s="545"/>
      <c r="PRP32" s="545"/>
      <c r="PRQ32" s="545"/>
      <c r="PRR32" s="545"/>
      <c r="PRS32" s="545"/>
      <c r="PRT32" s="545"/>
      <c r="PRU32" s="545"/>
      <c r="PRV32" s="545"/>
      <c r="PRW32" s="545"/>
      <c r="PRX32" s="545"/>
      <c r="PRY32" s="545"/>
      <c r="PRZ32" s="545"/>
      <c r="PSA32" s="545"/>
      <c r="PSB32" s="545"/>
      <c r="PSC32" s="545"/>
      <c r="PSD32" s="545"/>
      <c r="PSE32" s="545"/>
      <c r="PSF32" s="545"/>
      <c r="PSG32" s="545"/>
      <c r="PSH32" s="545"/>
      <c r="PSI32" s="545"/>
      <c r="PSJ32" s="545"/>
      <c r="PSK32" s="545"/>
      <c r="PSL32" s="545"/>
      <c r="PSM32" s="545"/>
      <c r="PSN32" s="545"/>
      <c r="PSO32" s="545"/>
      <c r="PSP32" s="545"/>
      <c r="PSQ32" s="545"/>
      <c r="PSR32" s="545"/>
      <c r="PSS32" s="545"/>
      <c r="PST32" s="545"/>
      <c r="PSU32" s="545"/>
      <c r="PSV32" s="545"/>
      <c r="PSW32" s="545"/>
      <c r="PSX32" s="545"/>
      <c r="PSY32" s="545"/>
      <c r="PSZ32" s="545"/>
      <c r="PTA32" s="545"/>
      <c r="PTB32" s="545"/>
      <c r="PTC32" s="545"/>
      <c r="PTD32" s="545"/>
      <c r="PTE32" s="545"/>
      <c r="PTF32" s="545"/>
      <c r="PTG32" s="545"/>
      <c r="PTH32" s="545"/>
      <c r="PTI32" s="545"/>
      <c r="PTJ32" s="545"/>
      <c r="PTK32" s="545"/>
      <c r="PTL32" s="545"/>
      <c r="PTM32" s="545"/>
      <c r="PTN32" s="545"/>
      <c r="PTO32" s="545"/>
      <c r="PTP32" s="545"/>
      <c r="PTQ32" s="545"/>
      <c r="PTR32" s="545"/>
      <c r="PTS32" s="545"/>
      <c r="PTT32" s="545"/>
      <c r="PTU32" s="545"/>
      <c r="PTV32" s="545"/>
      <c r="PTW32" s="545"/>
      <c r="PTX32" s="545"/>
      <c r="PTY32" s="545"/>
      <c r="PTZ32" s="545"/>
      <c r="PUA32" s="545"/>
      <c r="PUB32" s="545"/>
      <c r="PUC32" s="545"/>
      <c r="PUD32" s="545"/>
      <c r="PUE32" s="545"/>
      <c r="PUF32" s="545"/>
      <c r="PUG32" s="545"/>
      <c r="PUH32" s="545"/>
      <c r="PUI32" s="545"/>
      <c r="PUJ32" s="545"/>
      <c r="PUK32" s="545"/>
      <c r="PUL32" s="545"/>
      <c r="PUM32" s="545"/>
      <c r="PUN32" s="545"/>
      <c r="PUO32" s="545"/>
      <c r="PUP32" s="545"/>
      <c r="PUQ32" s="545"/>
      <c r="PUR32" s="545"/>
      <c r="PUS32" s="545"/>
      <c r="PUT32" s="545"/>
      <c r="PUU32" s="545"/>
      <c r="PUV32" s="545"/>
      <c r="PUW32" s="545"/>
      <c r="PUX32" s="545"/>
      <c r="PUY32" s="545"/>
      <c r="PUZ32" s="545"/>
      <c r="PVA32" s="545"/>
      <c r="PVB32" s="545"/>
      <c r="PVC32" s="545"/>
      <c r="PVD32" s="545"/>
      <c r="PVE32" s="545"/>
      <c r="PVF32" s="545"/>
      <c r="PVG32" s="545"/>
      <c r="PVH32" s="545"/>
      <c r="PVI32" s="545"/>
      <c r="PVJ32" s="545"/>
      <c r="PVK32" s="545"/>
      <c r="PVL32" s="545"/>
      <c r="PVM32" s="545"/>
      <c r="PVN32" s="545"/>
      <c r="PVO32" s="545"/>
      <c r="PVP32" s="545"/>
      <c r="PVQ32" s="545"/>
      <c r="PVR32" s="545"/>
      <c r="PVS32" s="545"/>
      <c r="PVT32" s="545"/>
      <c r="PVU32" s="545"/>
      <c r="PVV32" s="545"/>
      <c r="PVW32" s="545"/>
      <c r="PVX32" s="545"/>
      <c r="PVY32" s="545"/>
      <c r="PVZ32" s="545"/>
      <c r="PWA32" s="545"/>
      <c r="PWB32" s="545"/>
      <c r="PWC32" s="545"/>
      <c r="PWD32" s="545"/>
      <c r="PWE32" s="545"/>
      <c r="PWF32" s="545"/>
      <c r="PWG32" s="545"/>
      <c r="PWH32" s="545"/>
      <c r="PWI32" s="545"/>
      <c r="PWJ32" s="545"/>
      <c r="PWK32" s="545"/>
      <c r="PWL32" s="545"/>
      <c r="PWM32" s="545"/>
      <c r="PWN32" s="545"/>
      <c r="PWO32" s="545"/>
      <c r="PWP32" s="545"/>
      <c r="PWQ32" s="545"/>
      <c r="PWR32" s="545"/>
      <c r="PWS32" s="545"/>
      <c r="PWT32" s="545"/>
      <c r="PWU32" s="545"/>
      <c r="PWV32" s="545"/>
      <c r="PWW32" s="545"/>
      <c r="PWX32" s="545"/>
      <c r="PWY32" s="545"/>
      <c r="PWZ32" s="545"/>
      <c r="PXA32" s="545"/>
      <c r="PXB32" s="545"/>
      <c r="PXC32" s="545"/>
      <c r="PXD32" s="545"/>
      <c r="PXE32" s="545"/>
      <c r="PXF32" s="545"/>
      <c r="PXG32" s="545"/>
      <c r="PXH32" s="545"/>
      <c r="PXI32" s="545"/>
      <c r="PXJ32" s="545"/>
      <c r="PXK32" s="545"/>
      <c r="PXL32" s="545"/>
      <c r="PXM32" s="545"/>
      <c r="PXN32" s="545"/>
      <c r="PXO32" s="545"/>
      <c r="PXP32" s="545"/>
      <c r="PXQ32" s="545"/>
      <c r="PXR32" s="545"/>
      <c r="PXS32" s="545"/>
      <c r="PXT32" s="545"/>
      <c r="PXU32" s="545"/>
      <c r="PXV32" s="545"/>
      <c r="PXW32" s="545"/>
      <c r="PXX32" s="545"/>
      <c r="PXY32" s="545"/>
      <c r="PXZ32" s="545"/>
      <c r="PYA32" s="545"/>
      <c r="PYB32" s="545"/>
      <c r="PYC32" s="545"/>
      <c r="PYD32" s="545"/>
      <c r="PYE32" s="545"/>
      <c r="PYF32" s="545"/>
      <c r="PYG32" s="545"/>
      <c r="PYH32" s="545"/>
      <c r="PYI32" s="545"/>
      <c r="PYJ32" s="545"/>
      <c r="PYK32" s="545"/>
      <c r="PYL32" s="545"/>
      <c r="PYM32" s="545"/>
      <c r="PYN32" s="545"/>
      <c r="PYO32" s="545"/>
      <c r="PYP32" s="545"/>
      <c r="PYQ32" s="545"/>
      <c r="PYR32" s="545"/>
      <c r="PYS32" s="545"/>
      <c r="PYT32" s="545"/>
      <c r="PYU32" s="545"/>
      <c r="PYV32" s="545"/>
      <c r="PYW32" s="545"/>
      <c r="PYX32" s="545"/>
      <c r="PYY32" s="545"/>
      <c r="PYZ32" s="545"/>
      <c r="PZA32" s="545"/>
      <c r="PZB32" s="545"/>
      <c r="PZC32" s="545"/>
      <c r="PZD32" s="545"/>
      <c r="PZE32" s="545"/>
      <c r="PZF32" s="545"/>
      <c r="PZG32" s="545"/>
      <c r="PZH32" s="545"/>
      <c r="PZI32" s="545"/>
      <c r="PZJ32" s="545"/>
      <c r="PZK32" s="545"/>
      <c r="PZL32" s="545"/>
      <c r="PZM32" s="545"/>
      <c r="PZN32" s="545"/>
      <c r="PZO32" s="545"/>
      <c r="PZP32" s="545"/>
      <c r="PZQ32" s="545"/>
      <c r="PZR32" s="545"/>
      <c r="PZS32" s="545"/>
      <c r="PZT32" s="545"/>
      <c r="PZU32" s="545"/>
      <c r="PZV32" s="545"/>
      <c r="PZW32" s="545"/>
      <c r="PZX32" s="545"/>
      <c r="PZY32" s="545"/>
      <c r="PZZ32" s="545"/>
      <c r="QAA32" s="545"/>
      <c r="QAB32" s="545"/>
      <c r="QAC32" s="545"/>
      <c r="QAD32" s="545"/>
      <c r="QAE32" s="545"/>
      <c r="QAF32" s="545"/>
      <c r="QAG32" s="545"/>
      <c r="QAH32" s="545"/>
      <c r="QAI32" s="545"/>
      <c r="QAJ32" s="545"/>
      <c r="QAK32" s="545"/>
      <c r="QAL32" s="545"/>
      <c r="QAM32" s="545"/>
      <c r="QAN32" s="545"/>
      <c r="QAO32" s="545"/>
      <c r="QAP32" s="545"/>
      <c r="QAQ32" s="545"/>
      <c r="QAR32" s="545"/>
      <c r="QAS32" s="545"/>
      <c r="QAT32" s="545"/>
      <c r="QAU32" s="545"/>
      <c r="QAV32" s="545"/>
      <c r="QAW32" s="545"/>
      <c r="QAX32" s="545"/>
      <c r="QAY32" s="545"/>
      <c r="QAZ32" s="545"/>
      <c r="QBA32" s="545"/>
      <c r="QBB32" s="545"/>
      <c r="QBC32" s="545"/>
      <c r="QBD32" s="545"/>
      <c r="QBE32" s="545"/>
      <c r="QBF32" s="545"/>
      <c r="QBG32" s="545"/>
      <c r="QBH32" s="545"/>
      <c r="QBI32" s="545"/>
      <c r="QBJ32" s="545"/>
      <c r="QBK32" s="545"/>
      <c r="QBL32" s="545"/>
      <c r="QBM32" s="545"/>
      <c r="QBN32" s="545"/>
      <c r="QBO32" s="545"/>
      <c r="QBP32" s="545"/>
      <c r="QBQ32" s="545"/>
      <c r="QBR32" s="545"/>
      <c r="QBS32" s="545"/>
      <c r="QBT32" s="545"/>
      <c r="QBU32" s="545"/>
      <c r="QBV32" s="545"/>
      <c r="QBW32" s="545"/>
      <c r="QBX32" s="545"/>
      <c r="QBY32" s="545"/>
      <c r="QBZ32" s="545"/>
      <c r="QCA32" s="545"/>
      <c r="QCB32" s="545"/>
      <c r="QCC32" s="545"/>
      <c r="QCD32" s="545"/>
      <c r="QCE32" s="545"/>
      <c r="QCF32" s="545"/>
      <c r="QCG32" s="545"/>
      <c r="QCH32" s="545"/>
      <c r="QCI32" s="545"/>
      <c r="QCJ32" s="545"/>
      <c r="QCK32" s="545"/>
      <c r="QCL32" s="545"/>
      <c r="QCM32" s="545"/>
      <c r="QCN32" s="545"/>
      <c r="QCO32" s="545"/>
      <c r="QCP32" s="545"/>
      <c r="QCQ32" s="545"/>
      <c r="QCR32" s="545"/>
      <c r="QCS32" s="545"/>
      <c r="QCT32" s="545"/>
      <c r="QCU32" s="545"/>
      <c r="QCV32" s="545"/>
      <c r="QCW32" s="545"/>
      <c r="QCX32" s="545"/>
      <c r="QCY32" s="545"/>
      <c r="QCZ32" s="545"/>
      <c r="QDA32" s="545"/>
      <c r="QDB32" s="545"/>
      <c r="QDC32" s="545"/>
      <c r="QDD32" s="545"/>
      <c r="QDE32" s="545"/>
      <c r="QDF32" s="545"/>
      <c r="QDG32" s="545"/>
      <c r="QDH32" s="545"/>
      <c r="QDI32" s="545"/>
      <c r="QDJ32" s="545"/>
      <c r="QDK32" s="545"/>
      <c r="QDL32" s="545"/>
      <c r="QDM32" s="545"/>
      <c r="QDN32" s="545"/>
      <c r="QDO32" s="545"/>
      <c r="QDP32" s="545"/>
      <c r="QDQ32" s="545"/>
      <c r="QDR32" s="545"/>
      <c r="QDS32" s="545"/>
      <c r="QDT32" s="545"/>
      <c r="QDU32" s="545"/>
      <c r="QDV32" s="545"/>
      <c r="QDW32" s="545"/>
      <c r="QDX32" s="545"/>
      <c r="QDY32" s="545"/>
      <c r="QDZ32" s="545"/>
      <c r="QEA32" s="545"/>
      <c r="QEB32" s="545"/>
      <c r="QEC32" s="545"/>
      <c r="QED32" s="545"/>
      <c r="QEE32" s="545"/>
      <c r="QEF32" s="545"/>
      <c r="QEG32" s="545"/>
      <c r="QEH32" s="545"/>
      <c r="QEI32" s="545"/>
      <c r="QEJ32" s="545"/>
      <c r="QEK32" s="545"/>
      <c r="QEL32" s="545"/>
      <c r="QEM32" s="545"/>
      <c r="QEN32" s="545"/>
      <c r="QEO32" s="545"/>
      <c r="QEP32" s="545"/>
      <c r="QEQ32" s="545"/>
      <c r="QER32" s="545"/>
      <c r="QES32" s="545"/>
      <c r="QET32" s="545"/>
      <c r="QEU32" s="545"/>
      <c r="QEV32" s="545"/>
      <c r="QEW32" s="545"/>
      <c r="QEX32" s="545"/>
      <c r="QEY32" s="545"/>
      <c r="QEZ32" s="545"/>
      <c r="QFA32" s="545"/>
      <c r="QFB32" s="545"/>
      <c r="QFC32" s="545"/>
      <c r="QFD32" s="545"/>
      <c r="QFE32" s="545"/>
      <c r="QFF32" s="545"/>
      <c r="QFG32" s="545"/>
      <c r="QFH32" s="545"/>
      <c r="QFI32" s="545"/>
      <c r="QFJ32" s="545"/>
      <c r="QFK32" s="545"/>
      <c r="QFL32" s="545"/>
      <c r="QFM32" s="545"/>
      <c r="QFN32" s="545"/>
      <c r="QFO32" s="545"/>
      <c r="QFP32" s="545"/>
      <c r="QFQ32" s="545"/>
      <c r="QFR32" s="545"/>
      <c r="QFS32" s="545"/>
      <c r="QFT32" s="545"/>
      <c r="QFU32" s="545"/>
      <c r="QFV32" s="545"/>
      <c r="QFW32" s="545"/>
      <c r="QFX32" s="545"/>
      <c r="QFY32" s="545"/>
      <c r="QFZ32" s="545"/>
      <c r="QGA32" s="545"/>
      <c r="QGB32" s="545"/>
      <c r="QGC32" s="545"/>
      <c r="QGD32" s="545"/>
      <c r="QGE32" s="545"/>
      <c r="QGF32" s="545"/>
      <c r="QGG32" s="545"/>
      <c r="QGH32" s="545"/>
      <c r="QGI32" s="545"/>
      <c r="QGJ32" s="545"/>
      <c r="QGK32" s="545"/>
      <c r="QGL32" s="545"/>
      <c r="QGM32" s="545"/>
      <c r="QGN32" s="545"/>
      <c r="QGO32" s="545"/>
      <c r="QGP32" s="545"/>
      <c r="QGQ32" s="545"/>
      <c r="QGR32" s="545"/>
      <c r="QGS32" s="545"/>
      <c r="QGT32" s="545"/>
      <c r="QGU32" s="545"/>
      <c r="QGV32" s="545"/>
      <c r="QGW32" s="545"/>
      <c r="QGX32" s="545"/>
      <c r="QGY32" s="545"/>
      <c r="QGZ32" s="545"/>
      <c r="QHA32" s="545"/>
      <c r="QHB32" s="545"/>
      <c r="QHC32" s="545"/>
      <c r="QHD32" s="545"/>
      <c r="QHE32" s="545"/>
      <c r="QHF32" s="545"/>
      <c r="QHG32" s="545"/>
      <c r="QHH32" s="545"/>
      <c r="QHI32" s="545"/>
      <c r="QHJ32" s="545"/>
      <c r="QHK32" s="545"/>
      <c r="QHL32" s="545"/>
      <c r="QHM32" s="545"/>
      <c r="QHN32" s="545"/>
      <c r="QHO32" s="545"/>
      <c r="QHP32" s="545"/>
      <c r="QHQ32" s="545"/>
      <c r="QHR32" s="545"/>
      <c r="QHS32" s="545"/>
      <c r="QHT32" s="545"/>
      <c r="QHU32" s="545"/>
      <c r="QHV32" s="545"/>
      <c r="QHW32" s="545"/>
      <c r="QHX32" s="545"/>
      <c r="QHY32" s="545"/>
      <c r="QHZ32" s="545"/>
      <c r="QIA32" s="545"/>
      <c r="QIB32" s="545"/>
      <c r="QIC32" s="545"/>
      <c r="QID32" s="545"/>
      <c r="QIE32" s="545"/>
      <c r="QIF32" s="545"/>
      <c r="QIG32" s="545"/>
      <c r="QIH32" s="545"/>
      <c r="QII32" s="545"/>
      <c r="QIJ32" s="545"/>
      <c r="QIK32" s="545"/>
      <c r="QIL32" s="545"/>
      <c r="QIM32" s="545"/>
      <c r="QIN32" s="545"/>
      <c r="QIO32" s="545"/>
      <c r="QIP32" s="545"/>
      <c r="QIQ32" s="545"/>
      <c r="QIR32" s="545"/>
      <c r="QIS32" s="545"/>
      <c r="QIT32" s="545"/>
      <c r="QIU32" s="545"/>
      <c r="QIV32" s="545"/>
      <c r="QIW32" s="545"/>
      <c r="QIX32" s="545"/>
      <c r="QIY32" s="545"/>
      <c r="QIZ32" s="545"/>
      <c r="QJA32" s="545"/>
      <c r="QJB32" s="545"/>
      <c r="QJC32" s="545"/>
      <c r="QJD32" s="545"/>
      <c r="QJE32" s="545"/>
      <c r="QJF32" s="545"/>
      <c r="QJG32" s="545"/>
      <c r="QJH32" s="545"/>
      <c r="QJI32" s="545"/>
      <c r="QJJ32" s="545"/>
      <c r="QJK32" s="545"/>
      <c r="QJL32" s="545"/>
      <c r="QJM32" s="545"/>
      <c r="QJN32" s="545"/>
      <c r="QJO32" s="545"/>
      <c r="QJP32" s="545"/>
      <c r="QJQ32" s="545"/>
      <c r="QJR32" s="545"/>
      <c r="QJS32" s="545"/>
      <c r="QJT32" s="545"/>
      <c r="QJU32" s="545"/>
      <c r="QJV32" s="545"/>
      <c r="QJW32" s="545"/>
      <c r="QJX32" s="545"/>
      <c r="QJY32" s="545"/>
      <c r="QJZ32" s="545"/>
      <c r="QKA32" s="545"/>
      <c r="QKB32" s="545"/>
      <c r="QKC32" s="545"/>
      <c r="QKD32" s="545"/>
      <c r="QKE32" s="545"/>
      <c r="QKF32" s="545"/>
      <c r="QKG32" s="545"/>
      <c r="QKH32" s="545"/>
      <c r="QKI32" s="545"/>
      <c r="QKJ32" s="545"/>
      <c r="QKK32" s="545"/>
      <c r="QKL32" s="545"/>
      <c r="QKM32" s="545"/>
      <c r="QKN32" s="545"/>
      <c r="QKO32" s="545"/>
      <c r="QKP32" s="545"/>
      <c r="QKQ32" s="545"/>
      <c r="QKR32" s="545"/>
      <c r="QKS32" s="545"/>
      <c r="QKT32" s="545"/>
      <c r="QKU32" s="545"/>
      <c r="QKV32" s="545"/>
      <c r="QKW32" s="545"/>
      <c r="QKX32" s="545"/>
      <c r="QKY32" s="545"/>
      <c r="QKZ32" s="545"/>
      <c r="QLA32" s="545"/>
      <c r="QLB32" s="545"/>
      <c r="QLC32" s="545"/>
      <c r="QLD32" s="545"/>
      <c r="QLE32" s="545"/>
      <c r="QLF32" s="545"/>
      <c r="QLG32" s="545"/>
      <c r="QLH32" s="545"/>
      <c r="QLI32" s="545"/>
      <c r="QLJ32" s="545"/>
      <c r="QLK32" s="545"/>
      <c r="QLL32" s="545"/>
      <c r="QLM32" s="545"/>
      <c r="QLN32" s="545"/>
      <c r="QLO32" s="545"/>
      <c r="QLP32" s="545"/>
      <c r="QLQ32" s="545"/>
      <c r="QLR32" s="545"/>
      <c r="QLS32" s="545"/>
      <c r="QLT32" s="545"/>
      <c r="QLU32" s="545"/>
      <c r="QLV32" s="545"/>
      <c r="QLW32" s="545"/>
      <c r="QLX32" s="545"/>
      <c r="QLY32" s="545"/>
      <c r="QLZ32" s="545"/>
      <c r="QMA32" s="545"/>
      <c r="QMB32" s="545"/>
      <c r="QMC32" s="545"/>
      <c r="QMD32" s="545"/>
      <c r="QME32" s="545"/>
      <c r="QMF32" s="545"/>
      <c r="QMG32" s="545"/>
      <c r="QMH32" s="545"/>
      <c r="QMI32" s="545"/>
      <c r="QMJ32" s="545"/>
      <c r="QMK32" s="545"/>
      <c r="QML32" s="545"/>
      <c r="QMM32" s="545"/>
      <c r="QMN32" s="545"/>
      <c r="QMO32" s="545"/>
      <c r="QMP32" s="545"/>
      <c r="QMQ32" s="545"/>
      <c r="QMR32" s="545"/>
      <c r="QMS32" s="545"/>
      <c r="QMT32" s="545"/>
      <c r="QMU32" s="545"/>
      <c r="QMV32" s="545"/>
      <c r="QMW32" s="545"/>
      <c r="QMX32" s="545"/>
      <c r="QMY32" s="545"/>
      <c r="QMZ32" s="545"/>
      <c r="QNA32" s="545"/>
      <c r="QNB32" s="545"/>
      <c r="QNC32" s="545"/>
      <c r="QND32" s="545"/>
      <c r="QNE32" s="545"/>
      <c r="QNF32" s="545"/>
      <c r="QNG32" s="545"/>
      <c r="QNH32" s="545"/>
      <c r="QNI32" s="545"/>
      <c r="QNJ32" s="545"/>
      <c r="QNK32" s="545"/>
      <c r="QNL32" s="545"/>
      <c r="QNM32" s="545"/>
      <c r="QNN32" s="545"/>
      <c r="QNO32" s="545"/>
      <c r="QNP32" s="545"/>
      <c r="QNQ32" s="545"/>
      <c r="QNR32" s="545"/>
      <c r="QNS32" s="545"/>
      <c r="QNT32" s="545"/>
      <c r="QNU32" s="545"/>
      <c r="QNV32" s="545"/>
      <c r="QNW32" s="545"/>
      <c r="QNX32" s="545"/>
      <c r="QNY32" s="545"/>
      <c r="QNZ32" s="545"/>
      <c r="QOA32" s="545"/>
      <c r="QOB32" s="545"/>
      <c r="QOC32" s="545"/>
      <c r="QOD32" s="545"/>
      <c r="QOE32" s="545"/>
      <c r="QOF32" s="545"/>
      <c r="QOG32" s="545"/>
      <c r="QOH32" s="545"/>
      <c r="QOI32" s="545"/>
      <c r="QOJ32" s="545"/>
      <c r="QOK32" s="545"/>
      <c r="QOL32" s="545"/>
      <c r="QOM32" s="545"/>
      <c r="QON32" s="545"/>
      <c r="QOO32" s="545"/>
      <c r="QOP32" s="545"/>
      <c r="QOQ32" s="545"/>
      <c r="QOR32" s="545"/>
      <c r="QOS32" s="545"/>
      <c r="QOT32" s="545"/>
      <c r="QOU32" s="545"/>
      <c r="QOV32" s="545"/>
      <c r="QOW32" s="545"/>
      <c r="QOX32" s="545"/>
      <c r="QOY32" s="545"/>
      <c r="QOZ32" s="545"/>
      <c r="QPA32" s="545"/>
      <c r="QPB32" s="545"/>
      <c r="QPC32" s="545"/>
      <c r="QPD32" s="545"/>
      <c r="QPE32" s="545"/>
      <c r="QPF32" s="545"/>
      <c r="QPG32" s="545"/>
      <c r="QPH32" s="545"/>
      <c r="QPI32" s="545"/>
      <c r="QPJ32" s="545"/>
      <c r="QPK32" s="545"/>
      <c r="QPL32" s="545"/>
      <c r="QPM32" s="545"/>
      <c r="QPN32" s="545"/>
      <c r="QPO32" s="545"/>
      <c r="QPP32" s="545"/>
      <c r="QPQ32" s="545"/>
      <c r="QPR32" s="545"/>
      <c r="QPS32" s="545"/>
      <c r="QPT32" s="545"/>
      <c r="QPU32" s="545"/>
      <c r="QPV32" s="545"/>
      <c r="QPW32" s="545"/>
      <c r="QPX32" s="545"/>
      <c r="QPY32" s="545"/>
      <c r="QPZ32" s="545"/>
      <c r="QQA32" s="545"/>
      <c r="QQB32" s="545"/>
      <c r="QQC32" s="545"/>
      <c r="QQD32" s="545"/>
      <c r="QQE32" s="545"/>
      <c r="QQF32" s="545"/>
      <c r="QQG32" s="545"/>
      <c r="QQH32" s="545"/>
      <c r="QQI32" s="545"/>
      <c r="QQJ32" s="545"/>
      <c r="QQK32" s="545"/>
      <c r="QQL32" s="545"/>
      <c r="QQM32" s="545"/>
      <c r="QQN32" s="545"/>
      <c r="QQO32" s="545"/>
      <c r="QQP32" s="545"/>
      <c r="QQQ32" s="545"/>
      <c r="QQR32" s="545"/>
      <c r="QQS32" s="545"/>
      <c r="QQT32" s="545"/>
      <c r="QQU32" s="545"/>
      <c r="QQV32" s="545"/>
      <c r="QQW32" s="545"/>
      <c r="QQX32" s="545"/>
      <c r="QQY32" s="545"/>
      <c r="QQZ32" s="545"/>
      <c r="QRA32" s="545"/>
      <c r="QRB32" s="545"/>
      <c r="QRC32" s="545"/>
      <c r="QRD32" s="545"/>
      <c r="QRE32" s="545"/>
      <c r="QRF32" s="545"/>
      <c r="QRG32" s="545"/>
      <c r="QRH32" s="545"/>
      <c r="QRI32" s="545"/>
      <c r="QRJ32" s="545"/>
      <c r="QRK32" s="545"/>
      <c r="QRL32" s="545"/>
      <c r="QRM32" s="545"/>
      <c r="QRN32" s="545"/>
      <c r="QRO32" s="545"/>
      <c r="QRP32" s="545"/>
      <c r="QRQ32" s="545"/>
      <c r="QRR32" s="545"/>
      <c r="QRS32" s="545"/>
      <c r="QRT32" s="545"/>
      <c r="QRU32" s="545"/>
      <c r="QRV32" s="545"/>
      <c r="QRW32" s="545"/>
      <c r="QRX32" s="545"/>
      <c r="QRY32" s="545"/>
      <c r="QRZ32" s="545"/>
      <c r="QSA32" s="545"/>
      <c r="QSB32" s="545"/>
      <c r="QSC32" s="545"/>
      <c r="QSD32" s="545"/>
      <c r="QSE32" s="545"/>
      <c r="QSF32" s="545"/>
      <c r="QSG32" s="545"/>
      <c r="QSH32" s="545"/>
      <c r="QSI32" s="545"/>
      <c r="QSJ32" s="545"/>
      <c r="QSK32" s="545"/>
      <c r="QSL32" s="545"/>
      <c r="QSM32" s="545"/>
      <c r="QSN32" s="545"/>
      <c r="QSO32" s="545"/>
      <c r="QSP32" s="545"/>
      <c r="QSQ32" s="545"/>
      <c r="QSR32" s="545"/>
      <c r="QSS32" s="545"/>
      <c r="QST32" s="545"/>
      <c r="QSU32" s="545"/>
      <c r="QSV32" s="545"/>
      <c r="QSW32" s="545"/>
      <c r="QSX32" s="545"/>
      <c r="QSY32" s="545"/>
      <c r="QSZ32" s="545"/>
      <c r="QTA32" s="545"/>
      <c r="QTB32" s="545"/>
      <c r="QTC32" s="545"/>
      <c r="QTD32" s="545"/>
      <c r="QTE32" s="545"/>
      <c r="QTF32" s="545"/>
      <c r="QTG32" s="545"/>
      <c r="QTH32" s="545"/>
      <c r="QTI32" s="545"/>
      <c r="QTJ32" s="545"/>
      <c r="QTK32" s="545"/>
      <c r="QTL32" s="545"/>
      <c r="QTM32" s="545"/>
      <c r="QTN32" s="545"/>
      <c r="QTO32" s="545"/>
      <c r="QTP32" s="545"/>
      <c r="QTQ32" s="545"/>
      <c r="QTR32" s="545"/>
      <c r="QTS32" s="545"/>
      <c r="QTT32" s="545"/>
      <c r="QTU32" s="545"/>
      <c r="QTV32" s="545"/>
      <c r="QTW32" s="545"/>
      <c r="QTX32" s="545"/>
      <c r="QTY32" s="545"/>
      <c r="QTZ32" s="545"/>
      <c r="QUA32" s="545"/>
      <c r="QUB32" s="545"/>
      <c r="QUC32" s="545"/>
      <c r="QUD32" s="545"/>
      <c r="QUE32" s="545"/>
      <c r="QUF32" s="545"/>
      <c r="QUG32" s="545"/>
      <c r="QUH32" s="545"/>
      <c r="QUI32" s="545"/>
      <c r="QUJ32" s="545"/>
      <c r="QUK32" s="545"/>
      <c r="QUL32" s="545"/>
      <c r="QUM32" s="545"/>
      <c r="QUN32" s="545"/>
      <c r="QUO32" s="545"/>
      <c r="QUP32" s="545"/>
      <c r="QUQ32" s="545"/>
      <c r="QUR32" s="545"/>
      <c r="QUS32" s="545"/>
      <c r="QUT32" s="545"/>
      <c r="QUU32" s="545"/>
      <c r="QUV32" s="545"/>
      <c r="QUW32" s="545"/>
      <c r="QUX32" s="545"/>
      <c r="QUY32" s="545"/>
      <c r="QUZ32" s="545"/>
      <c r="QVA32" s="545"/>
      <c r="QVB32" s="545"/>
      <c r="QVC32" s="545"/>
      <c r="QVD32" s="545"/>
      <c r="QVE32" s="545"/>
      <c r="QVF32" s="545"/>
      <c r="QVG32" s="545"/>
      <c r="QVH32" s="545"/>
      <c r="QVI32" s="545"/>
      <c r="QVJ32" s="545"/>
      <c r="QVK32" s="545"/>
      <c r="QVL32" s="545"/>
      <c r="QVM32" s="545"/>
      <c r="QVN32" s="545"/>
      <c r="QVO32" s="545"/>
      <c r="QVP32" s="545"/>
      <c r="QVQ32" s="545"/>
      <c r="QVR32" s="545"/>
      <c r="QVS32" s="545"/>
      <c r="QVT32" s="545"/>
      <c r="QVU32" s="545"/>
      <c r="QVV32" s="545"/>
      <c r="QVW32" s="545"/>
      <c r="QVX32" s="545"/>
      <c r="QVY32" s="545"/>
      <c r="QVZ32" s="545"/>
      <c r="QWA32" s="545"/>
      <c r="QWB32" s="545"/>
      <c r="QWC32" s="545"/>
      <c r="QWD32" s="545"/>
      <c r="QWE32" s="545"/>
      <c r="QWF32" s="545"/>
      <c r="QWG32" s="545"/>
      <c r="QWH32" s="545"/>
      <c r="QWI32" s="545"/>
      <c r="QWJ32" s="545"/>
      <c r="QWK32" s="545"/>
      <c r="QWL32" s="545"/>
      <c r="QWM32" s="545"/>
      <c r="QWN32" s="545"/>
      <c r="QWO32" s="545"/>
      <c r="QWP32" s="545"/>
      <c r="QWQ32" s="545"/>
      <c r="QWR32" s="545"/>
      <c r="QWS32" s="545"/>
      <c r="QWT32" s="545"/>
      <c r="QWU32" s="545"/>
      <c r="QWV32" s="545"/>
      <c r="QWW32" s="545"/>
      <c r="QWX32" s="545"/>
      <c r="QWY32" s="545"/>
      <c r="QWZ32" s="545"/>
      <c r="QXA32" s="545"/>
      <c r="QXB32" s="545"/>
      <c r="QXC32" s="545"/>
      <c r="QXD32" s="545"/>
      <c r="QXE32" s="545"/>
      <c r="QXF32" s="545"/>
      <c r="QXG32" s="545"/>
      <c r="QXH32" s="545"/>
      <c r="QXI32" s="545"/>
      <c r="QXJ32" s="545"/>
      <c r="QXK32" s="545"/>
      <c r="QXL32" s="545"/>
      <c r="QXM32" s="545"/>
      <c r="QXN32" s="545"/>
      <c r="QXO32" s="545"/>
      <c r="QXP32" s="545"/>
      <c r="QXQ32" s="545"/>
      <c r="QXR32" s="545"/>
      <c r="QXS32" s="545"/>
      <c r="QXT32" s="545"/>
      <c r="QXU32" s="545"/>
      <c r="QXV32" s="545"/>
      <c r="QXW32" s="545"/>
      <c r="QXX32" s="545"/>
      <c r="QXY32" s="545"/>
      <c r="QXZ32" s="545"/>
      <c r="QYA32" s="545"/>
      <c r="QYB32" s="545"/>
      <c r="QYC32" s="545"/>
      <c r="QYD32" s="545"/>
      <c r="QYE32" s="545"/>
      <c r="QYF32" s="545"/>
      <c r="QYG32" s="545"/>
      <c r="QYH32" s="545"/>
      <c r="QYI32" s="545"/>
      <c r="QYJ32" s="545"/>
      <c r="QYK32" s="545"/>
      <c r="QYL32" s="545"/>
      <c r="QYM32" s="545"/>
      <c r="QYN32" s="545"/>
      <c r="QYO32" s="545"/>
      <c r="QYP32" s="545"/>
      <c r="QYQ32" s="545"/>
      <c r="QYR32" s="545"/>
      <c r="QYS32" s="545"/>
      <c r="QYT32" s="545"/>
      <c r="QYU32" s="545"/>
      <c r="QYV32" s="545"/>
      <c r="QYW32" s="545"/>
      <c r="QYX32" s="545"/>
      <c r="QYY32" s="545"/>
      <c r="QYZ32" s="545"/>
      <c r="QZA32" s="545"/>
      <c r="QZB32" s="545"/>
      <c r="QZC32" s="545"/>
      <c r="QZD32" s="545"/>
      <c r="QZE32" s="545"/>
      <c r="QZF32" s="545"/>
      <c r="QZG32" s="545"/>
      <c r="QZH32" s="545"/>
      <c r="QZI32" s="545"/>
      <c r="QZJ32" s="545"/>
      <c r="QZK32" s="545"/>
      <c r="QZL32" s="545"/>
      <c r="QZM32" s="545"/>
      <c r="QZN32" s="545"/>
      <c r="QZO32" s="545"/>
      <c r="QZP32" s="545"/>
      <c r="QZQ32" s="545"/>
      <c r="QZR32" s="545"/>
      <c r="QZS32" s="545"/>
      <c r="QZT32" s="545"/>
      <c r="QZU32" s="545"/>
      <c r="QZV32" s="545"/>
      <c r="QZW32" s="545"/>
      <c r="QZX32" s="545"/>
      <c r="QZY32" s="545"/>
      <c r="QZZ32" s="545"/>
      <c r="RAA32" s="545"/>
      <c r="RAB32" s="545"/>
      <c r="RAC32" s="545"/>
      <c r="RAD32" s="545"/>
      <c r="RAE32" s="545"/>
      <c r="RAF32" s="545"/>
      <c r="RAG32" s="545"/>
      <c r="RAH32" s="545"/>
      <c r="RAI32" s="545"/>
      <c r="RAJ32" s="545"/>
      <c r="RAK32" s="545"/>
      <c r="RAL32" s="545"/>
      <c r="RAM32" s="545"/>
      <c r="RAN32" s="545"/>
      <c r="RAO32" s="545"/>
      <c r="RAP32" s="545"/>
      <c r="RAQ32" s="545"/>
      <c r="RAR32" s="545"/>
      <c r="RAS32" s="545"/>
      <c r="RAT32" s="545"/>
      <c r="RAU32" s="545"/>
      <c r="RAV32" s="545"/>
      <c r="RAW32" s="545"/>
      <c r="RAX32" s="545"/>
      <c r="RAY32" s="545"/>
      <c r="RAZ32" s="545"/>
      <c r="RBA32" s="545"/>
      <c r="RBB32" s="545"/>
      <c r="RBC32" s="545"/>
      <c r="RBD32" s="545"/>
      <c r="RBE32" s="545"/>
      <c r="RBF32" s="545"/>
      <c r="RBG32" s="545"/>
      <c r="RBH32" s="545"/>
      <c r="RBI32" s="545"/>
      <c r="RBJ32" s="545"/>
      <c r="RBK32" s="545"/>
      <c r="RBL32" s="545"/>
      <c r="RBM32" s="545"/>
      <c r="RBN32" s="545"/>
      <c r="RBO32" s="545"/>
      <c r="RBP32" s="545"/>
      <c r="RBQ32" s="545"/>
      <c r="RBR32" s="545"/>
      <c r="RBS32" s="545"/>
      <c r="RBT32" s="545"/>
      <c r="RBU32" s="545"/>
      <c r="RBV32" s="545"/>
      <c r="RBW32" s="545"/>
      <c r="RBX32" s="545"/>
      <c r="RBY32" s="545"/>
      <c r="RBZ32" s="545"/>
      <c r="RCA32" s="545"/>
      <c r="RCB32" s="545"/>
      <c r="RCC32" s="545"/>
      <c r="RCD32" s="545"/>
      <c r="RCE32" s="545"/>
      <c r="RCF32" s="545"/>
      <c r="RCG32" s="545"/>
      <c r="RCH32" s="545"/>
      <c r="RCI32" s="545"/>
      <c r="RCJ32" s="545"/>
      <c r="RCK32" s="545"/>
      <c r="RCL32" s="545"/>
      <c r="RCM32" s="545"/>
      <c r="RCN32" s="545"/>
      <c r="RCO32" s="545"/>
      <c r="RCP32" s="545"/>
      <c r="RCQ32" s="545"/>
      <c r="RCR32" s="545"/>
      <c r="RCS32" s="545"/>
      <c r="RCT32" s="545"/>
      <c r="RCU32" s="545"/>
      <c r="RCV32" s="545"/>
      <c r="RCW32" s="545"/>
      <c r="RCX32" s="545"/>
      <c r="RCY32" s="545"/>
      <c r="RCZ32" s="545"/>
      <c r="RDA32" s="545"/>
      <c r="RDB32" s="545"/>
      <c r="RDC32" s="545"/>
      <c r="RDD32" s="545"/>
      <c r="RDE32" s="545"/>
      <c r="RDF32" s="545"/>
      <c r="RDG32" s="545"/>
      <c r="RDH32" s="545"/>
      <c r="RDI32" s="545"/>
      <c r="RDJ32" s="545"/>
      <c r="RDK32" s="545"/>
      <c r="RDL32" s="545"/>
      <c r="RDM32" s="545"/>
      <c r="RDN32" s="545"/>
      <c r="RDO32" s="545"/>
      <c r="RDP32" s="545"/>
      <c r="RDQ32" s="545"/>
      <c r="RDR32" s="545"/>
      <c r="RDS32" s="545"/>
      <c r="RDT32" s="545"/>
      <c r="RDU32" s="545"/>
      <c r="RDV32" s="545"/>
      <c r="RDW32" s="545"/>
      <c r="RDX32" s="545"/>
      <c r="RDY32" s="545"/>
      <c r="RDZ32" s="545"/>
      <c r="REA32" s="545"/>
      <c r="REB32" s="545"/>
      <c r="REC32" s="545"/>
      <c r="RED32" s="545"/>
      <c r="REE32" s="545"/>
      <c r="REF32" s="545"/>
      <c r="REG32" s="545"/>
      <c r="REH32" s="545"/>
      <c r="REI32" s="545"/>
      <c r="REJ32" s="545"/>
      <c r="REK32" s="545"/>
      <c r="REL32" s="545"/>
      <c r="REM32" s="545"/>
      <c r="REN32" s="545"/>
      <c r="REO32" s="545"/>
      <c r="REP32" s="545"/>
      <c r="REQ32" s="545"/>
      <c r="RER32" s="545"/>
      <c r="RES32" s="545"/>
      <c r="RET32" s="545"/>
      <c r="REU32" s="545"/>
      <c r="REV32" s="545"/>
      <c r="REW32" s="545"/>
      <c r="REX32" s="545"/>
      <c r="REY32" s="545"/>
      <c r="REZ32" s="545"/>
      <c r="RFA32" s="545"/>
      <c r="RFB32" s="545"/>
      <c r="RFC32" s="545"/>
      <c r="RFD32" s="545"/>
      <c r="RFE32" s="545"/>
      <c r="RFF32" s="545"/>
      <c r="RFG32" s="545"/>
      <c r="RFH32" s="545"/>
      <c r="RFI32" s="545"/>
      <c r="RFJ32" s="545"/>
      <c r="RFK32" s="545"/>
      <c r="RFL32" s="545"/>
      <c r="RFM32" s="545"/>
      <c r="RFN32" s="545"/>
      <c r="RFO32" s="545"/>
      <c r="RFP32" s="545"/>
      <c r="RFQ32" s="545"/>
      <c r="RFR32" s="545"/>
      <c r="RFS32" s="545"/>
      <c r="RFT32" s="545"/>
      <c r="RFU32" s="545"/>
      <c r="RFV32" s="545"/>
      <c r="RFW32" s="545"/>
      <c r="RFX32" s="545"/>
      <c r="RFY32" s="545"/>
      <c r="RFZ32" s="545"/>
      <c r="RGA32" s="545"/>
      <c r="RGB32" s="545"/>
      <c r="RGC32" s="545"/>
      <c r="RGD32" s="545"/>
      <c r="RGE32" s="545"/>
      <c r="RGF32" s="545"/>
      <c r="RGG32" s="545"/>
      <c r="RGH32" s="545"/>
      <c r="RGI32" s="545"/>
      <c r="RGJ32" s="545"/>
      <c r="RGK32" s="545"/>
      <c r="RGL32" s="545"/>
      <c r="RGM32" s="545"/>
      <c r="RGN32" s="545"/>
      <c r="RGO32" s="545"/>
      <c r="RGP32" s="545"/>
      <c r="RGQ32" s="545"/>
      <c r="RGR32" s="545"/>
      <c r="RGS32" s="545"/>
      <c r="RGT32" s="545"/>
      <c r="RGU32" s="545"/>
      <c r="RGV32" s="545"/>
      <c r="RGW32" s="545"/>
      <c r="RGX32" s="545"/>
      <c r="RGY32" s="545"/>
      <c r="RGZ32" s="545"/>
      <c r="RHA32" s="545"/>
      <c r="RHB32" s="545"/>
      <c r="RHC32" s="545"/>
      <c r="RHD32" s="545"/>
      <c r="RHE32" s="545"/>
      <c r="RHF32" s="545"/>
      <c r="RHG32" s="545"/>
      <c r="RHH32" s="545"/>
      <c r="RHI32" s="545"/>
      <c r="RHJ32" s="545"/>
      <c r="RHK32" s="545"/>
      <c r="RHL32" s="545"/>
      <c r="RHM32" s="545"/>
      <c r="RHN32" s="545"/>
      <c r="RHO32" s="545"/>
      <c r="RHP32" s="545"/>
      <c r="RHQ32" s="545"/>
      <c r="RHR32" s="545"/>
      <c r="RHS32" s="545"/>
      <c r="RHT32" s="545"/>
      <c r="RHU32" s="545"/>
      <c r="RHV32" s="545"/>
      <c r="RHW32" s="545"/>
      <c r="RHX32" s="545"/>
      <c r="RHY32" s="545"/>
      <c r="RHZ32" s="545"/>
      <c r="RIA32" s="545"/>
      <c r="RIB32" s="545"/>
      <c r="RIC32" s="545"/>
      <c r="RID32" s="545"/>
      <c r="RIE32" s="545"/>
      <c r="RIF32" s="545"/>
      <c r="RIG32" s="545"/>
      <c r="RIH32" s="545"/>
      <c r="RII32" s="545"/>
      <c r="RIJ32" s="545"/>
      <c r="RIK32" s="545"/>
      <c r="RIL32" s="545"/>
      <c r="RIM32" s="545"/>
      <c r="RIN32" s="545"/>
      <c r="RIO32" s="545"/>
      <c r="RIP32" s="545"/>
      <c r="RIQ32" s="545"/>
      <c r="RIR32" s="545"/>
      <c r="RIS32" s="545"/>
      <c r="RIT32" s="545"/>
      <c r="RIU32" s="545"/>
      <c r="RIV32" s="545"/>
      <c r="RIW32" s="545"/>
      <c r="RIX32" s="545"/>
      <c r="RIY32" s="545"/>
      <c r="RIZ32" s="545"/>
      <c r="RJA32" s="545"/>
      <c r="RJB32" s="545"/>
      <c r="RJC32" s="545"/>
      <c r="RJD32" s="545"/>
      <c r="RJE32" s="545"/>
      <c r="RJF32" s="545"/>
      <c r="RJG32" s="545"/>
      <c r="RJH32" s="545"/>
      <c r="RJI32" s="545"/>
      <c r="RJJ32" s="545"/>
      <c r="RJK32" s="545"/>
      <c r="RJL32" s="545"/>
      <c r="RJM32" s="545"/>
      <c r="RJN32" s="545"/>
      <c r="RJO32" s="545"/>
      <c r="RJP32" s="545"/>
      <c r="RJQ32" s="545"/>
      <c r="RJR32" s="545"/>
      <c r="RJS32" s="545"/>
      <c r="RJT32" s="545"/>
      <c r="RJU32" s="545"/>
      <c r="RJV32" s="545"/>
      <c r="RJW32" s="545"/>
      <c r="RJX32" s="545"/>
      <c r="RJY32" s="545"/>
      <c r="RJZ32" s="545"/>
      <c r="RKA32" s="545"/>
      <c r="RKB32" s="545"/>
      <c r="RKC32" s="545"/>
      <c r="RKD32" s="545"/>
      <c r="RKE32" s="545"/>
      <c r="RKF32" s="545"/>
      <c r="RKG32" s="545"/>
      <c r="RKH32" s="545"/>
      <c r="RKI32" s="545"/>
      <c r="RKJ32" s="545"/>
      <c r="RKK32" s="545"/>
      <c r="RKL32" s="545"/>
      <c r="RKM32" s="545"/>
      <c r="RKN32" s="545"/>
      <c r="RKO32" s="545"/>
      <c r="RKP32" s="545"/>
      <c r="RKQ32" s="545"/>
      <c r="RKR32" s="545"/>
      <c r="RKS32" s="545"/>
      <c r="RKT32" s="545"/>
      <c r="RKU32" s="545"/>
      <c r="RKV32" s="545"/>
      <c r="RKW32" s="545"/>
      <c r="RKX32" s="545"/>
      <c r="RKY32" s="545"/>
      <c r="RKZ32" s="545"/>
      <c r="RLA32" s="545"/>
      <c r="RLB32" s="545"/>
      <c r="RLC32" s="545"/>
      <c r="RLD32" s="545"/>
      <c r="RLE32" s="545"/>
      <c r="RLF32" s="545"/>
      <c r="RLG32" s="545"/>
      <c r="RLH32" s="545"/>
      <c r="RLI32" s="545"/>
      <c r="RLJ32" s="545"/>
      <c r="RLK32" s="545"/>
      <c r="RLL32" s="545"/>
      <c r="RLM32" s="545"/>
      <c r="RLN32" s="545"/>
      <c r="RLO32" s="545"/>
      <c r="RLP32" s="545"/>
      <c r="RLQ32" s="545"/>
      <c r="RLR32" s="545"/>
      <c r="RLS32" s="545"/>
      <c r="RLT32" s="545"/>
      <c r="RLU32" s="545"/>
      <c r="RLV32" s="545"/>
      <c r="RLW32" s="545"/>
      <c r="RLX32" s="545"/>
      <c r="RLY32" s="545"/>
      <c r="RLZ32" s="545"/>
      <c r="RMA32" s="545"/>
      <c r="RMB32" s="545"/>
      <c r="RMC32" s="545"/>
      <c r="RMD32" s="545"/>
      <c r="RME32" s="545"/>
      <c r="RMF32" s="545"/>
      <c r="RMG32" s="545"/>
      <c r="RMH32" s="545"/>
      <c r="RMI32" s="545"/>
      <c r="RMJ32" s="545"/>
      <c r="RMK32" s="545"/>
      <c r="RML32" s="545"/>
      <c r="RMM32" s="545"/>
      <c r="RMN32" s="545"/>
      <c r="RMO32" s="545"/>
      <c r="RMP32" s="545"/>
      <c r="RMQ32" s="545"/>
      <c r="RMR32" s="545"/>
      <c r="RMS32" s="545"/>
      <c r="RMT32" s="545"/>
      <c r="RMU32" s="545"/>
      <c r="RMV32" s="545"/>
      <c r="RMW32" s="545"/>
      <c r="RMX32" s="545"/>
      <c r="RMY32" s="545"/>
      <c r="RMZ32" s="545"/>
      <c r="RNA32" s="545"/>
      <c r="RNB32" s="545"/>
      <c r="RNC32" s="545"/>
      <c r="RND32" s="545"/>
      <c r="RNE32" s="545"/>
      <c r="RNF32" s="545"/>
      <c r="RNG32" s="545"/>
      <c r="RNH32" s="545"/>
      <c r="RNI32" s="545"/>
      <c r="RNJ32" s="545"/>
      <c r="RNK32" s="545"/>
      <c r="RNL32" s="545"/>
      <c r="RNM32" s="545"/>
      <c r="RNN32" s="545"/>
      <c r="RNO32" s="545"/>
      <c r="RNP32" s="545"/>
      <c r="RNQ32" s="545"/>
      <c r="RNR32" s="545"/>
      <c r="RNS32" s="545"/>
      <c r="RNT32" s="545"/>
      <c r="RNU32" s="545"/>
      <c r="RNV32" s="545"/>
      <c r="RNW32" s="545"/>
      <c r="RNX32" s="545"/>
      <c r="RNY32" s="545"/>
      <c r="RNZ32" s="545"/>
      <c r="ROA32" s="545"/>
      <c r="ROB32" s="545"/>
      <c r="ROC32" s="545"/>
      <c r="ROD32" s="545"/>
      <c r="ROE32" s="545"/>
      <c r="ROF32" s="545"/>
      <c r="ROG32" s="545"/>
      <c r="ROH32" s="545"/>
      <c r="ROI32" s="545"/>
      <c r="ROJ32" s="545"/>
      <c r="ROK32" s="545"/>
      <c r="ROL32" s="545"/>
      <c r="ROM32" s="545"/>
      <c r="RON32" s="545"/>
      <c r="ROO32" s="545"/>
      <c r="ROP32" s="545"/>
      <c r="ROQ32" s="545"/>
      <c r="ROR32" s="545"/>
      <c r="ROS32" s="545"/>
      <c r="ROT32" s="545"/>
      <c r="ROU32" s="545"/>
      <c r="ROV32" s="545"/>
      <c r="ROW32" s="545"/>
      <c r="ROX32" s="545"/>
      <c r="ROY32" s="545"/>
      <c r="ROZ32" s="545"/>
      <c r="RPA32" s="545"/>
      <c r="RPB32" s="545"/>
      <c r="RPC32" s="545"/>
      <c r="RPD32" s="545"/>
      <c r="RPE32" s="545"/>
      <c r="RPF32" s="545"/>
      <c r="RPG32" s="545"/>
      <c r="RPH32" s="545"/>
      <c r="RPI32" s="545"/>
      <c r="RPJ32" s="545"/>
      <c r="RPK32" s="545"/>
      <c r="RPL32" s="545"/>
      <c r="RPM32" s="545"/>
      <c r="RPN32" s="545"/>
      <c r="RPO32" s="545"/>
      <c r="RPP32" s="545"/>
      <c r="RPQ32" s="545"/>
      <c r="RPR32" s="545"/>
      <c r="RPS32" s="545"/>
      <c r="RPT32" s="545"/>
      <c r="RPU32" s="545"/>
      <c r="RPV32" s="545"/>
      <c r="RPW32" s="545"/>
      <c r="RPX32" s="545"/>
      <c r="RPY32" s="545"/>
      <c r="RPZ32" s="545"/>
      <c r="RQA32" s="545"/>
      <c r="RQB32" s="545"/>
      <c r="RQC32" s="545"/>
      <c r="RQD32" s="545"/>
      <c r="RQE32" s="545"/>
      <c r="RQF32" s="545"/>
      <c r="RQG32" s="545"/>
      <c r="RQH32" s="545"/>
      <c r="RQI32" s="545"/>
      <c r="RQJ32" s="545"/>
      <c r="RQK32" s="545"/>
      <c r="RQL32" s="545"/>
      <c r="RQM32" s="545"/>
      <c r="RQN32" s="545"/>
      <c r="RQO32" s="545"/>
      <c r="RQP32" s="545"/>
      <c r="RQQ32" s="545"/>
      <c r="RQR32" s="545"/>
      <c r="RQS32" s="545"/>
      <c r="RQT32" s="545"/>
      <c r="RQU32" s="545"/>
      <c r="RQV32" s="545"/>
      <c r="RQW32" s="545"/>
      <c r="RQX32" s="545"/>
      <c r="RQY32" s="545"/>
      <c r="RQZ32" s="545"/>
      <c r="RRA32" s="545"/>
      <c r="RRB32" s="545"/>
      <c r="RRC32" s="545"/>
      <c r="RRD32" s="545"/>
      <c r="RRE32" s="545"/>
      <c r="RRF32" s="545"/>
      <c r="RRG32" s="545"/>
      <c r="RRH32" s="545"/>
      <c r="RRI32" s="545"/>
      <c r="RRJ32" s="545"/>
      <c r="RRK32" s="545"/>
      <c r="RRL32" s="545"/>
      <c r="RRM32" s="545"/>
      <c r="RRN32" s="545"/>
      <c r="RRO32" s="545"/>
      <c r="RRP32" s="545"/>
      <c r="RRQ32" s="545"/>
      <c r="RRR32" s="545"/>
      <c r="RRS32" s="545"/>
      <c r="RRT32" s="545"/>
      <c r="RRU32" s="545"/>
      <c r="RRV32" s="545"/>
      <c r="RRW32" s="545"/>
      <c r="RRX32" s="545"/>
      <c r="RRY32" s="545"/>
      <c r="RRZ32" s="545"/>
      <c r="RSA32" s="545"/>
      <c r="RSB32" s="545"/>
      <c r="RSC32" s="545"/>
      <c r="RSD32" s="545"/>
      <c r="RSE32" s="545"/>
      <c r="RSF32" s="545"/>
      <c r="RSG32" s="545"/>
      <c r="RSH32" s="545"/>
      <c r="RSI32" s="545"/>
      <c r="RSJ32" s="545"/>
      <c r="RSK32" s="545"/>
      <c r="RSL32" s="545"/>
      <c r="RSM32" s="545"/>
      <c r="RSN32" s="545"/>
      <c r="RSO32" s="545"/>
      <c r="RSP32" s="545"/>
      <c r="RSQ32" s="545"/>
      <c r="RSR32" s="545"/>
      <c r="RSS32" s="545"/>
      <c r="RST32" s="545"/>
      <c r="RSU32" s="545"/>
      <c r="RSV32" s="545"/>
      <c r="RSW32" s="545"/>
      <c r="RSX32" s="545"/>
      <c r="RSY32" s="545"/>
      <c r="RSZ32" s="545"/>
      <c r="RTA32" s="545"/>
      <c r="RTB32" s="545"/>
      <c r="RTC32" s="545"/>
      <c r="RTD32" s="545"/>
      <c r="RTE32" s="545"/>
      <c r="RTF32" s="545"/>
      <c r="RTG32" s="545"/>
      <c r="RTH32" s="545"/>
      <c r="RTI32" s="545"/>
      <c r="RTJ32" s="545"/>
      <c r="RTK32" s="545"/>
      <c r="RTL32" s="545"/>
      <c r="RTM32" s="545"/>
      <c r="RTN32" s="545"/>
      <c r="RTO32" s="545"/>
      <c r="RTP32" s="545"/>
      <c r="RTQ32" s="545"/>
      <c r="RTR32" s="545"/>
      <c r="RTS32" s="545"/>
      <c r="RTT32" s="545"/>
      <c r="RTU32" s="545"/>
      <c r="RTV32" s="545"/>
      <c r="RTW32" s="545"/>
      <c r="RTX32" s="545"/>
      <c r="RTY32" s="545"/>
      <c r="RTZ32" s="545"/>
      <c r="RUA32" s="545"/>
      <c r="RUB32" s="545"/>
      <c r="RUC32" s="545"/>
      <c r="RUD32" s="545"/>
      <c r="RUE32" s="545"/>
      <c r="RUF32" s="545"/>
      <c r="RUG32" s="545"/>
      <c r="RUH32" s="545"/>
      <c r="RUI32" s="545"/>
      <c r="RUJ32" s="545"/>
      <c r="RUK32" s="545"/>
      <c r="RUL32" s="545"/>
      <c r="RUM32" s="545"/>
      <c r="RUN32" s="545"/>
      <c r="RUO32" s="545"/>
      <c r="RUP32" s="545"/>
      <c r="RUQ32" s="545"/>
      <c r="RUR32" s="545"/>
      <c r="RUS32" s="545"/>
      <c r="RUT32" s="545"/>
      <c r="RUU32" s="545"/>
      <c r="RUV32" s="545"/>
      <c r="RUW32" s="545"/>
      <c r="RUX32" s="545"/>
      <c r="RUY32" s="545"/>
      <c r="RUZ32" s="545"/>
      <c r="RVA32" s="545"/>
      <c r="RVB32" s="545"/>
      <c r="RVC32" s="545"/>
      <c r="RVD32" s="545"/>
      <c r="RVE32" s="545"/>
      <c r="RVF32" s="545"/>
      <c r="RVG32" s="545"/>
      <c r="RVH32" s="545"/>
      <c r="RVI32" s="545"/>
      <c r="RVJ32" s="545"/>
      <c r="RVK32" s="545"/>
      <c r="RVL32" s="545"/>
      <c r="RVM32" s="545"/>
      <c r="RVN32" s="545"/>
      <c r="RVO32" s="545"/>
      <c r="RVP32" s="545"/>
      <c r="RVQ32" s="545"/>
      <c r="RVR32" s="545"/>
      <c r="RVS32" s="545"/>
      <c r="RVT32" s="545"/>
      <c r="RVU32" s="545"/>
      <c r="RVV32" s="545"/>
      <c r="RVW32" s="545"/>
      <c r="RVX32" s="545"/>
      <c r="RVY32" s="545"/>
      <c r="RVZ32" s="545"/>
      <c r="RWA32" s="545"/>
      <c r="RWB32" s="545"/>
      <c r="RWC32" s="545"/>
      <c r="RWD32" s="545"/>
      <c r="RWE32" s="545"/>
      <c r="RWF32" s="545"/>
      <c r="RWG32" s="545"/>
      <c r="RWH32" s="545"/>
      <c r="RWI32" s="545"/>
      <c r="RWJ32" s="545"/>
      <c r="RWK32" s="545"/>
      <c r="RWL32" s="545"/>
      <c r="RWM32" s="545"/>
      <c r="RWN32" s="545"/>
      <c r="RWO32" s="545"/>
      <c r="RWP32" s="545"/>
      <c r="RWQ32" s="545"/>
      <c r="RWR32" s="545"/>
      <c r="RWS32" s="545"/>
      <c r="RWT32" s="545"/>
      <c r="RWU32" s="545"/>
      <c r="RWV32" s="545"/>
      <c r="RWW32" s="545"/>
      <c r="RWX32" s="545"/>
      <c r="RWY32" s="545"/>
      <c r="RWZ32" s="545"/>
      <c r="RXA32" s="545"/>
      <c r="RXB32" s="545"/>
      <c r="RXC32" s="545"/>
      <c r="RXD32" s="545"/>
      <c r="RXE32" s="545"/>
      <c r="RXF32" s="545"/>
      <c r="RXG32" s="545"/>
      <c r="RXH32" s="545"/>
      <c r="RXI32" s="545"/>
      <c r="RXJ32" s="545"/>
      <c r="RXK32" s="545"/>
      <c r="RXL32" s="545"/>
      <c r="RXM32" s="545"/>
      <c r="RXN32" s="545"/>
      <c r="RXO32" s="545"/>
      <c r="RXP32" s="545"/>
      <c r="RXQ32" s="545"/>
      <c r="RXR32" s="545"/>
      <c r="RXS32" s="545"/>
      <c r="RXT32" s="545"/>
      <c r="RXU32" s="545"/>
      <c r="RXV32" s="545"/>
      <c r="RXW32" s="545"/>
      <c r="RXX32" s="545"/>
      <c r="RXY32" s="545"/>
      <c r="RXZ32" s="545"/>
      <c r="RYA32" s="545"/>
      <c r="RYB32" s="545"/>
      <c r="RYC32" s="545"/>
      <c r="RYD32" s="545"/>
      <c r="RYE32" s="545"/>
      <c r="RYF32" s="545"/>
      <c r="RYG32" s="545"/>
      <c r="RYH32" s="545"/>
      <c r="RYI32" s="545"/>
      <c r="RYJ32" s="545"/>
      <c r="RYK32" s="545"/>
      <c r="RYL32" s="545"/>
      <c r="RYM32" s="545"/>
      <c r="RYN32" s="545"/>
      <c r="RYO32" s="545"/>
      <c r="RYP32" s="545"/>
      <c r="RYQ32" s="545"/>
      <c r="RYR32" s="545"/>
      <c r="RYS32" s="545"/>
      <c r="RYT32" s="545"/>
      <c r="RYU32" s="545"/>
      <c r="RYV32" s="545"/>
      <c r="RYW32" s="545"/>
      <c r="RYX32" s="545"/>
      <c r="RYY32" s="545"/>
      <c r="RYZ32" s="545"/>
      <c r="RZA32" s="545"/>
      <c r="RZB32" s="545"/>
      <c r="RZC32" s="545"/>
      <c r="RZD32" s="545"/>
      <c r="RZE32" s="545"/>
      <c r="RZF32" s="545"/>
      <c r="RZG32" s="545"/>
      <c r="RZH32" s="545"/>
      <c r="RZI32" s="545"/>
      <c r="RZJ32" s="545"/>
      <c r="RZK32" s="545"/>
      <c r="RZL32" s="545"/>
      <c r="RZM32" s="545"/>
      <c r="RZN32" s="545"/>
      <c r="RZO32" s="545"/>
      <c r="RZP32" s="545"/>
      <c r="RZQ32" s="545"/>
      <c r="RZR32" s="545"/>
      <c r="RZS32" s="545"/>
      <c r="RZT32" s="545"/>
      <c r="RZU32" s="545"/>
      <c r="RZV32" s="545"/>
      <c r="RZW32" s="545"/>
      <c r="RZX32" s="545"/>
      <c r="RZY32" s="545"/>
      <c r="RZZ32" s="545"/>
      <c r="SAA32" s="545"/>
      <c r="SAB32" s="545"/>
      <c r="SAC32" s="545"/>
      <c r="SAD32" s="545"/>
      <c r="SAE32" s="545"/>
      <c r="SAF32" s="545"/>
      <c r="SAG32" s="545"/>
      <c r="SAH32" s="545"/>
      <c r="SAI32" s="545"/>
      <c r="SAJ32" s="545"/>
      <c r="SAK32" s="545"/>
      <c r="SAL32" s="545"/>
      <c r="SAM32" s="545"/>
      <c r="SAN32" s="545"/>
      <c r="SAO32" s="545"/>
      <c r="SAP32" s="545"/>
      <c r="SAQ32" s="545"/>
      <c r="SAR32" s="545"/>
      <c r="SAS32" s="545"/>
      <c r="SAT32" s="545"/>
      <c r="SAU32" s="545"/>
      <c r="SAV32" s="545"/>
      <c r="SAW32" s="545"/>
      <c r="SAX32" s="545"/>
      <c r="SAY32" s="545"/>
      <c r="SAZ32" s="545"/>
      <c r="SBA32" s="545"/>
      <c r="SBB32" s="545"/>
      <c r="SBC32" s="545"/>
      <c r="SBD32" s="545"/>
      <c r="SBE32" s="545"/>
      <c r="SBF32" s="545"/>
      <c r="SBG32" s="545"/>
      <c r="SBH32" s="545"/>
      <c r="SBI32" s="545"/>
      <c r="SBJ32" s="545"/>
      <c r="SBK32" s="545"/>
      <c r="SBL32" s="545"/>
      <c r="SBM32" s="545"/>
      <c r="SBN32" s="545"/>
      <c r="SBO32" s="545"/>
      <c r="SBP32" s="545"/>
      <c r="SBQ32" s="545"/>
      <c r="SBR32" s="545"/>
      <c r="SBS32" s="545"/>
      <c r="SBT32" s="545"/>
      <c r="SBU32" s="545"/>
      <c r="SBV32" s="545"/>
      <c r="SBW32" s="545"/>
      <c r="SBX32" s="545"/>
      <c r="SBY32" s="545"/>
      <c r="SBZ32" s="545"/>
      <c r="SCA32" s="545"/>
      <c r="SCB32" s="545"/>
      <c r="SCC32" s="545"/>
      <c r="SCD32" s="545"/>
      <c r="SCE32" s="545"/>
      <c r="SCF32" s="545"/>
      <c r="SCG32" s="545"/>
      <c r="SCH32" s="545"/>
      <c r="SCI32" s="545"/>
      <c r="SCJ32" s="545"/>
      <c r="SCK32" s="545"/>
      <c r="SCL32" s="545"/>
      <c r="SCM32" s="545"/>
      <c r="SCN32" s="545"/>
      <c r="SCO32" s="545"/>
      <c r="SCP32" s="545"/>
      <c r="SCQ32" s="545"/>
      <c r="SCR32" s="545"/>
      <c r="SCS32" s="545"/>
      <c r="SCT32" s="545"/>
      <c r="SCU32" s="545"/>
      <c r="SCV32" s="545"/>
      <c r="SCW32" s="545"/>
      <c r="SCX32" s="545"/>
      <c r="SCY32" s="545"/>
      <c r="SCZ32" s="545"/>
      <c r="SDA32" s="545"/>
      <c r="SDB32" s="545"/>
      <c r="SDC32" s="545"/>
      <c r="SDD32" s="545"/>
      <c r="SDE32" s="545"/>
      <c r="SDF32" s="545"/>
      <c r="SDG32" s="545"/>
      <c r="SDH32" s="545"/>
      <c r="SDI32" s="545"/>
      <c r="SDJ32" s="545"/>
      <c r="SDK32" s="545"/>
      <c r="SDL32" s="545"/>
      <c r="SDM32" s="545"/>
      <c r="SDN32" s="545"/>
      <c r="SDO32" s="545"/>
      <c r="SDP32" s="545"/>
      <c r="SDQ32" s="545"/>
      <c r="SDR32" s="545"/>
      <c r="SDS32" s="545"/>
      <c r="SDT32" s="545"/>
      <c r="SDU32" s="545"/>
      <c r="SDV32" s="545"/>
      <c r="SDW32" s="545"/>
      <c r="SDX32" s="545"/>
      <c r="SDY32" s="545"/>
      <c r="SDZ32" s="545"/>
      <c r="SEA32" s="545"/>
      <c r="SEB32" s="545"/>
      <c r="SEC32" s="545"/>
      <c r="SED32" s="545"/>
      <c r="SEE32" s="545"/>
      <c r="SEF32" s="545"/>
      <c r="SEG32" s="545"/>
      <c r="SEH32" s="545"/>
      <c r="SEI32" s="545"/>
      <c r="SEJ32" s="545"/>
      <c r="SEK32" s="545"/>
      <c r="SEL32" s="545"/>
      <c r="SEM32" s="545"/>
      <c r="SEN32" s="545"/>
      <c r="SEO32" s="545"/>
      <c r="SEP32" s="545"/>
      <c r="SEQ32" s="545"/>
      <c r="SER32" s="545"/>
      <c r="SES32" s="545"/>
      <c r="SET32" s="545"/>
      <c r="SEU32" s="545"/>
      <c r="SEV32" s="545"/>
      <c r="SEW32" s="545"/>
      <c r="SEX32" s="545"/>
      <c r="SEY32" s="545"/>
      <c r="SEZ32" s="545"/>
      <c r="SFA32" s="545"/>
      <c r="SFB32" s="545"/>
      <c r="SFC32" s="545"/>
      <c r="SFD32" s="545"/>
      <c r="SFE32" s="545"/>
      <c r="SFF32" s="545"/>
      <c r="SFG32" s="545"/>
      <c r="SFH32" s="545"/>
      <c r="SFI32" s="545"/>
      <c r="SFJ32" s="545"/>
      <c r="SFK32" s="545"/>
      <c r="SFL32" s="545"/>
      <c r="SFM32" s="545"/>
      <c r="SFN32" s="545"/>
      <c r="SFO32" s="545"/>
      <c r="SFP32" s="545"/>
      <c r="SFQ32" s="545"/>
      <c r="SFR32" s="545"/>
      <c r="SFS32" s="545"/>
      <c r="SFT32" s="545"/>
      <c r="SFU32" s="545"/>
      <c r="SFV32" s="545"/>
      <c r="SFW32" s="545"/>
      <c r="SFX32" s="545"/>
      <c r="SFY32" s="545"/>
      <c r="SFZ32" s="545"/>
      <c r="SGA32" s="545"/>
      <c r="SGB32" s="545"/>
      <c r="SGC32" s="545"/>
      <c r="SGD32" s="545"/>
      <c r="SGE32" s="545"/>
      <c r="SGF32" s="545"/>
      <c r="SGG32" s="545"/>
      <c r="SGH32" s="545"/>
      <c r="SGI32" s="545"/>
      <c r="SGJ32" s="545"/>
      <c r="SGK32" s="545"/>
      <c r="SGL32" s="545"/>
      <c r="SGM32" s="545"/>
      <c r="SGN32" s="545"/>
      <c r="SGO32" s="545"/>
      <c r="SGP32" s="545"/>
      <c r="SGQ32" s="545"/>
      <c r="SGR32" s="545"/>
      <c r="SGS32" s="545"/>
      <c r="SGT32" s="545"/>
      <c r="SGU32" s="545"/>
      <c r="SGV32" s="545"/>
      <c r="SGW32" s="545"/>
      <c r="SGX32" s="545"/>
      <c r="SGY32" s="545"/>
      <c r="SGZ32" s="545"/>
      <c r="SHA32" s="545"/>
      <c r="SHB32" s="545"/>
      <c r="SHC32" s="545"/>
      <c r="SHD32" s="545"/>
      <c r="SHE32" s="545"/>
      <c r="SHF32" s="545"/>
      <c r="SHG32" s="545"/>
      <c r="SHH32" s="545"/>
      <c r="SHI32" s="545"/>
      <c r="SHJ32" s="545"/>
      <c r="SHK32" s="545"/>
      <c r="SHL32" s="545"/>
      <c r="SHM32" s="545"/>
      <c r="SHN32" s="545"/>
      <c r="SHO32" s="545"/>
      <c r="SHP32" s="545"/>
      <c r="SHQ32" s="545"/>
      <c r="SHR32" s="545"/>
      <c r="SHS32" s="545"/>
      <c r="SHT32" s="545"/>
      <c r="SHU32" s="545"/>
      <c r="SHV32" s="545"/>
      <c r="SHW32" s="545"/>
      <c r="SHX32" s="545"/>
      <c r="SHY32" s="545"/>
      <c r="SHZ32" s="545"/>
      <c r="SIA32" s="545"/>
      <c r="SIB32" s="545"/>
      <c r="SIC32" s="545"/>
      <c r="SID32" s="545"/>
      <c r="SIE32" s="545"/>
      <c r="SIF32" s="545"/>
      <c r="SIG32" s="545"/>
      <c r="SIH32" s="545"/>
      <c r="SII32" s="545"/>
      <c r="SIJ32" s="545"/>
      <c r="SIK32" s="545"/>
      <c r="SIL32" s="545"/>
      <c r="SIM32" s="545"/>
      <c r="SIN32" s="545"/>
      <c r="SIO32" s="545"/>
      <c r="SIP32" s="545"/>
      <c r="SIQ32" s="545"/>
      <c r="SIR32" s="545"/>
      <c r="SIS32" s="545"/>
      <c r="SIT32" s="545"/>
      <c r="SIU32" s="545"/>
      <c r="SIV32" s="545"/>
      <c r="SIW32" s="545"/>
      <c r="SIX32" s="545"/>
      <c r="SIY32" s="545"/>
      <c r="SIZ32" s="545"/>
      <c r="SJA32" s="545"/>
      <c r="SJB32" s="545"/>
      <c r="SJC32" s="545"/>
      <c r="SJD32" s="545"/>
      <c r="SJE32" s="545"/>
      <c r="SJF32" s="545"/>
      <c r="SJG32" s="545"/>
      <c r="SJH32" s="545"/>
      <c r="SJI32" s="545"/>
      <c r="SJJ32" s="545"/>
      <c r="SJK32" s="545"/>
      <c r="SJL32" s="545"/>
      <c r="SJM32" s="545"/>
      <c r="SJN32" s="545"/>
      <c r="SJO32" s="545"/>
      <c r="SJP32" s="545"/>
      <c r="SJQ32" s="545"/>
      <c r="SJR32" s="545"/>
      <c r="SJS32" s="545"/>
      <c r="SJT32" s="545"/>
      <c r="SJU32" s="545"/>
      <c r="SJV32" s="545"/>
      <c r="SJW32" s="545"/>
      <c r="SJX32" s="545"/>
      <c r="SJY32" s="545"/>
      <c r="SJZ32" s="545"/>
      <c r="SKA32" s="545"/>
      <c r="SKB32" s="545"/>
      <c r="SKC32" s="545"/>
      <c r="SKD32" s="545"/>
      <c r="SKE32" s="545"/>
      <c r="SKF32" s="545"/>
      <c r="SKG32" s="545"/>
      <c r="SKH32" s="545"/>
      <c r="SKI32" s="545"/>
      <c r="SKJ32" s="545"/>
      <c r="SKK32" s="545"/>
      <c r="SKL32" s="545"/>
      <c r="SKM32" s="545"/>
      <c r="SKN32" s="545"/>
      <c r="SKO32" s="545"/>
      <c r="SKP32" s="545"/>
      <c r="SKQ32" s="545"/>
      <c r="SKR32" s="545"/>
      <c r="SKS32" s="545"/>
      <c r="SKT32" s="545"/>
      <c r="SKU32" s="545"/>
      <c r="SKV32" s="545"/>
      <c r="SKW32" s="545"/>
      <c r="SKX32" s="545"/>
      <c r="SKY32" s="545"/>
      <c r="SKZ32" s="545"/>
      <c r="SLA32" s="545"/>
      <c r="SLB32" s="545"/>
      <c r="SLC32" s="545"/>
      <c r="SLD32" s="545"/>
      <c r="SLE32" s="545"/>
      <c r="SLF32" s="545"/>
      <c r="SLG32" s="545"/>
      <c r="SLH32" s="545"/>
      <c r="SLI32" s="545"/>
      <c r="SLJ32" s="545"/>
      <c r="SLK32" s="545"/>
      <c r="SLL32" s="545"/>
      <c r="SLM32" s="545"/>
      <c r="SLN32" s="545"/>
      <c r="SLO32" s="545"/>
      <c r="SLP32" s="545"/>
      <c r="SLQ32" s="545"/>
      <c r="SLR32" s="545"/>
      <c r="SLS32" s="545"/>
      <c r="SLT32" s="545"/>
      <c r="SLU32" s="545"/>
      <c r="SLV32" s="545"/>
      <c r="SLW32" s="545"/>
      <c r="SLX32" s="545"/>
      <c r="SLY32" s="545"/>
      <c r="SLZ32" s="545"/>
      <c r="SMA32" s="545"/>
      <c r="SMB32" s="545"/>
      <c r="SMC32" s="545"/>
      <c r="SMD32" s="545"/>
      <c r="SME32" s="545"/>
      <c r="SMF32" s="545"/>
      <c r="SMG32" s="545"/>
      <c r="SMH32" s="545"/>
      <c r="SMI32" s="545"/>
      <c r="SMJ32" s="545"/>
      <c r="SMK32" s="545"/>
      <c r="SML32" s="545"/>
      <c r="SMM32" s="545"/>
      <c r="SMN32" s="545"/>
      <c r="SMO32" s="545"/>
      <c r="SMP32" s="545"/>
      <c r="SMQ32" s="545"/>
      <c r="SMR32" s="545"/>
      <c r="SMS32" s="545"/>
      <c r="SMT32" s="545"/>
      <c r="SMU32" s="545"/>
      <c r="SMV32" s="545"/>
      <c r="SMW32" s="545"/>
      <c r="SMX32" s="545"/>
      <c r="SMY32" s="545"/>
      <c r="SMZ32" s="545"/>
      <c r="SNA32" s="545"/>
      <c r="SNB32" s="545"/>
      <c r="SNC32" s="545"/>
      <c r="SND32" s="545"/>
      <c r="SNE32" s="545"/>
      <c r="SNF32" s="545"/>
      <c r="SNG32" s="545"/>
      <c r="SNH32" s="545"/>
      <c r="SNI32" s="545"/>
      <c r="SNJ32" s="545"/>
      <c r="SNK32" s="545"/>
      <c r="SNL32" s="545"/>
      <c r="SNM32" s="545"/>
      <c r="SNN32" s="545"/>
      <c r="SNO32" s="545"/>
      <c r="SNP32" s="545"/>
      <c r="SNQ32" s="545"/>
      <c r="SNR32" s="545"/>
      <c r="SNS32" s="545"/>
      <c r="SNT32" s="545"/>
      <c r="SNU32" s="545"/>
      <c r="SNV32" s="545"/>
      <c r="SNW32" s="545"/>
      <c r="SNX32" s="545"/>
      <c r="SNY32" s="545"/>
      <c r="SNZ32" s="545"/>
      <c r="SOA32" s="545"/>
      <c r="SOB32" s="545"/>
      <c r="SOC32" s="545"/>
      <c r="SOD32" s="545"/>
      <c r="SOE32" s="545"/>
      <c r="SOF32" s="545"/>
      <c r="SOG32" s="545"/>
      <c r="SOH32" s="545"/>
      <c r="SOI32" s="545"/>
      <c r="SOJ32" s="545"/>
      <c r="SOK32" s="545"/>
      <c r="SOL32" s="545"/>
      <c r="SOM32" s="545"/>
      <c r="SON32" s="545"/>
      <c r="SOO32" s="545"/>
      <c r="SOP32" s="545"/>
      <c r="SOQ32" s="545"/>
      <c r="SOR32" s="545"/>
      <c r="SOS32" s="545"/>
      <c r="SOT32" s="545"/>
      <c r="SOU32" s="545"/>
      <c r="SOV32" s="545"/>
      <c r="SOW32" s="545"/>
      <c r="SOX32" s="545"/>
      <c r="SOY32" s="545"/>
      <c r="SOZ32" s="545"/>
      <c r="SPA32" s="545"/>
      <c r="SPB32" s="545"/>
      <c r="SPC32" s="545"/>
      <c r="SPD32" s="545"/>
      <c r="SPE32" s="545"/>
      <c r="SPF32" s="545"/>
      <c r="SPG32" s="545"/>
      <c r="SPH32" s="545"/>
      <c r="SPI32" s="545"/>
      <c r="SPJ32" s="545"/>
      <c r="SPK32" s="545"/>
      <c r="SPL32" s="545"/>
      <c r="SPM32" s="545"/>
      <c r="SPN32" s="545"/>
      <c r="SPO32" s="545"/>
      <c r="SPP32" s="545"/>
      <c r="SPQ32" s="545"/>
      <c r="SPR32" s="545"/>
      <c r="SPS32" s="545"/>
      <c r="SPT32" s="545"/>
      <c r="SPU32" s="545"/>
      <c r="SPV32" s="545"/>
      <c r="SPW32" s="545"/>
      <c r="SPX32" s="545"/>
      <c r="SPY32" s="545"/>
      <c r="SPZ32" s="545"/>
      <c r="SQA32" s="545"/>
      <c r="SQB32" s="545"/>
      <c r="SQC32" s="545"/>
      <c r="SQD32" s="545"/>
      <c r="SQE32" s="545"/>
      <c r="SQF32" s="545"/>
      <c r="SQG32" s="545"/>
      <c r="SQH32" s="545"/>
      <c r="SQI32" s="545"/>
      <c r="SQJ32" s="545"/>
      <c r="SQK32" s="545"/>
      <c r="SQL32" s="545"/>
      <c r="SQM32" s="545"/>
      <c r="SQN32" s="545"/>
      <c r="SQO32" s="545"/>
      <c r="SQP32" s="545"/>
      <c r="SQQ32" s="545"/>
      <c r="SQR32" s="545"/>
      <c r="SQS32" s="545"/>
      <c r="SQT32" s="545"/>
      <c r="SQU32" s="545"/>
      <c r="SQV32" s="545"/>
      <c r="SQW32" s="545"/>
      <c r="SQX32" s="545"/>
      <c r="SQY32" s="545"/>
      <c r="SQZ32" s="545"/>
      <c r="SRA32" s="545"/>
      <c r="SRB32" s="545"/>
      <c r="SRC32" s="545"/>
      <c r="SRD32" s="545"/>
      <c r="SRE32" s="545"/>
      <c r="SRF32" s="545"/>
      <c r="SRG32" s="545"/>
      <c r="SRH32" s="545"/>
      <c r="SRI32" s="545"/>
      <c r="SRJ32" s="545"/>
      <c r="SRK32" s="545"/>
      <c r="SRL32" s="545"/>
      <c r="SRM32" s="545"/>
      <c r="SRN32" s="545"/>
      <c r="SRO32" s="545"/>
      <c r="SRP32" s="545"/>
      <c r="SRQ32" s="545"/>
      <c r="SRR32" s="545"/>
      <c r="SRS32" s="545"/>
      <c r="SRT32" s="545"/>
      <c r="SRU32" s="545"/>
      <c r="SRV32" s="545"/>
      <c r="SRW32" s="545"/>
      <c r="SRX32" s="545"/>
      <c r="SRY32" s="545"/>
      <c r="SRZ32" s="545"/>
      <c r="SSA32" s="545"/>
      <c r="SSB32" s="545"/>
      <c r="SSC32" s="545"/>
      <c r="SSD32" s="545"/>
      <c r="SSE32" s="545"/>
      <c r="SSF32" s="545"/>
      <c r="SSG32" s="545"/>
      <c r="SSH32" s="545"/>
      <c r="SSI32" s="545"/>
      <c r="SSJ32" s="545"/>
      <c r="SSK32" s="545"/>
      <c r="SSL32" s="545"/>
      <c r="SSM32" s="545"/>
      <c r="SSN32" s="545"/>
      <c r="SSO32" s="545"/>
      <c r="SSP32" s="545"/>
      <c r="SSQ32" s="545"/>
      <c r="SSR32" s="545"/>
      <c r="SSS32" s="545"/>
      <c r="SST32" s="545"/>
      <c r="SSU32" s="545"/>
      <c r="SSV32" s="545"/>
      <c r="SSW32" s="545"/>
      <c r="SSX32" s="545"/>
      <c r="SSY32" s="545"/>
      <c r="SSZ32" s="545"/>
      <c r="STA32" s="545"/>
      <c r="STB32" s="545"/>
      <c r="STC32" s="545"/>
      <c r="STD32" s="545"/>
      <c r="STE32" s="545"/>
      <c r="STF32" s="545"/>
      <c r="STG32" s="545"/>
      <c r="STH32" s="545"/>
      <c r="STI32" s="545"/>
      <c r="STJ32" s="545"/>
      <c r="STK32" s="545"/>
      <c r="STL32" s="545"/>
      <c r="STM32" s="545"/>
      <c r="STN32" s="545"/>
      <c r="STO32" s="545"/>
      <c r="STP32" s="545"/>
      <c r="STQ32" s="545"/>
      <c r="STR32" s="545"/>
      <c r="STS32" s="545"/>
      <c r="STT32" s="545"/>
      <c r="STU32" s="545"/>
      <c r="STV32" s="545"/>
      <c r="STW32" s="545"/>
      <c r="STX32" s="545"/>
      <c r="STY32" s="545"/>
      <c r="STZ32" s="545"/>
      <c r="SUA32" s="545"/>
      <c r="SUB32" s="545"/>
      <c r="SUC32" s="545"/>
      <c r="SUD32" s="545"/>
      <c r="SUE32" s="545"/>
      <c r="SUF32" s="545"/>
      <c r="SUG32" s="545"/>
      <c r="SUH32" s="545"/>
      <c r="SUI32" s="545"/>
      <c r="SUJ32" s="545"/>
      <c r="SUK32" s="545"/>
      <c r="SUL32" s="545"/>
      <c r="SUM32" s="545"/>
      <c r="SUN32" s="545"/>
      <c r="SUO32" s="545"/>
      <c r="SUP32" s="545"/>
      <c r="SUQ32" s="545"/>
      <c r="SUR32" s="545"/>
      <c r="SUS32" s="545"/>
      <c r="SUT32" s="545"/>
      <c r="SUU32" s="545"/>
      <c r="SUV32" s="545"/>
      <c r="SUW32" s="545"/>
      <c r="SUX32" s="545"/>
      <c r="SUY32" s="545"/>
      <c r="SUZ32" s="545"/>
      <c r="SVA32" s="545"/>
      <c r="SVB32" s="545"/>
      <c r="SVC32" s="545"/>
      <c r="SVD32" s="545"/>
      <c r="SVE32" s="545"/>
      <c r="SVF32" s="545"/>
      <c r="SVG32" s="545"/>
      <c r="SVH32" s="545"/>
      <c r="SVI32" s="545"/>
      <c r="SVJ32" s="545"/>
      <c r="SVK32" s="545"/>
      <c r="SVL32" s="545"/>
      <c r="SVM32" s="545"/>
      <c r="SVN32" s="545"/>
      <c r="SVO32" s="545"/>
      <c r="SVP32" s="545"/>
      <c r="SVQ32" s="545"/>
      <c r="SVR32" s="545"/>
      <c r="SVS32" s="545"/>
      <c r="SVT32" s="545"/>
      <c r="SVU32" s="545"/>
      <c r="SVV32" s="545"/>
      <c r="SVW32" s="545"/>
      <c r="SVX32" s="545"/>
      <c r="SVY32" s="545"/>
      <c r="SVZ32" s="545"/>
      <c r="SWA32" s="545"/>
      <c r="SWB32" s="545"/>
      <c r="SWC32" s="545"/>
      <c r="SWD32" s="545"/>
      <c r="SWE32" s="545"/>
      <c r="SWF32" s="545"/>
      <c r="SWG32" s="545"/>
      <c r="SWH32" s="545"/>
      <c r="SWI32" s="545"/>
      <c r="SWJ32" s="545"/>
      <c r="SWK32" s="545"/>
      <c r="SWL32" s="545"/>
      <c r="SWM32" s="545"/>
      <c r="SWN32" s="545"/>
      <c r="SWO32" s="545"/>
      <c r="SWP32" s="545"/>
      <c r="SWQ32" s="545"/>
      <c r="SWR32" s="545"/>
      <c r="SWS32" s="545"/>
      <c r="SWT32" s="545"/>
      <c r="SWU32" s="545"/>
      <c r="SWV32" s="545"/>
      <c r="SWW32" s="545"/>
      <c r="SWX32" s="545"/>
      <c r="SWY32" s="545"/>
      <c r="SWZ32" s="545"/>
      <c r="SXA32" s="545"/>
      <c r="SXB32" s="545"/>
      <c r="SXC32" s="545"/>
      <c r="SXD32" s="545"/>
      <c r="SXE32" s="545"/>
      <c r="SXF32" s="545"/>
      <c r="SXG32" s="545"/>
      <c r="SXH32" s="545"/>
      <c r="SXI32" s="545"/>
      <c r="SXJ32" s="545"/>
      <c r="SXK32" s="545"/>
      <c r="SXL32" s="545"/>
      <c r="SXM32" s="545"/>
      <c r="SXN32" s="545"/>
      <c r="SXO32" s="545"/>
      <c r="SXP32" s="545"/>
      <c r="SXQ32" s="545"/>
      <c r="SXR32" s="545"/>
      <c r="SXS32" s="545"/>
      <c r="SXT32" s="545"/>
      <c r="SXU32" s="545"/>
      <c r="SXV32" s="545"/>
      <c r="SXW32" s="545"/>
      <c r="SXX32" s="545"/>
      <c r="SXY32" s="545"/>
      <c r="SXZ32" s="545"/>
      <c r="SYA32" s="545"/>
      <c r="SYB32" s="545"/>
      <c r="SYC32" s="545"/>
      <c r="SYD32" s="545"/>
      <c r="SYE32" s="545"/>
      <c r="SYF32" s="545"/>
      <c r="SYG32" s="545"/>
      <c r="SYH32" s="545"/>
      <c r="SYI32" s="545"/>
      <c r="SYJ32" s="545"/>
      <c r="SYK32" s="545"/>
      <c r="SYL32" s="545"/>
      <c r="SYM32" s="545"/>
      <c r="SYN32" s="545"/>
      <c r="SYO32" s="545"/>
      <c r="SYP32" s="545"/>
      <c r="SYQ32" s="545"/>
      <c r="SYR32" s="545"/>
      <c r="SYS32" s="545"/>
      <c r="SYT32" s="545"/>
      <c r="SYU32" s="545"/>
      <c r="SYV32" s="545"/>
      <c r="SYW32" s="545"/>
      <c r="SYX32" s="545"/>
      <c r="SYY32" s="545"/>
      <c r="SYZ32" s="545"/>
      <c r="SZA32" s="545"/>
      <c r="SZB32" s="545"/>
      <c r="SZC32" s="545"/>
      <c r="SZD32" s="545"/>
      <c r="SZE32" s="545"/>
      <c r="SZF32" s="545"/>
      <c r="SZG32" s="545"/>
      <c r="SZH32" s="545"/>
      <c r="SZI32" s="545"/>
      <c r="SZJ32" s="545"/>
      <c r="SZK32" s="545"/>
      <c r="SZL32" s="545"/>
      <c r="SZM32" s="545"/>
      <c r="SZN32" s="545"/>
      <c r="SZO32" s="545"/>
      <c r="SZP32" s="545"/>
      <c r="SZQ32" s="545"/>
      <c r="SZR32" s="545"/>
      <c r="SZS32" s="545"/>
      <c r="SZT32" s="545"/>
      <c r="SZU32" s="545"/>
      <c r="SZV32" s="545"/>
      <c r="SZW32" s="545"/>
      <c r="SZX32" s="545"/>
      <c r="SZY32" s="545"/>
      <c r="SZZ32" s="545"/>
      <c r="TAA32" s="545"/>
      <c r="TAB32" s="545"/>
      <c r="TAC32" s="545"/>
      <c r="TAD32" s="545"/>
      <c r="TAE32" s="545"/>
      <c r="TAF32" s="545"/>
      <c r="TAG32" s="545"/>
      <c r="TAH32" s="545"/>
      <c r="TAI32" s="545"/>
      <c r="TAJ32" s="545"/>
      <c r="TAK32" s="545"/>
      <c r="TAL32" s="545"/>
      <c r="TAM32" s="545"/>
      <c r="TAN32" s="545"/>
      <c r="TAO32" s="545"/>
      <c r="TAP32" s="545"/>
      <c r="TAQ32" s="545"/>
      <c r="TAR32" s="545"/>
      <c r="TAS32" s="545"/>
      <c r="TAT32" s="545"/>
      <c r="TAU32" s="545"/>
      <c r="TAV32" s="545"/>
      <c r="TAW32" s="545"/>
      <c r="TAX32" s="545"/>
      <c r="TAY32" s="545"/>
      <c r="TAZ32" s="545"/>
      <c r="TBA32" s="545"/>
      <c r="TBB32" s="545"/>
      <c r="TBC32" s="545"/>
      <c r="TBD32" s="545"/>
      <c r="TBE32" s="545"/>
      <c r="TBF32" s="545"/>
      <c r="TBG32" s="545"/>
      <c r="TBH32" s="545"/>
      <c r="TBI32" s="545"/>
      <c r="TBJ32" s="545"/>
      <c r="TBK32" s="545"/>
      <c r="TBL32" s="545"/>
      <c r="TBM32" s="545"/>
      <c r="TBN32" s="545"/>
      <c r="TBO32" s="545"/>
      <c r="TBP32" s="545"/>
      <c r="TBQ32" s="545"/>
      <c r="TBR32" s="545"/>
      <c r="TBS32" s="545"/>
      <c r="TBT32" s="545"/>
      <c r="TBU32" s="545"/>
      <c r="TBV32" s="545"/>
      <c r="TBW32" s="545"/>
      <c r="TBX32" s="545"/>
      <c r="TBY32" s="545"/>
      <c r="TBZ32" s="545"/>
      <c r="TCA32" s="545"/>
      <c r="TCB32" s="545"/>
      <c r="TCC32" s="545"/>
      <c r="TCD32" s="545"/>
      <c r="TCE32" s="545"/>
      <c r="TCF32" s="545"/>
      <c r="TCG32" s="545"/>
      <c r="TCH32" s="545"/>
      <c r="TCI32" s="545"/>
      <c r="TCJ32" s="545"/>
      <c r="TCK32" s="545"/>
      <c r="TCL32" s="545"/>
      <c r="TCM32" s="545"/>
      <c r="TCN32" s="545"/>
      <c r="TCO32" s="545"/>
      <c r="TCP32" s="545"/>
      <c r="TCQ32" s="545"/>
      <c r="TCR32" s="545"/>
      <c r="TCS32" s="545"/>
      <c r="TCT32" s="545"/>
      <c r="TCU32" s="545"/>
      <c r="TCV32" s="545"/>
      <c r="TCW32" s="545"/>
      <c r="TCX32" s="545"/>
      <c r="TCY32" s="545"/>
      <c r="TCZ32" s="545"/>
      <c r="TDA32" s="545"/>
      <c r="TDB32" s="545"/>
      <c r="TDC32" s="545"/>
      <c r="TDD32" s="545"/>
      <c r="TDE32" s="545"/>
      <c r="TDF32" s="545"/>
      <c r="TDG32" s="545"/>
      <c r="TDH32" s="545"/>
      <c r="TDI32" s="545"/>
      <c r="TDJ32" s="545"/>
      <c r="TDK32" s="545"/>
      <c r="TDL32" s="545"/>
      <c r="TDM32" s="545"/>
      <c r="TDN32" s="545"/>
      <c r="TDO32" s="545"/>
      <c r="TDP32" s="545"/>
      <c r="TDQ32" s="545"/>
      <c r="TDR32" s="545"/>
      <c r="TDS32" s="545"/>
      <c r="TDT32" s="545"/>
      <c r="TDU32" s="545"/>
      <c r="TDV32" s="545"/>
      <c r="TDW32" s="545"/>
      <c r="TDX32" s="545"/>
      <c r="TDY32" s="545"/>
      <c r="TDZ32" s="545"/>
      <c r="TEA32" s="545"/>
      <c r="TEB32" s="545"/>
      <c r="TEC32" s="545"/>
      <c r="TED32" s="545"/>
      <c r="TEE32" s="545"/>
      <c r="TEF32" s="545"/>
      <c r="TEG32" s="545"/>
      <c r="TEH32" s="545"/>
      <c r="TEI32" s="545"/>
      <c r="TEJ32" s="545"/>
      <c r="TEK32" s="545"/>
      <c r="TEL32" s="545"/>
      <c r="TEM32" s="545"/>
      <c r="TEN32" s="545"/>
      <c r="TEO32" s="545"/>
      <c r="TEP32" s="545"/>
      <c r="TEQ32" s="545"/>
      <c r="TER32" s="545"/>
      <c r="TES32" s="545"/>
      <c r="TET32" s="545"/>
      <c r="TEU32" s="545"/>
      <c r="TEV32" s="545"/>
      <c r="TEW32" s="545"/>
      <c r="TEX32" s="545"/>
      <c r="TEY32" s="545"/>
      <c r="TEZ32" s="545"/>
      <c r="TFA32" s="545"/>
      <c r="TFB32" s="545"/>
      <c r="TFC32" s="545"/>
      <c r="TFD32" s="545"/>
      <c r="TFE32" s="545"/>
      <c r="TFF32" s="545"/>
      <c r="TFG32" s="545"/>
      <c r="TFH32" s="545"/>
      <c r="TFI32" s="545"/>
      <c r="TFJ32" s="545"/>
      <c r="TFK32" s="545"/>
      <c r="TFL32" s="545"/>
      <c r="TFM32" s="545"/>
      <c r="TFN32" s="545"/>
      <c r="TFO32" s="545"/>
      <c r="TFP32" s="545"/>
      <c r="TFQ32" s="545"/>
      <c r="TFR32" s="545"/>
      <c r="TFS32" s="545"/>
      <c r="TFT32" s="545"/>
      <c r="TFU32" s="545"/>
      <c r="TFV32" s="545"/>
      <c r="TFW32" s="545"/>
      <c r="TFX32" s="545"/>
      <c r="TFY32" s="545"/>
      <c r="TFZ32" s="545"/>
      <c r="TGA32" s="545"/>
      <c r="TGB32" s="545"/>
      <c r="TGC32" s="545"/>
      <c r="TGD32" s="545"/>
      <c r="TGE32" s="545"/>
      <c r="TGF32" s="545"/>
      <c r="TGG32" s="545"/>
      <c r="TGH32" s="545"/>
      <c r="TGI32" s="545"/>
      <c r="TGJ32" s="545"/>
      <c r="TGK32" s="545"/>
      <c r="TGL32" s="545"/>
      <c r="TGM32" s="545"/>
      <c r="TGN32" s="545"/>
      <c r="TGO32" s="545"/>
      <c r="TGP32" s="545"/>
      <c r="TGQ32" s="545"/>
      <c r="TGR32" s="545"/>
      <c r="TGS32" s="545"/>
      <c r="TGT32" s="545"/>
      <c r="TGU32" s="545"/>
      <c r="TGV32" s="545"/>
      <c r="TGW32" s="545"/>
      <c r="TGX32" s="545"/>
      <c r="TGY32" s="545"/>
      <c r="TGZ32" s="545"/>
      <c r="THA32" s="545"/>
      <c r="THB32" s="545"/>
      <c r="THC32" s="545"/>
      <c r="THD32" s="545"/>
      <c r="THE32" s="545"/>
      <c r="THF32" s="545"/>
      <c r="THG32" s="545"/>
      <c r="THH32" s="545"/>
      <c r="THI32" s="545"/>
      <c r="THJ32" s="545"/>
      <c r="THK32" s="545"/>
      <c r="THL32" s="545"/>
      <c r="THM32" s="545"/>
      <c r="THN32" s="545"/>
      <c r="THO32" s="545"/>
      <c r="THP32" s="545"/>
      <c r="THQ32" s="545"/>
      <c r="THR32" s="545"/>
      <c r="THS32" s="545"/>
      <c r="THT32" s="545"/>
      <c r="THU32" s="545"/>
      <c r="THV32" s="545"/>
      <c r="THW32" s="545"/>
      <c r="THX32" s="545"/>
      <c r="THY32" s="545"/>
      <c r="THZ32" s="545"/>
      <c r="TIA32" s="545"/>
      <c r="TIB32" s="545"/>
      <c r="TIC32" s="545"/>
      <c r="TID32" s="545"/>
      <c r="TIE32" s="545"/>
      <c r="TIF32" s="545"/>
      <c r="TIG32" s="545"/>
      <c r="TIH32" s="545"/>
      <c r="TII32" s="545"/>
      <c r="TIJ32" s="545"/>
      <c r="TIK32" s="545"/>
      <c r="TIL32" s="545"/>
      <c r="TIM32" s="545"/>
      <c r="TIN32" s="545"/>
      <c r="TIO32" s="545"/>
      <c r="TIP32" s="545"/>
      <c r="TIQ32" s="545"/>
      <c r="TIR32" s="545"/>
      <c r="TIS32" s="545"/>
      <c r="TIT32" s="545"/>
      <c r="TIU32" s="545"/>
      <c r="TIV32" s="545"/>
      <c r="TIW32" s="545"/>
      <c r="TIX32" s="545"/>
      <c r="TIY32" s="545"/>
      <c r="TIZ32" s="545"/>
      <c r="TJA32" s="545"/>
      <c r="TJB32" s="545"/>
      <c r="TJC32" s="545"/>
      <c r="TJD32" s="545"/>
      <c r="TJE32" s="545"/>
      <c r="TJF32" s="545"/>
      <c r="TJG32" s="545"/>
      <c r="TJH32" s="545"/>
      <c r="TJI32" s="545"/>
      <c r="TJJ32" s="545"/>
      <c r="TJK32" s="545"/>
      <c r="TJL32" s="545"/>
      <c r="TJM32" s="545"/>
      <c r="TJN32" s="545"/>
      <c r="TJO32" s="545"/>
      <c r="TJP32" s="545"/>
      <c r="TJQ32" s="545"/>
      <c r="TJR32" s="545"/>
      <c r="TJS32" s="545"/>
      <c r="TJT32" s="545"/>
      <c r="TJU32" s="545"/>
      <c r="TJV32" s="545"/>
      <c r="TJW32" s="545"/>
      <c r="TJX32" s="545"/>
      <c r="TJY32" s="545"/>
      <c r="TJZ32" s="545"/>
      <c r="TKA32" s="545"/>
      <c r="TKB32" s="545"/>
      <c r="TKC32" s="545"/>
      <c r="TKD32" s="545"/>
      <c r="TKE32" s="545"/>
      <c r="TKF32" s="545"/>
      <c r="TKG32" s="545"/>
      <c r="TKH32" s="545"/>
      <c r="TKI32" s="545"/>
      <c r="TKJ32" s="545"/>
      <c r="TKK32" s="545"/>
      <c r="TKL32" s="545"/>
      <c r="TKM32" s="545"/>
      <c r="TKN32" s="545"/>
      <c r="TKO32" s="545"/>
      <c r="TKP32" s="545"/>
      <c r="TKQ32" s="545"/>
      <c r="TKR32" s="545"/>
      <c r="TKS32" s="545"/>
      <c r="TKT32" s="545"/>
      <c r="TKU32" s="545"/>
      <c r="TKV32" s="545"/>
      <c r="TKW32" s="545"/>
      <c r="TKX32" s="545"/>
      <c r="TKY32" s="545"/>
      <c r="TKZ32" s="545"/>
      <c r="TLA32" s="545"/>
      <c r="TLB32" s="545"/>
      <c r="TLC32" s="545"/>
      <c r="TLD32" s="545"/>
      <c r="TLE32" s="545"/>
      <c r="TLF32" s="545"/>
      <c r="TLG32" s="545"/>
      <c r="TLH32" s="545"/>
      <c r="TLI32" s="545"/>
      <c r="TLJ32" s="545"/>
      <c r="TLK32" s="545"/>
      <c r="TLL32" s="545"/>
      <c r="TLM32" s="545"/>
      <c r="TLN32" s="545"/>
      <c r="TLO32" s="545"/>
      <c r="TLP32" s="545"/>
      <c r="TLQ32" s="545"/>
      <c r="TLR32" s="545"/>
      <c r="TLS32" s="545"/>
      <c r="TLT32" s="545"/>
      <c r="TLU32" s="545"/>
      <c r="TLV32" s="545"/>
      <c r="TLW32" s="545"/>
      <c r="TLX32" s="545"/>
      <c r="TLY32" s="545"/>
      <c r="TLZ32" s="545"/>
      <c r="TMA32" s="545"/>
      <c r="TMB32" s="545"/>
      <c r="TMC32" s="545"/>
      <c r="TMD32" s="545"/>
      <c r="TME32" s="545"/>
      <c r="TMF32" s="545"/>
      <c r="TMG32" s="545"/>
      <c r="TMH32" s="545"/>
      <c r="TMI32" s="545"/>
      <c r="TMJ32" s="545"/>
      <c r="TMK32" s="545"/>
      <c r="TML32" s="545"/>
      <c r="TMM32" s="545"/>
      <c r="TMN32" s="545"/>
      <c r="TMO32" s="545"/>
      <c r="TMP32" s="545"/>
      <c r="TMQ32" s="545"/>
      <c r="TMR32" s="545"/>
      <c r="TMS32" s="545"/>
      <c r="TMT32" s="545"/>
      <c r="TMU32" s="545"/>
      <c r="TMV32" s="545"/>
      <c r="TMW32" s="545"/>
      <c r="TMX32" s="545"/>
      <c r="TMY32" s="545"/>
      <c r="TMZ32" s="545"/>
      <c r="TNA32" s="545"/>
      <c r="TNB32" s="545"/>
      <c r="TNC32" s="545"/>
      <c r="TND32" s="545"/>
      <c r="TNE32" s="545"/>
      <c r="TNF32" s="545"/>
      <c r="TNG32" s="545"/>
      <c r="TNH32" s="545"/>
      <c r="TNI32" s="545"/>
      <c r="TNJ32" s="545"/>
      <c r="TNK32" s="545"/>
      <c r="TNL32" s="545"/>
      <c r="TNM32" s="545"/>
      <c r="TNN32" s="545"/>
      <c r="TNO32" s="545"/>
      <c r="TNP32" s="545"/>
      <c r="TNQ32" s="545"/>
      <c r="TNR32" s="545"/>
      <c r="TNS32" s="545"/>
      <c r="TNT32" s="545"/>
      <c r="TNU32" s="545"/>
      <c r="TNV32" s="545"/>
      <c r="TNW32" s="545"/>
      <c r="TNX32" s="545"/>
      <c r="TNY32" s="545"/>
      <c r="TNZ32" s="545"/>
      <c r="TOA32" s="545"/>
      <c r="TOB32" s="545"/>
      <c r="TOC32" s="545"/>
      <c r="TOD32" s="545"/>
      <c r="TOE32" s="545"/>
      <c r="TOF32" s="545"/>
      <c r="TOG32" s="545"/>
      <c r="TOH32" s="545"/>
      <c r="TOI32" s="545"/>
      <c r="TOJ32" s="545"/>
      <c r="TOK32" s="545"/>
      <c r="TOL32" s="545"/>
      <c r="TOM32" s="545"/>
      <c r="TON32" s="545"/>
      <c r="TOO32" s="545"/>
      <c r="TOP32" s="545"/>
      <c r="TOQ32" s="545"/>
      <c r="TOR32" s="545"/>
      <c r="TOS32" s="545"/>
      <c r="TOT32" s="545"/>
      <c r="TOU32" s="545"/>
      <c r="TOV32" s="545"/>
      <c r="TOW32" s="545"/>
      <c r="TOX32" s="545"/>
      <c r="TOY32" s="545"/>
      <c r="TOZ32" s="545"/>
      <c r="TPA32" s="545"/>
      <c r="TPB32" s="545"/>
      <c r="TPC32" s="545"/>
      <c r="TPD32" s="545"/>
      <c r="TPE32" s="545"/>
      <c r="TPF32" s="545"/>
      <c r="TPG32" s="545"/>
      <c r="TPH32" s="545"/>
      <c r="TPI32" s="545"/>
      <c r="TPJ32" s="545"/>
      <c r="TPK32" s="545"/>
      <c r="TPL32" s="545"/>
      <c r="TPM32" s="545"/>
      <c r="TPN32" s="545"/>
      <c r="TPO32" s="545"/>
      <c r="TPP32" s="545"/>
      <c r="TPQ32" s="545"/>
      <c r="TPR32" s="545"/>
      <c r="TPS32" s="545"/>
      <c r="TPT32" s="545"/>
      <c r="TPU32" s="545"/>
      <c r="TPV32" s="545"/>
      <c r="TPW32" s="545"/>
      <c r="TPX32" s="545"/>
      <c r="TPY32" s="545"/>
      <c r="TPZ32" s="545"/>
      <c r="TQA32" s="545"/>
      <c r="TQB32" s="545"/>
      <c r="TQC32" s="545"/>
      <c r="TQD32" s="545"/>
      <c r="TQE32" s="545"/>
      <c r="TQF32" s="545"/>
      <c r="TQG32" s="545"/>
      <c r="TQH32" s="545"/>
      <c r="TQI32" s="545"/>
      <c r="TQJ32" s="545"/>
      <c r="TQK32" s="545"/>
      <c r="TQL32" s="545"/>
      <c r="TQM32" s="545"/>
      <c r="TQN32" s="545"/>
      <c r="TQO32" s="545"/>
      <c r="TQP32" s="545"/>
      <c r="TQQ32" s="545"/>
      <c r="TQR32" s="545"/>
      <c r="TQS32" s="545"/>
      <c r="TQT32" s="545"/>
      <c r="TQU32" s="545"/>
      <c r="TQV32" s="545"/>
      <c r="TQW32" s="545"/>
      <c r="TQX32" s="545"/>
      <c r="TQY32" s="545"/>
      <c r="TQZ32" s="545"/>
      <c r="TRA32" s="545"/>
      <c r="TRB32" s="545"/>
      <c r="TRC32" s="545"/>
      <c r="TRD32" s="545"/>
      <c r="TRE32" s="545"/>
      <c r="TRF32" s="545"/>
      <c r="TRG32" s="545"/>
      <c r="TRH32" s="545"/>
      <c r="TRI32" s="545"/>
      <c r="TRJ32" s="545"/>
      <c r="TRK32" s="545"/>
      <c r="TRL32" s="545"/>
      <c r="TRM32" s="545"/>
      <c r="TRN32" s="545"/>
      <c r="TRO32" s="545"/>
      <c r="TRP32" s="545"/>
      <c r="TRQ32" s="545"/>
      <c r="TRR32" s="545"/>
      <c r="TRS32" s="545"/>
      <c r="TRT32" s="545"/>
      <c r="TRU32" s="545"/>
      <c r="TRV32" s="545"/>
      <c r="TRW32" s="545"/>
      <c r="TRX32" s="545"/>
      <c r="TRY32" s="545"/>
      <c r="TRZ32" s="545"/>
      <c r="TSA32" s="545"/>
      <c r="TSB32" s="545"/>
      <c r="TSC32" s="545"/>
      <c r="TSD32" s="545"/>
      <c r="TSE32" s="545"/>
      <c r="TSF32" s="545"/>
      <c r="TSG32" s="545"/>
      <c r="TSH32" s="545"/>
      <c r="TSI32" s="545"/>
      <c r="TSJ32" s="545"/>
      <c r="TSK32" s="545"/>
      <c r="TSL32" s="545"/>
      <c r="TSM32" s="545"/>
      <c r="TSN32" s="545"/>
      <c r="TSO32" s="545"/>
      <c r="TSP32" s="545"/>
      <c r="TSQ32" s="545"/>
      <c r="TSR32" s="545"/>
      <c r="TSS32" s="545"/>
      <c r="TST32" s="545"/>
      <c r="TSU32" s="545"/>
      <c r="TSV32" s="545"/>
      <c r="TSW32" s="545"/>
      <c r="TSX32" s="545"/>
      <c r="TSY32" s="545"/>
      <c r="TSZ32" s="545"/>
      <c r="TTA32" s="545"/>
      <c r="TTB32" s="545"/>
      <c r="TTC32" s="545"/>
      <c r="TTD32" s="545"/>
      <c r="TTE32" s="545"/>
      <c r="TTF32" s="545"/>
      <c r="TTG32" s="545"/>
      <c r="TTH32" s="545"/>
      <c r="TTI32" s="545"/>
      <c r="TTJ32" s="545"/>
      <c r="TTK32" s="545"/>
      <c r="TTL32" s="545"/>
      <c r="TTM32" s="545"/>
      <c r="TTN32" s="545"/>
      <c r="TTO32" s="545"/>
      <c r="TTP32" s="545"/>
      <c r="TTQ32" s="545"/>
      <c r="TTR32" s="545"/>
      <c r="TTS32" s="545"/>
      <c r="TTT32" s="545"/>
      <c r="TTU32" s="545"/>
      <c r="TTV32" s="545"/>
      <c r="TTW32" s="545"/>
      <c r="TTX32" s="545"/>
      <c r="TTY32" s="545"/>
      <c r="TTZ32" s="545"/>
      <c r="TUA32" s="545"/>
      <c r="TUB32" s="545"/>
      <c r="TUC32" s="545"/>
      <c r="TUD32" s="545"/>
      <c r="TUE32" s="545"/>
      <c r="TUF32" s="545"/>
      <c r="TUG32" s="545"/>
      <c r="TUH32" s="545"/>
      <c r="TUI32" s="545"/>
      <c r="TUJ32" s="545"/>
      <c r="TUK32" s="545"/>
      <c r="TUL32" s="545"/>
      <c r="TUM32" s="545"/>
      <c r="TUN32" s="545"/>
      <c r="TUO32" s="545"/>
      <c r="TUP32" s="545"/>
      <c r="TUQ32" s="545"/>
      <c r="TUR32" s="545"/>
      <c r="TUS32" s="545"/>
      <c r="TUT32" s="545"/>
      <c r="TUU32" s="545"/>
      <c r="TUV32" s="545"/>
      <c r="TUW32" s="545"/>
      <c r="TUX32" s="545"/>
      <c r="TUY32" s="545"/>
      <c r="TUZ32" s="545"/>
      <c r="TVA32" s="545"/>
      <c r="TVB32" s="545"/>
      <c r="TVC32" s="545"/>
      <c r="TVD32" s="545"/>
      <c r="TVE32" s="545"/>
      <c r="TVF32" s="545"/>
      <c r="TVG32" s="545"/>
      <c r="TVH32" s="545"/>
      <c r="TVI32" s="545"/>
      <c r="TVJ32" s="545"/>
      <c r="TVK32" s="545"/>
      <c r="TVL32" s="545"/>
      <c r="TVM32" s="545"/>
      <c r="TVN32" s="545"/>
      <c r="TVO32" s="545"/>
      <c r="TVP32" s="545"/>
      <c r="TVQ32" s="545"/>
      <c r="TVR32" s="545"/>
      <c r="TVS32" s="545"/>
      <c r="TVT32" s="545"/>
      <c r="TVU32" s="545"/>
      <c r="TVV32" s="545"/>
      <c r="TVW32" s="545"/>
      <c r="TVX32" s="545"/>
      <c r="TVY32" s="545"/>
      <c r="TVZ32" s="545"/>
      <c r="TWA32" s="545"/>
      <c r="TWB32" s="545"/>
      <c r="TWC32" s="545"/>
      <c r="TWD32" s="545"/>
      <c r="TWE32" s="545"/>
      <c r="TWF32" s="545"/>
      <c r="TWG32" s="545"/>
      <c r="TWH32" s="545"/>
      <c r="TWI32" s="545"/>
      <c r="TWJ32" s="545"/>
      <c r="TWK32" s="545"/>
      <c r="TWL32" s="545"/>
      <c r="TWM32" s="545"/>
      <c r="TWN32" s="545"/>
      <c r="TWO32" s="545"/>
      <c r="TWP32" s="545"/>
      <c r="TWQ32" s="545"/>
      <c r="TWR32" s="545"/>
      <c r="TWS32" s="545"/>
      <c r="TWT32" s="545"/>
      <c r="TWU32" s="545"/>
      <c r="TWV32" s="545"/>
      <c r="TWW32" s="545"/>
      <c r="TWX32" s="545"/>
      <c r="TWY32" s="545"/>
      <c r="TWZ32" s="545"/>
      <c r="TXA32" s="545"/>
      <c r="TXB32" s="545"/>
      <c r="TXC32" s="545"/>
      <c r="TXD32" s="545"/>
      <c r="TXE32" s="545"/>
      <c r="TXF32" s="545"/>
      <c r="TXG32" s="545"/>
      <c r="TXH32" s="545"/>
      <c r="TXI32" s="545"/>
      <c r="TXJ32" s="545"/>
      <c r="TXK32" s="545"/>
      <c r="TXL32" s="545"/>
      <c r="TXM32" s="545"/>
      <c r="TXN32" s="545"/>
      <c r="TXO32" s="545"/>
      <c r="TXP32" s="545"/>
      <c r="TXQ32" s="545"/>
      <c r="TXR32" s="545"/>
      <c r="TXS32" s="545"/>
      <c r="TXT32" s="545"/>
      <c r="TXU32" s="545"/>
      <c r="TXV32" s="545"/>
      <c r="TXW32" s="545"/>
      <c r="TXX32" s="545"/>
      <c r="TXY32" s="545"/>
      <c r="TXZ32" s="545"/>
      <c r="TYA32" s="545"/>
      <c r="TYB32" s="545"/>
      <c r="TYC32" s="545"/>
      <c r="TYD32" s="545"/>
      <c r="TYE32" s="545"/>
      <c r="TYF32" s="545"/>
      <c r="TYG32" s="545"/>
      <c r="TYH32" s="545"/>
      <c r="TYI32" s="545"/>
      <c r="TYJ32" s="545"/>
      <c r="TYK32" s="545"/>
      <c r="TYL32" s="545"/>
      <c r="TYM32" s="545"/>
      <c r="TYN32" s="545"/>
      <c r="TYO32" s="545"/>
      <c r="TYP32" s="545"/>
      <c r="TYQ32" s="545"/>
      <c r="TYR32" s="545"/>
      <c r="TYS32" s="545"/>
      <c r="TYT32" s="545"/>
      <c r="TYU32" s="545"/>
      <c r="TYV32" s="545"/>
      <c r="TYW32" s="545"/>
      <c r="TYX32" s="545"/>
      <c r="TYY32" s="545"/>
      <c r="TYZ32" s="545"/>
      <c r="TZA32" s="545"/>
      <c r="TZB32" s="545"/>
      <c r="TZC32" s="545"/>
      <c r="TZD32" s="545"/>
      <c r="TZE32" s="545"/>
      <c r="TZF32" s="545"/>
      <c r="TZG32" s="545"/>
      <c r="TZH32" s="545"/>
      <c r="TZI32" s="545"/>
      <c r="TZJ32" s="545"/>
      <c r="TZK32" s="545"/>
      <c r="TZL32" s="545"/>
      <c r="TZM32" s="545"/>
      <c r="TZN32" s="545"/>
      <c r="TZO32" s="545"/>
      <c r="TZP32" s="545"/>
      <c r="TZQ32" s="545"/>
      <c r="TZR32" s="545"/>
      <c r="TZS32" s="545"/>
      <c r="TZT32" s="545"/>
      <c r="TZU32" s="545"/>
      <c r="TZV32" s="545"/>
      <c r="TZW32" s="545"/>
      <c r="TZX32" s="545"/>
      <c r="TZY32" s="545"/>
      <c r="TZZ32" s="545"/>
      <c r="UAA32" s="545"/>
      <c r="UAB32" s="545"/>
      <c r="UAC32" s="545"/>
      <c r="UAD32" s="545"/>
      <c r="UAE32" s="545"/>
      <c r="UAF32" s="545"/>
      <c r="UAG32" s="545"/>
      <c r="UAH32" s="545"/>
      <c r="UAI32" s="545"/>
      <c r="UAJ32" s="545"/>
      <c r="UAK32" s="545"/>
      <c r="UAL32" s="545"/>
      <c r="UAM32" s="545"/>
      <c r="UAN32" s="545"/>
      <c r="UAO32" s="545"/>
      <c r="UAP32" s="545"/>
      <c r="UAQ32" s="545"/>
      <c r="UAR32" s="545"/>
      <c r="UAS32" s="545"/>
      <c r="UAT32" s="545"/>
      <c r="UAU32" s="545"/>
      <c r="UAV32" s="545"/>
      <c r="UAW32" s="545"/>
      <c r="UAX32" s="545"/>
      <c r="UAY32" s="545"/>
      <c r="UAZ32" s="545"/>
      <c r="UBA32" s="545"/>
      <c r="UBB32" s="545"/>
      <c r="UBC32" s="545"/>
      <c r="UBD32" s="545"/>
      <c r="UBE32" s="545"/>
      <c r="UBF32" s="545"/>
      <c r="UBG32" s="545"/>
      <c r="UBH32" s="545"/>
      <c r="UBI32" s="545"/>
      <c r="UBJ32" s="545"/>
      <c r="UBK32" s="545"/>
      <c r="UBL32" s="545"/>
      <c r="UBM32" s="545"/>
      <c r="UBN32" s="545"/>
      <c r="UBO32" s="545"/>
      <c r="UBP32" s="545"/>
      <c r="UBQ32" s="545"/>
      <c r="UBR32" s="545"/>
      <c r="UBS32" s="545"/>
      <c r="UBT32" s="545"/>
      <c r="UBU32" s="545"/>
      <c r="UBV32" s="545"/>
      <c r="UBW32" s="545"/>
      <c r="UBX32" s="545"/>
      <c r="UBY32" s="545"/>
      <c r="UBZ32" s="545"/>
      <c r="UCA32" s="545"/>
      <c r="UCB32" s="545"/>
      <c r="UCC32" s="545"/>
      <c r="UCD32" s="545"/>
      <c r="UCE32" s="545"/>
      <c r="UCF32" s="545"/>
      <c r="UCG32" s="545"/>
      <c r="UCH32" s="545"/>
      <c r="UCI32" s="545"/>
      <c r="UCJ32" s="545"/>
      <c r="UCK32" s="545"/>
      <c r="UCL32" s="545"/>
      <c r="UCM32" s="545"/>
      <c r="UCN32" s="545"/>
      <c r="UCO32" s="545"/>
      <c r="UCP32" s="545"/>
      <c r="UCQ32" s="545"/>
      <c r="UCR32" s="545"/>
      <c r="UCS32" s="545"/>
      <c r="UCT32" s="545"/>
      <c r="UCU32" s="545"/>
      <c r="UCV32" s="545"/>
      <c r="UCW32" s="545"/>
      <c r="UCX32" s="545"/>
      <c r="UCY32" s="545"/>
      <c r="UCZ32" s="545"/>
      <c r="UDA32" s="545"/>
      <c r="UDB32" s="545"/>
      <c r="UDC32" s="545"/>
      <c r="UDD32" s="545"/>
      <c r="UDE32" s="545"/>
      <c r="UDF32" s="545"/>
      <c r="UDG32" s="545"/>
      <c r="UDH32" s="545"/>
      <c r="UDI32" s="545"/>
      <c r="UDJ32" s="545"/>
      <c r="UDK32" s="545"/>
      <c r="UDL32" s="545"/>
      <c r="UDM32" s="545"/>
      <c r="UDN32" s="545"/>
      <c r="UDO32" s="545"/>
      <c r="UDP32" s="545"/>
      <c r="UDQ32" s="545"/>
      <c r="UDR32" s="545"/>
      <c r="UDS32" s="545"/>
      <c r="UDT32" s="545"/>
      <c r="UDU32" s="545"/>
      <c r="UDV32" s="545"/>
      <c r="UDW32" s="545"/>
      <c r="UDX32" s="545"/>
      <c r="UDY32" s="545"/>
      <c r="UDZ32" s="545"/>
      <c r="UEA32" s="545"/>
      <c r="UEB32" s="545"/>
      <c r="UEC32" s="545"/>
      <c r="UED32" s="545"/>
      <c r="UEE32" s="545"/>
      <c r="UEF32" s="545"/>
      <c r="UEG32" s="545"/>
      <c r="UEH32" s="545"/>
      <c r="UEI32" s="545"/>
      <c r="UEJ32" s="545"/>
      <c r="UEK32" s="545"/>
      <c r="UEL32" s="545"/>
      <c r="UEM32" s="545"/>
      <c r="UEN32" s="545"/>
      <c r="UEO32" s="545"/>
      <c r="UEP32" s="545"/>
      <c r="UEQ32" s="545"/>
      <c r="UER32" s="545"/>
      <c r="UES32" s="545"/>
      <c r="UET32" s="545"/>
      <c r="UEU32" s="545"/>
      <c r="UEV32" s="545"/>
      <c r="UEW32" s="545"/>
      <c r="UEX32" s="545"/>
      <c r="UEY32" s="545"/>
      <c r="UEZ32" s="545"/>
      <c r="UFA32" s="545"/>
      <c r="UFB32" s="545"/>
      <c r="UFC32" s="545"/>
      <c r="UFD32" s="545"/>
      <c r="UFE32" s="545"/>
      <c r="UFF32" s="545"/>
      <c r="UFG32" s="545"/>
      <c r="UFH32" s="545"/>
      <c r="UFI32" s="545"/>
      <c r="UFJ32" s="545"/>
      <c r="UFK32" s="545"/>
      <c r="UFL32" s="545"/>
      <c r="UFM32" s="545"/>
      <c r="UFN32" s="545"/>
      <c r="UFO32" s="545"/>
      <c r="UFP32" s="545"/>
      <c r="UFQ32" s="545"/>
      <c r="UFR32" s="545"/>
      <c r="UFS32" s="545"/>
      <c r="UFT32" s="545"/>
      <c r="UFU32" s="545"/>
      <c r="UFV32" s="545"/>
      <c r="UFW32" s="545"/>
      <c r="UFX32" s="545"/>
      <c r="UFY32" s="545"/>
      <c r="UFZ32" s="545"/>
      <c r="UGA32" s="545"/>
      <c r="UGB32" s="545"/>
      <c r="UGC32" s="545"/>
      <c r="UGD32" s="545"/>
      <c r="UGE32" s="545"/>
      <c r="UGF32" s="545"/>
      <c r="UGG32" s="545"/>
      <c r="UGH32" s="545"/>
      <c r="UGI32" s="545"/>
      <c r="UGJ32" s="545"/>
      <c r="UGK32" s="545"/>
      <c r="UGL32" s="545"/>
      <c r="UGM32" s="545"/>
      <c r="UGN32" s="545"/>
      <c r="UGO32" s="545"/>
      <c r="UGP32" s="545"/>
      <c r="UGQ32" s="545"/>
      <c r="UGR32" s="545"/>
      <c r="UGS32" s="545"/>
      <c r="UGT32" s="545"/>
      <c r="UGU32" s="545"/>
      <c r="UGV32" s="545"/>
      <c r="UGW32" s="545"/>
      <c r="UGX32" s="545"/>
      <c r="UGY32" s="545"/>
      <c r="UGZ32" s="545"/>
      <c r="UHA32" s="545"/>
      <c r="UHB32" s="545"/>
      <c r="UHC32" s="545"/>
      <c r="UHD32" s="545"/>
      <c r="UHE32" s="545"/>
      <c r="UHF32" s="545"/>
      <c r="UHG32" s="545"/>
      <c r="UHH32" s="545"/>
      <c r="UHI32" s="545"/>
      <c r="UHJ32" s="545"/>
      <c r="UHK32" s="545"/>
      <c r="UHL32" s="545"/>
      <c r="UHM32" s="545"/>
      <c r="UHN32" s="545"/>
      <c r="UHO32" s="545"/>
      <c r="UHP32" s="545"/>
      <c r="UHQ32" s="545"/>
      <c r="UHR32" s="545"/>
      <c r="UHS32" s="545"/>
      <c r="UHT32" s="545"/>
      <c r="UHU32" s="545"/>
      <c r="UHV32" s="545"/>
      <c r="UHW32" s="545"/>
      <c r="UHX32" s="545"/>
      <c r="UHY32" s="545"/>
      <c r="UHZ32" s="545"/>
      <c r="UIA32" s="545"/>
      <c r="UIB32" s="545"/>
      <c r="UIC32" s="545"/>
      <c r="UID32" s="545"/>
      <c r="UIE32" s="545"/>
      <c r="UIF32" s="545"/>
      <c r="UIG32" s="545"/>
      <c r="UIH32" s="545"/>
      <c r="UII32" s="545"/>
      <c r="UIJ32" s="545"/>
      <c r="UIK32" s="545"/>
      <c r="UIL32" s="545"/>
      <c r="UIM32" s="545"/>
      <c r="UIN32" s="545"/>
      <c r="UIO32" s="545"/>
      <c r="UIP32" s="545"/>
      <c r="UIQ32" s="545"/>
      <c r="UIR32" s="545"/>
      <c r="UIS32" s="545"/>
      <c r="UIT32" s="545"/>
      <c r="UIU32" s="545"/>
      <c r="UIV32" s="545"/>
      <c r="UIW32" s="545"/>
      <c r="UIX32" s="545"/>
      <c r="UIY32" s="545"/>
      <c r="UIZ32" s="545"/>
      <c r="UJA32" s="545"/>
      <c r="UJB32" s="545"/>
      <c r="UJC32" s="545"/>
      <c r="UJD32" s="545"/>
      <c r="UJE32" s="545"/>
      <c r="UJF32" s="545"/>
      <c r="UJG32" s="545"/>
      <c r="UJH32" s="545"/>
      <c r="UJI32" s="545"/>
      <c r="UJJ32" s="545"/>
      <c r="UJK32" s="545"/>
      <c r="UJL32" s="545"/>
      <c r="UJM32" s="545"/>
      <c r="UJN32" s="545"/>
      <c r="UJO32" s="545"/>
      <c r="UJP32" s="545"/>
      <c r="UJQ32" s="545"/>
      <c r="UJR32" s="545"/>
      <c r="UJS32" s="545"/>
      <c r="UJT32" s="545"/>
      <c r="UJU32" s="545"/>
      <c r="UJV32" s="545"/>
      <c r="UJW32" s="545"/>
      <c r="UJX32" s="545"/>
      <c r="UJY32" s="545"/>
      <c r="UJZ32" s="545"/>
      <c r="UKA32" s="545"/>
      <c r="UKB32" s="545"/>
      <c r="UKC32" s="545"/>
      <c r="UKD32" s="545"/>
      <c r="UKE32" s="545"/>
      <c r="UKF32" s="545"/>
      <c r="UKG32" s="545"/>
      <c r="UKH32" s="545"/>
      <c r="UKI32" s="545"/>
      <c r="UKJ32" s="545"/>
      <c r="UKK32" s="545"/>
      <c r="UKL32" s="545"/>
      <c r="UKM32" s="545"/>
      <c r="UKN32" s="545"/>
      <c r="UKO32" s="545"/>
      <c r="UKP32" s="545"/>
      <c r="UKQ32" s="545"/>
      <c r="UKR32" s="545"/>
      <c r="UKS32" s="545"/>
      <c r="UKT32" s="545"/>
      <c r="UKU32" s="545"/>
      <c r="UKV32" s="545"/>
      <c r="UKW32" s="545"/>
      <c r="UKX32" s="545"/>
      <c r="UKY32" s="545"/>
      <c r="UKZ32" s="545"/>
      <c r="ULA32" s="545"/>
      <c r="ULB32" s="545"/>
      <c r="ULC32" s="545"/>
      <c r="ULD32" s="545"/>
      <c r="ULE32" s="545"/>
      <c r="ULF32" s="545"/>
      <c r="ULG32" s="545"/>
      <c r="ULH32" s="545"/>
      <c r="ULI32" s="545"/>
      <c r="ULJ32" s="545"/>
      <c r="ULK32" s="545"/>
      <c r="ULL32" s="545"/>
      <c r="ULM32" s="545"/>
      <c r="ULN32" s="545"/>
      <c r="ULO32" s="545"/>
      <c r="ULP32" s="545"/>
      <c r="ULQ32" s="545"/>
      <c r="ULR32" s="545"/>
      <c r="ULS32" s="545"/>
      <c r="ULT32" s="545"/>
      <c r="ULU32" s="545"/>
      <c r="ULV32" s="545"/>
      <c r="ULW32" s="545"/>
      <c r="ULX32" s="545"/>
      <c r="ULY32" s="545"/>
      <c r="ULZ32" s="545"/>
      <c r="UMA32" s="545"/>
      <c r="UMB32" s="545"/>
      <c r="UMC32" s="545"/>
      <c r="UMD32" s="545"/>
      <c r="UME32" s="545"/>
      <c r="UMF32" s="545"/>
      <c r="UMG32" s="545"/>
      <c r="UMH32" s="545"/>
      <c r="UMI32" s="545"/>
      <c r="UMJ32" s="545"/>
      <c r="UMK32" s="545"/>
      <c r="UML32" s="545"/>
      <c r="UMM32" s="545"/>
      <c r="UMN32" s="545"/>
      <c r="UMO32" s="545"/>
      <c r="UMP32" s="545"/>
      <c r="UMQ32" s="545"/>
      <c r="UMR32" s="545"/>
      <c r="UMS32" s="545"/>
      <c r="UMT32" s="545"/>
      <c r="UMU32" s="545"/>
      <c r="UMV32" s="545"/>
      <c r="UMW32" s="545"/>
      <c r="UMX32" s="545"/>
      <c r="UMY32" s="545"/>
      <c r="UMZ32" s="545"/>
      <c r="UNA32" s="545"/>
      <c r="UNB32" s="545"/>
      <c r="UNC32" s="545"/>
      <c r="UND32" s="545"/>
      <c r="UNE32" s="545"/>
      <c r="UNF32" s="545"/>
      <c r="UNG32" s="545"/>
      <c r="UNH32" s="545"/>
      <c r="UNI32" s="545"/>
      <c r="UNJ32" s="545"/>
      <c r="UNK32" s="545"/>
      <c r="UNL32" s="545"/>
      <c r="UNM32" s="545"/>
      <c r="UNN32" s="545"/>
      <c r="UNO32" s="545"/>
      <c r="UNP32" s="545"/>
      <c r="UNQ32" s="545"/>
      <c r="UNR32" s="545"/>
      <c r="UNS32" s="545"/>
      <c r="UNT32" s="545"/>
      <c r="UNU32" s="545"/>
      <c r="UNV32" s="545"/>
      <c r="UNW32" s="545"/>
      <c r="UNX32" s="545"/>
      <c r="UNY32" s="545"/>
      <c r="UNZ32" s="545"/>
      <c r="UOA32" s="545"/>
      <c r="UOB32" s="545"/>
      <c r="UOC32" s="545"/>
      <c r="UOD32" s="545"/>
      <c r="UOE32" s="545"/>
      <c r="UOF32" s="545"/>
      <c r="UOG32" s="545"/>
      <c r="UOH32" s="545"/>
      <c r="UOI32" s="545"/>
      <c r="UOJ32" s="545"/>
      <c r="UOK32" s="545"/>
      <c r="UOL32" s="545"/>
      <c r="UOM32" s="545"/>
      <c r="UON32" s="545"/>
      <c r="UOO32" s="545"/>
      <c r="UOP32" s="545"/>
      <c r="UOQ32" s="545"/>
      <c r="UOR32" s="545"/>
      <c r="UOS32" s="545"/>
      <c r="UOT32" s="545"/>
      <c r="UOU32" s="545"/>
      <c r="UOV32" s="545"/>
      <c r="UOW32" s="545"/>
      <c r="UOX32" s="545"/>
      <c r="UOY32" s="545"/>
      <c r="UOZ32" s="545"/>
      <c r="UPA32" s="545"/>
      <c r="UPB32" s="545"/>
      <c r="UPC32" s="545"/>
      <c r="UPD32" s="545"/>
      <c r="UPE32" s="545"/>
      <c r="UPF32" s="545"/>
      <c r="UPG32" s="545"/>
      <c r="UPH32" s="545"/>
      <c r="UPI32" s="545"/>
      <c r="UPJ32" s="545"/>
      <c r="UPK32" s="545"/>
      <c r="UPL32" s="545"/>
      <c r="UPM32" s="545"/>
      <c r="UPN32" s="545"/>
      <c r="UPO32" s="545"/>
      <c r="UPP32" s="545"/>
      <c r="UPQ32" s="545"/>
      <c r="UPR32" s="545"/>
      <c r="UPS32" s="545"/>
      <c r="UPT32" s="545"/>
      <c r="UPU32" s="545"/>
      <c r="UPV32" s="545"/>
      <c r="UPW32" s="545"/>
      <c r="UPX32" s="545"/>
      <c r="UPY32" s="545"/>
      <c r="UPZ32" s="545"/>
      <c r="UQA32" s="545"/>
      <c r="UQB32" s="545"/>
      <c r="UQC32" s="545"/>
      <c r="UQD32" s="545"/>
      <c r="UQE32" s="545"/>
      <c r="UQF32" s="545"/>
      <c r="UQG32" s="545"/>
      <c r="UQH32" s="545"/>
      <c r="UQI32" s="545"/>
      <c r="UQJ32" s="545"/>
      <c r="UQK32" s="545"/>
      <c r="UQL32" s="545"/>
      <c r="UQM32" s="545"/>
      <c r="UQN32" s="545"/>
      <c r="UQO32" s="545"/>
      <c r="UQP32" s="545"/>
      <c r="UQQ32" s="545"/>
      <c r="UQR32" s="545"/>
      <c r="UQS32" s="545"/>
      <c r="UQT32" s="545"/>
      <c r="UQU32" s="545"/>
      <c r="UQV32" s="545"/>
      <c r="UQW32" s="545"/>
      <c r="UQX32" s="545"/>
      <c r="UQY32" s="545"/>
      <c r="UQZ32" s="545"/>
      <c r="URA32" s="545"/>
      <c r="URB32" s="545"/>
      <c r="URC32" s="545"/>
      <c r="URD32" s="545"/>
      <c r="URE32" s="545"/>
      <c r="URF32" s="545"/>
      <c r="URG32" s="545"/>
      <c r="URH32" s="545"/>
      <c r="URI32" s="545"/>
      <c r="URJ32" s="545"/>
      <c r="URK32" s="545"/>
      <c r="URL32" s="545"/>
      <c r="URM32" s="545"/>
      <c r="URN32" s="545"/>
      <c r="URO32" s="545"/>
      <c r="URP32" s="545"/>
      <c r="URQ32" s="545"/>
      <c r="URR32" s="545"/>
      <c r="URS32" s="545"/>
      <c r="URT32" s="545"/>
      <c r="URU32" s="545"/>
      <c r="URV32" s="545"/>
      <c r="URW32" s="545"/>
      <c r="URX32" s="545"/>
      <c r="URY32" s="545"/>
      <c r="URZ32" s="545"/>
      <c r="USA32" s="545"/>
      <c r="USB32" s="545"/>
      <c r="USC32" s="545"/>
      <c r="USD32" s="545"/>
      <c r="USE32" s="545"/>
      <c r="USF32" s="545"/>
      <c r="USG32" s="545"/>
      <c r="USH32" s="545"/>
      <c r="USI32" s="545"/>
      <c r="USJ32" s="545"/>
      <c r="USK32" s="545"/>
      <c r="USL32" s="545"/>
      <c r="USM32" s="545"/>
      <c r="USN32" s="545"/>
      <c r="USO32" s="545"/>
      <c r="USP32" s="545"/>
      <c r="USQ32" s="545"/>
      <c r="USR32" s="545"/>
      <c r="USS32" s="545"/>
      <c r="UST32" s="545"/>
      <c r="USU32" s="545"/>
      <c r="USV32" s="545"/>
      <c r="USW32" s="545"/>
      <c r="USX32" s="545"/>
      <c r="USY32" s="545"/>
      <c r="USZ32" s="545"/>
      <c r="UTA32" s="545"/>
      <c r="UTB32" s="545"/>
      <c r="UTC32" s="545"/>
      <c r="UTD32" s="545"/>
      <c r="UTE32" s="545"/>
      <c r="UTF32" s="545"/>
      <c r="UTG32" s="545"/>
      <c r="UTH32" s="545"/>
      <c r="UTI32" s="545"/>
      <c r="UTJ32" s="545"/>
      <c r="UTK32" s="545"/>
      <c r="UTL32" s="545"/>
      <c r="UTM32" s="545"/>
      <c r="UTN32" s="545"/>
      <c r="UTO32" s="545"/>
      <c r="UTP32" s="545"/>
      <c r="UTQ32" s="545"/>
      <c r="UTR32" s="545"/>
      <c r="UTS32" s="545"/>
      <c r="UTT32" s="545"/>
      <c r="UTU32" s="545"/>
      <c r="UTV32" s="545"/>
      <c r="UTW32" s="545"/>
      <c r="UTX32" s="545"/>
      <c r="UTY32" s="545"/>
      <c r="UTZ32" s="545"/>
      <c r="UUA32" s="545"/>
      <c r="UUB32" s="545"/>
      <c r="UUC32" s="545"/>
      <c r="UUD32" s="545"/>
      <c r="UUE32" s="545"/>
      <c r="UUF32" s="545"/>
      <c r="UUG32" s="545"/>
      <c r="UUH32" s="545"/>
      <c r="UUI32" s="545"/>
      <c r="UUJ32" s="545"/>
      <c r="UUK32" s="545"/>
      <c r="UUL32" s="545"/>
      <c r="UUM32" s="545"/>
      <c r="UUN32" s="545"/>
      <c r="UUO32" s="545"/>
      <c r="UUP32" s="545"/>
      <c r="UUQ32" s="545"/>
      <c r="UUR32" s="545"/>
      <c r="UUS32" s="545"/>
      <c r="UUT32" s="545"/>
      <c r="UUU32" s="545"/>
      <c r="UUV32" s="545"/>
      <c r="UUW32" s="545"/>
      <c r="UUX32" s="545"/>
      <c r="UUY32" s="545"/>
      <c r="UUZ32" s="545"/>
      <c r="UVA32" s="545"/>
      <c r="UVB32" s="545"/>
      <c r="UVC32" s="545"/>
      <c r="UVD32" s="545"/>
      <c r="UVE32" s="545"/>
      <c r="UVF32" s="545"/>
      <c r="UVG32" s="545"/>
      <c r="UVH32" s="545"/>
      <c r="UVI32" s="545"/>
      <c r="UVJ32" s="545"/>
      <c r="UVK32" s="545"/>
      <c r="UVL32" s="545"/>
      <c r="UVM32" s="545"/>
      <c r="UVN32" s="545"/>
      <c r="UVO32" s="545"/>
      <c r="UVP32" s="545"/>
      <c r="UVQ32" s="545"/>
      <c r="UVR32" s="545"/>
      <c r="UVS32" s="545"/>
      <c r="UVT32" s="545"/>
      <c r="UVU32" s="545"/>
      <c r="UVV32" s="545"/>
      <c r="UVW32" s="545"/>
      <c r="UVX32" s="545"/>
      <c r="UVY32" s="545"/>
      <c r="UVZ32" s="545"/>
      <c r="UWA32" s="545"/>
      <c r="UWB32" s="545"/>
      <c r="UWC32" s="545"/>
      <c r="UWD32" s="545"/>
      <c r="UWE32" s="545"/>
      <c r="UWF32" s="545"/>
      <c r="UWG32" s="545"/>
      <c r="UWH32" s="545"/>
      <c r="UWI32" s="545"/>
      <c r="UWJ32" s="545"/>
      <c r="UWK32" s="545"/>
      <c r="UWL32" s="545"/>
      <c r="UWM32" s="545"/>
      <c r="UWN32" s="545"/>
      <c r="UWO32" s="545"/>
      <c r="UWP32" s="545"/>
      <c r="UWQ32" s="545"/>
      <c r="UWR32" s="545"/>
      <c r="UWS32" s="545"/>
      <c r="UWT32" s="545"/>
      <c r="UWU32" s="545"/>
      <c r="UWV32" s="545"/>
      <c r="UWW32" s="545"/>
      <c r="UWX32" s="545"/>
      <c r="UWY32" s="545"/>
      <c r="UWZ32" s="545"/>
      <c r="UXA32" s="545"/>
      <c r="UXB32" s="545"/>
      <c r="UXC32" s="545"/>
      <c r="UXD32" s="545"/>
      <c r="UXE32" s="545"/>
      <c r="UXF32" s="545"/>
      <c r="UXG32" s="545"/>
      <c r="UXH32" s="545"/>
      <c r="UXI32" s="545"/>
      <c r="UXJ32" s="545"/>
      <c r="UXK32" s="545"/>
      <c r="UXL32" s="545"/>
      <c r="UXM32" s="545"/>
      <c r="UXN32" s="545"/>
      <c r="UXO32" s="545"/>
      <c r="UXP32" s="545"/>
      <c r="UXQ32" s="545"/>
      <c r="UXR32" s="545"/>
      <c r="UXS32" s="545"/>
      <c r="UXT32" s="545"/>
      <c r="UXU32" s="545"/>
      <c r="UXV32" s="545"/>
      <c r="UXW32" s="545"/>
      <c r="UXX32" s="545"/>
      <c r="UXY32" s="545"/>
      <c r="UXZ32" s="545"/>
      <c r="UYA32" s="545"/>
      <c r="UYB32" s="545"/>
      <c r="UYC32" s="545"/>
      <c r="UYD32" s="545"/>
      <c r="UYE32" s="545"/>
      <c r="UYF32" s="545"/>
      <c r="UYG32" s="545"/>
      <c r="UYH32" s="545"/>
      <c r="UYI32" s="545"/>
      <c r="UYJ32" s="545"/>
      <c r="UYK32" s="545"/>
      <c r="UYL32" s="545"/>
      <c r="UYM32" s="545"/>
      <c r="UYN32" s="545"/>
      <c r="UYO32" s="545"/>
      <c r="UYP32" s="545"/>
      <c r="UYQ32" s="545"/>
      <c r="UYR32" s="545"/>
      <c r="UYS32" s="545"/>
      <c r="UYT32" s="545"/>
      <c r="UYU32" s="545"/>
      <c r="UYV32" s="545"/>
      <c r="UYW32" s="545"/>
      <c r="UYX32" s="545"/>
      <c r="UYY32" s="545"/>
      <c r="UYZ32" s="545"/>
      <c r="UZA32" s="545"/>
      <c r="UZB32" s="545"/>
      <c r="UZC32" s="545"/>
      <c r="UZD32" s="545"/>
      <c r="UZE32" s="545"/>
      <c r="UZF32" s="545"/>
      <c r="UZG32" s="545"/>
      <c r="UZH32" s="545"/>
      <c r="UZI32" s="545"/>
      <c r="UZJ32" s="545"/>
      <c r="UZK32" s="545"/>
      <c r="UZL32" s="545"/>
      <c r="UZM32" s="545"/>
      <c r="UZN32" s="545"/>
      <c r="UZO32" s="545"/>
      <c r="UZP32" s="545"/>
      <c r="UZQ32" s="545"/>
      <c r="UZR32" s="545"/>
      <c r="UZS32" s="545"/>
      <c r="UZT32" s="545"/>
      <c r="UZU32" s="545"/>
      <c r="UZV32" s="545"/>
      <c r="UZW32" s="545"/>
      <c r="UZX32" s="545"/>
      <c r="UZY32" s="545"/>
      <c r="UZZ32" s="545"/>
      <c r="VAA32" s="545"/>
      <c r="VAB32" s="545"/>
      <c r="VAC32" s="545"/>
      <c r="VAD32" s="545"/>
      <c r="VAE32" s="545"/>
      <c r="VAF32" s="545"/>
      <c r="VAG32" s="545"/>
      <c r="VAH32" s="545"/>
      <c r="VAI32" s="545"/>
      <c r="VAJ32" s="545"/>
      <c r="VAK32" s="545"/>
      <c r="VAL32" s="545"/>
      <c r="VAM32" s="545"/>
      <c r="VAN32" s="545"/>
      <c r="VAO32" s="545"/>
      <c r="VAP32" s="545"/>
      <c r="VAQ32" s="545"/>
      <c r="VAR32" s="545"/>
      <c r="VAS32" s="545"/>
      <c r="VAT32" s="545"/>
      <c r="VAU32" s="545"/>
      <c r="VAV32" s="545"/>
      <c r="VAW32" s="545"/>
      <c r="VAX32" s="545"/>
      <c r="VAY32" s="545"/>
      <c r="VAZ32" s="545"/>
      <c r="VBA32" s="545"/>
      <c r="VBB32" s="545"/>
      <c r="VBC32" s="545"/>
      <c r="VBD32" s="545"/>
      <c r="VBE32" s="545"/>
      <c r="VBF32" s="545"/>
      <c r="VBG32" s="545"/>
      <c r="VBH32" s="545"/>
      <c r="VBI32" s="545"/>
      <c r="VBJ32" s="545"/>
      <c r="VBK32" s="545"/>
      <c r="VBL32" s="545"/>
      <c r="VBM32" s="545"/>
      <c r="VBN32" s="545"/>
      <c r="VBO32" s="545"/>
      <c r="VBP32" s="545"/>
      <c r="VBQ32" s="545"/>
      <c r="VBR32" s="545"/>
      <c r="VBS32" s="545"/>
      <c r="VBT32" s="545"/>
      <c r="VBU32" s="545"/>
      <c r="VBV32" s="545"/>
      <c r="VBW32" s="545"/>
      <c r="VBX32" s="545"/>
      <c r="VBY32" s="545"/>
      <c r="VBZ32" s="545"/>
      <c r="VCA32" s="545"/>
      <c r="VCB32" s="545"/>
      <c r="VCC32" s="545"/>
      <c r="VCD32" s="545"/>
      <c r="VCE32" s="545"/>
      <c r="VCF32" s="545"/>
      <c r="VCG32" s="545"/>
      <c r="VCH32" s="545"/>
      <c r="VCI32" s="545"/>
      <c r="VCJ32" s="545"/>
      <c r="VCK32" s="545"/>
      <c r="VCL32" s="545"/>
      <c r="VCM32" s="545"/>
      <c r="VCN32" s="545"/>
      <c r="VCO32" s="545"/>
      <c r="VCP32" s="545"/>
      <c r="VCQ32" s="545"/>
      <c r="VCR32" s="545"/>
      <c r="VCS32" s="545"/>
      <c r="VCT32" s="545"/>
      <c r="VCU32" s="545"/>
      <c r="VCV32" s="545"/>
      <c r="VCW32" s="545"/>
      <c r="VCX32" s="545"/>
      <c r="VCY32" s="545"/>
      <c r="VCZ32" s="545"/>
      <c r="VDA32" s="545"/>
      <c r="VDB32" s="545"/>
      <c r="VDC32" s="545"/>
      <c r="VDD32" s="545"/>
      <c r="VDE32" s="545"/>
      <c r="VDF32" s="545"/>
      <c r="VDG32" s="545"/>
      <c r="VDH32" s="545"/>
      <c r="VDI32" s="545"/>
      <c r="VDJ32" s="545"/>
      <c r="VDK32" s="545"/>
      <c r="VDL32" s="545"/>
      <c r="VDM32" s="545"/>
      <c r="VDN32" s="545"/>
      <c r="VDO32" s="545"/>
      <c r="VDP32" s="545"/>
      <c r="VDQ32" s="545"/>
      <c r="VDR32" s="545"/>
      <c r="VDS32" s="545"/>
      <c r="VDT32" s="545"/>
      <c r="VDU32" s="545"/>
      <c r="VDV32" s="545"/>
      <c r="VDW32" s="545"/>
      <c r="VDX32" s="545"/>
      <c r="VDY32" s="545"/>
      <c r="VDZ32" s="545"/>
      <c r="VEA32" s="545"/>
      <c r="VEB32" s="545"/>
      <c r="VEC32" s="545"/>
      <c r="VED32" s="545"/>
      <c r="VEE32" s="545"/>
      <c r="VEF32" s="545"/>
      <c r="VEG32" s="545"/>
      <c r="VEH32" s="545"/>
      <c r="VEI32" s="545"/>
      <c r="VEJ32" s="545"/>
      <c r="VEK32" s="545"/>
      <c r="VEL32" s="545"/>
      <c r="VEM32" s="545"/>
      <c r="VEN32" s="545"/>
      <c r="VEO32" s="545"/>
      <c r="VEP32" s="545"/>
      <c r="VEQ32" s="545"/>
      <c r="VER32" s="545"/>
      <c r="VES32" s="545"/>
      <c r="VET32" s="545"/>
      <c r="VEU32" s="545"/>
      <c r="VEV32" s="545"/>
      <c r="VEW32" s="545"/>
      <c r="VEX32" s="545"/>
      <c r="VEY32" s="545"/>
      <c r="VEZ32" s="545"/>
      <c r="VFA32" s="545"/>
      <c r="VFB32" s="545"/>
      <c r="VFC32" s="545"/>
      <c r="VFD32" s="545"/>
      <c r="VFE32" s="545"/>
      <c r="VFF32" s="545"/>
      <c r="VFG32" s="545"/>
      <c r="VFH32" s="545"/>
      <c r="VFI32" s="545"/>
      <c r="VFJ32" s="545"/>
      <c r="VFK32" s="545"/>
      <c r="VFL32" s="545"/>
      <c r="VFM32" s="545"/>
      <c r="VFN32" s="545"/>
      <c r="VFO32" s="545"/>
      <c r="VFP32" s="545"/>
      <c r="VFQ32" s="545"/>
      <c r="VFR32" s="545"/>
      <c r="VFS32" s="545"/>
      <c r="VFT32" s="545"/>
      <c r="VFU32" s="545"/>
      <c r="VFV32" s="545"/>
      <c r="VFW32" s="545"/>
      <c r="VFX32" s="545"/>
      <c r="VFY32" s="545"/>
      <c r="VFZ32" s="545"/>
      <c r="VGA32" s="545"/>
      <c r="VGB32" s="545"/>
      <c r="VGC32" s="545"/>
      <c r="VGD32" s="545"/>
      <c r="VGE32" s="545"/>
      <c r="VGF32" s="545"/>
      <c r="VGG32" s="545"/>
      <c r="VGH32" s="545"/>
      <c r="VGI32" s="545"/>
      <c r="VGJ32" s="545"/>
      <c r="VGK32" s="545"/>
      <c r="VGL32" s="545"/>
      <c r="VGM32" s="545"/>
      <c r="VGN32" s="545"/>
      <c r="VGO32" s="545"/>
      <c r="VGP32" s="545"/>
      <c r="VGQ32" s="545"/>
      <c r="VGR32" s="545"/>
      <c r="VGS32" s="545"/>
      <c r="VGT32" s="545"/>
      <c r="VGU32" s="545"/>
      <c r="VGV32" s="545"/>
      <c r="VGW32" s="545"/>
      <c r="VGX32" s="545"/>
      <c r="VGY32" s="545"/>
      <c r="VGZ32" s="545"/>
      <c r="VHA32" s="545"/>
      <c r="VHB32" s="545"/>
      <c r="VHC32" s="545"/>
      <c r="VHD32" s="545"/>
      <c r="VHE32" s="545"/>
      <c r="VHF32" s="545"/>
      <c r="VHG32" s="545"/>
      <c r="VHH32" s="545"/>
      <c r="VHI32" s="545"/>
      <c r="VHJ32" s="545"/>
      <c r="VHK32" s="545"/>
      <c r="VHL32" s="545"/>
      <c r="VHM32" s="545"/>
      <c r="VHN32" s="545"/>
      <c r="VHO32" s="545"/>
      <c r="VHP32" s="545"/>
      <c r="VHQ32" s="545"/>
      <c r="VHR32" s="545"/>
      <c r="VHS32" s="545"/>
      <c r="VHT32" s="545"/>
      <c r="VHU32" s="545"/>
      <c r="VHV32" s="545"/>
      <c r="VHW32" s="545"/>
      <c r="VHX32" s="545"/>
      <c r="VHY32" s="545"/>
      <c r="VHZ32" s="545"/>
      <c r="VIA32" s="545"/>
      <c r="VIB32" s="545"/>
      <c r="VIC32" s="545"/>
      <c r="VID32" s="545"/>
      <c r="VIE32" s="545"/>
      <c r="VIF32" s="545"/>
      <c r="VIG32" s="545"/>
      <c r="VIH32" s="545"/>
      <c r="VII32" s="545"/>
      <c r="VIJ32" s="545"/>
      <c r="VIK32" s="545"/>
      <c r="VIL32" s="545"/>
      <c r="VIM32" s="545"/>
      <c r="VIN32" s="545"/>
      <c r="VIO32" s="545"/>
      <c r="VIP32" s="545"/>
      <c r="VIQ32" s="545"/>
      <c r="VIR32" s="545"/>
      <c r="VIS32" s="545"/>
      <c r="VIT32" s="545"/>
      <c r="VIU32" s="545"/>
      <c r="VIV32" s="545"/>
      <c r="VIW32" s="545"/>
      <c r="VIX32" s="545"/>
      <c r="VIY32" s="545"/>
      <c r="VIZ32" s="545"/>
      <c r="VJA32" s="545"/>
      <c r="VJB32" s="545"/>
      <c r="VJC32" s="545"/>
      <c r="VJD32" s="545"/>
      <c r="VJE32" s="545"/>
      <c r="VJF32" s="545"/>
      <c r="VJG32" s="545"/>
      <c r="VJH32" s="545"/>
      <c r="VJI32" s="545"/>
      <c r="VJJ32" s="545"/>
      <c r="VJK32" s="545"/>
      <c r="VJL32" s="545"/>
      <c r="VJM32" s="545"/>
      <c r="VJN32" s="545"/>
      <c r="VJO32" s="545"/>
      <c r="VJP32" s="545"/>
      <c r="VJQ32" s="545"/>
      <c r="VJR32" s="545"/>
      <c r="VJS32" s="545"/>
      <c r="VJT32" s="545"/>
      <c r="VJU32" s="545"/>
      <c r="VJV32" s="545"/>
      <c r="VJW32" s="545"/>
      <c r="VJX32" s="545"/>
      <c r="VJY32" s="545"/>
      <c r="VJZ32" s="545"/>
      <c r="VKA32" s="545"/>
      <c r="VKB32" s="545"/>
      <c r="VKC32" s="545"/>
      <c r="VKD32" s="545"/>
      <c r="VKE32" s="545"/>
      <c r="VKF32" s="545"/>
      <c r="VKG32" s="545"/>
      <c r="VKH32" s="545"/>
      <c r="VKI32" s="545"/>
      <c r="VKJ32" s="545"/>
      <c r="VKK32" s="545"/>
      <c r="VKL32" s="545"/>
      <c r="VKM32" s="545"/>
      <c r="VKN32" s="545"/>
      <c r="VKO32" s="545"/>
      <c r="VKP32" s="545"/>
      <c r="VKQ32" s="545"/>
      <c r="VKR32" s="545"/>
      <c r="VKS32" s="545"/>
      <c r="VKT32" s="545"/>
      <c r="VKU32" s="545"/>
      <c r="VKV32" s="545"/>
      <c r="VKW32" s="545"/>
      <c r="VKX32" s="545"/>
      <c r="VKY32" s="545"/>
      <c r="VKZ32" s="545"/>
      <c r="VLA32" s="545"/>
      <c r="VLB32" s="545"/>
      <c r="VLC32" s="545"/>
      <c r="VLD32" s="545"/>
      <c r="VLE32" s="545"/>
      <c r="VLF32" s="545"/>
      <c r="VLG32" s="545"/>
      <c r="VLH32" s="545"/>
      <c r="VLI32" s="545"/>
      <c r="VLJ32" s="545"/>
      <c r="VLK32" s="545"/>
      <c r="VLL32" s="545"/>
      <c r="VLM32" s="545"/>
      <c r="VLN32" s="545"/>
      <c r="VLO32" s="545"/>
      <c r="VLP32" s="545"/>
      <c r="VLQ32" s="545"/>
      <c r="VLR32" s="545"/>
      <c r="VLS32" s="545"/>
      <c r="VLT32" s="545"/>
      <c r="VLU32" s="545"/>
      <c r="VLV32" s="545"/>
      <c r="VLW32" s="545"/>
      <c r="VLX32" s="545"/>
      <c r="VLY32" s="545"/>
      <c r="VLZ32" s="545"/>
      <c r="VMA32" s="545"/>
      <c r="VMB32" s="545"/>
      <c r="VMC32" s="545"/>
      <c r="VMD32" s="545"/>
      <c r="VME32" s="545"/>
      <c r="VMF32" s="545"/>
      <c r="VMG32" s="545"/>
      <c r="VMH32" s="545"/>
      <c r="VMI32" s="545"/>
      <c r="VMJ32" s="545"/>
      <c r="VMK32" s="545"/>
      <c r="VML32" s="545"/>
      <c r="VMM32" s="545"/>
      <c r="VMN32" s="545"/>
      <c r="VMO32" s="545"/>
      <c r="VMP32" s="545"/>
      <c r="VMQ32" s="545"/>
      <c r="VMR32" s="545"/>
      <c r="VMS32" s="545"/>
      <c r="VMT32" s="545"/>
      <c r="VMU32" s="545"/>
      <c r="VMV32" s="545"/>
      <c r="VMW32" s="545"/>
      <c r="VMX32" s="545"/>
      <c r="VMY32" s="545"/>
      <c r="VMZ32" s="545"/>
      <c r="VNA32" s="545"/>
      <c r="VNB32" s="545"/>
      <c r="VNC32" s="545"/>
      <c r="VND32" s="545"/>
      <c r="VNE32" s="545"/>
      <c r="VNF32" s="545"/>
      <c r="VNG32" s="545"/>
      <c r="VNH32" s="545"/>
      <c r="VNI32" s="545"/>
      <c r="VNJ32" s="545"/>
      <c r="VNK32" s="545"/>
      <c r="VNL32" s="545"/>
      <c r="VNM32" s="545"/>
      <c r="VNN32" s="545"/>
      <c r="VNO32" s="545"/>
      <c r="VNP32" s="545"/>
      <c r="VNQ32" s="545"/>
      <c r="VNR32" s="545"/>
      <c r="VNS32" s="545"/>
      <c r="VNT32" s="545"/>
      <c r="VNU32" s="545"/>
      <c r="VNV32" s="545"/>
      <c r="VNW32" s="545"/>
      <c r="VNX32" s="545"/>
      <c r="VNY32" s="545"/>
      <c r="VNZ32" s="545"/>
      <c r="VOA32" s="545"/>
      <c r="VOB32" s="545"/>
      <c r="VOC32" s="545"/>
      <c r="VOD32" s="545"/>
      <c r="VOE32" s="545"/>
      <c r="VOF32" s="545"/>
      <c r="VOG32" s="545"/>
      <c r="VOH32" s="545"/>
      <c r="VOI32" s="545"/>
      <c r="VOJ32" s="545"/>
      <c r="VOK32" s="545"/>
      <c r="VOL32" s="545"/>
      <c r="VOM32" s="545"/>
      <c r="VON32" s="545"/>
      <c r="VOO32" s="545"/>
      <c r="VOP32" s="545"/>
      <c r="VOQ32" s="545"/>
      <c r="VOR32" s="545"/>
      <c r="VOS32" s="545"/>
      <c r="VOT32" s="545"/>
      <c r="VOU32" s="545"/>
      <c r="VOV32" s="545"/>
      <c r="VOW32" s="545"/>
      <c r="VOX32" s="545"/>
      <c r="VOY32" s="545"/>
      <c r="VOZ32" s="545"/>
      <c r="VPA32" s="545"/>
      <c r="VPB32" s="545"/>
      <c r="VPC32" s="545"/>
      <c r="VPD32" s="545"/>
      <c r="VPE32" s="545"/>
      <c r="VPF32" s="545"/>
      <c r="VPG32" s="545"/>
      <c r="VPH32" s="545"/>
      <c r="VPI32" s="545"/>
      <c r="VPJ32" s="545"/>
      <c r="VPK32" s="545"/>
      <c r="VPL32" s="545"/>
      <c r="VPM32" s="545"/>
      <c r="VPN32" s="545"/>
      <c r="VPO32" s="545"/>
      <c r="VPP32" s="545"/>
      <c r="VPQ32" s="545"/>
      <c r="VPR32" s="545"/>
      <c r="VPS32" s="545"/>
      <c r="VPT32" s="545"/>
      <c r="VPU32" s="545"/>
      <c r="VPV32" s="545"/>
      <c r="VPW32" s="545"/>
      <c r="VPX32" s="545"/>
      <c r="VPY32" s="545"/>
      <c r="VPZ32" s="545"/>
      <c r="VQA32" s="545"/>
      <c r="VQB32" s="545"/>
      <c r="VQC32" s="545"/>
      <c r="VQD32" s="545"/>
      <c r="VQE32" s="545"/>
      <c r="VQF32" s="545"/>
      <c r="VQG32" s="545"/>
      <c r="VQH32" s="545"/>
      <c r="VQI32" s="545"/>
      <c r="VQJ32" s="545"/>
      <c r="VQK32" s="545"/>
      <c r="VQL32" s="545"/>
      <c r="VQM32" s="545"/>
      <c r="VQN32" s="545"/>
      <c r="VQO32" s="545"/>
      <c r="VQP32" s="545"/>
      <c r="VQQ32" s="545"/>
      <c r="VQR32" s="545"/>
      <c r="VQS32" s="545"/>
      <c r="VQT32" s="545"/>
      <c r="VQU32" s="545"/>
      <c r="VQV32" s="545"/>
      <c r="VQW32" s="545"/>
      <c r="VQX32" s="545"/>
      <c r="VQY32" s="545"/>
      <c r="VQZ32" s="545"/>
      <c r="VRA32" s="545"/>
      <c r="VRB32" s="545"/>
      <c r="VRC32" s="545"/>
      <c r="VRD32" s="545"/>
      <c r="VRE32" s="545"/>
      <c r="VRF32" s="545"/>
      <c r="VRG32" s="545"/>
      <c r="VRH32" s="545"/>
      <c r="VRI32" s="545"/>
      <c r="VRJ32" s="545"/>
      <c r="VRK32" s="545"/>
      <c r="VRL32" s="545"/>
      <c r="VRM32" s="545"/>
      <c r="VRN32" s="545"/>
      <c r="VRO32" s="545"/>
      <c r="VRP32" s="545"/>
      <c r="VRQ32" s="545"/>
      <c r="VRR32" s="545"/>
      <c r="VRS32" s="545"/>
      <c r="VRT32" s="545"/>
      <c r="VRU32" s="545"/>
      <c r="VRV32" s="545"/>
      <c r="VRW32" s="545"/>
      <c r="VRX32" s="545"/>
      <c r="VRY32" s="545"/>
      <c r="VRZ32" s="545"/>
      <c r="VSA32" s="545"/>
      <c r="VSB32" s="545"/>
      <c r="VSC32" s="545"/>
      <c r="VSD32" s="545"/>
      <c r="VSE32" s="545"/>
      <c r="VSF32" s="545"/>
      <c r="VSG32" s="545"/>
      <c r="VSH32" s="545"/>
      <c r="VSI32" s="545"/>
      <c r="VSJ32" s="545"/>
      <c r="VSK32" s="545"/>
      <c r="VSL32" s="545"/>
      <c r="VSM32" s="545"/>
      <c r="VSN32" s="545"/>
      <c r="VSO32" s="545"/>
      <c r="VSP32" s="545"/>
      <c r="VSQ32" s="545"/>
      <c r="VSR32" s="545"/>
      <c r="VSS32" s="545"/>
      <c r="VST32" s="545"/>
      <c r="VSU32" s="545"/>
      <c r="VSV32" s="545"/>
      <c r="VSW32" s="545"/>
      <c r="VSX32" s="545"/>
      <c r="VSY32" s="545"/>
      <c r="VSZ32" s="545"/>
      <c r="VTA32" s="545"/>
      <c r="VTB32" s="545"/>
      <c r="VTC32" s="545"/>
      <c r="VTD32" s="545"/>
      <c r="VTE32" s="545"/>
      <c r="VTF32" s="545"/>
      <c r="VTG32" s="545"/>
      <c r="VTH32" s="545"/>
      <c r="VTI32" s="545"/>
      <c r="VTJ32" s="545"/>
      <c r="VTK32" s="545"/>
      <c r="VTL32" s="545"/>
      <c r="VTM32" s="545"/>
      <c r="VTN32" s="545"/>
      <c r="VTO32" s="545"/>
      <c r="VTP32" s="545"/>
      <c r="VTQ32" s="545"/>
      <c r="VTR32" s="545"/>
      <c r="VTS32" s="545"/>
      <c r="VTT32" s="545"/>
      <c r="VTU32" s="545"/>
      <c r="VTV32" s="545"/>
      <c r="VTW32" s="545"/>
      <c r="VTX32" s="545"/>
      <c r="VTY32" s="545"/>
      <c r="VTZ32" s="545"/>
      <c r="VUA32" s="545"/>
      <c r="VUB32" s="545"/>
      <c r="VUC32" s="545"/>
      <c r="VUD32" s="545"/>
      <c r="VUE32" s="545"/>
      <c r="VUF32" s="545"/>
      <c r="VUG32" s="545"/>
      <c r="VUH32" s="545"/>
      <c r="VUI32" s="545"/>
      <c r="VUJ32" s="545"/>
      <c r="VUK32" s="545"/>
      <c r="VUL32" s="545"/>
      <c r="VUM32" s="545"/>
      <c r="VUN32" s="545"/>
      <c r="VUO32" s="545"/>
      <c r="VUP32" s="545"/>
      <c r="VUQ32" s="545"/>
      <c r="VUR32" s="545"/>
      <c r="VUS32" s="545"/>
      <c r="VUT32" s="545"/>
      <c r="VUU32" s="545"/>
      <c r="VUV32" s="545"/>
      <c r="VUW32" s="545"/>
      <c r="VUX32" s="545"/>
      <c r="VUY32" s="545"/>
      <c r="VUZ32" s="545"/>
      <c r="VVA32" s="545"/>
      <c r="VVB32" s="545"/>
      <c r="VVC32" s="545"/>
      <c r="VVD32" s="545"/>
      <c r="VVE32" s="545"/>
      <c r="VVF32" s="545"/>
      <c r="VVG32" s="545"/>
      <c r="VVH32" s="545"/>
      <c r="VVI32" s="545"/>
      <c r="VVJ32" s="545"/>
      <c r="VVK32" s="545"/>
      <c r="VVL32" s="545"/>
      <c r="VVM32" s="545"/>
      <c r="VVN32" s="545"/>
      <c r="VVO32" s="545"/>
      <c r="VVP32" s="545"/>
      <c r="VVQ32" s="545"/>
      <c r="VVR32" s="545"/>
      <c r="VVS32" s="545"/>
      <c r="VVT32" s="545"/>
      <c r="VVU32" s="545"/>
      <c r="VVV32" s="545"/>
      <c r="VVW32" s="545"/>
      <c r="VVX32" s="545"/>
      <c r="VVY32" s="545"/>
      <c r="VVZ32" s="545"/>
      <c r="VWA32" s="545"/>
      <c r="VWB32" s="545"/>
      <c r="VWC32" s="545"/>
      <c r="VWD32" s="545"/>
      <c r="VWE32" s="545"/>
      <c r="VWF32" s="545"/>
      <c r="VWG32" s="545"/>
      <c r="VWH32" s="545"/>
      <c r="VWI32" s="545"/>
      <c r="VWJ32" s="545"/>
      <c r="VWK32" s="545"/>
      <c r="VWL32" s="545"/>
      <c r="VWM32" s="545"/>
      <c r="VWN32" s="545"/>
      <c r="VWO32" s="545"/>
      <c r="VWP32" s="545"/>
      <c r="VWQ32" s="545"/>
      <c r="VWR32" s="545"/>
      <c r="VWS32" s="545"/>
      <c r="VWT32" s="545"/>
      <c r="VWU32" s="545"/>
      <c r="VWV32" s="545"/>
      <c r="VWW32" s="545"/>
      <c r="VWX32" s="545"/>
      <c r="VWY32" s="545"/>
      <c r="VWZ32" s="545"/>
      <c r="VXA32" s="545"/>
      <c r="VXB32" s="545"/>
      <c r="VXC32" s="545"/>
      <c r="VXD32" s="545"/>
      <c r="VXE32" s="545"/>
      <c r="VXF32" s="545"/>
      <c r="VXG32" s="545"/>
      <c r="VXH32" s="545"/>
      <c r="VXI32" s="545"/>
      <c r="VXJ32" s="545"/>
      <c r="VXK32" s="545"/>
      <c r="VXL32" s="545"/>
      <c r="VXM32" s="545"/>
      <c r="VXN32" s="545"/>
      <c r="VXO32" s="545"/>
      <c r="VXP32" s="545"/>
      <c r="VXQ32" s="545"/>
      <c r="VXR32" s="545"/>
      <c r="VXS32" s="545"/>
      <c r="VXT32" s="545"/>
      <c r="VXU32" s="545"/>
      <c r="VXV32" s="545"/>
      <c r="VXW32" s="545"/>
      <c r="VXX32" s="545"/>
      <c r="VXY32" s="545"/>
      <c r="VXZ32" s="545"/>
      <c r="VYA32" s="545"/>
      <c r="VYB32" s="545"/>
      <c r="VYC32" s="545"/>
      <c r="VYD32" s="545"/>
      <c r="VYE32" s="545"/>
      <c r="VYF32" s="545"/>
      <c r="VYG32" s="545"/>
      <c r="VYH32" s="545"/>
      <c r="VYI32" s="545"/>
      <c r="VYJ32" s="545"/>
      <c r="VYK32" s="545"/>
      <c r="VYL32" s="545"/>
      <c r="VYM32" s="545"/>
      <c r="VYN32" s="545"/>
      <c r="VYO32" s="545"/>
      <c r="VYP32" s="545"/>
      <c r="VYQ32" s="545"/>
      <c r="VYR32" s="545"/>
      <c r="VYS32" s="545"/>
      <c r="VYT32" s="545"/>
      <c r="VYU32" s="545"/>
      <c r="VYV32" s="545"/>
      <c r="VYW32" s="545"/>
      <c r="VYX32" s="545"/>
      <c r="VYY32" s="545"/>
      <c r="VYZ32" s="545"/>
      <c r="VZA32" s="545"/>
      <c r="VZB32" s="545"/>
      <c r="VZC32" s="545"/>
      <c r="VZD32" s="545"/>
      <c r="VZE32" s="545"/>
      <c r="VZF32" s="545"/>
      <c r="VZG32" s="545"/>
      <c r="VZH32" s="545"/>
      <c r="VZI32" s="545"/>
      <c r="VZJ32" s="545"/>
      <c r="VZK32" s="545"/>
      <c r="VZL32" s="545"/>
      <c r="VZM32" s="545"/>
      <c r="VZN32" s="545"/>
      <c r="VZO32" s="545"/>
      <c r="VZP32" s="545"/>
      <c r="VZQ32" s="545"/>
      <c r="VZR32" s="545"/>
      <c r="VZS32" s="545"/>
      <c r="VZT32" s="545"/>
      <c r="VZU32" s="545"/>
      <c r="VZV32" s="545"/>
      <c r="VZW32" s="545"/>
      <c r="VZX32" s="545"/>
      <c r="VZY32" s="545"/>
      <c r="VZZ32" s="545"/>
      <c r="WAA32" s="545"/>
      <c r="WAB32" s="545"/>
      <c r="WAC32" s="545"/>
      <c r="WAD32" s="545"/>
      <c r="WAE32" s="545"/>
      <c r="WAF32" s="545"/>
      <c r="WAG32" s="545"/>
      <c r="WAH32" s="545"/>
      <c r="WAI32" s="545"/>
      <c r="WAJ32" s="545"/>
      <c r="WAK32" s="545"/>
      <c r="WAL32" s="545"/>
      <c r="WAM32" s="545"/>
      <c r="WAN32" s="545"/>
      <c r="WAO32" s="545"/>
      <c r="WAP32" s="545"/>
      <c r="WAQ32" s="545"/>
      <c r="WAR32" s="545"/>
      <c r="WAS32" s="545"/>
      <c r="WAT32" s="545"/>
      <c r="WAU32" s="545"/>
      <c r="WAV32" s="545"/>
      <c r="WAW32" s="545"/>
      <c r="WAX32" s="545"/>
      <c r="WAY32" s="545"/>
      <c r="WAZ32" s="545"/>
      <c r="WBA32" s="545"/>
      <c r="WBB32" s="545"/>
      <c r="WBC32" s="545"/>
      <c r="WBD32" s="545"/>
      <c r="WBE32" s="545"/>
      <c r="WBF32" s="545"/>
      <c r="WBG32" s="545"/>
      <c r="WBH32" s="545"/>
      <c r="WBI32" s="545"/>
      <c r="WBJ32" s="545"/>
      <c r="WBK32" s="545"/>
      <c r="WBL32" s="545"/>
      <c r="WBM32" s="545"/>
      <c r="WBN32" s="545"/>
      <c r="WBO32" s="545"/>
      <c r="WBP32" s="545"/>
      <c r="WBQ32" s="545"/>
      <c r="WBR32" s="545"/>
      <c r="WBS32" s="545"/>
      <c r="WBT32" s="545"/>
      <c r="WBU32" s="545"/>
      <c r="WBV32" s="545"/>
      <c r="WBW32" s="545"/>
      <c r="WBX32" s="545"/>
      <c r="WBY32" s="545"/>
      <c r="WBZ32" s="545"/>
      <c r="WCA32" s="545"/>
      <c r="WCB32" s="545"/>
      <c r="WCC32" s="545"/>
      <c r="WCD32" s="545"/>
      <c r="WCE32" s="545"/>
      <c r="WCF32" s="545"/>
      <c r="WCG32" s="545"/>
      <c r="WCH32" s="545"/>
      <c r="WCI32" s="545"/>
      <c r="WCJ32" s="545"/>
      <c r="WCK32" s="545"/>
      <c r="WCL32" s="545"/>
      <c r="WCM32" s="545"/>
      <c r="WCN32" s="545"/>
      <c r="WCO32" s="545"/>
      <c r="WCP32" s="545"/>
      <c r="WCQ32" s="545"/>
      <c r="WCR32" s="545"/>
      <c r="WCS32" s="545"/>
      <c r="WCT32" s="545"/>
      <c r="WCU32" s="545"/>
      <c r="WCV32" s="545"/>
      <c r="WCW32" s="545"/>
      <c r="WCX32" s="545"/>
      <c r="WCY32" s="545"/>
      <c r="WCZ32" s="545"/>
      <c r="WDA32" s="545"/>
      <c r="WDB32" s="545"/>
      <c r="WDC32" s="545"/>
      <c r="WDD32" s="545"/>
      <c r="WDE32" s="545"/>
      <c r="WDF32" s="545"/>
      <c r="WDG32" s="545"/>
      <c r="WDH32" s="545"/>
      <c r="WDI32" s="545"/>
      <c r="WDJ32" s="545"/>
      <c r="WDK32" s="545"/>
      <c r="WDL32" s="545"/>
      <c r="WDM32" s="545"/>
      <c r="WDN32" s="545"/>
      <c r="WDO32" s="545"/>
      <c r="WDP32" s="545"/>
      <c r="WDQ32" s="545"/>
      <c r="WDR32" s="545"/>
      <c r="WDS32" s="545"/>
      <c r="WDT32" s="545"/>
      <c r="WDU32" s="545"/>
      <c r="WDV32" s="545"/>
      <c r="WDW32" s="545"/>
      <c r="WDX32" s="545"/>
      <c r="WDY32" s="545"/>
      <c r="WDZ32" s="545"/>
      <c r="WEA32" s="545"/>
      <c r="WEB32" s="545"/>
      <c r="WEC32" s="545"/>
      <c r="WED32" s="545"/>
      <c r="WEE32" s="545"/>
      <c r="WEF32" s="545"/>
      <c r="WEG32" s="545"/>
      <c r="WEH32" s="545"/>
      <c r="WEI32" s="545"/>
      <c r="WEJ32" s="545"/>
      <c r="WEK32" s="545"/>
      <c r="WEL32" s="545"/>
      <c r="WEM32" s="545"/>
      <c r="WEN32" s="545"/>
      <c r="WEO32" s="545"/>
      <c r="WEP32" s="545"/>
      <c r="WEQ32" s="545"/>
      <c r="WER32" s="545"/>
      <c r="WES32" s="545"/>
      <c r="WET32" s="545"/>
      <c r="WEU32" s="545"/>
      <c r="WEV32" s="545"/>
      <c r="WEW32" s="545"/>
      <c r="WEX32" s="545"/>
      <c r="WEY32" s="545"/>
      <c r="WEZ32" s="545"/>
      <c r="WFA32" s="545"/>
      <c r="WFB32" s="545"/>
      <c r="WFC32" s="545"/>
      <c r="WFD32" s="545"/>
      <c r="WFE32" s="545"/>
      <c r="WFF32" s="545"/>
      <c r="WFG32" s="545"/>
      <c r="WFH32" s="545"/>
      <c r="WFI32" s="545"/>
      <c r="WFJ32" s="545"/>
      <c r="WFK32" s="545"/>
      <c r="WFL32" s="545"/>
      <c r="WFM32" s="545"/>
      <c r="WFN32" s="545"/>
      <c r="WFO32" s="545"/>
      <c r="WFP32" s="545"/>
      <c r="WFQ32" s="545"/>
      <c r="WFR32" s="545"/>
      <c r="WFS32" s="545"/>
      <c r="WFT32" s="545"/>
      <c r="WFU32" s="545"/>
      <c r="WFV32" s="545"/>
      <c r="WFW32" s="545"/>
      <c r="WFX32" s="545"/>
      <c r="WFY32" s="545"/>
      <c r="WFZ32" s="545"/>
      <c r="WGA32" s="545"/>
      <c r="WGB32" s="545"/>
      <c r="WGC32" s="545"/>
      <c r="WGD32" s="545"/>
      <c r="WGE32" s="545"/>
      <c r="WGF32" s="545"/>
      <c r="WGG32" s="545"/>
      <c r="WGH32" s="545"/>
      <c r="WGI32" s="545"/>
      <c r="WGJ32" s="545"/>
      <c r="WGK32" s="545"/>
      <c r="WGL32" s="545"/>
      <c r="WGM32" s="545"/>
      <c r="WGN32" s="545"/>
      <c r="WGO32" s="545"/>
      <c r="WGP32" s="545"/>
      <c r="WGQ32" s="545"/>
      <c r="WGR32" s="545"/>
      <c r="WGS32" s="545"/>
      <c r="WGT32" s="545"/>
      <c r="WGU32" s="545"/>
      <c r="WGV32" s="545"/>
      <c r="WGW32" s="545"/>
      <c r="WGX32" s="545"/>
      <c r="WGY32" s="545"/>
      <c r="WGZ32" s="545"/>
      <c r="WHA32" s="545"/>
      <c r="WHB32" s="545"/>
      <c r="WHC32" s="545"/>
      <c r="WHD32" s="545"/>
      <c r="WHE32" s="545"/>
      <c r="WHF32" s="545"/>
      <c r="WHG32" s="545"/>
      <c r="WHH32" s="545"/>
      <c r="WHI32" s="545"/>
      <c r="WHJ32" s="545"/>
      <c r="WHK32" s="545"/>
      <c r="WHL32" s="545"/>
      <c r="WHM32" s="545"/>
      <c r="WHN32" s="545"/>
      <c r="WHO32" s="545"/>
      <c r="WHP32" s="545"/>
      <c r="WHQ32" s="545"/>
      <c r="WHR32" s="545"/>
      <c r="WHS32" s="545"/>
      <c r="WHT32" s="545"/>
      <c r="WHU32" s="545"/>
      <c r="WHV32" s="545"/>
      <c r="WHW32" s="545"/>
      <c r="WHX32" s="545"/>
      <c r="WHY32" s="545"/>
      <c r="WHZ32" s="545"/>
      <c r="WIA32" s="545"/>
      <c r="WIB32" s="545"/>
      <c r="WIC32" s="545"/>
      <c r="WID32" s="545"/>
      <c r="WIE32" s="545"/>
      <c r="WIF32" s="545"/>
      <c r="WIG32" s="545"/>
      <c r="WIH32" s="545"/>
      <c r="WII32" s="545"/>
      <c r="WIJ32" s="545"/>
      <c r="WIK32" s="545"/>
      <c r="WIL32" s="545"/>
      <c r="WIM32" s="545"/>
      <c r="WIN32" s="545"/>
      <c r="WIO32" s="545"/>
      <c r="WIP32" s="545"/>
      <c r="WIQ32" s="545"/>
      <c r="WIR32" s="545"/>
      <c r="WIS32" s="545"/>
      <c r="WIT32" s="545"/>
      <c r="WIU32" s="545"/>
      <c r="WIV32" s="545"/>
      <c r="WIW32" s="545"/>
      <c r="WIX32" s="545"/>
      <c r="WIY32" s="545"/>
      <c r="WIZ32" s="545"/>
      <c r="WJA32" s="545"/>
      <c r="WJB32" s="545"/>
      <c r="WJC32" s="545"/>
      <c r="WJD32" s="545"/>
      <c r="WJE32" s="545"/>
      <c r="WJF32" s="545"/>
      <c r="WJG32" s="545"/>
      <c r="WJH32" s="545"/>
      <c r="WJI32" s="545"/>
      <c r="WJJ32" s="545"/>
      <c r="WJK32" s="545"/>
      <c r="WJL32" s="545"/>
      <c r="WJM32" s="545"/>
      <c r="WJN32" s="545"/>
      <c r="WJO32" s="545"/>
      <c r="WJP32" s="545"/>
      <c r="WJQ32" s="545"/>
      <c r="WJR32" s="545"/>
      <c r="WJS32" s="545"/>
      <c r="WJT32" s="545"/>
      <c r="WJU32" s="545"/>
      <c r="WJV32" s="545"/>
      <c r="WJW32" s="545"/>
      <c r="WJX32" s="545"/>
      <c r="WJY32" s="545"/>
      <c r="WJZ32" s="545"/>
      <c r="WKA32" s="545"/>
      <c r="WKB32" s="545"/>
      <c r="WKC32" s="545"/>
      <c r="WKD32" s="545"/>
      <c r="WKE32" s="545"/>
      <c r="WKF32" s="545"/>
      <c r="WKG32" s="545"/>
      <c r="WKH32" s="545"/>
      <c r="WKI32" s="545"/>
      <c r="WKJ32" s="545"/>
      <c r="WKK32" s="545"/>
      <c r="WKL32" s="545"/>
      <c r="WKM32" s="545"/>
      <c r="WKN32" s="545"/>
      <c r="WKO32" s="545"/>
      <c r="WKP32" s="545"/>
      <c r="WKQ32" s="545"/>
      <c r="WKR32" s="545"/>
      <c r="WKS32" s="545"/>
      <c r="WKT32" s="545"/>
      <c r="WKU32" s="545"/>
      <c r="WKV32" s="545"/>
      <c r="WKW32" s="545"/>
      <c r="WKX32" s="545"/>
      <c r="WKY32" s="545"/>
      <c r="WKZ32" s="545"/>
      <c r="WLA32" s="545"/>
      <c r="WLB32" s="545"/>
      <c r="WLC32" s="545"/>
      <c r="WLD32" s="545"/>
      <c r="WLE32" s="545"/>
      <c r="WLF32" s="545"/>
      <c r="WLG32" s="545"/>
      <c r="WLH32" s="545"/>
      <c r="WLI32" s="545"/>
      <c r="WLJ32" s="545"/>
      <c r="WLK32" s="545"/>
      <c r="WLL32" s="545"/>
      <c r="WLM32" s="545"/>
      <c r="WLN32" s="545"/>
      <c r="WLO32" s="545"/>
      <c r="WLP32" s="545"/>
      <c r="WLQ32" s="545"/>
      <c r="WLR32" s="545"/>
      <c r="WLS32" s="545"/>
      <c r="WLT32" s="545"/>
      <c r="WLU32" s="545"/>
      <c r="WLV32" s="545"/>
      <c r="WLW32" s="545"/>
      <c r="WLX32" s="545"/>
      <c r="WLY32" s="545"/>
      <c r="WLZ32" s="545"/>
      <c r="WMA32" s="545"/>
      <c r="WMB32" s="545"/>
      <c r="WMC32" s="545"/>
      <c r="WMD32" s="545"/>
      <c r="WME32" s="545"/>
      <c r="WMF32" s="545"/>
      <c r="WMG32" s="545"/>
      <c r="WMH32" s="545"/>
      <c r="WMI32" s="545"/>
      <c r="WMJ32" s="545"/>
      <c r="WMK32" s="545"/>
      <c r="WML32" s="545"/>
      <c r="WMM32" s="545"/>
      <c r="WMN32" s="545"/>
      <c r="WMO32" s="545"/>
      <c r="WMP32" s="545"/>
      <c r="WMQ32" s="545"/>
      <c r="WMR32" s="545"/>
      <c r="WMS32" s="545"/>
      <c r="WMT32" s="545"/>
      <c r="WMU32" s="545"/>
      <c r="WMV32" s="545"/>
      <c r="WMW32" s="545"/>
      <c r="WMX32" s="545"/>
      <c r="WMY32" s="545"/>
      <c r="WMZ32" s="545"/>
      <c r="WNA32" s="545"/>
      <c r="WNB32" s="545"/>
      <c r="WNC32" s="545"/>
      <c r="WND32" s="545"/>
      <c r="WNE32" s="545"/>
      <c r="WNF32" s="545"/>
      <c r="WNG32" s="545"/>
      <c r="WNH32" s="545"/>
      <c r="WNI32" s="545"/>
      <c r="WNJ32" s="545"/>
      <c r="WNK32" s="545"/>
      <c r="WNL32" s="545"/>
      <c r="WNM32" s="545"/>
      <c r="WNN32" s="545"/>
      <c r="WNO32" s="545"/>
      <c r="WNP32" s="545"/>
      <c r="WNQ32" s="545"/>
      <c r="WNR32" s="545"/>
      <c r="WNS32" s="545"/>
      <c r="WNT32" s="545"/>
      <c r="WNU32" s="545"/>
      <c r="WNV32" s="545"/>
      <c r="WNW32" s="545"/>
      <c r="WNX32" s="545"/>
      <c r="WNY32" s="545"/>
      <c r="WNZ32" s="545"/>
      <c r="WOA32" s="545"/>
      <c r="WOB32" s="545"/>
      <c r="WOC32" s="545"/>
      <c r="WOD32" s="545"/>
      <c r="WOE32" s="545"/>
      <c r="WOF32" s="545"/>
      <c r="WOG32" s="545"/>
      <c r="WOH32" s="545"/>
      <c r="WOI32" s="545"/>
      <c r="WOJ32" s="545"/>
      <c r="WOK32" s="545"/>
      <c r="WOL32" s="545"/>
      <c r="WOM32" s="545"/>
      <c r="WON32" s="545"/>
      <c r="WOO32" s="545"/>
      <c r="WOP32" s="545"/>
      <c r="WOQ32" s="545"/>
      <c r="WOR32" s="545"/>
      <c r="WOS32" s="545"/>
      <c r="WOT32" s="545"/>
      <c r="WOU32" s="545"/>
      <c r="WOV32" s="545"/>
      <c r="WOW32" s="545"/>
      <c r="WOX32" s="545"/>
      <c r="WOY32" s="545"/>
      <c r="WOZ32" s="545"/>
      <c r="WPA32" s="545"/>
      <c r="WPB32" s="545"/>
      <c r="WPC32" s="545"/>
      <c r="WPD32" s="545"/>
      <c r="WPE32" s="545"/>
      <c r="WPF32" s="545"/>
      <c r="WPG32" s="545"/>
      <c r="WPH32" s="545"/>
      <c r="WPI32" s="545"/>
      <c r="WPJ32" s="545"/>
      <c r="WPK32" s="545"/>
      <c r="WPL32" s="545"/>
      <c r="WPM32" s="545"/>
      <c r="WPN32" s="545"/>
      <c r="WPO32" s="545"/>
      <c r="WPP32" s="545"/>
      <c r="WPQ32" s="545"/>
      <c r="WPR32" s="545"/>
      <c r="WPS32" s="545"/>
      <c r="WPT32" s="545"/>
      <c r="WPU32" s="545"/>
      <c r="WPV32" s="545"/>
      <c r="WPW32" s="545"/>
      <c r="WPX32" s="545"/>
      <c r="WPY32" s="545"/>
      <c r="WPZ32" s="545"/>
      <c r="WQA32" s="545"/>
      <c r="WQB32" s="545"/>
      <c r="WQC32" s="545"/>
      <c r="WQD32" s="545"/>
      <c r="WQE32" s="545"/>
      <c r="WQF32" s="545"/>
      <c r="WQG32" s="545"/>
      <c r="WQH32" s="545"/>
      <c r="WQI32" s="545"/>
      <c r="WQJ32" s="545"/>
      <c r="WQK32" s="545"/>
      <c r="WQL32" s="545"/>
      <c r="WQM32" s="545"/>
      <c r="WQN32" s="545"/>
      <c r="WQO32" s="545"/>
      <c r="WQP32" s="545"/>
      <c r="WQQ32" s="545"/>
      <c r="WQR32" s="545"/>
      <c r="WQS32" s="545"/>
      <c r="WQT32" s="545"/>
      <c r="WQU32" s="545"/>
      <c r="WQV32" s="545"/>
      <c r="WQW32" s="545"/>
      <c r="WQX32" s="545"/>
      <c r="WQY32" s="545"/>
      <c r="WQZ32" s="545"/>
      <c r="WRA32" s="545"/>
      <c r="WRB32" s="545"/>
      <c r="WRC32" s="545"/>
      <c r="WRD32" s="545"/>
      <c r="WRE32" s="545"/>
      <c r="WRF32" s="545"/>
      <c r="WRG32" s="545"/>
      <c r="WRH32" s="545"/>
      <c r="WRI32" s="545"/>
      <c r="WRJ32" s="545"/>
      <c r="WRK32" s="545"/>
      <c r="WRL32" s="545"/>
      <c r="WRM32" s="545"/>
      <c r="WRN32" s="545"/>
      <c r="WRO32" s="545"/>
      <c r="WRP32" s="545"/>
      <c r="WRQ32" s="545"/>
      <c r="WRR32" s="545"/>
      <c r="WRS32" s="545"/>
      <c r="WRT32" s="545"/>
      <c r="WRU32" s="545"/>
      <c r="WRV32" s="545"/>
      <c r="WRW32" s="545"/>
      <c r="WRX32" s="545"/>
      <c r="WRY32" s="545"/>
      <c r="WRZ32" s="545"/>
      <c r="WSA32" s="545"/>
      <c r="WSB32" s="545"/>
      <c r="WSC32" s="545"/>
      <c r="WSD32" s="545"/>
      <c r="WSE32" s="545"/>
      <c r="WSF32" s="545"/>
      <c r="WSG32" s="545"/>
      <c r="WSH32" s="545"/>
      <c r="WSI32" s="545"/>
      <c r="WSJ32" s="545"/>
      <c r="WSK32" s="545"/>
      <c r="WSL32" s="545"/>
      <c r="WSM32" s="545"/>
      <c r="WSN32" s="545"/>
      <c r="WSO32" s="545"/>
      <c r="WSP32" s="545"/>
      <c r="WSQ32" s="545"/>
      <c r="WSR32" s="545"/>
      <c r="WSS32" s="545"/>
      <c r="WST32" s="545"/>
      <c r="WSU32" s="545"/>
      <c r="WSV32" s="545"/>
      <c r="WSW32" s="545"/>
      <c r="WSX32" s="545"/>
      <c r="WSY32" s="545"/>
      <c r="WSZ32" s="545"/>
      <c r="WTA32" s="545"/>
      <c r="WTB32" s="545"/>
      <c r="WTC32" s="545"/>
      <c r="WTD32" s="545"/>
      <c r="WTE32" s="545"/>
      <c r="WTF32" s="545"/>
      <c r="WTG32" s="545"/>
      <c r="WTH32" s="545"/>
      <c r="WTI32" s="545"/>
      <c r="WTJ32" s="545"/>
      <c r="WTK32" s="545"/>
      <c r="WTL32" s="545"/>
      <c r="WTM32" s="545"/>
      <c r="WTN32" s="545"/>
      <c r="WTO32" s="545"/>
      <c r="WTP32" s="545"/>
      <c r="WTQ32" s="545"/>
      <c r="WTR32" s="545"/>
      <c r="WTS32" s="545"/>
      <c r="WTT32" s="545"/>
      <c r="WTU32" s="545"/>
      <c r="WTV32" s="545"/>
      <c r="WTW32" s="545"/>
      <c r="WTX32" s="545"/>
      <c r="WTY32" s="545"/>
      <c r="WTZ32" s="545"/>
      <c r="WUA32" s="545"/>
      <c r="WUB32" s="545"/>
      <c r="WUC32" s="545"/>
      <c r="WUD32" s="545"/>
      <c r="WUE32" s="545"/>
      <c r="WUF32" s="545"/>
      <c r="WUG32" s="545"/>
      <c r="WUH32" s="545"/>
      <c r="WUI32" s="545"/>
      <c r="WUJ32" s="545"/>
      <c r="WUK32" s="545"/>
      <c r="WUL32" s="545"/>
      <c r="WUM32" s="545"/>
      <c r="WUN32" s="545"/>
      <c r="WUO32" s="545"/>
      <c r="WUP32" s="545"/>
      <c r="WUQ32" s="545"/>
      <c r="WUR32" s="545"/>
      <c r="WUS32" s="545"/>
      <c r="WUT32" s="545"/>
      <c r="WUU32" s="545"/>
      <c r="WUV32" s="545"/>
      <c r="WUW32" s="545"/>
      <c r="WUX32" s="545"/>
      <c r="WUY32" s="545"/>
      <c r="WUZ32" s="545"/>
      <c r="WVA32" s="545"/>
      <c r="WVB32" s="545"/>
      <c r="WVC32" s="545"/>
      <c r="WVD32" s="545"/>
      <c r="WVE32" s="545"/>
      <c r="WVF32" s="545"/>
      <c r="WVG32" s="545"/>
      <c r="WVH32" s="545"/>
      <c r="WVI32" s="545"/>
      <c r="WVJ32" s="545"/>
      <c r="WVK32" s="545"/>
      <c r="WVL32" s="545"/>
      <c r="WVM32" s="545"/>
      <c r="WVN32" s="545"/>
      <c r="WVO32" s="545"/>
      <c r="WVP32" s="545"/>
      <c r="WVQ32" s="545"/>
      <c r="WVR32" s="545"/>
      <c r="WVS32" s="545"/>
    </row>
    <row r="33" spans="1:16139" s="546" customFormat="1" ht="64.5" hidden="1" customHeight="1" outlineLevel="1">
      <c r="A33" s="547" t="s">
        <v>23</v>
      </c>
      <c r="B33" s="550" t="s">
        <v>1977</v>
      </c>
      <c r="C33" s="549">
        <f t="shared" si="15"/>
        <v>57038.258504999998</v>
      </c>
      <c r="D33" s="549">
        <f>D34+D35</f>
        <v>11337.84</v>
      </c>
      <c r="E33" s="549">
        <f t="shared" ref="E33:M33" si="17">E34+E35</f>
        <v>8274.6029999999992</v>
      </c>
      <c r="F33" s="1447">
        <f t="shared" si="17"/>
        <v>4000</v>
      </c>
      <c r="G33" s="549">
        <f t="shared" si="17"/>
        <v>4290</v>
      </c>
      <c r="H33" s="549">
        <f t="shared" si="17"/>
        <v>5400</v>
      </c>
      <c r="I33" s="549">
        <f t="shared" si="17"/>
        <v>4600</v>
      </c>
      <c r="J33" s="549">
        <f t="shared" si="17"/>
        <v>8045.1101019999996</v>
      </c>
      <c r="K33" s="549">
        <f t="shared" si="17"/>
        <v>0</v>
      </c>
      <c r="L33" s="549">
        <f t="shared" si="17"/>
        <v>6413.7054029999999</v>
      </c>
      <c r="M33" s="549">
        <f t="shared" si="17"/>
        <v>4677</v>
      </c>
      <c r="N33" s="1599" t="s">
        <v>2473</v>
      </c>
      <c r="O33" s="667"/>
      <c r="P33" s="545"/>
      <c r="Q33" s="545"/>
      <c r="R33" s="579"/>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c r="IT33" s="545"/>
      <c r="IU33" s="545"/>
      <c r="IV33" s="545"/>
      <c r="IW33" s="545"/>
      <c r="IX33" s="545"/>
      <c r="IY33" s="545"/>
      <c r="IZ33" s="545"/>
      <c r="JA33" s="545"/>
      <c r="JB33" s="545"/>
      <c r="JC33" s="545"/>
      <c r="JD33" s="545"/>
      <c r="JE33" s="545"/>
      <c r="JF33" s="545"/>
      <c r="JG33" s="545"/>
      <c r="JH33" s="545"/>
      <c r="JI33" s="545"/>
      <c r="JJ33" s="545"/>
      <c r="JK33" s="545"/>
      <c r="JL33" s="545"/>
      <c r="JM33" s="545"/>
      <c r="JN33" s="545"/>
      <c r="JO33" s="545"/>
      <c r="JP33" s="545"/>
      <c r="JQ33" s="545"/>
      <c r="JR33" s="545"/>
      <c r="JS33" s="545"/>
      <c r="JT33" s="545"/>
      <c r="JU33" s="545"/>
      <c r="JV33" s="545"/>
      <c r="JW33" s="545"/>
      <c r="JX33" s="545"/>
      <c r="JY33" s="545"/>
      <c r="JZ33" s="545"/>
      <c r="KA33" s="545"/>
      <c r="KB33" s="545"/>
      <c r="KC33" s="545"/>
      <c r="KD33" s="545"/>
      <c r="KE33" s="545"/>
      <c r="KF33" s="545"/>
      <c r="KG33" s="545"/>
      <c r="KH33" s="545"/>
      <c r="KI33" s="545"/>
      <c r="KJ33" s="545"/>
      <c r="KK33" s="545"/>
      <c r="KL33" s="545"/>
      <c r="KM33" s="545"/>
      <c r="KN33" s="545"/>
      <c r="KO33" s="545"/>
      <c r="KP33" s="545"/>
      <c r="KQ33" s="545"/>
      <c r="KR33" s="545"/>
      <c r="KS33" s="545"/>
      <c r="KT33" s="545"/>
      <c r="KU33" s="545"/>
      <c r="KV33" s="545"/>
      <c r="KW33" s="545"/>
      <c r="KX33" s="545"/>
      <c r="KY33" s="545"/>
      <c r="KZ33" s="545"/>
      <c r="LA33" s="545"/>
      <c r="LB33" s="545"/>
      <c r="LC33" s="545"/>
      <c r="LD33" s="545"/>
      <c r="LE33" s="545"/>
      <c r="LF33" s="545"/>
      <c r="LG33" s="545"/>
      <c r="LH33" s="545"/>
      <c r="LI33" s="545"/>
      <c r="LJ33" s="545"/>
      <c r="LK33" s="545"/>
      <c r="LL33" s="545"/>
      <c r="LM33" s="545"/>
      <c r="LN33" s="545"/>
      <c r="LO33" s="545"/>
      <c r="LP33" s="545"/>
      <c r="LQ33" s="545"/>
      <c r="LR33" s="545"/>
      <c r="LS33" s="545"/>
      <c r="LT33" s="545"/>
      <c r="LU33" s="545"/>
      <c r="LV33" s="545"/>
      <c r="LW33" s="545"/>
      <c r="LX33" s="545"/>
      <c r="LY33" s="545"/>
      <c r="LZ33" s="545"/>
      <c r="MA33" s="545"/>
      <c r="MB33" s="545"/>
      <c r="MC33" s="545"/>
      <c r="MD33" s="545"/>
      <c r="ME33" s="545"/>
      <c r="MF33" s="545"/>
      <c r="MG33" s="545"/>
      <c r="MH33" s="545"/>
      <c r="MI33" s="545"/>
      <c r="MJ33" s="545"/>
      <c r="MK33" s="545"/>
      <c r="ML33" s="545"/>
      <c r="MM33" s="545"/>
      <c r="MN33" s="545"/>
      <c r="MO33" s="545"/>
      <c r="MP33" s="545"/>
      <c r="MQ33" s="545"/>
      <c r="MR33" s="545"/>
      <c r="MS33" s="545"/>
      <c r="MT33" s="545"/>
      <c r="MU33" s="545"/>
      <c r="MV33" s="545"/>
      <c r="MW33" s="545"/>
      <c r="MX33" s="545"/>
      <c r="MY33" s="545"/>
      <c r="MZ33" s="545"/>
      <c r="NA33" s="545"/>
      <c r="NB33" s="545"/>
      <c r="NC33" s="545"/>
      <c r="ND33" s="545"/>
      <c r="NE33" s="545"/>
      <c r="NF33" s="545"/>
      <c r="NG33" s="545"/>
      <c r="NH33" s="545"/>
      <c r="NI33" s="545"/>
      <c r="NJ33" s="545"/>
      <c r="NK33" s="545"/>
      <c r="NL33" s="545"/>
      <c r="NM33" s="545"/>
      <c r="NN33" s="545"/>
      <c r="NO33" s="545"/>
      <c r="NP33" s="545"/>
      <c r="NQ33" s="545"/>
      <c r="NR33" s="545"/>
      <c r="NS33" s="545"/>
      <c r="NT33" s="545"/>
      <c r="NU33" s="545"/>
      <c r="NV33" s="545"/>
      <c r="NW33" s="545"/>
      <c r="NX33" s="545"/>
      <c r="NY33" s="545"/>
      <c r="NZ33" s="545"/>
      <c r="OA33" s="545"/>
      <c r="OB33" s="545"/>
      <c r="OC33" s="545"/>
      <c r="OD33" s="545"/>
      <c r="OE33" s="545"/>
      <c r="OF33" s="545"/>
      <c r="OG33" s="545"/>
      <c r="OH33" s="545"/>
      <c r="OI33" s="545"/>
      <c r="OJ33" s="545"/>
      <c r="OK33" s="545"/>
      <c r="OL33" s="545"/>
      <c r="OM33" s="545"/>
      <c r="ON33" s="545"/>
      <c r="OO33" s="545"/>
      <c r="OP33" s="545"/>
      <c r="OQ33" s="545"/>
      <c r="OR33" s="545"/>
      <c r="OS33" s="545"/>
      <c r="OT33" s="545"/>
      <c r="OU33" s="545"/>
      <c r="OV33" s="545"/>
      <c r="OW33" s="545"/>
      <c r="OX33" s="545"/>
      <c r="OY33" s="545"/>
      <c r="OZ33" s="545"/>
      <c r="PA33" s="545"/>
      <c r="PB33" s="545"/>
      <c r="PC33" s="545"/>
      <c r="PD33" s="545"/>
      <c r="PE33" s="545"/>
      <c r="PF33" s="545"/>
      <c r="PG33" s="545"/>
      <c r="PH33" s="545"/>
      <c r="PI33" s="545"/>
      <c r="PJ33" s="545"/>
      <c r="PK33" s="545"/>
      <c r="PL33" s="545"/>
      <c r="PM33" s="545"/>
      <c r="PN33" s="545"/>
      <c r="PO33" s="545"/>
      <c r="PP33" s="545"/>
      <c r="PQ33" s="545"/>
      <c r="PR33" s="545"/>
      <c r="PS33" s="545"/>
      <c r="PT33" s="545"/>
      <c r="PU33" s="545"/>
      <c r="PV33" s="545"/>
      <c r="PW33" s="545"/>
      <c r="PX33" s="545"/>
      <c r="PY33" s="545"/>
      <c r="PZ33" s="545"/>
      <c r="QA33" s="545"/>
      <c r="QB33" s="545"/>
      <c r="QC33" s="545"/>
      <c r="QD33" s="545"/>
      <c r="QE33" s="545"/>
      <c r="QF33" s="545"/>
      <c r="QG33" s="545"/>
      <c r="QH33" s="545"/>
      <c r="QI33" s="545"/>
      <c r="QJ33" s="545"/>
      <c r="QK33" s="545"/>
      <c r="QL33" s="545"/>
      <c r="QM33" s="545"/>
      <c r="QN33" s="545"/>
      <c r="QO33" s="545"/>
      <c r="QP33" s="545"/>
      <c r="QQ33" s="545"/>
      <c r="QR33" s="545"/>
      <c r="QS33" s="545"/>
      <c r="QT33" s="545"/>
      <c r="QU33" s="545"/>
      <c r="QV33" s="545"/>
      <c r="QW33" s="545"/>
      <c r="QX33" s="545"/>
      <c r="QY33" s="545"/>
      <c r="QZ33" s="545"/>
      <c r="RA33" s="545"/>
      <c r="RB33" s="545"/>
      <c r="RC33" s="545"/>
      <c r="RD33" s="545"/>
      <c r="RE33" s="545"/>
      <c r="RF33" s="545"/>
      <c r="RG33" s="545"/>
      <c r="RH33" s="545"/>
      <c r="RI33" s="545"/>
      <c r="RJ33" s="545"/>
      <c r="RK33" s="545"/>
      <c r="RL33" s="545"/>
      <c r="RM33" s="545"/>
      <c r="RN33" s="545"/>
      <c r="RO33" s="545"/>
      <c r="RP33" s="545"/>
      <c r="RQ33" s="545"/>
      <c r="RR33" s="545"/>
      <c r="RS33" s="545"/>
      <c r="RT33" s="545"/>
      <c r="RU33" s="545"/>
      <c r="RV33" s="545"/>
      <c r="RW33" s="545"/>
      <c r="RX33" s="545"/>
      <c r="RY33" s="545"/>
      <c r="RZ33" s="545"/>
      <c r="SA33" s="545"/>
      <c r="SB33" s="545"/>
      <c r="SC33" s="545"/>
      <c r="SD33" s="545"/>
      <c r="SE33" s="545"/>
      <c r="SF33" s="545"/>
      <c r="SG33" s="545"/>
      <c r="SH33" s="545"/>
      <c r="SI33" s="545"/>
      <c r="SJ33" s="545"/>
      <c r="SK33" s="545"/>
      <c r="SL33" s="545"/>
      <c r="SM33" s="545"/>
      <c r="SN33" s="545"/>
      <c r="SO33" s="545"/>
      <c r="SP33" s="545"/>
      <c r="SQ33" s="545"/>
      <c r="SR33" s="545"/>
      <c r="SS33" s="545"/>
      <c r="ST33" s="545"/>
      <c r="SU33" s="545"/>
      <c r="SV33" s="545"/>
      <c r="SW33" s="545"/>
      <c r="SX33" s="545"/>
      <c r="SY33" s="545"/>
      <c r="SZ33" s="545"/>
      <c r="TA33" s="545"/>
      <c r="TB33" s="545"/>
      <c r="TC33" s="545"/>
      <c r="TD33" s="545"/>
      <c r="TE33" s="545"/>
      <c r="TF33" s="545"/>
      <c r="TG33" s="545"/>
      <c r="TH33" s="545"/>
      <c r="TI33" s="545"/>
      <c r="TJ33" s="545"/>
      <c r="TK33" s="545"/>
      <c r="TL33" s="545"/>
      <c r="TM33" s="545"/>
      <c r="TN33" s="545"/>
      <c r="TO33" s="545"/>
      <c r="TP33" s="545"/>
      <c r="TQ33" s="545"/>
      <c r="TR33" s="545"/>
      <c r="TS33" s="545"/>
      <c r="TT33" s="545"/>
      <c r="TU33" s="545"/>
      <c r="TV33" s="545"/>
      <c r="TW33" s="545"/>
      <c r="TX33" s="545"/>
      <c r="TY33" s="545"/>
      <c r="TZ33" s="545"/>
      <c r="UA33" s="545"/>
      <c r="UB33" s="545"/>
      <c r="UC33" s="545"/>
      <c r="UD33" s="545"/>
      <c r="UE33" s="545"/>
      <c r="UF33" s="545"/>
      <c r="UG33" s="545"/>
      <c r="UH33" s="545"/>
      <c r="UI33" s="545"/>
      <c r="UJ33" s="545"/>
      <c r="UK33" s="545"/>
      <c r="UL33" s="545"/>
      <c r="UM33" s="545"/>
      <c r="UN33" s="545"/>
      <c r="UO33" s="545"/>
      <c r="UP33" s="545"/>
      <c r="UQ33" s="545"/>
      <c r="UR33" s="545"/>
      <c r="US33" s="545"/>
      <c r="UT33" s="545"/>
      <c r="UU33" s="545"/>
      <c r="UV33" s="545"/>
      <c r="UW33" s="545"/>
      <c r="UX33" s="545"/>
      <c r="UY33" s="545"/>
      <c r="UZ33" s="545"/>
      <c r="VA33" s="545"/>
      <c r="VB33" s="545"/>
      <c r="VC33" s="545"/>
      <c r="VD33" s="545"/>
      <c r="VE33" s="545"/>
      <c r="VF33" s="545"/>
      <c r="VG33" s="545"/>
      <c r="VH33" s="545"/>
      <c r="VI33" s="545"/>
      <c r="VJ33" s="545"/>
      <c r="VK33" s="545"/>
      <c r="VL33" s="545"/>
      <c r="VM33" s="545"/>
      <c r="VN33" s="545"/>
      <c r="VO33" s="545"/>
      <c r="VP33" s="545"/>
      <c r="VQ33" s="545"/>
      <c r="VR33" s="545"/>
      <c r="VS33" s="545"/>
      <c r="VT33" s="545"/>
      <c r="VU33" s="545"/>
      <c r="VV33" s="545"/>
      <c r="VW33" s="545"/>
      <c r="VX33" s="545"/>
      <c r="VY33" s="545"/>
      <c r="VZ33" s="545"/>
      <c r="WA33" s="545"/>
      <c r="WB33" s="545"/>
      <c r="WC33" s="545"/>
      <c r="WD33" s="545"/>
      <c r="WE33" s="545"/>
      <c r="WF33" s="545"/>
      <c r="WG33" s="545"/>
      <c r="WH33" s="545"/>
      <c r="WI33" s="545"/>
      <c r="WJ33" s="545"/>
      <c r="WK33" s="545"/>
      <c r="WL33" s="545"/>
      <c r="WM33" s="545"/>
      <c r="WN33" s="545"/>
      <c r="WO33" s="545"/>
      <c r="WP33" s="545"/>
      <c r="WQ33" s="545"/>
      <c r="WR33" s="545"/>
      <c r="WS33" s="545"/>
      <c r="WT33" s="545"/>
      <c r="WU33" s="545"/>
      <c r="WV33" s="545"/>
      <c r="WW33" s="545"/>
      <c r="WX33" s="545"/>
      <c r="WY33" s="545"/>
      <c r="WZ33" s="545"/>
      <c r="XA33" s="545"/>
      <c r="XB33" s="545"/>
      <c r="XC33" s="545"/>
      <c r="XD33" s="545"/>
      <c r="XE33" s="545"/>
      <c r="XF33" s="545"/>
      <c r="XG33" s="545"/>
      <c r="XH33" s="545"/>
      <c r="XI33" s="545"/>
      <c r="XJ33" s="545"/>
      <c r="XK33" s="545"/>
      <c r="XL33" s="545"/>
      <c r="XM33" s="545"/>
      <c r="XN33" s="545"/>
      <c r="XO33" s="545"/>
      <c r="XP33" s="545"/>
      <c r="XQ33" s="545"/>
      <c r="XR33" s="545"/>
      <c r="XS33" s="545"/>
      <c r="XT33" s="545"/>
      <c r="XU33" s="545"/>
      <c r="XV33" s="545"/>
      <c r="XW33" s="545"/>
      <c r="XX33" s="545"/>
      <c r="XY33" s="545"/>
      <c r="XZ33" s="545"/>
      <c r="YA33" s="545"/>
      <c r="YB33" s="545"/>
      <c r="YC33" s="545"/>
      <c r="YD33" s="545"/>
      <c r="YE33" s="545"/>
      <c r="YF33" s="545"/>
      <c r="YG33" s="545"/>
      <c r="YH33" s="545"/>
      <c r="YI33" s="545"/>
      <c r="YJ33" s="545"/>
      <c r="YK33" s="545"/>
      <c r="YL33" s="545"/>
      <c r="YM33" s="545"/>
      <c r="YN33" s="545"/>
      <c r="YO33" s="545"/>
      <c r="YP33" s="545"/>
      <c r="YQ33" s="545"/>
      <c r="YR33" s="545"/>
      <c r="YS33" s="545"/>
      <c r="YT33" s="545"/>
      <c r="YU33" s="545"/>
      <c r="YV33" s="545"/>
      <c r="YW33" s="545"/>
      <c r="YX33" s="545"/>
      <c r="YY33" s="545"/>
      <c r="YZ33" s="545"/>
      <c r="ZA33" s="545"/>
      <c r="ZB33" s="545"/>
      <c r="ZC33" s="545"/>
      <c r="ZD33" s="545"/>
      <c r="ZE33" s="545"/>
      <c r="ZF33" s="545"/>
      <c r="ZG33" s="545"/>
      <c r="ZH33" s="545"/>
      <c r="ZI33" s="545"/>
      <c r="ZJ33" s="545"/>
      <c r="ZK33" s="545"/>
      <c r="ZL33" s="545"/>
      <c r="ZM33" s="545"/>
      <c r="ZN33" s="545"/>
      <c r="ZO33" s="545"/>
      <c r="ZP33" s="545"/>
      <c r="ZQ33" s="545"/>
      <c r="ZR33" s="545"/>
      <c r="ZS33" s="545"/>
      <c r="ZT33" s="545"/>
      <c r="ZU33" s="545"/>
      <c r="ZV33" s="545"/>
      <c r="ZW33" s="545"/>
      <c r="ZX33" s="545"/>
      <c r="ZY33" s="545"/>
      <c r="ZZ33" s="545"/>
      <c r="AAA33" s="545"/>
      <c r="AAB33" s="545"/>
      <c r="AAC33" s="545"/>
      <c r="AAD33" s="545"/>
      <c r="AAE33" s="545"/>
      <c r="AAF33" s="545"/>
      <c r="AAG33" s="545"/>
      <c r="AAH33" s="545"/>
      <c r="AAI33" s="545"/>
      <c r="AAJ33" s="545"/>
      <c r="AAK33" s="545"/>
      <c r="AAL33" s="545"/>
      <c r="AAM33" s="545"/>
      <c r="AAN33" s="545"/>
      <c r="AAO33" s="545"/>
      <c r="AAP33" s="545"/>
      <c r="AAQ33" s="545"/>
      <c r="AAR33" s="545"/>
      <c r="AAS33" s="545"/>
      <c r="AAT33" s="545"/>
      <c r="AAU33" s="545"/>
      <c r="AAV33" s="545"/>
      <c r="AAW33" s="545"/>
      <c r="AAX33" s="545"/>
      <c r="AAY33" s="545"/>
      <c r="AAZ33" s="545"/>
      <c r="ABA33" s="545"/>
      <c r="ABB33" s="545"/>
      <c r="ABC33" s="545"/>
      <c r="ABD33" s="545"/>
      <c r="ABE33" s="545"/>
      <c r="ABF33" s="545"/>
      <c r="ABG33" s="545"/>
      <c r="ABH33" s="545"/>
      <c r="ABI33" s="545"/>
      <c r="ABJ33" s="545"/>
      <c r="ABK33" s="545"/>
      <c r="ABL33" s="545"/>
      <c r="ABM33" s="545"/>
      <c r="ABN33" s="545"/>
      <c r="ABO33" s="545"/>
      <c r="ABP33" s="545"/>
      <c r="ABQ33" s="545"/>
      <c r="ABR33" s="545"/>
      <c r="ABS33" s="545"/>
      <c r="ABT33" s="545"/>
      <c r="ABU33" s="545"/>
      <c r="ABV33" s="545"/>
      <c r="ABW33" s="545"/>
      <c r="ABX33" s="545"/>
      <c r="ABY33" s="545"/>
      <c r="ABZ33" s="545"/>
      <c r="ACA33" s="545"/>
      <c r="ACB33" s="545"/>
      <c r="ACC33" s="545"/>
      <c r="ACD33" s="545"/>
      <c r="ACE33" s="545"/>
      <c r="ACF33" s="545"/>
      <c r="ACG33" s="545"/>
      <c r="ACH33" s="545"/>
      <c r="ACI33" s="545"/>
      <c r="ACJ33" s="545"/>
      <c r="ACK33" s="545"/>
      <c r="ACL33" s="545"/>
      <c r="ACM33" s="545"/>
      <c r="ACN33" s="545"/>
      <c r="ACO33" s="545"/>
      <c r="ACP33" s="545"/>
      <c r="ACQ33" s="545"/>
      <c r="ACR33" s="545"/>
      <c r="ACS33" s="545"/>
      <c r="ACT33" s="545"/>
      <c r="ACU33" s="545"/>
      <c r="ACV33" s="545"/>
      <c r="ACW33" s="545"/>
      <c r="ACX33" s="545"/>
      <c r="ACY33" s="545"/>
      <c r="ACZ33" s="545"/>
      <c r="ADA33" s="545"/>
      <c r="ADB33" s="545"/>
      <c r="ADC33" s="545"/>
      <c r="ADD33" s="545"/>
      <c r="ADE33" s="545"/>
      <c r="ADF33" s="545"/>
      <c r="ADG33" s="545"/>
      <c r="ADH33" s="545"/>
      <c r="ADI33" s="545"/>
      <c r="ADJ33" s="545"/>
      <c r="ADK33" s="545"/>
      <c r="ADL33" s="545"/>
      <c r="ADM33" s="545"/>
      <c r="ADN33" s="545"/>
      <c r="ADO33" s="545"/>
      <c r="ADP33" s="545"/>
      <c r="ADQ33" s="545"/>
      <c r="ADR33" s="545"/>
      <c r="ADS33" s="545"/>
      <c r="ADT33" s="545"/>
      <c r="ADU33" s="545"/>
      <c r="ADV33" s="545"/>
      <c r="ADW33" s="545"/>
      <c r="ADX33" s="545"/>
      <c r="ADY33" s="545"/>
      <c r="ADZ33" s="545"/>
      <c r="AEA33" s="545"/>
      <c r="AEB33" s="545"/>
      <c r="AEC33" s="545"/>
      <c r="AED33" s="545"/>
      <c r="AEE33" s="545"/>
      <c r="AEF33" s="545"/>
      <c r="AEG33" s="545"/>
      <c r="AEH33" s="545"/>
      <c r="AEI33" s="545"/>
      <c r="AEJ33" s="545"/>
      <c r="AEK33" s="545"/>
      <c r="AEL33" s="545"/>
      <c r="AEM33" s="545"/>
      <c r="AEN33" s="545"/>
      <c r="AEO33" s="545"/>
      <c r="AEP33" s="545"/>
      <c r="AEQ33" s="545"/>
      <c r="AER33" s="545"/>
      <c r="AES33" s="545"/>
      <c r="AET33" s="545"/>
      <c r="AEU33" s="545"/>
      <c r="AEV33" s="545"/>
      <c r="AEW33" s="545"/>
      <c r="AEX33" s="545"/>
      <c r="AEY33" s="545"/>
      <c r="AEZ33" s="545"/>
      <c r="AFA33" s="545"/>
      <c r="AFB33" s="545"/>
      <c r="AFC33" s="545"/>
      <c r="AFD33" s="545"/>
      <c r="AFE33" s="545"/>
      <c r="AFF33" s="545"/>
      <c r="AFG33" s="545"/>
      <c r="AFH33" s="545"/>
      <c r="AFI33" s="545"/>
      <c r="AFJ33" s="545"/>
      <c r="AFK33" s="545"/>
      <c r="AFL33" s="545"/>
      <c r="AFM33" s="545"/>
      <c r="AFN33" s="545"/>
      <c r="AFO33" s="545"/>
      <c r="AFP33" s="545"/>
      <c r="AFQ33" s="545"/>
      <c r="AFR33" s="545"/>
      <c r="AFS33" s="545"/>
      <c r="AFT33" s="545"/>
      <c r="AFU33" s="545"/>
      <c r="AFV33" s="545"/>
      <c r="AFW33" s="545"/>
      <c r="AFX33" s="545"/>
      <c r="AFY33" s="545"/>
      <c r="AFZ33" s="545"/>
      <c r="AGA33" s="545"/>
      <c r="AGB33" s="545"/>
      <c r="AGC33" s="545"/>
      <c r="AGD33" s="545"/>
      <c r="AGE33" s="545"/>
      <c r="AGF33" s="545"/>
      <c r="AGG33" s="545"/>
      <c r="AGH33" s="545"/>
      <c r="AGI33" s="545"/>
      <c r="AGJ33" s="545"/>
      <c r="AGK33" s="545"/>
      <c r="AGL33" s="545"/>
      <c r="AGM33" s="545"/>
      <c r="AGN33" s="545"/>
      <c r="AGO33" s="545"/>
      <c r="AGP33" s="545"/>
      <c r="AGQ33" s="545"/>
      <c r="AGR33" s="545"/>
      <c r="AGS33" s="545"/>
      <c r="AGT33" s="545"/>
      <c r="AGU33" s="545"/>
      <c r="AGV33" s="545"/>
      <c r="AGW33" s="545"/>
      <c r="AGX33" s="545"/>
      <c r="AGY33" s="545"/>
      <c r="AGZ33" s="545"/>
      <c r="AHA33" s="545"/>
      <c r="AHB33" s="545"/>
      <c r="AHC33" s="545"/>
      <c r="AHD33" s="545"/>
      <c r="AHE33" s="545"/>
      <c r="AHF33" s="545"/>
      <c r="AHG33" s="545"/>
      <c r="AHH33" s="545"/>
      <c r="AHI33" s="545"/>
      <c r="AHJ33" s="545"/>
      <c r="AHK33" s="545"/>
      <c r="AHL33" s="545"/>
      <c r="AHM33" s="545"/>
      <c r="AHN33" s="545"/>
      <c r="AHO33" s="545"/>
      <c r="AHP33" s="545"/>
      <c r="AHQ33" s="545"/>
      <c r="AHR33" s="545"/>
      <c r="AHS33" s="545"/>
      <c r="AHT33" s="545"/>
      <c r="AHU33" s="545"/>
      <c r="AHV33" s="545"/>
      <c r="AHW33" s="545"/>
      <c r="AHX33" s="545"/>
      <c r="AHY33" s="545"/>
      <c r="AHZ33" s="545"/>
      <c r="AIA33" s="545"/>
      <c r="AIB33" s="545"/>
      <c r="AIC33" s="545"/>
      <c r="AID33" s="545"/>
      <c r="AIE33" s="545"/>
      <c r="AIF33" s="545"/>
      <c r="AIG33" s="545"/>
      <c r="AIH33" s="545"/>
      <c r="AII33" s="545"/>
      <c r="AIJ33" s="545"/>
      <c r="AIK33" s="545"/>
      <c r="AIL33" s="545"/>
      <c r="AIM33" s="545"/>
      <c r="AIN33" s="545"/>
      <c r="AIO33" s="545"/>
      <c r="AIP33" s="545"/>
      <c r="AIQ33" s="545"/>
      <c r="AIR33" s="545"/>
      <c r="AIS33" s="545"/>
      <c r="AIT33" s="545"/>
      <c r="AIU33" s="545"/>
      <c r="AIV33" s="545"/>
      <c r="AIW33" s="545"/>
      <c r="AIX33" s="545"/>
      <c r="AIY33" s="545"/>
      <c r="AIZ33" s="545"/>
      <c r="AJA33" s="545"/>
      <c r="AJB33" s="545"/>
      <c r="AJC33" s="545"/>
      <c r="AJD33" s="545"/>
      <c r="AJE33" s="545"/>
      <c r="AJF33" s="545"/>
      <c r="AJG33" s="545"/>
      <c r="AJH33" s="545"/>
      <c r="AJI33" s="545"/>
      <c r="AJJ33" s="545"/>
      <c r="AJK33" s="545"/>
      <c r="AJL33" s="545"/>
      <c r="AJM33" s="545"/>
      <c r="AJN33" s="545"/>
      <c r="AJO33" s="545"/>
      <c r="AJP33" s="545"/>
      <c r="AJQ33" s="545"/>
      <c r="AJR33" s="545"/>
      <c r="AJS33" s="545"/>
      <c r="AJT33" s="545"/>
      <c r="AJU33" s="545"/>
      <c r="AJV33" s="545"/>
      <c r="AJW33" s="545"/>
      <c r="AJX33" s="545"/>
      <c r="AJY33" s="545"/>
      <c r="AJZ33" s="545"/>
      <c r="AKA33" s="545"/>
      <c r="AKB33" s="545"/>
      <c r="AKC33" s="545"/>
      <c r="AKD33" s="545"/>
      <c r="AKE33" s="545"/>
      <c r="AKF33" s="545"/>
      <c r="AKG33" s="545"/>
      <c r="AKH33" s="545"/>
      <c r="AKI33" s="545"/>
      <c r="AKJ33" s="545"/>
      <c r="AKK33" s="545"/>
      <c r="AKL33" s="545"/>
      <c r="AKM33" s="545"/>
      <c r="AKN33" s="545"/>
      <c r="AKO33" s="545"/>
      <c r="AKP33" s="545"/>
      <c r="AKQ33" s="545"/>
      <c r="AKR33" s="545"/>
      <c r="AKS33" s="545"/>
      <c r="AKT33" s="545"/>
      <c r="AKU33" s="545"/>
      <c r="AKV33" s="545"/>
      <c r="AKW33" s="545"/>
      <c r="AKX33" s="545"/>
      <c r="AKY33" s="545"/>
      <c r="AKZ33" s="545"/>
      <c r="ALA33" s="545"/>
      <c r="ALB33" s="545"/>
      <c r="ALC33" s="545"/>
      <c r="ALD33" s="545"/>
      <c r="ALE33" s="545"/>
      <c r="ALF33" s="545"/>
      <c r="ALG33" s="545"/>
      <c r="ALH33" s="545"/>
      <c r="ALI33" s="545"/>
      <c r="ALJ33" s="545"/>
      <c r="ALK33" s="545"/>
      <c r="ALL33" s="545"/>
      <c r="ALM33" s="545"/>
      <c r="ALN33" s="545"/>
      <c r="ALO33" s="545"/>
      <c r="ALP33" s="545"/>
      <c r="ALQ33" s="545"/>
      <c r="ALR33" s="545"/>
      <c r="ALS33" s="545"/>
      <c r="ALT33" s="545"/>
      <c r="ALU33" s="545"/>
      <c r="ALV33" s="545"/>
      <c r="ALW33" s="545"/>
      <c r="ALX33" s="545"/>
      <c r="ALY33" s="545"/>
      <c r="ALZ33" s="545"/>
      <c r="AMA33" s="545"/>
      <c r="AMB33" s="545"/>
      <c r="AMC33" s="545"/>
      <c r="AMD33" s="545"/>
      <c r="AME33" s="545"/>
      <c r="AMF33" s="545"/>
      <c r="AMG33" s="545"/>
      <c r="AMH33" s="545"/>
      <c r="AMI33" s="545"/>
      <c r="AMJ33" s="545"/>
      <c r="AMK33" s="545"/>
      <c r="AML33" s="545"/>
      <c r="AMM33" s="545"/>
      <c r="AMN33" s="545"/>
      <c r="AMO33" s="545"/>
      <c r="AMP33" s="545"/>
      <c r="AMQ33" s="545"/>
      <c r="AMR33" s="545"/>
      <c r="AMS33" s="545"/>
      <c r="AMT33" s="545"/>
      <c r="AMU33" s="545"/>
      <c r="AMV33" s="545"/>
      <c r="AMW33" s="545"/>
      <c r="AMX33" s="545"/>
      <c r="AMY33" s="545"/>
      <c r="AMZ33" s="545"/>
      <c r="ANA33" s="545"/>
      <c r="ANB33" s="545"/>
      <c r="ANC33" s="545"/>
      <c r="AND33" s="545"/>
      <c r="ANE33" s="545"/>
      <c r="ANF33" s="545"/>
      <c r="ANG33" s="545"/>
      <c r="ANH33" s="545"/>
      <c r="ANI33" s="545"/>
      <c r="ANJ33" s="545"/>
      <c r="ANK33" s="545"/>
      <c r="ANL33" s="545"/>
      <c r="ANM33" s="545"/>
      <c r="ANN33" s="545"/>
      <c r="ANO33" s="545"/>
      <c r="ANP33" s="545"/>
      <c r="ANQ33" s="545"/>
      <c r="ANR33" s="545"/>
      <c r="ANS33" s="545"/>
      <c r="ANT33" s="545"/>
      <c r="ANU33" s="545"/>
      <c r="ANV33" s="545"/>
      <c r="ANW33" s="545"/>
      <c r="ANX33" s="545"/>
      <c r="ANY33" s="545"/>
      <c r="ANZ33" s="545"/>
      <c r="AOA33" s="545"/>
      <c r="AOB33" s="545"/>
      <c r="AOC33" s="545"/>
      <c r="AOD33" s="545"/>
      <c r="AOE33" s="545"/>
      <c r="AOF33" s="545"/>
      <c r="AOG33" s="545"/>
      <c r="AOH33" s="545"/>
      <c r="AOI33" s="545"/>
      <c r="AOJ33" s="545"/>
      <c r="AOK33" s="545"/>
      <c r="AOL33" s="545"/>
      <c r="AOM33" s="545"/>
      <c r="AON33" s="545"/>
      <c r="AOO33" s="545"/>
      <c r="AOP33" s="545"/>
      <c r="AOQ33" s="545"/>
      <c r="AOR33" s="545"/>
      <c r="AOS33" s="545"/>
      <c r="AOT33" s="545"/>
      <c r="AOU33" s="545"/>
      <c r="AOV33" s="545"/>
      <c r="AOW33" s="545"/>
      <c r="AOX33" s="545"/>
      <c r="AOY33" s="545"/>
      <c r="AOZ33" s="545"/>
      <c r="APA33" s="545"/>
      <c r="APB33" s="545"/>
      <c r="APC33" s="545"/>
      <c r="APD33" s="545"/>
      <c r="APE33" s="545"/>
      <c r="APF33" s="545"/>
      <c r="APG33" s="545"/>
      <c r="APH33" s="545"/>
      <c r="API33" s="545"/>
      <c r="APJ33" s="545"/>
      <c r="APK33" s="545"/>
      <c r="APL33" s="545"/>
      <c r="APM33" s="545"/>
      <c r="APN33" s="545"/>
      <c r="APO33" s="545"/>
      <c r="APP33" s="545"/>
      <c r="APQ33" s="545"/>
      <c r="APR33" s="545"/>
      <c r="APS33" s="545"/>
      <c r="APT33" s="545"/>
      <c r="APU33" s="545"/>
      <c r="APV33" s="545"/>
      <c r="APW33" s="545"/>
      <c r="APX33" s="545"/>
      <c r="APY33" s="545"/>
      <c r="APZ33" s="545"/>
      <c r="AQA33" s="545"/>
      <c r="AQB33" s="545"/>
      <c r="AQC33" s="545"/>
      <c r="AQD33" s="545"/>
      <c r="AQE33" s="545"/>
      <c r="AQF33" s="545"/>
      <c r="AQG33" s="545"/>
      <c r="AQH33" s="545"/>
      <c r="AQI33" s="545"/>
      <c r="AQJ33" s="545"/>
      <c r="AQK33" s="545"/>
      <c r="AQL33" s="545"/>
      <c r="AQM33" s="545"/>
      <c r="AQN33" s="545"/>
      <c r="AQO33" s="545"/>
      <c r="AQP33" s="545"/>
      <c r="AQQ33" s="545"/>
      <c r="AQR33" s="545"/>
      <c r="AQS33" s="545"/>
      <c r="AQT33" s="545"/>
      <c r="AQU33" s="545"/>
      <c r="AQV33" s="545"/>
      <c r="AQW33" s="545"/>
      <c r="AQX33" s="545"/>
      <c r="AQY33" s="545"/>
      <c r="AQZ33" s="545"/>
      <c r="ARA33" s="545"/>
      <c r="ARB33" s="545"/>
      <c r="ARC33" s="545"/>
      <c r="ARD33" s="545"/>
      <c r="ARE33" s="545"/>
      <c r="ARF33" s="545"/>
      <c r="ARG33" s="545"/>
      <c r="ARH33" s="545"/>
      <c r="ARI33" s="545"/>
      <c r="ARJ33" s="545"/>
      <c r="ARK33" s="545"/>
      <c r="ARL33" s="545"/>
      <c r="ARM33" s="545"/>
      <c r="ARN33" s="545"/>
      <c r="ARO33" s="545"/>
      <c r="ARP33" s="545"/>
      <c r="ARQ33" s="545"/>
      <c r="ARR33" s="545"/>
      <c r="ARS33" s="545"/>
      <c r="ART33" s="545"/>
      <c r="ARU33" s="545"/>
      <c r="ARV33" s="545"/>
      <c r="ARW33" s="545"/>
      <c r="ARX33" s="545"/>
      <c r="ARY33" s="545"/>
      <c r="ARZ33" s="545"/>
      <c r="ASA33" s="545"/>
      <c r="ASB33" s="545"/>
      <c r="ASC33" s="545"/>
      <c r="ASD33" s="545"/>
      <c r="ASE33" s="545"/>
      <c r="ASF33" s="545"/>
      <c r="ASG33" s="545"/>
      <c r="ASH33" s="545"/>
      <c r="ASI33" s="545"/>
      <c r="ASJ33" s="545"/>
      <c r="ASK33" s="545"/>
      <c r="ASL33" s="545"/>
      <c r="ASM33" s="545"/>
      <c r="ASN33" s="545"/>
      <c r="ASO33" s="545"/>
      <c r="ASP33" s="545"/>
      <c r="ASQ33" s="545"/>
      <c r="ASR33" s="545"/>
      <c r="ASS33" s="545"/>
      <c r="AST33" s="545"/>
      <c r="ASU33" s="545"/>
      <c r="ASV33" s="545"/>
      <c r="ASW33" s="545"/>
      <c r="ASX33" s="545"/>
      <c r="ASY33" s="545"/>
      <c r="ASZ33" s="545"/>
      <c r="ATA33" s="545"/>
      <c r="ATB33" s="545"/>
      <c r="ATC33" s="545"/>
      <c r="ATD33" s="545"/>
      <c r="ATE33" s="545"/>
      <c r="ATF33" s="545"/>
      <c r="ATG33" s="545"/>
      <c r="ATH33" s="545"/>
      <c r="ATI33" s="545"/>
      <c r="ATJ33" s="545"/>
      <c r="ATK33" s="545"/>
      <c r="ATL33" s="545"/>
      <c r="ATM33" s="545"/>
      <c r="ATN33" s="545"/>
      <c r="ATO33" s="545"/>
      <c r="ATP33" s="545"/>
      <c r="ATQ33" s="545"/>
      <c r="ATR33" s="545"/>
      <c r="ATS33" s="545"/>
      <c r="ATT33" s="545"/>
      <c r="ATU33" s="545"/>
      <c r="ATV33" s="545"/>
      <c r="ATW33" s="545"/>
      <c r="ATX33" s="545"/>
      <c r="ATY33" s="545"/>
      <c r="ATZ33" s="545"/>
      <c r="AUA33" s="545"/>
      <c r="AUB33" s="545"/>
      <c r="AUC33" s="545"/>
      <c r="AUD33" s="545"/>
      <c r="AUE33" s="545"/>
      <c r="AUF33" s="545"/>
      <c r="AUG33" s="545"/>
      <c r="AUH33" s="545"/>
      <c r="AUI33" s="545"/>
      <c r="AUJ33" s="545"/>
      <c r="AUK33" s="545"/>
      <c r="AUL33" s="545"/>
      <c r="AUM33" s="545"/>
      <c r="AUN33" s="545"/>
      <c r="AUO33" s="545"/>
      <c r="AUP33" s="545"/>
      <c r="AUQ33" s="545"/>
      <c r="AUR33" s="545"/>
      <c r="AUS33" s="545"/>
      <c r="AUT33" s="545"/>
      <c r="AUU33" s="545"/>
      <c r="AUV33" s="545"/>
      <c r="AUW33" s="545"/>
      <c r="AUX33" s="545"/>
      <c r="AUY33" s="545"/>
      <c r="AUZ33" s="545"/>
      <c r="AVA33" s="545"/>
      <c r="AVB33" s="545"/>
      <c r="AVC33" s="545"/>
      <c r="AVD33" s="545"/>
      <c r="AVE33" s="545"/>
      <c r="AVF33" s="545"/>
      <c r="AVG33" s="545"/>
      <c r="AVH33" s="545"/>
      <c r="AVI33" s="545"/>
      <c r="AVJ33" s="545"/>
      <c r="AVK33" s="545"/>
      <c r="AVL33" s="545"/>
      <c r="AVM33" s="545"/>
      <c r="AVN33" s="545"/>
      <c r="AVO33" s="545"/>
      <c r="AVP33" s="545"/>
      <c r="AVQ33" s="545"/>
      <c r="AVR33" s="545"/>
      <c r="AVS33" s="545"/>
      <c r="AVT33" s="545"/>
      <c r="AVU33" s="545"/>
      <c r="AVV33" s="545"/>
      <c r="AVW33" s="545"/>
      <c r="AVX33" s="545"/>
      <c r="AVY33" s="545"/>
      <c r="AVZ33" s="545"/>
      <c r="AWA33" s="545"/>
      <c r="AWB33" s="545"/>
      <c r="AWC33" s="545"/>
      <c r="AWD33" s="545"/>
      <c r="AWE33" s="545"/>
      <c r="AWF33" s="545"/>
      <c r="AWG33" s="545"/>
      <c r="AWH33" s="545"/>
      <c r="AWI33" s="545"/>
      <c r="AWJ33" s="545"/>
      <c r="AWK33" s="545"/>
      <c r="AWL33" s="545"/>
      <c r="AWM33" s="545"/>
      <c r="AWN33" s="545"/>
      <c r="AWO33" s="545"/>
      <c r="AWP33" s="545"/>
      <c r="AWQ33" s="545"/>
      <c r="AWR33" s="545"/>
      <c r="AWS33" s="545"/>
      <c r="AWT33" s="545"/>
      <c r="AWU33" s="545"/>
      <c r="AWV33" s="545"/>
      <c r="AWW33" s="545"/>
      <c r="AWX33" s="545"/>
      <c r="AWY33" s="545"/>
      <c r="AWZ33" s="545"/>
      <c r="AXA33" s="545"/>
      <c r="AXB33" s="545"/>
      <c r="AXC33" s="545"/>
      <c r="AXD33" s="545"/>
      <c r="AXE33" s="545"/>
      <c r="AXF33" s="545"/>
      <c r="AXG33" s="545"/>
      <c r="AXH33" s="545"/>
      <c r="AXI33" s="545"/>
      <c r="AXJ33" s="545"/>
      <c r="AXK33" s="545"/>
      <c r="AXL33" s="545"/>
      <c r="AXM33" s="545"/>
      <c r="AXN33" s="545"/>
      <c r="AXO33" s="545"/>
      <c r="AXP33" s="545"/>
      <c r="AXQ33" s="545"/>
      <c r="AXR33" s="545"/>
      <c r="AXS33" s="545"/>
      <c r="AXT33" s="545"/>
      <c r="AXU33" s="545"/>
      <c r="AXV33" s="545"/>
      <c r="AXW33" s="545"/>
      <c r="AXX33" s="545"/>
      <c r="AXY33" s="545"/>
      <c r="AXZ33" s="545"/>
      <c r="AYA33" s="545"/>
      <c r="AYB33" s="545"/>
      <c r="AYC33" s="545"/>
      <c r="AYD33" s="545"/>
      <c r="AYE33" s="545"/>
      <c r="AYF33" s="545"/>
      <c r="AYG33" s="545"/>
      <c r="AYH33" s="545"/>
      <c r="AYI33" s="545"/>
      <c r="AYJ33" s="545"/>
      <c r="AYK33" s="545"/>
      <c r="AYL33" s="545"/>
      <c r="AYM33" s="545"/>
      <c r="AYN33" s="545"/>
      <c r="AYO33" s="545"/>
      <c r="AYP33" s="545"/>
      <c r="AYQ33" s="545"/>
      <c r="AYR33" s="545"/>
      <c r="AYS33" s="545"/>
      <c r="AYT33" s="545"/>
      <c r="AYU33" s="545"/>
      <c r="AYV33" s="545"/>
      <c r="AYW33" s="545"/>
      <c r="AYX33" s="545"/>
      <c r="AYY33" s="545"/>
      <c r="AYZ33" s="545"/>
      <c r="AZA33" s="545"/>
      <c r="AZB33" s="545"/>
      <c r="AZC33" s="545"/>
      <c r="AZD33" s="545"/>
      <c r="AZE33" s="545"/>
      <c r="AZF33" s="545"/>
      <c r="AZG33" s="545"/>
      <c r="AZH33" s="545"/>
      <c r="AZI33" s="545"/>
      <c r="AZJ33" s="545"/>
      <c r="AZK33" s="545"/>
      <c r="AZL33" s="545"/>
      <c r="AZM33" s="545"/>
      <c r="AZN33" s="545"/>
      <c r="AZO33" s="545"/>
      <c r="AZP33" s="545"/>
      <c r="AZQ33" s="545"/>
      <c r="AZR33" s="545"/>
      <c r="AZS33" s="545"/>
      <c r="AZT33" s="545"/>
      <c r="AZU33" s="545"/>
      <c r="AZV33" s="545"/>
      <c r="AZW33" s="545"/>
      <c r="AZX33" s="545"/>
      <c r="AZY33" s="545"/>
      <c r="AZZ33" s="545"/>
      <c r="BAA33" s="545"/>
      <c r="BAB33" s="545"/>
      <c r="BAC33" s="545"/>
      <c r="BAD33" s="545"/>
      <c r="BAE33" s="545"/>
      <c r="BAF33" s="545"/>
      <c r="BAG33" s="545"/>
      <c r="BAH33" s="545"/>
      <c r="BAI33" s="545"/>
      <c r="BAJ33" s="545"/>
      <c r="BAK33" s="545"/>
      <c r="BAL33" s="545"/>
      <c r="BAM33" s="545"/>
      <c r="BAN33" s="545"/>
      <c r="BAO33" s="545"/>
      <c r="BAP33" s="545"/>
      <c r="BAQ33" s="545"/>
      <c r="BAR33" s="545"/>
      <c r="BAS33" s="545"/>
      <c r="BAT33" s="545"/>
      <c r="BAU33" s="545"/>
      <c r="BAV33" s="545"/>
      <c r="BAW33" s="545"/>
      <c r="BAX33" s="545"/>
      <c r="BAY33" s="545"/>
      <c r="BAZ33" s="545"/>
      <c r="BBA33" s="545"/>
      <c r="BBB33" s="545"/>
      <c r="BBC33" s="545"/>
      <c r="BBD33" s="545"/>
      <c r="BBE33" s="545"/>
      <c r="BBF33" s="545"/>
      <c r="BBG33" s="545"/>
      <c r="BBH33" s="545"/>
      <c r="BBI33" s="545"/>
      <c r="BBJ33" s="545"/>
      <c r="BBK33" s="545"/>
      <c r="BBL33" s="545"/>
      <c r="BBM33" s="545"/>
      <c r="BBN33" s="545"/>
      <c r="BBO33" s="545"/>
      <c r="BBP33" s="545"/>
      <c r="BBQ33" s="545"/>
      <c r="BBR33" s="545"/>
      <c r="BBS33" s="545"/>
      <c r="BBT33" s="545"/>
      <c r="BBU33" s="545"/>
      <c r="BBV33" s="545"/>
      <c r="BBW33" s="545"/>
      <c r="BBX33" s="545"/>
      <c r="BBY33" s="545"/>
      <c r="BBZ33" s="545"/>
      <c r="BCA33" s="545"/>
      <c r="BCB33" s="545"/>
      <c r="BCC33" s="545"/>
      <c r="BCD33" s="545"/>
      <c r="BCE33" s="545"/>
      <c r="BCF33" s="545"/>
      <c r="BCG33" s="545"/>
      <c r="BCH33" s="545"/>
      <c r="BCI33" s="545"/>
      <c r="BCJ33" s="545"/>
      <c r="BCK33" s="545"/>
      <c r="BCL33" s="545"/>
      <c r="BCM33" s="545"/>
      <c r="BCN33" s="545"/>
      <c r="BCO33" s="545"/>
      <c r="BCP33" s="545"/>
      <c r="BCQ33" s="545"/>
      <c r="BCR33" s="545"/>
      <c r="BCS33" s="545"/>
      <c r="BCT33" s="545"/>
      <c r="BCU33" s="545"/>
      <c r="BCV33" s="545"/>
      <c r="BCW33" s="545"/>
      <c r="BCX33" s="545"/>
      <c r="BCY33" s="545"/>
      <c r="BCZ33" s="545"/>
      <c r="BDA33" s="545"/>
      <c r="BDB33" s="545"/>
      <c r="BDC33" s="545"/>
      <c r="BDD33" s="545"/>
      <c r="BDE33" s="545"/>
      <c r="BDF33" s="545"/>
      <c r="BDG33" s="545"/>
      <c r="BDH33" s="545"/>
      <c r="BDI33" s="545"/>
      <c r="BDJ33" s="545"/>
      <c r="BDK33" s="545"/>
      <c r="BDL33" s="545"/>
      <c r="BDM33" s="545"/>
      <c r="BDN33" s="545"/>
      <c r="BDO33" s="545"/>
      <c r="BDP33" s="545"/>
      <c r="BDQ33" s="545"/>
      <c r="BDR33" s="545"/>
      <c r="BDS33" s="545"/>
      <c r="BDT33" s="545"/>
      <c r="BDU33" s="545"/>
      <c r="BDV33" s="545"/>
      <c r="BDW33" s="545"/>
      <c r="BDX33" s="545"/>
      <c r="BDY33" s="545"/>
      <c r="BDZ33" s="545"/>
      <c r="BEA33" s="545"/>
      <c r="BEB33" s="545"/>
      <c r="BEC33" s="545"/>
      <c r="BED33" s="545"/>
      <c r="BEE33" s="545"/>
      <c r="BEF33" s="545"/>
      <c r="BEG33" s="545"/>
      <c r="BEH33" s="545"/>
      <c r="BEI33" s="545"/>
      <c r="BEJ33" s="545"/>
      <c r="BEK33" s="545"/>
      <c r="BEL33" s="545"/>
      <c r="BEM33" s="545"/>
      <c r="BEN33" s="545"/>
      <c r="BEO33" s="545"/>
      <c r="BEP33" s="545"/>
      <c r="BEQ33" s="545"/>
      <c r="BER33" s="545"/>
      <c r="BES33" s="545"/>
      <c r="BET33" s="545"/>
      <c r="BEU33" s="545"/>
      <c r="BEV33" s="545"/>
      <c r="BEW33" s="545"/>
      <c r="BEX33" s="545"/>
      <c r="BEY33" s="545"/>
      <c r="BEZ33" s="545"/>
      <c r="BFA33" s="545"/>
      <c r="BFB33" s="545"/>
      <c r="BFC33" s="545"/>
      <c r="BFD33" s="545"/>
      <c r="BFE33" s="545"/>
      <c r="BFF33" s="545"/>
      <c r="BFG33" s="545"/>
      <c r="BFH33" s="545"/>
      <c r="BFI33" s="545"/>
      <c r="BFJ33" s="545"/>
      <c r="BFK33" s="545"/>
      <c r="BFL33" s="545"/>
      <c r="BFM33" s="545"/>
      <c r="BFN33" s="545"/>
      <c r="BFO33" s="545"/>
      <c r="BFP33" s="545"/>
      <c r="BFQ33" s="545"/>
      <c r="BFR33" s="545"/>
      <c r="BFS33" s="545"/>
      <c r="BFT33" s="545"/>
      <c r="BFU33" s="545"/>
      <c r="BFV33" s="545"/>
      <c r="BFW33" s="545"/>
      <c r="BFX33" s="545"/>
      <c r="BFY33" s="545"/>
      <c r="BFZ33" s="545"/>
      <c r="BGA33" s="545"/>
      <c r="BGB33" s="545"/>
      <c r="BGC33" s="545"/>
      <c r="BGD33" s="545"/>
      <c r="BGE33" s="545"/>
      <c r="BGF33" s="545"/>
      <c r="BGG33" s="545"/>
      <c r="BGH33" s="545"/>
      <c r="BGI33" s="545"/>
      <c r="BGJ33" s="545"/>
      <c r="BGK33" s="545"/>
      <c r="BGL33" s="545"/>
      <c r="BGM33" s="545"/>
      <c r="BGN33" s="545"/>
      <c r="BGO33" s="545"/>
      <c r="BGP33" s="545"/>
      <c r="BGQ33" s="545"/>
      <c r="BGR33" s="545"/>
      <c r="BGS33" s="545"/>
      <c r="BGT33" s="545"/>
      <c r="BGU33" s="545"/>
      <c r="BGV33" s="545"/>
      <c r="BGW33" s="545"/>
      <c r="BGX33" s="545"/>
      <c r="BGY33" s="545"/>
      <c r="BGZ33" s="545"/>
      <c r="BHA33" s="545"/>
      <c r="BHB33" s="545"/>
      <c r="BHC33" s="545"/>
      <c r="BHD33" s="545"/>
      <c r="BHE33" s="545"/>
      <c r="BHF33" s="545"/>
      <c r="BHG33" s="545"/>
      <c r="BHH33" s="545"/>
      <c r="BHI33" s="545"/>
      <c r="BHJ33" s="545"/>
      <c r="BHK33" s="545"/>
      <c r="BHL33" s="545"/>
      <c r="BHM33" s="545"/>
      <c r="BHN33" s="545"/>
      <c r="BHO33" s="545"/>
      <c r="BHP33" s="545"/>
      <c r="BHQ33" s="545"/>
      <c r="BHR33" s="545"/>
      <c r="BHS33" s="545"/>
      <c r="BHT33" s="545"/>
      <c r="BHU33" s="545"/>
      <c r="BHV33" s="545"/>
      <c r="BHW33" s="545"/>
      <c r="BHX33" s="545"/>
      <c r="BHY33" s="545"/>
      <c r="BHZ33" s="545"/>
      <c r="BIA33" s="545"/>
      <c r="BIB33" s="545"/>
      <c r="BIC33" s="545"/>
      <c r="BID33" s="545"/>
      <c r="BIE33" s="545"/>
      <c r="BIF33" s="545"/>
      <c r="BIG33" s="545"/>
      <c r="BIH33" s="545"/>
      <c r="BII33" s="545"/>
      <c r="BIJ33" s="545"/>
      <c r="BIK33" s="545"/>
      <c r="BIL33" s="545"/>
      <c r="BIM33" s="545"/>
      <c r="BIN33" s="545"/>
      <c r="BIO33" s="545"/>
      <c r="BIP33" s="545"/>
      <c r="BIQ33" s="545"/>
      <c r="BIR33" s="545"/>
      <c r="BIS33" s="545"/>
      <c r="BIT33" s="545"/>
      <c r="BIU33" s="545"/>
      <c r="BIV33" s="545"/>
      <c r="BIW33" s="545"/>
      <c r="BIX33" s="545"/>
      <c r="BIY33" s="545"/>
      <c r="BIZ33" s="545"/>
      <c r="BJA33" s="545"/>
      <c r="BJB33" s="545"/>
      <c r="BJC33" s="545"/>
      <c r="BJD33" s="545"/>
      <c r="BJE33" s="545"/>
      <c r="BJF33" s="545"/>
      <c r="BJG33" s="545"/>
      <c r="BJH33" s="545"/>
      <c r="BJI33" s="545"/>
      <c r="BJJ33" s="545"/>
      <c r="BJK33" s="545"/>
      <c r="BJL33" s="545"/>
      <c r="BJM33" s="545"/>
      <c r="BJN33" s="545"/>
      <c r="BJO33" s="545"/>
      <c r="BJP33" s="545"/>
      <c r="BJQ33" s="545"/>
      <c r="BJR33" s="545"/>
      <c r="BJS33" s="545"/>
      <c r="BJT33" s="545"/>
      <c r="BJU33" s="545"/>
      <c r="BJV33" s="545"/>
      <c r="BJW33" s="545"/>
      <c r="BJX33" s="545"/>
      <c r="BJY33" s="545"/>
      <c r="BJZ33" s="545"/>
      <c r="BKA33" s="545"/>
      <c r="BKB33" s="545"/>
      <c r="BKC33" s="545"/>
      <c r="BKD33" s="545"/>
      <c r="BKE33" s="545"/>
      <c r="BKF33" s="545"/>
      <c r="BKG33" s="545"/>
      <c r="BKH33" s="545"/>
      <c r="BKI33" s="545"/>
      <c r="BKJ33" s="545"/>
      <c r="BKK33" s="545"/>
      <c r="BKL33" s="545"/>
      <c r="BKM33" s="545"/>
      <c r="BKN33" s="545"/>
      <c r="BKO33" s="545"/>
      <c r="BKP33" s="545"/>
      <c r="BKQ33" s="545"/>
      <c r="BKR33" s="545"/>
      <c r="BKS33" s="545"/>
      <c r="BKT33" s="545"/>
      <c r="BKU33" s="545"/>
      <c r="BKV33" s="545"/>
      <c r="BKW33" s="545"/>
      <c r="BKX33" s="545"/>
      <c r="BKY33" s="545"/>
      <c r="BKZ33" s="545"/>
      <c r="BLA33" s="545"/>
      <c r="BLB33" s="545"/>
      <c r="BLC33" s="545"/>
      <c r="BLD33" s="545"/>
      <c r="BLE33" s="545"/>
      <c r="BLF33" s="545"/>
      <c r="BLG33" s="545"/>
      <c r="BLH33" s="545"/>
      <c r="BLI33" s="545"/>
      <c r="BLJ33" s="545"/>
      <c r="BLK33" s="545"/>
      <c r="BLL33" s="545"/>
      <c r="BLM33" s="545"/>
      <c r="BLN33" s="545"/>
      <c r="BLO33" s="545"/>
      <c r="BLP33" s="545"/>
      <c r="BLQ33" s="545"/>
      <c r="BLR33" s="545"/>
      <c r="BLS33" s="545"/>
      <c r="BLT33" s="545"/>
      <c r="BLU33" s="545"/>
      <c r="BLV33" s="545"/>
      <c r="BLW33" s="545"/>
      <c r="BLX33" s="545"/>
      <c r="BLY33" s="545"/>
      <c r="BLZ33" s="545"/>
      <c r="BMA33" s="545"/>
      <c r="BMB33" s="545"/>
      <c r="BMC33" s="545"/>
      <c r="BMD33" s="545"/>
      <c r="BME33" s="545"/>
      <c r="BMF33" s="545"/>
      <c r="BMG33" s="545"/>
      <c r="BMH33" s="545"/>
      <c r="BMI33" s="545"/>
      <c r="BMJ33" s="545"/>
      <c r="BMK33" s="545"/>
      <c r="BML33" s="545"/>
      <c r="BMM33" s="545"/>
      <c r="BMN33" s="545"/>
      <c r="BMO33" s="545"/>
      <c r="BMP33" s="545"/>
      <c r="BMQ33" s="545"/>
      <c r="BMR33" s="545"/>
      <c r="BMS33" s="545"/>
      <c r="BMT33" s="545"/>
      <c r="BMU33" s="545"/>
      <c r="BMV33" s="545"/>
      <c r="BMW33" s="545"/>
      <c r="BMX33" s="545"/>
      <c r="BMY33" s="545"/>
      <c r="BMZ33" s="545"/>
      <c r="BNA33" s="545"/>
      <c r="BNB33" s="545"/>
      <c r="BNC33" s="545"/>
      <c r="BND33" s="545"/>
      <c r="BNE33" s="545"/>
      <c r="BNF33" s="545"/>
      <c r="BNG33" s="545"/>
      <c r="BNH33" s="545"/>
      <c r="BNI33" s="545"/>
      <c r="BNJ33" s="545"/>
      <c r="BNK33" s="545"/>
      <c r="BNL33" s="545"/>
      <c r="BNM33" s="545"/>
      <c r="BNN33" s="545"/>
      <c r="BNO33" s="545"/>
      <c r="BNP33" s="545"/>
      <c r="BNQ33" s="545"/>
      <c r="BNR33" s="545"/>
      <c r="BNS33" s="545"/>
      <c r="BNT33" s="545"/>
      <c r="BNU33" s="545"/>
      <c r="BNV33" s="545"/>
      <c r="BNW33" s="545"/>
      <c r="BNX33" s="545"/>
      <c r="BNY33" s="545"/>
      <c r="BNZ33" s="545"/>
      <c r="BOA33" s="545"/>
      <c r="BOB33" s="545"/>
      <c r="BOC33" s="545"/>
      <c r="BOD33" s="545"/>
      <c r="BOE33" s="545"/>
      <c r="BOF33" s="545"/>
      <c r="BOG33" s="545"/>
      <c r="BOH33" s="545"/>
      <c r="BOI33" s="545"/>
      <c r="BOJ33" s="545"/>
      <c r="BOK33" s="545"/>
      <c r="BOL33" s="545"/>
      <c r="BOM33" s="545"/>
      <c r="BON33" s="545"/>
      <c r="BOO33" s="545"/>
      <c r="BOP33" s="545"/>
      <c r="BOQ33" s="545"/>
      <c r="BOR33" s="545"/>
      <c r="BOS33" s="545"/>
      <c r="BOT33" s="545"/>
      <c r="BOU33" s="545"/>
      <c r="BOV33" s="545"/>
      <c r="BOW33" s="545"/>
      <c r="BOX33" s="545"/>
      <c r="BOY33" s="545"/>
      <c r="BOZ33" s="545"/>
      <c r="BPA33" s="545"/>
      <c r="BPB33" s="545"/>
      <c r="BPC33" s="545"/>
      <c r="BPD33" s="545"/>
      <c r="BPE33" s="545"/>
      <c r="BPF33" s="545"/>
      <c r="BPG33" s="545"/>
      <c r="BPH33" s="545"/>
      <c r="BPI33" s="545"/>
      <c r="BPJ33" s="545"/>
      <c r="BPK33" s="545"/>
      <c r="BPL33" s="545"/>
      <c r="BPM33" s="545"/>
      <c r="BPN33" s="545"/>
      <c r="BPO33" s="545"/>
      <c r="BPP33" s="545"/>
      <c r="BPQ33" s="545"/>
      <c r="BPR33" s="545"/>
      <c r="BPS33" s="545"/>
      <c r="BPT33" s="545"/>
      <c r="BPU33" s="545"/>
      <c r="BPV33" s="545"/>
      <c r="BPW33" s="545"/>
      <c r="BPX33" s="545"/>
      <c r="BPY33" s="545"/>
      <c r="BPZ33" s="545"/>
      <c r="BQA33" s="545"/>
      <c r="BQB33" s="545"/>
      <c r="BQC33" s="545"/>
      <c r="BQD33" s="545"/>
      <c r="BQE33" s="545"/>
      <c r="BQF33" s="545"/>
      <c r="BQG33" s="545"/>
      <c r="BQH33" s="545"/>
      <c r="BQI33" s="545"/>
      <c r="BQJ33" s="545"/>
      <c r="BQK33" s="545"/>
      <c r="BQL33" s="545"/>
      <c r="BQM33" s="545"/>
      <c r="BQN33" s="545"/>
      <c r="BQO33" s="545"/>
      <c r="BQP33" s="545"/>
      <c r="BQQ33" s="545"/>
      <c r="BQR33" s="545"/>
      <c r="BQS33" s="545"/>
      <c r="BQT33" s="545"/>
      <c r="BQU33" s="545"/>
      <c r="BQV33" s="545"/>
      <c r="BQW33" s="545"/>
      <c r="BQX33" s="545"/>
      <c r="BQY33" s="545"/>
      <c r="BQZ33" s="545"/>
      <c r="BRA33" s="545"/>
      <c r="BRB33" s="545"/>
      <c r="BRC33" s="545"/>
      <c r="BRD33" s="545"/>
      <c r="BRE33" s="545"/>
      <c r="BRF33" s="545"/>
      <c r="BRG33" s="545"/>
      <c r="BRH33" s="545"/>
      <c r="BRI33" s="545"/>
      <c r="BRJ33" s="545"/>
      <c r="BRK33" s="545"/>
      <c r="BRL33" s="545"/>
      <c r="BRM33" s="545"/>
      <c r="BRN33" s="545"/>
      <c r="BRO33" s="545"/>
      <c r="BRP33" s="545"/>
      <c r="BRQ33" s="545"/>
      <c r="BRR33" s="545"/>
      <c r="BRS33" s="545"/>
      <c r="BRT33" s="545"/>
      <c r="BRU33" s="545"/>
      <c r="BRV33" s="545"/>
      <c r="BRW33" s="545"/>
      <c r="BRX33" s="545"/>
      <c r="BRY33" s="545"/>
      <c r="BRZ33" s="545"/>
      <c r="BSA33" s="545"/>
      <c r="BSB33" s="545"/>
      <c r="BSC33" s="545"/>
      <c r="BSD33" s="545"/>
      <c r="BSE33" s="545"/>
      <c r="BSF33" s="545"/>
      <c r="BSG33" s="545"/>
      <c r="BSH33" s="545"/>
      <c r="BSI33" s="545"/>
      <c r="BSJ33" s="545"/>
      <c r="BSK33" s="545"/>
      <c r="BSL33" s="545"/>
      <c r="BSM33" s="545"/>
      <c r="BSN33" s="545"/>
      <c r="BSO33" s="545"/>
      <c r="BSP33" s="545"/>
      <c r="BSQ33" s="545"/>
      <c r="BSR33" s="545"/>
      <c r="BSS33" s="545"/>
      <c r="BST33" s="545"/>
      <c r="BSU33" s="545"/>
      <c r="BSV33" s="545"/>
      <c r="BSW33" s="545"/>
      <c r="BSX33" s="545"/>
      <c r="BSY33" s="545"/>
      <c r="BSZ33" s="545"/>
      <c r="BTA33" s="545"/>
      <c r="BTB33" s="545"/>
      <c r="BTC33" s="545"/>
      <c r="BTD33" s="545"/>
      <c r="BTE33" s="545"/>
      <c r="BTF33" s="545"/>
      <c r="BTG33" s="545"/>
      <c r="BTH33" s="545"/>
      <c r="BTI33" s="545"/>
      <c r="BTJ33" s="545"/>
      <c r="BTK33" s="545"/>
      <c r="BTL33" s="545"/>
      <c r="BTM33" s="545"/>
      <c r="BTN33" s="545"/>
      <c r="BTO33" s="545"/>
      <c r="BTP33" s="545"/>
      <c r="BTQ33" s="545"/>
      <c r="BTR33" s="545"/>
      <c r="BTS33" s="545"/>
      <c r="BTT33" s="545"/>
      <c r="BTU33" s="545"/>
      <c r="BTV33" s="545"/>
      <c r="BTW33" s="545"/>
      <c r="BTX33" s="545"/>
      <c r="BTY33" s="545"/>
      <c r="BTZ33" s="545"/>
      <c r="BUA33" s="545"/>
      <c r="BUB33" s="545"/>
      <c r="BUC33" s="545"/>
      <c r="BUD33" s="545"/>
      <c r="BUE33" s="545"/>
      <c r="BUF33" s="545"/>
      <c r="BUG33" s="545"/>
      <c r="BUH33" s="545"/>
      <c r="BUI33" s="545"/>
      <c r="BUJ33" s="545"/>
      <c r="BUK33" s="545"/>
      <c r="BUL33" s="545"/>
      <c r="BUM33" s="545"/>
      <c r="BUN33" s="545"/>
      <c r="BUO33" s="545"/>
      <c r="BUP33" s="545"/>
      <c r="BUQ33" s="545"/>
      <c r="BUR33" s="545"/>
      <c r="BUS33" s="545"/>
      <c r="BUT33" s="545"/>
      <c r="BUU33" s="545"/>
      <c r="BUV33" s="545"/>
      <c r="BUW33" s="545"/>
      <c r="BUX33" s="545"/>
      <c r="BUY33" s="545"/>
      <c r="BUZ33" s="545"/>
      <c r="BVA33" s="545"/>
      <c r="BVB33" s="545"/>
      <c r="BVC33" s="545"/>
      <c r="BVD33" s="545"/>
      <c r="BVE33" s="545"/>
      <c r="BVF33" s="545"/>
      <c r="BVG33" s="545"/>
      <c r="BVH33" s="545"/>
      <c r="BVI33" s="545"/>
      <c r="BVJ33" s="545"/>
      <c r="BVK33" s="545"/>
      <c r="BVL33" s="545"/>
      <c r="BVM33" s="545"/>
      <c r="BVN33" s="545"/>
      <c r="BVO33" s="545"/>
      <c r="BVP33" s="545"/>
      <c r="BVQ33" s="545"/>
      <c r="BVR33" s="545"/>
      <c r="BVS33" s="545"/>
      <c r="BVT33" s="545"/>
      <c r="BVU33" s="545"/>
      <c r="BVV33" s="545"/>
      <c r="BVW33" s="545"/>
      <c r="BVX33" s="545"/>
      <c r="BVY33" s="545"/>
      <c r="BVZ33" s="545"/>
      <c r="BWA33" s="545"/>
      <c r="BWB33" s="545"/>
      <c r="BWC33" s="545"/>
      <c r="BWD33" s="545"/>
      <c r="BWE33" s="545"/>
      <c r="BWF33" s="545"/>
      <c r="BWG33" s="545"/>
      <c r="BWH33" s="545"/>
      <c r="BWI33" s="545"/>
      <c r="BWJ33" s="545"/>
      <c r="BWK33" s="545"/>
      <c r="BWL33" s="545"/>
      <c r="BWM33" s="545"/>
      <c r="BWN33" s="545"/>
      <c r="BWO33" s="545"/>
      <c r="BWP33" s="545"/>
      <c r="BWQ33" s="545"/>
      <c r="BWR33" s="545"/>
      <c r="BWS33" s="545"/>
      <c r="BWT33" s="545"/>
      <c r="BWU33" s="545"/>
      <c r="BWV33" s="545"/>
      <c r="BWW33" s="545"/>
      <c r="BWX33" s="545"/>
      <c r="BWY33" s="545"/>
      <c r="BWZ33" s="545"/>
      <c r="BXA33" s="545"/>
      <c r="BXB33" s="545"/>
      <c r="BXC33" s="545"/>
      <c r="BXD33" s="545"/>
      <c r="BXE33" s="545"/>
      <c r="BXF33" s="545"/>
      <c r="BXG33" s="545"/>
      <c r="BXH33" s="545"/>
      <c r="BXI33" s="545"/>
      <c r="BXJ33" s="545"/>
      <c r="BXK33" s="545"/>
      <c r="BXL33" s="545"/>
      <c r="BXM33" s="545"/>
      <c r="BXN33" s="545"/>
      <c r="BXO33" s="545"/>
      <c r="BXP33" s="545"/>
      <c r="BXQ33" s="545"/>
      <c r="BXR33" s="545"/>
      <c r="BXS33" s="545"/>
      <c r="BXT33" s="545"/>
      <c r="BXU33" s="545"/>
      <c r="BXV33" s="545"/>
      <c r="BXW33" s="545"/>
      <c r="BXX33" s="545"/>
      <c r="BXY33" s="545"/>
      <c r="BXZ33" s="545"/>
      <c r="BYA33" s="545"/>
      <c r="BYB33" s="545"/>
      <c r="BYC33" s="545"/>
      <c r="BYD33" s="545"/>
      <c r="BYE33" s="545"/>
      <c r="BYF33" s="545"/>
      <c r="BYG33" s="545"/>
      <c r="BYH33" s="545"/>
      <c r="BYI33" s="545"/>
      <c r="BYJ33" s="545"/>
      <c r="BYK33" s="545"/>
      <c r="BYL33" s="545"/>
      <c r="BYM33" s="545"/>
      <c r="BYN33" s="545"/>
      <c r="BYO33" s="545"/>
      <c r="BYP33" s="545"/>
      <c r="BYQ33" s="545"/>
      <c r="BYR33" s="545"/>
      <c r="BYS33" s="545"/>
      <c r="BYT33" s="545"/>
      <c r="BYU33" s="545"/>
      <c r="BYV33" s="545"/>
      <c r="BYW33" s="545"/>
      <c r="BYX33" s="545"/>
      <c r="BYY33" s="545"/>
      <c r="BYZ33" s="545"/>
      <c r="BZA33" s="545"/>
      <c r="BZB33" s="545"/>
      <c r="BZC33" s="545"/>
      <c r="BZD33" s="545"/>
      <c r="BZE33" s="545"/>
      <c r="BZF33" s="545"/>
      <c r="BZG33" s="545"/>
      <c r="BZH33" s="545"/>
      <c r="BZI33" s="545"/>
      <c r="BZJ33" s="545"/>
      <c r="BZK33" s="545"/>
      <c r="BZL33" s="545"/>
      <c r="BZM33" s="545"/>
      <c r="BZN33" s="545"/>
      <c r="BZO33" s="545"/>
      <c r="BZP33" s="545"/>
      <c r="BZQ33" s="545"/>
      <c r="BZR33" s="545"/>
      <c r="BZS33" s="545"/>
      <c r="BZT33" s="545"/>
      <c r="BZU33" s="545"/>
      <c r="BZV33" s="545"/>
      <c r="BZW33" s="545"/>
      <c r="BZX33" s="545"/>
      <c r="BZY33" s="545"/>
      <c r="BZZ33" s="545"/>
      <c r="CAA33" s="545"/>
      <c r="CAB33" s="545"/>
      <c r="CAC33" s="545"/>
      <c r="CAD33" s="545"/>
      <c r="CAE33" s="545"/>
      <c r="CAF33" s="545"/>
      <c r="CAG33" s="545"/>
      <c r="CAH33" s="545"/>
      <c r="CAI33" s="545"/>
      <c r="CAJ33" s="545"/>
      <c r="CAK33" s="545"/>
      <c r="CAL33" s="545"/>
      <c r="CAM33" s="545"/>
      <c r="CAN33" s="545"/>
      <c r="CAO33" s="545"/>
      <c r="CAP33" s="545"/>
      <c r="CAQ33" s="545"/>
      <c r="CAR33" s="545"/>
      <c r="CAS33" s="545"/>
      <c r="CAT33" s="545"/>
      <c r="CAU33" s="545"/>
      <c r="CAV33" s="545"/>
      <c r="CAW33" s="545"/>
      <c r="CAX33" s="545"/>
      <c r="CAY33" s="545"/>
      <c r="CAZ33" s="545"/>
      <c r="CBA33" s="545"/>
      <c r="CBB33" s="545"/>
      <c r="CBC33" s="545"/>
      <c r="CBD33" s="545"/>
      <c r="CBE33" s="545"/>
      <c r="CBF33" s="545"/>
      <c r="CBG33" s="545"/>
      <c r="CBH33" s="545"/>
      <c r="CBI33" s="545"/>
      <c r="CBJ33" s="545"/>
      <c r="CBK33" s="545"/>
      <c r="CBL33" s="545"/>
      <c r="CBM33" s="545"/>
      <c r="CBN33" s="545"/>
      <c r="CBO33" s="545"/>
      <c r="CBP33" s="545"/>
      <c r="CBQ33" s="545"/>
      <c r="CBR33" s="545"/>
      <c r="CBS33" s="545"/>
      <c r="CBT33" s="545"/>
      <c r="CBU33" s="545"/>
      <c r="CBV33" s="545"/>
      <c r="CBW33" s="545"/>
      <c r="CBX33" s="545"/>
      <c r="CBY33" s="545"/>
      <c r="CBZ33" s="545"/>
      <c r="CCA33" s="545"/>
      <c r="CCB33" s="545"/>
      <c r="CCC33" s="545"/>
      <c r="CCD33" s="545"/>
      <c r="CCE33" s="545"/>
      <c r="CCF33" s="545"/>
      <c r="CCG33" s="545"/>
      <c r="CCH33" s="545"/>
      <c r="CCI33" s="545"/>
      <c r="CCJ33" s="545"/>
      <c r="CCK33" s="545"/>
      <c r="CCL33" s="545"/>
      <c r="CCM33" s="545"/>
      <c r="CCN33" s="545"/>
      <c r="CCO33" s="545"/>
      <c r="CCP33" s="545"/>
      <c r="CCQ33" s="545"/>
      <c r="CCR33" s="545"/>
      <c r="CCS33" s="545"/>
      <c r="CCT33" s="545"/>
      <c r="CCU33" s="545"/>
      <c r="CCV33" s="545"/>
      <c r="CCW33" s="545"/>
      <c r="CCX33" s="545"/>
      <c r="CCY33" s="545"/>
      <c r="CCZ33" s="545"/>
      <c r="CDA33" s="545"/>
      <c r="CDB33" s="545"/>
      <c r="CDC33" s="545"/>
      <c r="CDD33" s="545"/>
      <c r="CDE33" s="545"/>
      <c r="CDF33" s="545"/>
      <c r="CDG33" s="545"/>
      <c r="CDH33" s="545"/>
      <c r="CDI33" s="545"/>
      <c r="CDJ33" s="545"/>
      <c r="CDK33" s="545"/>
      <c r="CDL33" s="545"/>
      <c r="CDM33" s="545"/>
      <c r="CDN33" s="545"/>
      <c r="CDO33" s="545"/>
      <c r="CDP33" s="545"/>
      <c r="CDQ33" s="545"/>
      <c r="CDR33" s="545"/>
      <c r="CDS33" s="545"/>
      <c r="CDT33" s="545"/>
      <c r="CDU33" s="545"/>
      <c r="CDV33" s="545"/>
      <c r="CDW33" s="545"/>
      <c r="CDX33" s="545"/>
      <c r="CDY33" s="545"/>
      <c r="CDZ33" s="545"/>
      <c r="CEA33" s="545"/>
      <c r="CEB33" s="545"/>
      <c r="CEC33" s="545"/>
      <c r="CED33" s="545"/>
      <c r="CEE33" s="545"/>
      <c r="CEF33" s="545"/>
      <c r="CEG33" s="545"/>
      <c r="CEH33" s="545"/>
      <c r="CEI33" s="545"/>
      <c r="CEJ33" s="545"/>
      <c r="CEK33" s="545"/>
      <c r="CEL33" s="545"/>
      <c r="CEM33" s="545"/>
      <c r="CEN33" s="545"/>
      <c r="CEO33" s="545"/>
      <c r="CEP33" s="545"/>
      <c r="CEQ33" s="545"/>
      <c r="CER33" s="545"/>
      <c r="CES33" s="545"/>
      <c r="CET33" s="545"/>
      <c r="CEU33" s="545"/>
      <c r="CEV33" s="545"/>
      <c r="CEW33" s="545"/>
      <c r="CEX33" s="545"/>
      <c r="CEY33" s="545"/>
      <c r="CEZ33" s="545"/>
      <c r="CFA33" s="545"/>
      <c r="CFB33" s="545"/>
      <c r="CFC33" s="545"/>
      <c r="CFD33" s="545"/>
      <c r="CFE33" s="545"/>
      <c r="CFF33" s="545"/>
      <c r="CFG33" s="545"/>
      <c r="CFH33" s="545"/>
      <c r="CFI33" s="545"/>
      <c r="CFJ33" s="545"/>
      <c r="CFK33" s="545"/>
      <c r="CFL33" s="545"/>
      <c r="CFM33" s="545"/>
      <c r="CFN33" s="545"/>
      <c r="CFO33" s="545"/>
      <c r="CFP33" s="545"/>
      <c r="CFQ33" s="545"/>
      <c r="CFR33" s="545"/>
      <c r="CFS33" s="545"/>
      <c r="CFT33" s="545"/>
      <c r="CFU33" s="545"/>
      <c r="CFV33" s="545"/>
      <c r="CFW33" s="545"/>
      <c r="CFX33" s="545"/>
      <c r="CFY33" s="545"/>
      <c r="CFZ33" s="545"/>
      <c r="CGA33" s="545"/>
      <c r="CGB33" s="545"/>
      <c r="CGC33" s="545"/>
      <c r="CGD33" s="545"/>
      <c r="CGE33" s="545"/>
      <c r="CGF33" s="545"/>
      <c r="CGG33" s="545"/>
      <c r="CGH33" s="545"/>
      <c r="CGI33" s="545"/>
      <c r="CGJ33" s="545"/>
      <c r="CGK33" s="545"/>
      <c r="CGL33" s="545"/>
      <c r="CGM33" s="545"/>
      <c r="CGN33" s="545"/>
      <c r="CGO33" s="545"/>
      <c r="CGP33" s="545"/>
      <c r="CGQ33" s="545"/>
      <c r="CGR33" s="545"/>
      <c r="CGS33" s="545"/>
      <c r="CGT33" s="545"/>
      <c r="CGU33" s="545"/>
      <c r="CGV33" s="545"/>
      <c r="CGW33" s="545"/>
      <c r="CGX33" s="545"/>
      <c r="CGY33" s="545"/>
      <c r="CGZ33" s="545"/>
      <c r="CHA33" s="545"/>
      <c r="CHB33" s="545"/>
      <c r="CHC33" s="545"/>
      <c r="CHD33" s="545"/>
      <c r="CHE33" s="545"/>
      <c r="CHF33" s="545"/>
      <c r="CHG33" s="545"/>
      <c r="CHH33" s="545"/>
      <c r="CHI33" s="545"/>
      <c r="CHJ33" s="545"/>
      <c r="CHK33" s="545"/>
      <c r="CHL33" s="545"/>
      <c r="CHM33" s="545"/>
      <c r="CHN33" s="545"/>
      <c r="CHO33" s="545"/>
      <c r="CHP33" s="545"/>
      <c r="CHQ33" s="545"/>
      <c r="CHR33" s="545"/>
      <c r="CHS33" s="545"/>
      <c r="CHT33" s="545"/>
      <c r="CHU33" s="545"/>
      <c r="CHV33" s="545"/>
      <c r="CHW33" s="545"/>
      <c r="CHX33" s="545"/>
      <c r="CHY33" s="545"/>
      <c r="CHZ33" s="545"/>
      <c r="CIA33" s="545"/>
      <c r="CIB33" s="545"/>
      <c r="CIC33" s="545"/>
      <c r="CID33" s="545"/>
      <c r="CIE33" s="545"/>
      <c r="CIF33" s="545"/>
      <c r="CIG33" s="545"/>
      <c r="CIH33" s="545"/>
      <c r="CII33" s="545"/>
      <c r="CIJ33" s="545"/>
      <c r="CIK33" s="545"/>
      <c r="CIL33" s="545"/>
      <c r="CIM33" s="545"/>
      <c r="CIN33" s="545"/>
      <c r="CIO33" s="545"/>
      <c r="CIP33" s="545"/>
      <c r="CIQ33" s="545"/>
      <c r="CIR33" s="545"/>
      <c r="CIS33" s="545"/>
      <c r="CIT33" s="545"/>
      <c r="CIU33" s="545"/>
      <c r="CIV33" s="545"/>
      <c r="CIW33" s="545"/>
      <c r="CIX33" s="545"/>
      <c r="CIY33" s="545"/>
      <c r="CIZ33" s="545"/>
      <c r="CJA33" s="545"/>
      <c r="CJB33" s="545"/>
      <c r="CJC33" s="545"/>
      <c r="CJD33" s="545"/>
      <c r="CJE33" s="545"/>
      <c r="CJF33" s="545"/>
      <c r="CJG33" s="545"/>
      <c r="CJH33" s="545"/>
      <c r="CJI33" s="545"/>
      <c r="CJJ33" s="545"/>
      <c r="CJK33" s="545"/>
      <c r="CJL33" s="545"/>
      <c r="CJM33" s="545"/>
      <c r="CJN33" s="545"/>
      <c r="CJO33" s="545"/>
      <c r="CJP33" s="545"/>
      <c r="CJQ33" s="545"/>
      <c r="CJR33" s="545"/>
      <c r="CJS33" s="545"/>
      <c r="CJT33" s="545"/>
      <c r="CJU33" s="545"/>
      <c r="CJV33" s="545"/>
      <c r="CJW33" s="545"/>
      <c r="CJX33" s="545"/>
      <c r="CJY33" s="545"/>
      <c r="CJZ33" s="545"/>
      <c r="CKA33" s="545"/>
      <c r="CKB33" s="545"/>
      <c r="CKC33" s="545"/>
      <c r="CKD33" s="545"/>
      <c r="CKE33" s="545"/>
      <c r="CKF33" s="545"/>
      <c r="CKG33" s="545"/>
      <c r="CKH33" s="545"/>
      <c r="CKI33" s="545"/>
      <c r="CKJ33" s="545"/>
      <c r="CKK33" s="545"/>
      <c r="CKL33" s="545"/>
      <c r="CKM33" s="545"/>
      <c r="CKN33" s="545"/>
      <c r="CKO33" s="545"/>
      <c r="CKP33" s="545"/>
      <c r="CKQ33" s="545"/>
      <c r="CKR33" s="545"/>
      <c r="CKS33" s="545"/>
      <c r="CKT33" s="545"/>
      <c r="CKU33" s="545"/>
      <c r="CKV33" s="545"/>
      <c r="CKW33" s="545"/>
      <c r="CKX33" s="545"/>
      <c r="CKY33" s="545"/>
      <c r="CKZ33" s="545"/>
      <c r="CLA33" s="545"/>
      <c r="CLB33" s="545"/>
      <c r="CLC33" s="545"/>
      <c r="CLD33" s="545"/>
      <c r="CLE33" s="545"/>
      <c r="CLF33" s="545"/>
      <c r="CLG33" s="545"/>
      <c r="CLH33" s="545"/>
      <c r="CLI33" s="545"/>
      <c r="CLJ33" s="545"/>
      <c r="CLK33" s="545"/>
      <c r="CLL33" s="545"/>
      <c r="CLM33" s="545"/>
      <c r="CLN33" s="545"/>
      <c r="CLO33" s="545"/>
      <c r="CLP33" s="545"/>
      <c r="CLQ33" s="545"/>
      <c r="CLR33" s="545"/>
      <c r="CLS33" s="545"/>
      <c r="CLT33" s="545"/>
      <c r="CLU33" s="545"/>
      <c r="CLV33" s="545"/>
      <c r="CLW33" s="545"/>
      <c r="CLX33" s="545"/>
      <c r="CLY33" s="545"/>
      <c r="CLZ33" s="545"/>
      <c r="CMA33" s="545"/>
      <c r="CMB33" s="545"/>
      <c r="CMC33" s="545"/>
      <c r="CMD33" s="545"/>
      <c r="CME33" s="545"/>
      <c r="CMF33" s="545"/>
      <c r="CMG33" s="545"/>
      <c r="CMH33" s="545"/>
      <c r="CMI33" s="545"/>
      <c r="CMJ33" s="545"/>
      <c r="CMK33" s="545"/>
      <c r="CML33" s="545"/>
      <c r="CMM33" s="545"/>
      <c r="CMN33" s="545"/>
      <c r="CMO33" s="545"/>
      <c r="CMP33" s="545"/>
      <c r="CMQ33" s="545"/>
      <c r="CMR33" s="545"/>
      <c r="CMS33" s="545"/>
      <c r="CMT33" s="545"/>
      <c r="CMU33" s="545"/>
      <c r="CMV33" s="545"/>
      <c r="CMW33" s="545"/>
      <c r="CMX33" s="545"/>
      <c r="CMY33" s="545"/>
      <c r="CMZ33" s="545"/>
      <c r="CNA33" s="545"/>
      <c r="CNB33" s="545"/>
      <c r="CNC33" s="545"/>
      <c r="CND33" s="545"/>
      <c r="CNE33" s="545"/>
      <c r="CNF33" s="545"/>
      <c r="CNG33" s="545"/>
      <c r="CNH33" s="545"/>
      <c r="CNI33" s="545"/>
      <c r="CNJ33" s="545"/>
      <c r="CNK33" s="545"/>
      <c r="CNL33" s="545"/>
      <c r="CNM33" s="545"/>
      <c r="CNN33" s="545"/>
      <c r="CNO33" s="545"/>
      <c r="CNP33" s="545"/>
      <c r="CNQ33" s="545"/>
      <c r="CNR33" s="545"/>
      <c r="CNS33" s="545"/>
      <c r="CNT33" s="545"/>
      <c r="CNU33" s="545"/>
      <c r="CNV33" s="545"/>
      <c r="CNW33" s="545"/>
      <c r="CNX33" s="545"/>
      <c r="CNY33" s="545"/>
      <c r="CNZ33" s="545"/>
      <c r="COA33" s="545"/>
      <c r="COB33" s="545"/>
      <c r="COC33" s="545"/>
      <c r="COD33" s="545"/>
      <c r="COE33" s="545"/>
      <c r="COF33" s="545"/>
      <c r="COG33" s="545"/>
      <c r="COH33" s="545"/>
      <c r="COI33" s="545"/>
      <c r="COJ33" s="545"/>
      <c r="COK33" s="545"/>
      <c r="COL33" s="545"/>
      <c r="COM33" s="545"/>
      <c r="CON33" s="545"/>
      <c r="COO33" s="545"/>
      <c r="COP33" s="545"/>
      <c r="COQ33" s="545"/>
      <c r="COR33" s="545"/>
      <c r="COS33" s="545"/>
      <c r="COT33" s="545"/>
      <c r="COU33" s="545"/>
      <c r="COV33" s="545"/>
      <c r="COW33" s="545"/>
      <c r="COX33" s="545"/>
      <c r="COY33" s="545"/>
      <c r="COZ33" s="545"/>
      <c r="CPA33" s="545"/>
      <c r="CPB33" s="545"/>
      <c r="CPC33" s="545"/>
      <c r="CPD33" s="545"/>
      <c r="CPE33" s="545"/>
      <c r="CPF33" s="545"/>
      <c r="CPG33" s="545"/>
      <c r="CPH33" s="545"/>
      <c r="CPI33" s="545"/>
      <c r="CPJ33" s="545"/>
      <c r="CPK33" s="545"/>
      <c r="CPL33" s="545"/>
      <c r="CPM33" s="545"/>
      <c r="CPN33" s="545"/>
      <c r="CPO33" s="545"/>
      <c r="CPP33" s="545"/>
      <c r="CPQ33" s="545"/>
      <c r="CPR33" s="545"/>
      <c r="CPS33" s="545"/>
      <c r="CPT33" s="545"/>
      <c r="CPU33" s="545"/>
      <c r="CPV33" s="545"/>
      <c r="CPW33" s="545"/>
      <c r="CPX33" s="545"/>
      <c r="CPY33" s="545"/>
      <c r="CPZ33" s="545"/>
      <c r="CQA33" s="545"/>
      <c r="CQB33" s="545"/>
      <c r="CQC33" s="545"/>
      <c r="CQD33" s="545"/>
      <c r="CQE33" s="545"/>
      <c r="CQF33" s="545"/>
      <c r="CQG33" s="545"/>
      <c r="CQH33" s="545"/>
      <c r="CQI33" s="545"/>
      <c r="CQJ33" s="545"/>
      <c r="CQK33" s="545"/>
      <c r="CQL33" s="545"/>
      <c r="CQM33" s="545"/>
      <c r="CQN33" s="545"/>
      <c r="CQO33" s="545"/>
      <c r="CQP33" s="545"/>
      <c r="CQQ33" s="545"/>
      <c r="CQR33" s="545"/>
      <c r="CQS33" s="545"/>
      <c r="CQT33" s="545"/>
      <c r="CQU33" s="545"/>
      <c r="CQV33" s="545"/>
      <c r="CQW33" s="545"/>
      <c r="CQX33" s="545"/>
      <c r="CQY33" s="545"/>
      <c r="CQZ33" s="545"/>
      <c r="CRA33" s="545"/>
      <c r="CRB33" s="545"/>
      <c r="CRC33" s="545"/>
      <c r="CRD33" s="545"/>
      <c r="CRE33" s="545"/>
      <c r="CRF33" s="545"/>
      <c r="CRG33" s="545"/>
      <c r="CRH33" s="545"/>
      <c r="CRI33" s="545"/>
      <c r="CRJ33" s="545"/>
      <c r="CRK33" s="545"/>
      <c r="CRL33" s="545"/>
      <c r="CRM33" s="545"/>
      <c r="CRN33" s="545"/>
      <c r="CRO33" s="545"/>
      <c r="CRP33" s="545"/>
      <c r="CRQ33" s="545"/>
      <c r="CRR33" s="545"/>
      <c r="CRS33" s="545"/>
      <c r="CRT33" s="545"/>
      <c r="CRU33" s="545"/>
      <c r="CRV33" s="545"/>
      <c r="CRW33" s="545"/>
      <c r="CRX33" s="545"/>
      <c r="CRY33" s="545"/>
      <c r="CRZ33" s="545"/>
      <c r="CSA33" s="545"/>
      <c r="CSB33" s="545"/>
      <c r="CSC33" s="545"/>
      <c r="CSD33" s="545"/>
      <c r="CSE33" s="545"/>
      <c r="CSF33" s="545"/>
      <c r="CSG33" s="545"/>
      <c r="CSH33" s="545"/>
      <c r="CSI33" s="545"/>
      <c r="CSJ33" s="545"/>
      <c r="CSK33" s="545"/>
      <c r="CSL33" s="545"/>
      <c r="CSM33" s="545"/>
      <c r="CSN33" s="545"/>
      <c r="CSO33" s="545"/>
      <c r="CSP33" s="545"/>
      <c r="CSQ33" s="545"/>
      <c r="CSR33" s="545"/>
      <c r="CSS33" s="545"/>
      <c r="CST33" s="545"/>
      <c r="CSU33" s="545"/>
      <c r="CSV33" s="545"/>
      <c r="CSW33" s="545"/>
      <c r="CSX33" s="545"/>
      <c r="CSY33" s="545"/>
      <c r="CSZ33" s="545"/>
      <c r="CTA33" s="545"/>
      <c r="CTB33" s="545"/>
      <c r="CTC33" s="545"/>
      <c r="CTD33" s="545"/>
      <c r="CTE33" s="545"/>
      <c r="CTF33" s="545"/>
      <c r="CTG33" s="545"/>
      <c r="CTH33" s="545"/>
      <c r="CTI33" s="545"/>
      <c r="CTJ33" s="545"/>
      <c r="CTK33" s="545"/>
      <c r="CTL33" s="545"/>
      <c r="CTM33" s="545"/>
      <c r="CTN33" s="545"/>
      <c r="CTO33" s="545"/>
      <c r="CTP33" s="545"/>
      <c r="CTQ33" s="545"/>
      <c r="CTR33" s="545"/>
      <c r="CTS33" s="545"/>
      <c r="CTT33" s="545"/>
      <c r="CTU33" s="545"/>
      <c r="CTV33" s="545"/>
      <c r="CTW33" s="545"/>
      <c r="CTX33" s="545"/>
      <c r="CTY33" s="545"/>
      <c r="CTZ33" s="545"/>
      <c r="CUA33" s="545"/>
      <c r="CUB33" s="545"/>
      <c r="CUC33" s="545"/>
      <c r="CUD33" s="545"/>
      <c r="CUE33" s="545"/>
      <c r="CUF33" s="545"/>
      <c r="CUG33" s="545"/>
      <c r="CUH33" s="545"/>
      <c r="CUI33" s="545"/>
      <c r="CUJ33" s="545"/>
      <c r="CUK33" s="545"/>
      <c r="CUL33" s="545"/>
      <c r="CUM33" s="545"/>
      <c r="CUN33" s="545"/>
      <c r="CUO33" s="545"/>
      <c r="CUP33" s="545"/>
      <c r="CUQ33" s="545"/>
      <c r="CUR33" s="545"/>
      <c r="CUS33" s="545"/>
      <c r="CUT33" s="545"/>
      <c r="CUU33" s="545"/>
      <c r="CUV33" s="545"/>
      <c r="CUW33" s="545"/>
      <c r="CUX33" s="545"/>
      <c r="CUY33" s="545"/>
      <c r="CUZ33" s="545"/>
      <c r="CVA33" s="545"/>
      <c r="CVB33" s="545"/>
      <c r="CVC33" s="545"/>
      <c r="CVD33" s="545"/>
      <c r="CVE33" s="545"/>
      <c r="CVF33" s="545"/>
      <c r="CVG33" s="545"/>
      <c r="CVH33" s="545"/>
      <c r="CVI33" s="545"/>
      <c r="CVJ33" s="545"/>
      <c r="CVK33" s="545"/>
      <c r="CVL33" s="545"/>
      <c r="CVM33" s="545"/>
      <c r="CVN33" s="545"/>
      <c r="CVO33" s="545"/>
      <c r="CVP33" s="545"/>
      <c r="CVQ33" s="545"/>
      <c r="CVR33" s="545"/>
      <c r="CVS33" s="545"/>
      <c r="CVT33" s="545"/>
      <c r="CVU33" s="545"/>
      <c r="CVV33" s="545"/>
      <c r="CVW33" s="545"/>
      <c r="CVX33" s="545"/>
      <c r="CVY33" s="545"/>
      <c r="CVZ33" s="545"/>
      <c r="CWA33" s="545"/>
      <c r="CWB33" s="545"/>
      <c r="CWC33" s="545"/>
      <c r="CWD33" s="545"/>
      <c r="CWE33" s="545"/>
      <c r="CWF33" s="545"/>
      <c r="CWG33" s="545"/>
      <c r="CWH33" s="545"/>
      <c r="CWI33" s="545"/>
      <c r="CWJ33" s="545"/>
      <c r="CWK33" s="545"/>
      <c r="CWL33" s="545"/>
      <c r="CWM33" s="545"/>
      <c r="CWN33" s="545"/>
      <c r="CWO33" s="545"/>
      <c r="CWP33" s="545"/>
      <c r="CWQ33" s="545"/>
      <c r="CWR33" s="545"/>
      <c r="CWS33" s="545"/>
      <c r="CWT33" s="545"/>
      <c r="CWU33" s="545"/>
      <c r="CWV33" s="545"/>
      <c r="CWW33" s="545"/>
      <c r="CWX33" s="545"/>
      <c r="CWY33" s="545"/>
      <c r="CWZ33" s="545"/>
      <c r="CXA33" s="545"/>
      <c r="CXB33" s="545"/>
      <c r="CXC33" s="545"/>
      <c r="CXD33" s="545"/>
      <c r="CXE33" s="545"/>
      <c r="CXF33" s="545"/>
      <c r="CXG33" s="545"/>
      <c r="CXH33" s="545"/>
      <c r="CXI33" s="545"/>
      <c r="CXJ33" s="545"/>
      <c r="CXK33" s="545"/>
      <c r="CXL33" s="545"/>
      <c r="CXM33" s="545"/>
      <c r="CXN33" s="545"/>
      <c r="CXO33" s="545"/>
      <c r="CXP33" s="545"/>
      <c r="CXQ33" s="545"/>
      <c r="CXR33" s="545"/>
      <c r="CXS33" s="545"/>
      <c r="CXT33" s="545"/>
      <c r="CXU33" s="545"/>
      <c r="CXV33" s="545"/>
      <c r="CXW33" s="545"/>
      <c r="CXX33" s="545"/>
      <c r="CXY33" s="545"/>
      <c r="CXZ33" s="545"/>
      <c r="CYA33" s="545"/>
      <c r="CYB33" s="545"/>
      <c r="CYC33" s="545"/>
      <c r="CYD33" s="545"/>
      <c r="CYE33" s="545"/>
      <c r="CYF33" s="545"/>
      <c r="CYG33" s="545"/>
      <c r="CYH33" s="545"/>
      <c r="CYI33" s="545"/>
      <c r="CYJ33" s="545"/>
      <c r="CYK33" s="545"/>
      <c r="CYL33" s="545"/>
      <c r="CYM33" s="545"/>
      <c r="CYN33" s="545"/>
      <c r="CYO33" s="545"/>
      <c r="CYP33" s="545"/>
      <c r="CYQ33" s="545"/>
      <c r="CYR33" s="545"/>
      <c r="CYS33" s="545"/>
      <c r="CYT33" s="545"/>
      <c r="CYU33" s="545"/>
      <c r="CYV33" s="545"/>
      <c r="CYW33" s="545"/>
      <c r="CYX33" s="545"/>
      <c r="CYY33" s="545"/>
      <c r="CYZ33" s="545"/>
      <c r="CZA33" s="545"/>
      <c r="CZB33" s="545"/>
      <c r="CZC33" s="545"/>
      <c r="CZD33" s="545"/>
      <c r="CZE33" s="545"/>
      <c r="CZF33" s="545"/>
      <c r="CZG33" s="545"/>
      <c r="CZH33" s="545"/>
      <c r="CZI33" s="545"/>
      <c r="CZJ33" s="545"/>
      <c r="CZK33" s="545"/>
      <c r="CZL33" s="545"/>
      <c r="CZM33" s="545"/>
      <c r="CZN33" s="545"/>
      <c r="CZO33" s="545"/>
      <c r="CZP33" s="545"/>
      <c r="CZQ33" s="545"/>
      <c r="CZR33" s="545"/>
      <c r="CZS33" s="545"/>
      <c r="CZT33" s="545"/>
      <c r="CZU33" s="545"/>
      <c r="CZV33" s="545"/>
      <c r="CZW33" s="545"/>
      <c r="CZX33" s="545"/>
      <c r="CZY33" s="545"/>
      <c r="CZZ33" s="545"/>
      <c r="DAA33" s="545"/>
      <c r="DAB33" s="545"/>
      <c r="DAC33" s="545"/>
      <c r="DAD33" s="545"/>
      <c r="DAE33" s="545"/>
      <c r="DAF33" s="545"/>
      <c r="DAG33" s="545"/>
      <c r="DAH33" s="545"/>
      <c r="DAI33" s="545"/>
      <c r="DAJ33" s="545"/>
      <c r="DAK33" s="545"/>
      <c r="DAL33" s="545"/>
      <c r="DAM33" s="545"/>
      <c r="DAN33" s="545"/>
      <c r="DAO33" s="545"/>
      <c r="DAP33" s="545"/>
      <c r="DAQ33" s="545"/>
      <c r="DAR33" s="545"/>
      <c r="DAS33" s="545"/>
      <c r="DAT33" s="545"/>
      <c r="DAU33" s="545"/>
      <c r="DAV33" s="545"/>
      <c r="DAW33" s="545"/>
      <c r="DAX33" s="545"/>
      <c r="DAY33" s="545"/>
      <c r="DAZ33" s="545"/>
      <c r="DBA33" s="545"/>
      <c r="DBB33" s="545"/>
      <c r="DBC33" s="545"/>
      <c r="DBD33" s="545"/>
      <c r="DBE33" s="545"/>
      <c r="DBF33" s="545"/>
      <c r="DBG33" s="545"/>
      <c r="DBH33" s="545"/>
      <c r="DBI33" s="545"/>
      <c r="DBJ33" s="545"/>
      <c r="DBK33" s="545"/>
      <c r="DBL33" s="545"/>
      <c r="DBM33" s="545"/>
      <c r="DBN33" s="545"/>
      <c r="DBO33" s="545"/>
      <c r="DBP33" s="545"/>
      <c r="DBQ33" s="545"/>
      <c r="DBR33" s="545"/>
      <c r="DBS33" s="545"/>
      <c r="DBT33" s="545"/>
      <c r="DBU33" s="545"/>
      <c r="DBV33" s="545"/>
      <c r="DBW33" s="545"/>
      <c r="DBX33" s="545"/>
      <c r="DBY33" s="545"/>
      <c r="DBZ33" s="545"/>
      <c r="DCA33" s="545"/>
      <c r="DCB33" s="545"/>
      <c r="DCC33" s="545"/>
      <c r="DCD33" s="545"/>
      <c r="DCE33" s="545"/>
      <c r="DCF33" s="545"/>
      <c r="DCG33" s="545"/>
      <c r="DCH33" s="545"/>
      <c r="DCI33" s="545"/>
      <c r="DCJ33" s="545"/>
      <c r="DCK33" s="545"/>
      <c r="DCL33" s="545"/>
      <c r="DCM33" s="545"/>
      <c r="DCN33" s="545"/>
      <c r="DCO33" s="545"/>
      <c r="DCP33" s="545"/>
      <c r="DCQ33" s="545"/>
      <c r="DCR33" s="545"/>
      <c r="DCS33" s="545"/>
      <c r="DCT33" s="545"/>
      <c r="DCU33" s="545"/>
      <c r="DCV33" s="545"/>
      <c r="DCW33" s="545"/>
      <c r="DCX33" s="545"/>
      <c r="DCY33" s="545"/>
      <c r="DCZ33" s="545"/>
      <c r="DDA33" s="545"/>
      <c r="DDB33" s="545"/>
      <c r="DDC33" s="545"/>
      <c r="DDD33" s="545"/>
      <c r="DDE33" s="545"/>
      <c r="DDF33" s="545"/>
      <c r="DDG33" s="545"/>
      <c r="DDH33" s="545"/>
      <c r="DDI33" s="545"/>
      <c r="DDJ33" s="545"/>
      <c r="DDK33" s="545"/>
      <c r="DDL33" s="545"/>
      <c r="DDM33" s="545"/>
      <c r="DDN33" s="545"/>
      <c r="DDO33" s="545"/>
      <c r="DDP33" s="545"/>
      <c r="DDQ33" s="545"/>
      <c r="DDR33" s="545"/>
      <c r="DDS33" s="545"/>
      <c r="DDT33" s="545"/>
      <c r="DDU33" s="545"/>
      <c r="DDV33" s="545"/>
      <c r="DDW33" s="545"/>
      <c r="DDX33" s="545"/>
      <c r="DDY33" s="545"/>
      <c r="DDZ33" s="545"/>
      <c r="DEA33" s="545"/>
      <c r="DEB33" s="545"/>
      <c r="DEC33" s="545"/>
      <c r="DED33" s="545"/>
      <c r="DEE33" s="545"/>
      <c r="DEF33" s="545"/>
      <c r="DEG33" s="545"/>
      <c r="DEH33" s="545"/>
      <c r="DEI33" s="545"/>
      <c r="DEJ33" s="545"/>
      <c r="DEK33" s="545"/>
      <c r="DEL33" s="545"/>
      <c r="DEM33" s="545"/>
      <c r="DEN33" s="545"/>
      <c r="DEO33" s="545"/>
      <c r="DEP33" s="545"/>
      <c r="DEQ33" s="545"/>
      <c r="DER33" s="545"/>
      <c r="DES33" s="545"/>
      <c r="DET33" s="545"/>
      <c r="DEU33" s="545"/>
      <c r="DEV33" s="545"/>
      <c r="DEW33" s="545"/>
      <c r="DEX33" s="545"/>
      <c r="DEY33" s="545"/>
      <c r="DEZ33" s="545"/>
      <c r="DFA33" s="545"/>
      <c r="DFB33" s="545"/>
      <c r="DFC33" s="545"/>
      <c r="DFD33" s="545"/>
      <c r="DFE33" s="545"/>
      <c r="DFF33" s="545"/>
      <c r="DFG33" s="545"/>
      <c r="DFH33" s="545"/>
      <c r="DFI33" s="545"/>
      <c r="DFJ33" s="545"/>
      <c r="DFK33" s="545"/>
      <c r="DFL33" s="545"/>
      <c r="DFM33" s="545"/>
      <c r="DFN33" s="545"/>
      <c r="DFO33" s="545"/>
      <c r="DFP33" s="545"/>
      <c r="DFQ33" s="545"/>
      <c r="DFR33" s="545"/>
      <c r="DFS33" s="545"/>
      <c r="DFT33" s="545"/>
      <c r="DFU33" s="545"/>
      <c r="DFV33" s="545"/>
      <c r="DFW33" s="545"/>
      <c r="DFX33" s="545"/>
      <c r="DFY33" s="545"/>
      <c r="DFZ33" s="545"/>
      <c r="DGA33" s="545"/>
      <c r="DGB33" s="545"/>
      <c r="DGC33" s="545"/>
      <c r="DGD33" s="545"/>
      <c r="DGE33" s="545"/>
      <c r="DGF33" s="545"/>
      <c r="DGG33" s="545"/>
      <c r="DGH33" s="545"/>
      <c r="DGI33" s="545"/>
      <c r="DGJ33" s="545"/>
      <c r="DGK33" s="545"/>
      <c r="DGL33" s="545"/>
      <c r="DGM33" s="545"/>
      <c r="DGN33" s="545"/>
      <c r="DGO33" s="545"/>
      <c r="DGP33" s="545"/>
      <c r="DGQ33" s="545"/>
      <c r="DGR33" s="545"/>
      <c r="DGS33" s="545"/>
      <c r="DGT33" s="545"/>
      <c r="DGU33" s="545"/>
      <c r="DGV33" s="545"/>
      <c r="DGW33" s="545"/>
      <c r="DGX33" s="545"/>
      <c r="DGY33" s="545"/>
      <c r="DGZ33" s="545"/>
      <c r="DHA33" s="545"/>
      <c r="DHB33" s="545"/>
      <c r="DHC33" s="545"/>
      <c r="DHD33" s="545"/>
      <c r="DHE33" s="545"/>
      <c r="DHF33" s="545"/>
      <c r="DHG33" s="545"/>
      <c r="DHH33" s="545"/>
      <c r="DHI33" s="545"/>
      <c r="DHJ33" s="545"/>
      <c r="DHK33" s="545"/>
      <c r="DHL33" s="545"/>
      <c r="DHM33" s="545"/>
      <c r="DHN33" s="545"/>
      <c r="DHO33" s="545"/>
      <c r="DHP33" s="545"/>
      <c r="DHQ33" s="545"/>
      <c r="DHR33" s="545"/>
      <c r="DHS33" s="545"/>
      <c r="DHT33" s="545"/>
      <c r="DHU33" s="545"/>
      <c r="DHV33" s="545"/>
      <c r="DHW33" s="545"/>
      <c r="DHX33" s="545"/>
      <c r="DHY33" s="545"/>
      <c r="DHZ33" s="545"/>
      <c r="DIA33" s="545"/>
      <c r="DIB33" s="545"/>
      <c r="DIC33" s="545"/>
      <c r="DID33" s="545"/>
      <c r="DIE33" s="545"/>
      <c r="DIF33" s="545"/>
      <c r="DIG33" s="545"/>
      <c r="DIH33" s="545"/>
      <c r="DII33" s="545"/>
      <c r="DIJ33" s="545"/>
      <c r="DIK33" s="545"/>
      <c r="DIL33" s="545"/>
      <c r="DIM33" s="545"/>
      <c r="DIN33" s="545"/>
      <c r="DIO33" s="545"/>
      <c r="DIP33" s="545"/>
      <c r="DIQ33" s="545"/>
      <c r="DIR33" s="545"/>
      <c r="DIS33" s="545"/>
      <c r="DIT33" s="545"/>
      <c r="DIU33" s="545"/>
      <c r="DIV33" s="545"/>
      <c r="DIW33" s="545"/>
      <c r="DIX33" s="545"/>
      <c r="DIY33" s="545"/>
      <c r="DIZ33" s="545"/>
      <c r="DJA33" s="545"/>
      <c r="DJB33" s="545"/>
      <c r="DJC33" s="545"/>
      <c r="DJD33" s="545"/>
      <c r="DJE33" s="545"/>
      <c r="DJF33" s="545"/>
      <c r="DJG33" s="545"/>
      <c r="DJH33" s="545"/>
      <c r="DJI33" s="545"/>
      <c r="DJJ33" s="545"/>
      <c r="DJK33" s="545"/>
      <c r="DJL33" s="545"/>
      <c r="DJM33" s="545"/>
      <c r="DJN33" s="545"/>
      <c r="DJO33" s="545"/>
      <c r="DJP33" s="545"/>
      <c r="DJQ33" s="545"/>
      <c r="DJR33" s="545"/>
      <c r="DJS33" s="545"/>
      <c r="DJT33" s="545"/>
      <c r="DJU33" s="545"/>
      <c r="DJV33" s="545"/>
      <c r="DJW33" s="545"/>
      <c r="DJX33" s="545"/>
      <c r="DJY33" s="545"/>
      <c r="DJZ33" s="545"/>
      <c r="DKA33" s="545"/>
      <c r="DKB33" s="545"/>
      <c r="DKC33" s="545"/>
      <c r="DKD33" s="545"/>
      <c r="DKE33" s="545"/>
      <c r="DKF33" s="545"/>
      <c r="DKG33" s="545"/>
      <c r="DKH33" s="545"/>
      <c r="DKI33" s="545"/>
      <c r="DKJ33" s="545"/>
      <c r="DKK33" s="545"/>
      <c r="DKL33" s="545"/>
      <c r="DKM33" s="545"/>
      <c r="DKN33" s="545"/>
      <c r="DKO33" s="545"/>
      <c r="DKP33" s="545"/>
      <c r="DKQ33" s="545"/>
      <c r="DKR33" s="545"/>
      <c r="DKS33" s="545"/>
      <c r="DKT33" s="545"/>
      <c r="DKU33" s="545"/>
      <c r="DKV33" s="545"/>
      <c r="DKW33" s="545"/>
      <c r="DKX33" s="545"/>
      <c r="DKY33" s="545"/>
      <c r="DKZ33" s="545"/>
      <c r="DLA33" s="545"/>
      <c r="DLB33" s="545"/>
      <c r="DLC33" s="545"/>
      <c r="DLD33" s="545"/>
      <c r="DLE33" s="545"/>
      <c r="DLF33" s="545"/>
      <c r="DLG33" s="545"/>
      <c r="DLH33" s="545"/>
      <c r="DLI33" s="545"/>
      <c r="DLJ33" s="545"/>
      <c r="DLK33" s="545"/>
      <c r="DLL33" s="545"/>
      <c r="DLM33" s="545"/>
      <c r="DLN33" s="545"/>
      <c r="DLO33" s="545"/>
      <c r="DLP33" s="545"/>
      <c r="DLQ33" s="545"/>
      <c r="DLR33" s="545"/>
      <c r="DLS33" s="545"/>
      <c r="DLT33" s="545"/>
      <c r="DLU33" s="545"/>
      <c r="DLV33" s="545"/>
      <c r="DLW33" s="545"/>
      <c r="DLX33" s="545"/>
      <c r="DLY33" s="545"/>
      <c r="DLZ33" s="545"/>
      <c r="DMA33" s="545"/>
      <c r="DMB33" s="545"/>
      <c r="DMC33" s="545"/>
      <c r="DMD33" s="545"/>
      <c r="DME33" s="545"/>
      <c r="DMF33" s="545"/>
      <c r="DMG33" s="545"/>
      <c r="DMH33" s="545"/>
      <c r="DMI33" s="545"/>
      <c r="DMJ33" s="545"/>
      <c r="DMK33" s="545"/>
      <c r="DML33" s="545"/>
      <c r="DMM33" s="545"/>
      <c r="DMN33" s="545"/>
      <c r="DMO33" s="545"/>
      <c r="DMP33" s="545"/>
      <c r="DMQ33" s="545"/>
      <c r="DMR33" s="545"/>
      <c r="DMS33" s="545"/>
      <c r="DMT33" s="545"/>
      <c r="DMU33" s="545"/>
      <c r="DMV33" s="545"/>
      <c r="DMW33" s="545"/>
      <c r="DMX33" s="545"/>
      <c r="DMY33" s="545"/>
      <c r="DMZ33" s="545"/>
      <c r="DNA33" s="545"/>
      <c r="DNB33" s="545"/>
      <c r="DNC33" s="545"/>
      <c r="DND33" s="545"/>
      <c r="DNE33" s="545"/>
      <c r="DNF33" s="545"/>
      <c r="DNG33" s="545"/>
      <c r="DNH33" s="545"/>
      <c r="DNI33" s="545"/>
      <c r="DNJ33" s="545"/>
      <c r="DNK33" s="545"/>
      <c r="DNL33" s="545"/>
      <c r="DNM33" s="545"/>
      <c r="DNN33" s="545"/>
      <c r="DNO33" s="545"/>
      <c r="DNP33" s="545"/>
      <c r="DNQ33" s="545"/>
      <c r="DNR33" s="545"/>
      <c r="DNS33" s="545"/>
      <c r="DNT33" s="545"/>
      <c r="DNU33" s="545"/>
      <c r="DNV33" s="545"/>
      <c r="DNW33" s="545"/>
      <c r="DNX33" s="545"/>
      <c r="DNY33" s="545"/>
      <c r="DNZ33" s="545"/>
      <c r="DOA33" s="545"/>
      <c r="DOB33" s="545"/>
      <c r="DOC33" s="545"/>
      <c r="DOD33" s="545"/>
      <c r="DOE33" s="545"/>
      <c r="DOF33" s="545"/>
      <c r="DOG33" s="545"/>
      <c r="DOH33" s="545"/>
      <c r="DOI33" s="545"/>
      <c r="DOJ33" s="545"/>
      <c r="DOK33" s="545"/>
      <c r="DOL33" s="545"/>
      <c r="DOM33" s="545"/>
      <c r="DON33" s="545"/>
      <c r="DOO33" s="545"/>
      <c r="DOP33" s="545"/>
      <c r="DOQ33" s="545"/>
      <c r="DOR33" s="545"/>
      <c r="DOS33" s="545"/>
      <c r="DOT33" s="545"/>
      <c r="DOU33" s="545"/>
      <c r="DOV33" s="545"/>
      <c r="DOW33" s="545"/>
      <c r="DOX33" s="545"/>
      <c r="DOY33" s="545"/>
      <c r="DOZ33" s="545"/>
      <c r="DPA33" s="545"/>
      <c r="DPB33" s="545"/>
      <c r="DPC33" s="545"/>
      <c r="DPD33" s="545"/>
      <c r="DPE33" s="545"/>
      <c r="DPF33" s="545"/>
      <c r="DPG33" s="545"/>
      <c r="DPH33" s="545"/>
      <c r="DPI33" s="545"/>
      <c r="DPJ33" s="545"/>
      <c r="DPK33" s="545"/>
      <c r="DPL33" s="545"/>
      <c r="DPM33" s="545"/>
      <c r="DPN33" s="545"/>
      <c r="DPO33" s="545"/>
      <c r="DPP33" s="545"/>
      <c r="DPQ33" s="545"/>
      <c r="DPR33" s="545"/>
      <c r="DPS33" s="545"/>
      <c r="DPT33" s="545"/>
      <c r="DPU33" s="545"/>
      <c r="DPV33" s="545"/>
      <c r="DPW33" s="545"/>
      <c r="DPX33" s="545"/>
      <c r="DPY33" s="545"/>
      <c r="DPZ33" s="545"/>
      <c r="DQA33" s="545"/>
      <c r="DQB33" s="545"/>
      <c r="DQC33" s="545"/>
      <c r="DQD33" s="545"/>
      <c r="DQE33" s="545"/>
      <c r="DQF33" s="545"/>
      <c r="DQG33" s="545"/>
      <c r="DQH33" s="545"/>
      <c r="DQI33" s="545"/>
      <c r="DQJ33" s="545"/>
      <c r="DQK33" s="545"/>
      <c r="DQL33" s="545"/>
      <c r="DQM33" s="545"/>
      <c r="DQN33" s="545"/>
      <c r="DQO33" s="545"/>
      <c r="DQP33" s="545"/>
      <c r="DQQ33" s="545"/>
      <c r="DQR33" s="545"/>
      <c r="DQS33" s="545"/>
      <c r="DQT33" s="545"/>
      <c r="DQU33" s="545"/>
      <c r="DQV33" s="545"/>
      <c r="DQW33" s="545"/>
      <c r="DQX33" s="545"/>
      <c r="DQY33" s="545"/>
      <c r="DQZ33" s="545"/>
      <c r="DRA33" s="545"/>
      <c r="DRB33" s="545"/>
      <c r="DRC33" s="545"/>
      <c r="DRD33" s="545"/>
      <c r="DRE33" s="545"/>
      <c r="DRF33" s="545"/>
      <c r="DRG33" s="545"/>
      <c r="DRH33" s="545"/>
      <c r="DRI33" s="545"/>
      <c r="DRJ33" s="545"/>
      <c r="DRK33" s="545"/>
      <c r="DRL33" s="545"/>
      <c r="DRM33" s="545"/>
      <c r="DRN33" s="545"/>
      <c r="DRO33" s="545"/>
      <c r="DRP33" s="545"/>
      <c r="DRQ33" s="545"/>
      <c r="DRR33" s="545"/>
      <c r="DRS33" s="545"/>
      <c r="DRT33" s="545"/>
      <c r="DRU33" s="545"/>
      <c r="DRV33" s="545"/>
      <c r="DRW33" s="545"/>
      <c r="DRX33" s="545"/>
      <c r="DRY33" s="545"/>
      <c r="DRZ33" s="545"/>
      <c r="DSA33" s="545"/>
      <c r="DSB33" s="545"/>
      <c r="DSC33" s="545"/>
      <c r="DSD33" s="545"/>
      <c r="DSE33" s="545"/>
      <c r="DSF33" s="545"/>
      <c r="DSG33" s="545"/>
      <c r="DSH33" s="545"/>
      <c r="DSI33" s="545"/>
      <c r="DSJ33" s="545"/>
      <c r="DSK33" s="545"/>
      <c r="DSL33" s="545"/>
      <c r="DSM33" s="545"/>
      <c r="DSN33" s="545"/>
      <c r="DSO33" s="545"/>
      <c r="DSP33" s="545"/>
      <c r="DSQ33" s="545"/>
      <c r="DSR33" s="545"/>
      <c r="DSS33" s="545"/>
      <c r="DST33" s="545"/>
      <c r="DSU33" s="545"/>
      <c r="DSV33" s="545"/>
      <c r="DSW33" s="545"/>
      <c r="DSX33" s="545"/>
      <c r="DSY33" s="545"/>
      <c r="DSZ33" s="545"/>
      <c r="DTA33" s="545"/>
      <c r="DTB33" s="545"/>
      <c r="DTC33" s="545"/>
      <c r="DTD33" s="545"/>
      <c r="DTE33" s="545"/>
      <c r="DTF33" s="545"/>
      <c r="DTG33" s="545"/>
      <c r="DTH33" s="545"/>
      <c r="DTI33" s="545"/>
      <c r="DTJ33" s="545"/>
      <c r="DTK33" s="545"/>
      <c r="DTL33" s="545"/>
      <c r="DTM33" s="545"/>
      <c r="DTN33" s="545"/>
      <c r="DTO33" s="545"/>
      <c r="DTP33" s="545"/>
      <c r="DTQ33" s="545"/>
      <c r="DTR33" s="545"/>
      <c r="DTS33" s="545"/>
      <c r="DTT33" s="545"/>
      <c r="DTU33" s="545"/>
      <c r="DTV33" s="545"/>
      <c r="DTW33" s="545"/>
      <c r="DTX33" s="545"/>
      <c r="DTY33" s="545"/>
      <c r="DTZ33" s="545"/>
      <c r="DUA33" s="545"/>
      <c r="DUB33" s="545"/>
      <c r="DUC33" s="545"/>
      <c r="DUD33" s="545"/>
      <c r="DUE33" s="545"/>
      <c r="DUF33" s="545"/>
      <c r="DUG33" s="545"/>
      <c r="DUH33" s="545"/>
      <c r="DUI33" s="545"/>
      <c r="DUJ33" s="545"/>
      <c r="DUK33" s="545"/>
      <c r="DUL33" s="545"/>
      <c r="DUM33" s="545"/>
      <c r="DUN33" s="545"/>
      <c r="DUO33" s="545"/>
      <c r="DUP33" s="545"/>
      <c r="DUQ33" s="545"/>
      <c r="DUR33" s="545"/>
      <c r="DUS33" s="545"/>
      <c r="DUT33" s="545"/>
      <c r="DUU33" s="545"/>
      <c r="DUV33" s="545"/>
      <c r="DUW33" s="545"/>
      <c r="DUX33" s="545"/>
      <c r="DUY33" s="545"/>
      <c r="DUZ33" s="545"/>
      <c r="DVA33" s="545"/>
      <c r="DVB33" s="545"/>
      <c r="DVC33" s="545"/>
      <c r="DVD33" s="545"/>
      <c r="DVE33" s="545"/>
      <c r="DVF33" s="545"/>
      <c r="DVG33" s="545"/>
      <c r="DVH33" s="545"/>
      <c r="DVI33" s="545"/>
      <c r="DVJ33" s="545"/>
      <c r="DVK33" s="545"/>
      <c r="DVL33" s="545"/>
      <c r="DVM33" s="545"/>
      <c r="DVN33" s="545"/>
      <c r="DVO33" s="545"/>
      <c r="DVP33" s="545"/>
      <c r="DVQ33" s="545"/>
      <c r="DVR33" s="545"/>
      <c r="DVS33" s="545"/>
      <c r="DVT33" s="545"/>
      <c r="DVU33" s="545"/>
      <c r="DVV33" s="545"/>
      <c r="DVW33" s="545"/>
      <c r="DVX33" s="545"/>
      <c r="DVY33" s="545"/>
      <c r="DVZ33" s="545"/>
      <c r="DWA33" s="545"/>
      <c r="DWB33" s="545"/>
      <c r="DWC33" s="545"/>
      <c r="DWD33" s="545"/>
      <c r="DWE33" s="545"/>
      <c r="DWF33" s="545"/>
      <c r="DWG33" s="545"/>
      <c r="DWH33" s="545"/>
      <c r="DWI33" s="545"/>
      <c r="DWJ33" s="545"/>
      <c r="DWK33" s="545"/>
      <c r="DWL33" s="545"/>
      <c r="DWM33" s="545"/>
      <c r="DWN33" s="545"/>
      <c r="DWO33" s="545"/>
      <c r="DWP33" s="545"/>
      <c r="DWQ33" s="545"/>
      <c r="DWR33" s="545"/>
      <c r="DWS33" s="545"/>
      <c r="DWT33" s="545"/>
      <c r="DWU33" s="545"/>
      <c r="DWV33" s="545"/>
      <c r="DWW33" s="545"/>
      <c r="DWX33" s="545"/>
      <c r="DWY33" s="545"/>
      <c r="DWZ33" s="545"/>
      <c r="DXA33" s="545"/>
      <c r="DXB33" s="545"/>
      <c r="DXC33" s="545"/>
      <c r="DXD33" s="545"/>
      <c r="DXE33" s="545"/>
      <c r="DXF33" s="545"/>
      <c r="DXG33" s="545"/>
      <c r="DXH33" s="545"/>
      <c r="DXI33" s="545"/>
      <c r="DXJ33" s="545"/>
      <c r="DXK33" s="545"/>
      <c r="DXL33" s="545"/>
      <c r="DXM33" s="545"/>
      <c r="DXN33" s="545"/>
      <c r="DXO33" s="545"/>
      <c r="DXP33" s="545"/>
      <c r="DXQ33" s="545"/>
      <c r="DXR33" s="545"/>
      <c r="DXS33" s="545"/>
      <c r="DXT33" s="545"/>
      <c r="DXU33" s="545"/>
      <c r="DXV33" s="545"/>
      <c r="DXW33" s="545"/>
      <c r="DXX33" s="545"/>
      <c r="DXY33" s="545"/>
      <c r="DXZ33" s="545"/>
      <c r="DYA33" s="545"/>
      <c r="DYB33" s="545"/>
      <c r="DYC33" s="545"/>
      <c r="DYD33" s="545"/>
      <c r="DYE33" s="545"/>
      <c r="DYF33" s="545"/>
      <c r="DYG33" s="545"/>
      <c r="DYH33" s="545"/>
      <c r="DYI33" s="545"/>
      <c r="DYJ33" s="545"/>
      <c r="DYK33" s="545"/>
      <c r="DYL33" s="545"/>
      <c r="DYM33" s="545"/>
      <c r="DYN33" s="545"/>
      <c r="DYO33" s="545"/>
      <c r="DYP33" s="545"/>
      <c r="DYQ33" s="545"/>
      <c r="DYR33" s="545"/>
      <c r="DYS33" s="545"/>
      <c r="DYT33" s="545"/>
      <c r="DYU33" s="545"/>
      <c r="DYV33" s="545"/>
      <c r="DYW33" s="545"/>
      <c r="DYX33" s="545"/>
      <c r="DYY33" s="545"/>
      <c r="DYZ33" s="545"/>
      <c r="DZA33" s="545"/>
      <c r="DZB33" s="545"/>
      <c r="DZC33" s="545"/>
      <c r="DZD33" s="545"/>
      <c r="DZE33" s="545"/>
      <c r="DZF33" s="545"/>
      <c r="DZG33" s="545"/>
      <c r="DZH33" s="545"/>
      <c r="DZI33" s="545"/>
      <c r="DZJ33" s="545"/>
      <c r="DZK33" s="545"/>
      <c r="DZL33" s="545"/>
      <c r="DZM33" s="545"/>
      <c r="DZN33" s="545"/>
      <c r="DZO33" s="545"/>
      <c r="DZP33" s="545"/>
      <c r="DZQ33" s="545"/>
      <c r="DZR33" s="545"/>
      <c r="DZS33" s="545"/>
      <c r="DZT33" s="545"/>
      <c r="DZU33" s="545"/>
      <c r="DZV33" s="545"/>
      <c r="DZW33" s="545"/>
      <c r="DZX33" s="545"/>
      <c r="DZY33" s="545"/>
      <c r="DZZ33" s="545"/>
      <c r="EAA33" s="545"/>
      <c r="EAB33" s="545"/>
      <c r="EAC33" s="545"/>
      <c r="EAD33" s="545"/>
      <c r="EAE33" s="545"/>
      <c r="EAF33" s="545"/>
      <c r="EAG33" s="545"/>
      <c r="EAH33" s="545"/>
      <c r="EAI33" s="545"/>
      <c r="EAJ33" s="545"/>
      <c r="EAK33" s="545"/>
      <c r="EAL33" s="545"/>
      <c r="EAM33" s="545"/>
      <c r="EAN33" s="545"/>
      <c r="EAO33" s="545"/>
      <c r="EAP33" s="545"/>
      <c r="EAQ33" s="545"/>
      <c r="EAR33" s="545"/>
      <c r="EAS33" s="545"/>
      <c r="EAT33" s="545"/>
      <c r="EAU33" s="545"/>
      <c r="EAV33" s="545"/>
      <c r="EAW33" s="545"/>
      <c r="EAX33" s="545"/>
      <c r="EAY33" s="545"/>
      <c r="EAZ33" s="545"/>
      <c r="EBA33" s="545"/>
      <c r="EBB33" s="545"/>
      <c r="EBC33" s="545"/>
      <c r="EBD33" s="545"/>
      <c r="EBE33" s="545"/>
      <c r="EBF33" s="545"/>
      <c r="EBG33" s="545"/>
      <c r="EBH33" s="545"/>
      <c r="EBI33" s="545"/>
      <c r="EBJ33" s="545"/>
      <c r="EBK33" s="545"/>
      <c r="EBL33" s="545"/>
      <c r="EBM33" s="545"/>
      <c r="EBN33" s="545"/>
      <c r="EBO33" s="545"/>
      <c r="EBP33" s="545"/>
      <c r="EBQ33" s="545"/>
      <c r="EBR33" s="545"/>
      <c r="EBS33" s="545"/>
      <c r="EBT33" s="545"/>
      <c r="EBU33" s="545"/>
      <c r="EBV33" s="545"/>
      <c r="EBW33" s="545"/>
      <c r="EBX33" s="545"/>
      <c r="EBY33" s="545"/>
      <c r="EBZ33" s="545"/>
      <c r="ECA33" s="545"/>
      <c r="ECB33" s="545"/>
      <c r="ECC33" s="545"/>
      <c r="ECD33" s="545"/>
      <c r="ECE33" s="545"/>
      <c r="ECF33" s="545"/>
      <c r="ECG33" s="545"/>
      <c r="ECH33" s="545"/>
      <c r="ECI33" s="545"/>
      <c r="ECJ33" s="545"/>
      <c r="ECK33" s="545"/>
      <c r="ECL33" s="545"/>
      <c r="ECM33" s="545"/>
      <c r="ECN33" s="545"/>
      <c r="ECO33" s="545"/>
      <c r="ECP33" s="545"/>
      <c r="ECQ33" s="545"/>
      <c r="ECR33" s="545"/>
      <c r="ECS33" s="545"/>
      <c r="ECT33" s="545"/>
      <c r="ECU33" s="545"/>
      <c r="ECV33" s="545"/>
      <c r="ECW33" s="545"/>
      <c r="ECX33" s="545"/>
      <c r="ECY33" s="545"/>
      <c r="ECZ33" s="545"/>
      <c r="EDA33" s="545"/>
      <c r="EDB33" s="545"/>
      <c r="EDC33" s="545"/>
      <c r="EDD33" s="545"/>
      <c r="EDE33" s="545"/>
      <c r="EDF33" s="545"/>
      <c r="EDG33" s="545"/>
      <c r="EDH33" s="545"/>
      <c r="EDI33" s="545"/>
      <c r="EDJ33" s="545"/>
      <c r="EDK33" s="545"/>
      <c r="EDL33" s="545"/>
      <c r="EDM33" s="545"/>
      <c r="EDN33" s="545"/>
      <c r="EDO33" s="545"/>
      <c r="EDP33" s="545"/>
      <c r="EDQ33" s="545"/>
      <c r="EDR33" s="545"/>
      <c r="EDS33" s="545"/>
      <c r="EDT33" s="545"/>
      <c r="EDU33" s="545"/>
      <c r="EDV33" s="545"/>
      <c r="EDW33" s="545"/>
      <c r="EDX33" s="545"/>
      <c r="EDY33" s="545"/>
      <c r="EDZ33" s="545"/>
      <c r="EEA33" s="545"/>
      <c r="EEB33" s="545"/>
      <c r="EEC33" s="545"/>
      <c r="EED33" s="545"/>
      <c r="EEE33" s="545"/>
      <c r="EEF33" s="545"/>
      <c r="EEG33" s="545"/>
      <c r="EEH33" s="545"/>
      <c r="EEI33" s="545"/>
      <c r="EEJ33" s="545"/>
      <c r="EEK33" s="545"/>
      <c r="EEL33" s="545"/>
      <c r="EEM33" s="545"/>
      <c r="EEN33" s="545"/>
      <c r="EEO33" s="545"/>
      <c r="EEP33" s="545"/>
      <c r="EEQ33" s="545"/>
      <c r="EER33" s="545"/>
      <c r="EES33" s="545"/>
      <c r="EET33" s="545"/>
      <c r="EEU33" s="545"/>
      <c r="EEV33" s="545"/>
      <c r="EEW33" s="545"/>
      <c r="EEX33" s="545"/>
      <c r="EEY33" s="545"/>
      <c r="EEZ33" s="545"/>
      <c r="EFA33" s="545"/>
      <c r="EFB33" s="545"/>
      <c r="EFC33" s="545"/>
      <c r="EFD33" s="545"/>
      <c r="EFE33" s="545"/>
      <c r="EFF33" s="545"/>
      <c r="EFG33" s="545"/>
      <c r="EFH33" s="545"/>
      <c r="EFI33" s="545"/>
      <c r="EFJ33" s="545"/>
      <c r="EFK33" s="545"/>
      <c r="EFL33" s="545"/>
      <c r="EFM33" s="545"/>
      <c r="EFN33" s="545"/>
      <c r="EFO33" s="545"/>
      <c r="EFP33" s="545"/>
      <c r="EFQ33" s="545"/>
      <c r="EFR33" s="545"/>
      <c r="EFS33" s="545"/>
      <c r="EFT33" s="545"/>
      <c r="EFU33" s="545"/>
      <c r="EFV33" s="545"/>
      <c r="EFW33" s="545"/>
      <c r="EFX33" s="545"/>
      <c r="EFY33" s="545"/>
      <c r="EFZ33" s="545"/>
      <c r="EGA33" s="545"/>
      <c r="EGB33" s="545"/>
      <c r="EGC33" s="545"/>
      <c r="EGD33" s="545"/>
      <c r="EGE33" s="545"/>
      <c r="EGF33" s="545"/>
      <c r="EGG33" s="545"/>
      <c r="EGH33" s="545"/>
      <c r="EGI33" s="545"/>
      <c r="EGJ33" s="545"/>
      <c r="EGK33" s="545"/>
      <c r="EGL33" s="545"/>
      <c r="EGM33" s="545"/>
      <c r="EGN33" s="545"/>
      <c r="EGO33" s="545"/>
      <c r="EGP33" s="545"/>
      <c r="EGQ33" s="545"/>
      <c r="EGR33" s="545"/>
      <c r="EGS33" s="545"/>
      <c r="EGT33" s="545"/>
      <c r="EGU33" s="545"/>
      <c r="EGV33" s="545"/>
      <c r="EGW33" s="545"/>
      <c r="EGX33" s="545"/>
      <c r="EGY33" s="545"/>
      <c r="EGZ33" s="545"/>
      <c r="EHA33" s="545"/>
      <c r="EHB33" s="545"/>
      <c r="EHC33" s="545"/>
      <c r="EHD33" s="545"/>
      <c r="EHE33" s="545"/>
      <c r="EHF33" s="545"/>
      <c r="EHG33" s="545"/>
      <c r="EHH33" s="545"/>
      <c r="EHI33" s="545"/>
      <c r="EHJ33" s="545"/>
      <c r="EHK33" s="545"/>
      <c r="EHL33" s="545"/>
      <c r="EHM33" s="545"/>
      <c r="EHN33" s="545"/>
      <c r="EHO33" s="545"/>
      <c r="EHP33" s="545"/>
      <c r="EHQ33" s="545"/>
      <c r="EHR33" s="545"/>
      <c r="EHS33" s="545"/>
      <c r="EHT33" s="545"/>
      <c r="EHU33" s="545"/>
      <c r="EHV33" s="545"/>
      <c r="EHW33" s="545"/>
      <c r="EHX33" s="545"/>
      <c r="EHY33" s="545"/>
      <c r="EHZ33" s="545"/>
      <c r="EIA33" s="545"/>
      <c r="EIB33" s="545"/>
      <c r="EIC33" s="545"/>
      <c r="EID33" s="545"/>
      <c r="EIE33" s="545"/>
      <c r="EIF33" s="545"/>
      <c r="EIG33" s="545"/>
      <c r="EIH33" s="545"/>
      <c r="EII33" s="545"/>
      <c r="EIJ33" s="545"/>
      <c r="EIK33" s="545"/>
      <c r="EIL33" s="545"/>
      <c r="EIM33" s="545"/>
      <c r="EIN33" s="545"/>
      <c r="EIO33" s="545"/>
      <c r="EIP33" s="545"/>
      <c r="EIQ33" s="545"/>
      <c r="EIR33" s="545"/>
      <c r="EIS33" s="545"/>
      <c r="EIT33" s="545"/>
      <c r="EIU33" s="545"/>
      <c r="EIV33" s="545"/>
      <c r="EIW33" s="545"/>
      <c r="EIX33" s="545"/>
      <c r="EIY33" s="545"/>
      <c r="EIZ33" s="545"/>
      <c r="EJA33" s="545"/>
      <c r="EJB33" s="545"/>
      <c r="EJC33" s="545"/>
      <c r="EJD33" s="545"/>
      <c r="EJE33" s="545"/>
      <c r="EJF33" s="545"/>
      <c r="EJG33" s="545"/>
      <c r="EJH33" s="545"/>
      <c r="EJI33" s="545"/>
      <c r="EJJ33" s="545"/>
      <c r="EJK33" s="545"/>
      <c r="EJL33" s="545"/>
      <c r="EJM33" s="545"/>
      <c r="EJN33" s="545"/>
      <c r="EJO33" s="545"/>
      <c r="EJP33" s="545"/>
      <c r="EJQ33" s="545"/>
      <c r="EJR33" s="545"/>
      <c r="EJS33" s="545"/>
      <c r="EJT33" s="545"/>
      <c r="EJU33" s="545"/>
      <c r="EJV33" s="545"/>
      <c r="EJW33" s="545"/>
      <c r="EJX33" s="545"/>
      <c r="EJY33" s="545"/>
      <c r="EJZ33" s="545"/>
      <c r="EKA33" s="545"/>
      <c r="EKB33" s="545"/>
      <c r="EKC33" s="545"/>
      <c r="EKD33" s="545"/>
      <c r="EKE33" s="545"/>
      <c r="EKF33" s="545"/>
      <c r="EKG33" s="545"/>
      <c r="EKH33" s="545"/>
      <c r="EKI33" s="545"/>
      <c r="EKJ33" s="545"/>
      <c r="EKK33" s="545"/>
      <c r="EKL33" s="545"/>
      <c r="EKM33" s="545"/>
      <c r="EKN33" s="545"/>
      <c r="EKO33" s="545"/>
      <c r="EKP33" s="545"/>
      <c r="EKQ33" s="545"/>
      <c r="EKR33" s="545"/>
      <c r="EKS33" s="545"/>
      <c r="EKT33" s="545"/>
      <c r="EKU33" s="545"/>
      <c r="EKV33" s="545"/>
      <c r="EKW33" s="545"/>
      <c r="EKX33" s="545"/>
      <c r="EKY33" s="545"/>
      <c r="EKZ33" s="545"/>
      <c r="ELA33" s="545"/>
      <c r="ELB33" s="545"/>
      <c r="ELC33" s="545"/>
      <c r="ELD33" s="545"/>
      <c r="ELE33" s="545"/>
      <c r="ELF33" s="545"/>
      <c r="ELG33" s="545"/>
      <c r="ELH33" s="545"/>
      <c r="ELI33" s="545"/>
      <c r="ELJ33" s="545"/>
      <c r="ELK33" s="545"/>
      <c r="ELL33" s="545"/>
      <c r="ELM33" s="545"/>
      <c r="ELN33" s="545"/>
      <c r="ELO33" s="545"/>
      <c r="ELP33" s="545"/>
      <c r="ELQ33" s="545"/>
      <c r="ELR33" s="545"/>
      <c r="ELS33" s="545"/>
      <c r="ELT33" s="545"/>
      <c r="ELU33" s="545"/>
      <c r="ELV33" s="545"/>
      <c r="ELW33" s="545"/>
      <c r="ELX33" s="545"/>
      <c r="ELY33" s="545"/>
      <c r="ELZ33" s="545"/>
      <c r="EMA33" s="545"/>
      <c r="EMB33" s="545"/>
      <c r="EMC33" s="545"/>
      <c r="EMD33" s="545"/>
      <c r="EME33" s="545"/>
      <c r="EMF33" s="545"/>
      <c r="EMG33" s="545"/>
      <c r="EMH33" s="545"/>
      <c r="EMI33" s="545"/>
      <c r="EMJ33" s="545"/>
      <c r="EMK33" s="545"/>
      <c r="EML33" s="545"/>
      <c r="EMM33" s="545"/>
      <c r="EMN33" s="545"/>
      <c r="EMO33" s="545"/>
      <c r="EMP33" s="545"/>
      <c r="EMQ33" s="545"/>
      <c r="EMR33" s="545"/>
      <c r="EMS33" s="545"/>
      <c r="EMT33" s="545"/>
      <c r="EMU33" s="545"/>
      <c r="EMV33" s="545"/>
      <c r="EMW33" s="545"/>
      <c r="EMX33" s="545"/>
      <c r="EMY33" s="545"/>
      <c r="EMZ33" s="545"/>
      <c r="ENA33" s="545"/>
      <c r="ENB33" s="545"/>
      <c r="ENC33" s="545"/>
      <c r="END33" s="545"/>
      <c r="ENE33" s="545"/>
      <c r="ENF33" s="545"/>
      <c r="ENG33" s="545"/>
      <c r="ENH33" s="545"/>
      <c r="ENI33" s="545"/>
      <c r="ENJ33" s="545"/>
      <c r="ENK33" s="545"/>
      <c r="ENL33" s="545"/>
      <c r="ENM33" s="545"/>
      <c r="ENN33" s="545"/>
      <c r="ENO33" s="545"/>
      <c r="ENP33" s="545"/>
      <c r="ENQ33" s="545"/>
      <c r="ENR33" s="545"/>
      <c r="ENS33" s="545"/>
      <c r="ENT33" s="545"/>
      <c r="ENU33" s="545"/>
      <c r="ENV33" s="545"/>
      <c r="ENW33" s="545"/>
      <c r="ENX33" s="545"/>
      <c r="ENY33" s="545"/>
      <c r="ENZ33" s="545"/>
      <c r="EOA33" s="545"/>
      <c r="EOB33" s="545"/>
      <c r="EOC33" s="545"/>
      <c r="EOD33" s="545"/>
      <c r="EOE33" s="545"/>
      <c r="EOF33" s="545"/>
      <c r="EOG33" s="545"/>
      <c r="EOH33" s="545"/>
      <c r="EOI33" s="545"/>
      <c r="EOJ33" s="545"/>
      <c r="EOK33" s="545"/>
      <c r="EOL33" s="545"/>
      <c r="EOM33" s="545"/>
      <c r="EON33" s="545"/>
      <c r="EOO33" s="545"/>
      <c r="EOP33" s="545"/>
      <c r="EOQ33" s="545"/>
      <c r="EOR33" s="545"/>
      <c r="EOS33" s="545"/>
      <c r="EOT33" s="545"/>
      <c r="EOU33" s="545"/>
      <c r="EOV33" s="545"/>
      <c r="EOW33" s="545"/>
      <c r="EOX33" s="545"/>
      <c r="EOY33" s="545"/>
      <c r="EOZ33" s="545"/>
      <c r="EPA33" s="545"/>
      <c r="EPB33" s="545"/>
      <c r="EPC33" s="545"/>
      <c r="EPD33" s="545"/>
      <c r="EPE33" s="545"/>
      <c r="EPF33" s="545"/>
      <c r="EPG33" s="545"/>
      <c r="EPH33" s="545"/>
      <c r="EPI33" s="545"/>
      <c r="EPJ33" s="545"/>
      <c r="EPK33" s="545"/>
      <c r="EPL33" s="545"/>
      <c r="EPM33" s="545"/>
      <c r="EPN33" s="545"/>
      <c r="EPO33" s="545"/>
      <c r="EPP33" s="545"/>
      <c r="EPQ33" s="545"/>
      <c r="EPR33" s="545"/>
      <c r="EPS33" s="545"/>
      <c r="EPT33" s="545"/>
      <c r="EPU33" s="545"/>
      <c r="EPV33" s="545"/>
      <c r="EPW33" s="545"/>
      <c r="EPX33" s="545"/>
      <c r="EPY33" s="545"/>
      <c r="EPZ33" s="545"/>
      <c r="EQA33" s="545"/>
      <c r="EQB33" s="545"/>
      <c r="EQC33" s="545"/>
      <c r="EQD33" s="545"/>
      <c r="EQE33" s="545"/>
      <c r="EQF33" s="545"/>
      <c r="EQG33" s="545"/>
      <c r="EQH33" s="545"/>
      <c r="EQI33" s="545"/>
      <c r="EQJ33" s="545"/>
      <c r="EQK33" s="545"/>
      <c r="EQL33" s="545"/>
      <c r="EQM33" s="545"/>
      <c r="EQN33" s="545"/>
      <c r="EQO33" s="545"/>
      <c r="EQP33" s="545"/>
      <c r="EQQ33" s="545"/>
      <c r="EQR33" s="545"/>
      <c r="EQS33" s="545"/>
      <c r="EQT33" s="545"/>
      <c r="EQU33" s="545"/>
      <c r="EQV33" s="545"/>
      <c r="EQW33" s="545"/>
      <c r="EQX33" s="545"/>
      <c r="EQY33" s="545"/>
      <c r="EQZ33" s="545"/>
      <c r="ERA33" s="545"/>
      <c r="ERB33" s="545"/>
      <c r="ERC33" s="545"/>
      <c r="ERD33" s="545"/>
      <c r="ERE33" s="545"/>
      <c r="ERF33" s="545"/>
      <c r="ERG33" s="545"/>
      <c r="ERH33" s="545"/>
      <c r="ERI33" s="545"/>
      <c r="ERJ33" s="545"/>
      <c r="ERK33" s="545"/>
      <c r="ERL33" s="545"/>
      <c r="ERM33" s="545"/>
      <c r="ERN33" s="545"/>
      <c r="ERO33" s="545"/>
      <c r="ERP33" s="545"/>
      <c r="ERQ33" s="545"/>
      <c r="ERR33" s="545"/>
      <c r="ERS33" s="545"/>
      <c r="ERT33" s="545"/>
      <c r="ERU33" s="545"/>
      <c r="ERV33" s="545"/>
      <c r="ERW33" s="545"/>
      <c r="ERX33" s="545"/>
      <c r="ERY33" s="545"/>
      <c r="ERZ33" s="545"/>
      <c r="ESA33" s="545"/>
      <c r="ESB33" s="545"/>
      <c r="ESC33" s="545"/>
      <c r="ESD33" s="545"/>
      <c r="ESE33" s="545"/>
      <c r="ESF33" s="545"/>
      <c r="ESG33" s="545"/>
      <c r="ESH33" s="545"/>
      <c r="ESI33" s="545"/>
      <c r="ESJ33" s="545"/>
      <c r="ESK33" s="545"/>
      <c r="ESL33" s="545"/>
      <c r="ESM33" s="545"/>
      <c r="ESN33" s="545"/>
      <c r="ESO33" s="545"/>
      <c r="ESP33" s="545"/>
      <c r="ESQ33" s="545"/>
      <c r="ESR33" s="545"/>
      <c r="ESS33" s="545"/>
      <c r="EST33" s="545"/>
      <c r="ESU33" s="545"/>
      <c r="ESV33" s="545"/>
      <c r="ESW33" s="545"/>
      <c r="ESX33" s="545"/>
      <c r="ESY33" s="545"/>
      <c r="ESZ33" s="545"/>
      <c r="ETA33" s="545"/>
      <c r="ETB33" s="545"/>
      <c r="ETC33" s="545"/>
      <c r="ETD33" s="545"/>
      <c r="ETE33" s="545"/>
      <c r="ETF33" s="545"/>
      <c r="ETG33" s="545"/>
      <c r="ETH33" s="545"/>
      <c r="ETI33" s="545"/>
      <c r="ETJ33" s="545"/>
      <c r="ETK33" s="545"/>
      <c r="ETL33" s="545"/>
      <c r="ETM33" s="545"/>
      <c r="ETN33" s="545"/>
      <c r="ETO33" s="545"/>
      <c r="ETP33" s="545"/>
      <c r="ETQ33" s="545"/>
      <c r="ETR33" s="545"/>
      <c r="ETS33" s="545"/>
      <c r="ETT33" s="545"/>
      <c r="ETU33" s="545"/>
      <c r="ETV33" s="545"/>
      <c r="ETW33" s="545"/>
      <c r="ETX33" s="545"/>
      <c r="ETY33" s="545"/>
      <c r="ETZ33" s="545"/>
      <c r="EUA33" s="545"/>
      <c r="EUB33" s="545"/>
      <c r="EUC33" s="545"/>
      <c r="EUD33" s="545"/>
      <c r="EUE33" s="545"/>
      <c r="EUF33" s="545"/>
      <c r="EUG33" s="545"/>
      <c r="EUH33" s="545"/>
      <c r="EUI33" s="545"/>
      <c r="EUJ33" s="545"/>
      <c r="EUK33" s="545"/>
      <c r="EUL33" s="545"/>
      <c r="EUM33" s="545"/>
      <c r="EUN33" s="545"/>
      <c r="EUO33" s="545"/>
      <c r="EUP33" s="545"/>
      <c r="EUQ33" s="545"/>
      <c r="EUR33" s="545"/>
      <c r="EUS33" s="545"/>
      <c r="EUT33" s="545"/>
      <c r="EUU33" s="545"/>
      <c r="EUV33" s="545"/>
      <c r="EUW33" s="545"/>
      <c r="EUX33" s="545"/>
      <c r="EUY33" s="545"/>
      <c r="EUZ33" s="545"/>
      <c r="EVA33" s="545"/>
      <c r="EVB33" s="545"/>
      <c r="EVC33" s="545"/>
      <c r="EVD33" s="545"/>
      <c r="EVE33" s="545"/>
      <c r="EVF33" s="545"/>
      <c r="EVG33" s="545"/>
      <c r="EVH33" s="545"/>
      <c r="EVI33" s="545"/>
      <c r="EVJ33" s="545"/>
      <c r="EVK33" s="545"/>
      <c r="EVL33" s="545"/>
      <c r="EVM33" s="545"/>
      <c r="EVN33" s="545"/>
      <c r="EVO33" s="545"/>
      <c r="EVP33" s="545"/>
      <c r="EVQ33" s="545"/>
      <c r="EVR33" s="545"/>
      <c r="EVS33" s="545"/>
      <c r="EVT33" s="545"/>
      <c r="EVU33" s="545"/>
      <c r="EVV33" s="545"/>
      <c r="EVW33" s="545"/>
      <c r="EVX33" s="545"/>
      <c r="EVY33" s="545"/>
      <c r="EVZ33" s="545"/>
      <c r="EWA33" s="545"/>
      <c r="EWB33" s="545"/>
      <c r="EWC33" s="545"/>
      <c r="EWD33" s="545"/>
      <c r="EWE33" s="545"/>
      <c r="EWF33" s="545"/>
      <c r="EWG33" s="545"/>
      <c r="EWH33" s="545"/>
      <c r="EWI33" s="545"/>
      <c r="EWJ33" s="545"/>
      <c r="EWK33" s="545"/>
      <c r="EWL33" s="545"/>
      <c r="EWM33" s="545"/>
      <c r="EWN33" s="545"/>
      <c r="EWO33" s="545"/>
      <c r="EWP33" s="545"/>
      <c r="EWQ33" s="545"/>
      <c r="EWR33" s="545"/>
      <c r="EWS33" s="545"/>
      <c r="EWT33" s="545"/>
      <c r="EWU33" s="545"/>
      <c r="EWV33" s="545"/>
      <c r="EWW33" s="545"/>
      <c r="EWX33" s="545"/>
      <c r="EWY33" s="545"/>
      <c r="EWZ33" s="545"/>
      <c r="EXA33" s="545"/>
      <c r="EXB33" s="545"/>
      <c r="EXC33" s="545"/>
      <c r="EXD33" s="545"/>
      <c r="EXE33" s="545"/>
      <c r="EXF33" s="545"/>
      <c r="EXG33" s="545"/>
      <c r="EXH33" s="545"/>
      <c r="EXI33" s="545"/>
      <c r="EXJ33" s="545"/>
      <c r="EXK33" s="545"/>
      <c r="EXL33" s="545"/>
      <c r="EXM33" s="545"/>
      <c r="EXN33" s="545"/>
      <c r="EXO33" s="545"/>
      <c r="EXP33" s="545"/>
      <c r="EXQ33" s="545"/>
      <c r="EXR33" s="545"/>
      <c r="EXS33" s="545"/>
      <c r="EXT33" s="545"/>
      <c r="EXU33" s="545"/>
      <c r="EXV33" s="545"/>
      <c r="EXW33" s="545"/>
      <c r="EXX33" s="545"/>
      <c r="EXY33" s="545"/>
      <c r="EXZ33" s="545"/>
      <c r="EYA33" s="545"/>
      <c r="EYB33" s="545"/>
      <c r="EYC33" s="545"/>
      <c r="EYD33" s="545"/>
      <c r="EYE33" s="545"/>
      <c r="EYF33" s="545"/>
      <c r="EYG33" s="545"/>
      <c r="EYH33" s="545"/>
      <c r="EYI33" s="545"/>
      <c r="EYJ33" s="545"/>
      <c r="EYK33" s="545"/>
      <c r="EYL33" s="545"/>
      <c r="EYM33" s="545"/>
      <c r="EYN33" s="545"/>
      <c r="EYO33" s="545"/>
      <c r="EYP33" s="545"/>
      <c r="EYQ33" s="545"/>
      <c r="EYR33" s="545"/>
      <c r="EYS33" s="545"/>
      <c r="EYT33" s="545"/>
      <c r="EYU33" s="545"/>
      <c r="EYV33" s="545"/>
      <c r="EYW33" s="545"/>
      <c r="EYX33" s="545"/>
      <c r="EYY33" s="545"/>
      <c r="EYZ33" s="545"/>
      <c r="EZA33" s="545"/>
      <c r="EZB33" s="545"/>
      <c r="EZC33" s="545"/>
      <c r="EZD33" s="545"/>
      <c r="EZE33" s="545"/>
      <c r="EZF33" s="545"/>
      <c r="EZG33" s="545"/>
      <c r="EZH33" s="545"/>
      <c r="EZI33" s="545"/>
      <c r="EZJ33" s="545"/>
      <c r="EZK33" s="545"/>
      <c r="EZL33" s="545"/>
      <c r="EZM33" s="545"/>
      <c r="EZN33" s="545"/>
      <c r="EZO33" s="545"/>
      <c r="EZP33" s="545"/>
      <c r="EZQ33" s="545"/>
      <c r="EZR33" s="545"/>
      <c r="EZS33" s="545"/>
      <c r="EZT33" s="545"/>
      <c r="EZU33" s="545"/>
      <c r="EZV33" s="545"/>
      <c r="EZW33" s="545"/>
      <c r="EZX33" s="545"/>
      <c r="EZY33" s="545"/>
      <c r="EZZ33" s="545"/>
      <c r="FAA33" s="545"/>
      <c r="FAB33" s="545"/>
      <c r="FAC33" s="545"/>
      <c r="FAD33" s="545"/>
      <c r="FAE33" s="545"/>
      <c r="FAF33" s="545"/>
      <c r="FAG33" s="545"/>
      <c r="FAH33" s="545"/>
      <c r="FAI33" s="545"/>
      <c r="FAJ33" s="545"/>
      <c r="FAK33" s="545"/>
      <c r="FAL33" s="545"/>
      <c r="FAM33" s="545"/>
      <c r="FAN33" s="545"/>
      <c r="FAO33" s="545"/>
      <c r="FAP33" s="545"/>
      <c r="FAQ33" s="545"/>
      <c r="FAR33" s="545"/>
      <c r="FAS33" s="545"/>
      <c r="FAT33" s="545"/>
      <c r="FAU33" s="545"/>
      <c r="FAV33" s="545"/>
      <c r="FAW33" s="545"/>
      <c r="FAX33" s="545"/>
      <c r="FAY33" s="545"/>
      <c r="FAZ33" s="545"/>
      <c r="FBA33" s="545"/>
      <c r="FBB33" s="545"/>
      <c r="FBC33" s="545"/>
      <c r="FBD33" s="545"/>
      <c r="FBE33" s="545"/>
      <c r="FBF33" s="545"/>
      <c r="FBG33" s="545"/>
      <c r="FBH33" s="545"/>
      <c r="FBI33" s="545"/>
      <c r="FBJ33" s="545"/>
      <c r="FBK33" s="545"/>
      <c r="FBL33" s="545"/>
      <c r="FBM33" s="545"/>
      <c r="FBN33" s="545"/>
      <c r="FBO33" s="545"/>
      <c r="FBP33" s="545"/>
      <c r="FBQ33" s="545"/>
      <c r="FBR33" s="545"/>
      <c r="FBS33" s="545"/>
      <c r="FBT33" s="545"/>
      <c r="FBU33" s="545"/>
      <c r="FBV33" s="545"/>
      <c r="FBW33" s="545"/>
      <c r="FBX33" s="545"/>
      <c r="FBY33" s="545"/>
      <c r="FBZ33" s="545"/>
      <c r="FCA33" s="545"/>
      <c r="FCB33" s="545"/>
      <c r="FCC33" s="545"/>
      <c r="FCD33" s="545"/>
      <c r="FCE33" s="545"/>
      <c r="FCF33" s="545"/>
      <c r="FCG33" s="545"/>
      <c r="FCH33" s="545"/>
      <c r="FCI33" s="545"/>
      <c r="FCJ33" s="545"/>
      <c r="FCK33" s="545"/>
      <c r="FCL33" s="545"/>
      <c r="FCM33" s="545"/>
      <c r="FCN33" s="545"/>
      <c r="FCO33" s="545"/>
      <c r="FCP33" s="545"/>
      <c r="FCQ33" s="545"/>
      <c r="FCR33" s="545"/>
      <c r="FCS33" s="545"/>
      <c r="FCT33" s="545"/>
      <c r="FCU33" s="545"/>
      <c r="FCV33" s="545"/>
      <c r="FCW33" s="545"/>
      <c r="FCX33" s="545"/>
      <c r="FCY33" s="545"/>
      <c r="FCZ33" s="545"/>
      <c r="FDA33" s="545"/>
      <c r="FDB33" s="545"/>
      <c r="FDC33" s="545"/>
      <c r="FDD33" s="545"/>
      <c r="FDE33" s="545"/>
      <c r="FDF33" s="545"/>
      <c r="FDG33" s="545"/>
      <c r="FDH33" s="545"/>
      <c r="FDI33" s="545"/>
      <c r="FDJ33" s="545"/>
      <c r="FDK33" s="545"/>
      <c r="FDL33" s="545"/>
      <c r="FDM33" s="545"/>
      <c r="FDN33" s="545"/>
      <c r="FDO33" s="545"/>
      <c r="FDP33" s="545"/>
      <c r="FDQ33" s="545"/>
      <c r="FDR33" s="545"/>
      <c r="FDS33" s="545"/>
      <c r="FDT33" s="545"/>
      <c r="FDU33" s="545"/>
      <c r="FDV33" s="545"/>
      <c r="FDW33" s="545"/>
      <c r="FDX33" s="545"/>
      <c r="FDY33" s="545"/>
      <c r="FDZ33" s="545"/>
      <c r="FEA33" s="545"/>
      <c r="FEB33" s="545"/>
      <c r="FEC33" s="545"/>
      <c r="FED33" s="545"/>
      <c r="FEE33" s="545"/>
      <c r="FEF33" s="545"/>
      <c r="FEG33" s="545"/>
      <c r="FEH33" s="545"/>
      <c r="FEI33" s="545"/>
      <c r="FEJ33" s="545"/>
      <c r="FEK33" s="545"/>
      <c r="FEL33" s="545"/>
      <c r="FEM33" s="545"/>
      <c r="FEN33" s="545"/>
      <c r="FEO33" s="545"/>
      <c r="FEP33" s="545"/>
      <c r="FEQ33" s="545"/>
      <c r="FER33" s="545"/>
      <c r="FES33" s="545"/>
      <c r="FET33" s="545"/>
      <c r="FEU33" s="545"/>
      <c r="FEV33" s="545"/>
      <c r="FEW33" s="545"/>
      <c r="FEX33" s="545"/>
      <c r="FEY33" s="545"/>
      <c r="FEZ33" s="545"/>
      <c r="FFA33" s="545"/>
      <c r="FFB33" s="545"/>
      <c r="FFC33" s="545"/>
      <c r="FFD33" s="545"/>
      <c r="FFE33" s="545"/>
      <c r="FFF33" s="545"/>
      <c r="FFG33" s="545"/>
      <c r="FFH33" s="545"/>
      <c r="FFI33" s="545"/>
      <c r="FFJ33" s="545"/>
      <c r="FFK33" s="545"/>
      <c r="FFL33" s="545"/>
      <c r="FFM33" s="545"/>
      <c r="FFN33" s="545"/>
      <c r="FFO33" s="545"/>
      <c r="FFP33" s="545"/>
      <c r="FFQ33" s="545"/>
      <c r="FFR33" s="545"/>
      <c r="FFS33" s="545"/>
      <c r="FFT33" s="545"/>
      <c r="FFU33" s="545"/>
      <c r="FFV33" s="545"/>
      <c r="FFW33" s="545"/>
      <c r="FFX33" s="545"/>
      <c r="FFY33" s="545"/>
      <c r="FFZ33" s="545"/>
      <c r="FGA33" s="545"/>
      <c r="FGB33" s="545"/>
      <c r="FGC33" s="545"/>
      <c r="FGD33" s="545"/>
      <c r="FGE33" s="545"/>
      <c r="FGF33" s="545"/>
      <c r="FGG33" s="545"/>
      <c r="FGH33" s="545"/>
      <c r="FGI33" s="545"/>
      <c r="FGJ33" s="545"/>
      <c r="FGK33" s="545"/>
      <c r="FGL33" s="545"/>
      <c r="FGM33" s="545"/>
      <c r="FGN33" s="545"/>
      <c r="FGO33" s="545"/>
      <c r="FGP33" s="545"/>
      <c r="FGQ33" s="545"/>
      <c r="FGR33" s="545"/>
      <c r="FGS33" s="545"/>
      <c r="FGT33" s="545"/>
      <c r="FGU33" s="545"/>
      <c r="FGV33" s="545"/>
      <c r="FGW33" s="545"/>
      <c r="FGX33" s="545"/>
      <c r="FGY33" s="545"/>
      <c r="FGZ33" s="545"/>
      <c r="FHA33" s="545"/>
      <c r="FHB33" s="545"/>
      <c r="FHC33" s="545"/>
      <c r="FHD33" s="545"/>
      <c r="FHE33" s="545"/>
      <c r="FHF33" s="545"/>
      <c r="FHG33" s="545"/>
      <c r="FHH33" s="545"/>
      <c r="FHI33" s="545"/>
      <c r="FHJ33" s="545"/>
      <c r="FHK33" s="545"/>
      <c r="FHL33" s="545"/>
      <c r="FHM33" s="545"/>
      <c r="FHN33" s="545"/>
      <c r="FHO33" s="545"/>
      <c r="FHP33" s="545"/>
      <c r="FHQ33" s="545"/>
      <c r="FHR33" s="545"/>
      <c r="FHS33" s="545"/>
      <c r="FHT33" s="545"/>
      <c r="FHU33" s="545"/>
      <c r="FHV33" s="545"/>
      <c r="FHW33" s="545"/>
      <c r="FHX33" s="545"/>
      <c r="FHY33" s="545"/>
      <c r="FHZ33" s="545"/>
      <c r="FIA33" s="545"/>
      <c r="FIB33" s="545"/>
      <c r="FIC33" s="545"/>
      <c r="FID33" s="545"/>
      <c r="FIE33" s="545"/>
      <c r="FIF33" s="545"/>
      <c r="FIG33" s="545"/>
      <c r="FIH33" s="545"/>
      <c r="FII33" s="545"/>
      <c r="FIJ33" s="545"/>
      <c r="FIK33" s="545"/>
      <c r="FIL33" s="545"/>
      <c r="FIM33" s="545"/>
      <c r="FIN33" s="545"/>
      <c r="FIO33" s="545"/>
      <c r="FIP33" s="545"/>
      <c r="FIQ33" s="545"/>
      <c r="FIR33" s="545"/>
      <c r="FIS33" s="545"/>
      <c r="FIT33" s="545"/>
      <c r="FIU33" s="545"/>
      <c r="FIV33" s="545"/>
      <c r="FIW33" s="545"/>
      <c r="FIX33" s="545"/>
      <c r="FIY33" s="545"/>
      <c r="FIZ33" s="545"/>
      <c r="FJA33" s="545"/>
      <c r="FJB33" s="545"/>
      <c r="FJC33" s="545"/>
      <c r="FJD33" s="545"/>
      <c r="FJE33" s="545"/>
      <c r="FJF33" s="545"/>
      <c r="FJG33" s="545"/>
      <c r="FJH33" s="545"/>
      <c r="FJI33" s="545"/>
      <c r="FJJ33" s="545"/>
      <c r="FJK33" s="545"/>
      <c r="FJL33" s="545"/>
      <c r="FJM33" s="545"/>
      <c r="FJN33" s="545"/>
      <c r="FJO33" s="545"/>
      <c r="FJP33" s="545"/>
      <c r="FJQ33" s="545"/>
      <c r="FJR33" s="545"/>
      <c r="FJS33" s="545"/>
      <c r="FJT33" s="545"/>
      <c r="FJU33" s="545"/>
      <c r="FJV33" s="545"/>
      <c r="FJW33" s="545"/>
      <c r="FJX33" s="545"/>
      <c r="FJY33" s="545"/>
      <c r="FJZ33" s="545"/>
      <c r="FKA33" s="545"/>
      <c r="FKB33" s="545"/>
      <c r="FKC33" s="545"/>
      <c r="FKD33" s="545"/>
      <c r="FKE33" s="545"/>
      <c r="FKF33" s="545"/>
      <c r="FKG33" s="545"/>
      <c r="FKH33" s="545"/>
      <c r="FKI33" s="545"/>
      <c r="FKJ33" s="545"/>
      <c r="FKK33" s="545"/>
      <c r="FKL33" s="545"/>
      <c r="FKM33" s="545"/>
      <c r="FKN33" s="545"/>
      <c r="FKO33" s="545"/>
      <c r="FKP33" s="545"/>
      <c r="FKQ33" s="545"/>
      <c r="FKR33" s="545"/>
      <c r="FKS33" s="545"/>
      <c r="FKT33" s="545"/>
      <c r="FKU33" s="545"/>
      <c r="FKV33" s="545"/>
      <c r="FKW33" s="545"/>
      <c r="FKX33" s="545"/>
      <c r="FKY33" s="545"/>
      <c r="FKZ33" s="545"/>
      <c r="FLA33" s="545"/>
      <c r="FLB33" s="545"/>
      <c r="FLC33" s="545"/>
      <c r="FLD33" s="545"/>
      <c r="FLE33" s="545"/>
      <c r="FLF33" s="545"/>
      <c r="FLG33" s="545"/>
      <c r="FLH33" s="545"/>
      <c r="FLI33" s="545"/>
      <c r="FLJ33" s="545"/>
      <c r="FLK33" s="545"/>
      <c r="FLL33" s="545"/>
      <c r="FLM33" s="545"/>
      <c r="FLN33" s="545"/>
      <c r="FLO33" s="545"/>
      <c r="FLP33" s="545"/>
      <c r="FLQ33" s="545"/>
      <c r="FLR33" s="545"/>
      <c r="FLS33" s="545"/>
      <c r="FLT33" s="545"/>
      <c r="FLU33" s="545"/>
      <c r="FLV33" s="545"/>
      <c r="FLW33" s="545"/>
      <c r="FLX33" s="545"/>
      <c r="FLY33" s="545"/>
      <c r="FLZ33" s="545"/>
      <c r="FMA33" s="545"/>
      <c r="FMB33" s="545"/>
      <c r="FMC33" s="545"/>
      <c r="FMD33" s="545"/>
      <c r="FME33" s="545"/>
      <c r="FMF33" s="545"/>
      <c r="FMG33" s="545"/>
      <c r="FMH33" s="545"/>
      <c r="FMI33" s="545"/>
      <c r="FMJ33" s="545"/>
      <c r="FMK33" s="545"/>
      <c r="FML33" s="545"/>
      <c r="FMM33" s="545"/>
      <c r="FMN33" s="545"/>
      <c r="FMO33" s="545"/>
      <c r="FMP33" s="545"/>
      <c r="FMQ33" s="545"/>
      <c r="FMR33" s="545"/>
      <c r="FMS33" s="545"/>
      <c r="FMT33" s="545"/>
      <c r="FMU33" s="545"/>
      <c r="FMV33" s="545"/>
      <c r="FMW33" s="545"/>
      <c r="FMX33" s="545"/>
      <c r="FMY33" s="545"/>
      <c r="FMZ33" s="545"/>
      <c r="FNA33" s="545"/>
      <c r="FNB33" s="545"/>
      <c r="FNC33" s="545"/>
      <c r="FND33" s="545"/>
      <c r="FNE33" s="545"/>
      <c r="FNF33" s="545"/>
      <c r="FNG33" s="545"/>
      <c r="FNH33" s="545"/>
      <c r="FNI33" s="545"/>
      <c r="FNJ33" s="545"/>
      <c r="FNK33" s="545"/>
      <c r="FNL33" s="545"/>
      <c r="FNM33" s="545"/>
      <c r="FNN33" s="545"/>
      <c r="FNO33" s="545"/>
      <c r="FNP33" s="545"/>
      <c r="FNQ33" s="545"/>
      <c r="FNR33" s="545"/>
      <c r="FNS33" s="545"/>
      <c r="FNT33" s="545"/>
      <c r="FNU33" s="545"/>
      <c r="FNV33" s="545"/>
      <c r="FNW33" s="545"/>
      <c r="FNX33" s="545"/>
      <c r="FNY33" s="545"/>
      <c r="FNZ33" s="545"/>
      <c r="FOA33" s="545"/>
      <c r="FOB33" s="545"/>
      <c r="FOC33" s="545"/>
      <c r="FOD33" s="545"/>
      <c r="FOE33" s="545"/>
      <c r="FOF33" s="545"/>
      <c r="FOG33" s="545"/>
      <c r="FOH33" s="545"/>
      <c r="FOI33" s="545"/>
      <c r="FOJ33" s="545"/>
      <c r="FOK33" s="545"/>
      <c r="FOL33" s="545"/>
      <c r="FOM33" s="545"/>
      <c r="FON33" s="545"/>
      <c r="FOO33" s="545"/>
      <c r="FOP33" s="545"/>
      <c r="FOQ33" s="545"/>
      <c r="FOR33" s="545"/>
      <c r="FOS33" s="545"/>
      <c r="FOT33" s="545"/>
      <c r="FOU33" s="545"/>
      <c r="FOV33" s="545"/>
      <c r="FOW33" s="545"/>
      <c r="FOX33" s="545"/>
      <c r="FOY33" s="545"/>
      <c r="FOZ33" s="545"/>
      <c r="FPA33" s="545"/>
      <c r="FPB33" s="545"/>
      <c r="FPC33" s="545"/>
      <c r="FPD33" s="545"/>
      <c r="FPE33" s="545"/>
      <c r="FPF33" s="545"/>
      <c r="FPG33" s="545"/>
      <c r="FPH33" s="545"/>
      <c r="FPI33" s="545"/>
      <c r="FPJ33" s="545"/>
      <c r="FPK33" s="545"/>
      <c r="FPL33" s="545"/>
      <c r="FPM33" s="545"/>
      <c r="FPN33" s="545"/>
      <c r="FPO33" s="545"/>
      <c r="FPP33" s="545"/>
      <c r="FPQ33" s="545"/>
      <c r="FPR33" s="545"/>
      <c r="FPS33" s="545"/>
      <c r="FPT33" s="545"/>
      <c r="FPU33" s="545"/>
      <c r="FPV33" s="545"/>
      <c r="FPW33" s="545"/>
      <c r="FPX33" s="545"/>
      <c r="FPY33" s="545"/>
      <c r="FPZ33" s="545"/>
      <c r="FQA33" s="545"/>
      <c r="FQB33" s="545"/>
      <c r="FQC33" s="545"/>
      <c r="FQD33" s="545"/>
      <c r="FQE33" s="545"/>
      <c r="FQF33" s="545"/>
      <c r="FQG33" s="545"/>
      <c r="FQH33" s="545"/>
      <c r="FQI33" s="545"/>
      <c r="FQJ33" s="545"/>
      <c r="FQK33" s="545"/>
      <c r="FQL33" s="545"/>
      <c r="FQM33" s="545"/>
      <c r="FQN33" s="545"/>
      <c r="FQO33" s="545"/>
      <c r="FQP33" s="545"/>
      <c r="FQQ33" s="545"/>
      <c r="FQR33" s="545"/>
      <c r="FQS33" s="545"/>
      <c r="FQT33" s="545"/>
      <c r="FQU33" s="545"/>
      <c r="FQV33" s="545"/>
      <c r="FQW33" s="545"/>
      <c r="FQX33" s="545"/>
      <c r="FQY33" s="545"/>
      <c r="FQZ33" s="545"/>
      <c r="FRA33" s="545"/>
      <c r="FRB33" s="545"/>
      <c r="FRC33" s="545"/>
      <c r="FRD33" s="545"/>
      <c r="FRE33" s="545"/>
      <c r="FRF33" s="545"/>
      <c r="FRG33" s="545"/>
      <c r="FRH33" s="545"/>
      <c r="FRI33" s="545"/>
      <c r="FRJ33" s="545"/>
      <c r="FRK33" s="545"/>
      <c r="FRL33" s="545"/>
      <c r="FRM33" s="545"/>
      <c r="FRN33" s="545"/>
      <c r="FRO33" s="545"/>
      <c r="FRP33" s="545"/>
      <c r="FRQ33" s="545"/>
      <c r="FRR33" s="545"/>
      <c r="FRS33" s="545"/>
      <c r="FRT33" s="545"/>
      <c r="FRU33" s="545"/>
      <c r="FRV33" s="545"/>
      <c r="FRW33" s="545"/>
      <c r="FRX33" s="545"/>
      <c r="FRY33" s="545"/>
      <c r="FRZ33" s="545"/>
      <c r="FSA33" s="545"/>
      <c r="FSB33" s="545"/>
      <c r="FSC33" s="545"/>
      <c r="FSD33" s="545"/>
      <c r="FSE33" s="545"/>
      <c r="FSF33" s="545"/>
      <c r="FSG33" s="545"/>
      <c r="FSH33" s="545"/>
      <c r="FSI33" s="545"/>
      <c r="FSJ33" s="545"/>
      <c r="FSK33" s="545"/>
      <c r="FSL33" s="545"/>
      <c r="FSM33" s="545"/>
      <c r="FSN33" s="545"/>
      <c r="FSO33" s="545"/>
      <c r="FSP33" s="545"/>
      <c r="FSQ33" s="545"/>
      <c r="FSR33" s="545"/>
      <c r="FSS33" s="545"/>
      <c r="FST33" s="545"/>
      <c r="FSU33" s="545"/>
      <c r="FSV33" s="545"/>
      <c r="FSW33" s="545"/>
      <c r="FSX33" s="545"/>
      <c r="FSY33" s="545"/>
      <c r="FSZ33" s="545"/>
      <c r="FTA33" s="545"/>
      <c r="FTB33" s="545"/>
      <c r="FTC33" s="545"/>
      <c r="FTD33" s="545"/>
      <c r="FTE33" s="545"/>
      <c r="FTF33" s="545"/>
      <c r="FTG33" s="545"/>
      <c r="FTH33" s="545"/>
      <c r="FTI33" s="545"/>
      <c r="FTJ33" s="545"/>
      <c r="FTK33" s="545"/>
      <c r="FTL33" s="545"/>
      <c r="FTM33" s="545"/>
      <c r="FTN33" s="545"/>
      <c r="FTO33" s="545"/>
      <c r="FTP33" s="545"/>
      <c r="FTQ33" s="545"/>
      <c r="FTR33" s="545"/>
      <c r="FTS33" s="545"/>
      <c r="FTT33" s="545"/>
      <c r="FTU33" s="545"/>
      <c r="FTV33" s="545"/>
      <c r="FTW33" s="545"/>
      <c r="FTX33" s="545"/>
      <c r="FTY33" s="545"/>
      <c r="FTZ33" s="545"/>
      <c r="FUA33" s="545"/>
      <c r="FUB33" s="545"/>
      <c r="FUC33" s="545"/>
      <c r="FUD33" s="545"/>
      <c r="FUE33" s="545"/>
      <c r="FUF33" s="545"/>
      <c r="FUG33" s="545"/>
      <c r="FUH33" s="545"/>
      <c r="FUI33" s="545"/>
      <c r="FUJ33" s="545"/>
      <c r="FUK33" s="545"/>
      <c r="FUL33" s="545"/>
      <c r="FUM33" s="545"/>
      <c r="FUN33" s="545"/>
      <c r="FUO33" s="545"/>
      <c r="FUP33" s="545"/>
      <c r="FUQ33" s="545"/>
      <c r="FUR33" s="545"/>
      <c r="FUS33" s="545"/>
      <c r="FUT33" s="545"/>
      <c r="FUU33" s="545"/>
      <c r="FUV33" s="545"/>
      <c r="FUW33" s="545"/>
      <c r="FUX33" s="545"/>
      <c r="FUY33" s="545"/>
      <c r="FUZ33" s="545"/>
      <c r="FVA33" s="545"/>
      <c r="FVB33" s="545"/>
      <c r="FVC33" s="545"/>
      <c r="FVD33" s="545"/>
      <c r="FVE33" s="545"/>
      <c r="FVF33" s="545"/>
      <c r="FVG33" s="545"/>
      <c r="FVH33" s="545"/>
      <c r="FVI33" s="545"/>
      <c r="FVJ33" s="545"/>
      <c r="FVK33" s="545"/>
      <c r="FVL33" s="545"/>
      <c r="FVM33" s="545"/>
      <c r="FVN33" s="545"/>
      <c r="FVO33" s="545"/>
      <c r="FVP33" s="545"/>
      <c r="FVQ33" s="545"/>
      <c r="FVR33" s="545"/>
      <c r="FVS33" s="545"/>
      <c r="FVT33" s="545"/>
      <c r="FVU33" s="545"/>
      <c r="FVV33" s="545"/>
      <c r="FVW33" s="545"/>
      <c r="FVX33" s="545"/>
      <c r="FVY33" s="545"/>
      <c r="FVZ33" s="545"/>
      <c r="FWA33" s="545"/>
      <c r="FWB33" s="545"/>
      <c r="FWC33" s="545"/>
      <c r="FWD33" s="545"/>
      <c r="FWE33" s="545"/>
      <c r="FWF33" s="545"/>
      <c r="FWG33" s="545"/>
      <c r="FWH33" s="545"/>
      <c r="FWI33" s="545"/>
      <c r="FWJ33" s="545"/>
      <c r="FWK33" s="545"/>
      <c r="FWL33" s="545"/>
      <c r="FWM33" s="545"/>
      <c r="FWN33" s="545"/>
      <c r="FWO33" s="545"/>
      <c r="FWP33" s="545"/>
      <c r="FWQ33" s="545"/>
      <c r="FWR33" s="545"/>
      <c r="FWS33" s="545"/>
      <c r="FWT33" s="545"/>
      <c r="FWU33" s="545"/>
      <c r="FWV33" s="545"/>
      <c r="FWW33" s="545"/>
      <c r="FWX33" s="545"/>
      <c r="FWY33" s="545"/>
      <c r="FWZ33" s="545"/>
      <c r="FXA33" s="545"/>
      <c r="FXB33" s="545"/>
      <c r="FXC33" s="545"/>
      <c r="FXD33" s="545"/>
      <c r="FXE33" s="545"/>
      <c r="FXF33" s="545"/>
      <c r="FXG33" s="545"/>
      <c r="FXH33" s="545"/>
      <c r="FXI33" s="545"/>
      <c r="FXJ33" s="545"/>
      <c r="FXK33" s="545"/>
      <c r="FXL33" s="545"/>
      <c r="FXM33" s="545"/>
      <c r="FXN33" s="545"/>
      <c r="FXO33" s="545"/>
      <c r="FXP33" s="545"/>
      <c r="FXQ33" s="545"/>
      <c r="FXR33" s="545"/>
      <c r="FXS33" s="545"/>
      <c r="FXT33" s="545"/>
      <c r="FXU33" s="545"/>
      <c r="FXV33" s="545"/>
      <c r="FXW33" s="545"/>
      <c r="FXX33" s="545"/>
      <c r="FXY33" s="545"/>
      <c r="FXZ33" s="545"/>
      <c r="FYA33" s="545"/>
      <c r="FYB33" s="545"/>
      <c r="FYC33" s="545"/>
      <c r="FYD33" s="545"/>
      <c r="FYE33" s="545"/>
      <c r="FYF33" s="545"/>
      <c r="FYG33" s="545"/>
      <c r="FYH33" s="545"/>
      <c r="FYI33" s="545"/>
      <c r="FYJ33" s="545"/>
      <c r="FYK33" s="545"/>
      <c r="FYL33" s="545"/>
      <c r="FYM33" s="545"/>
      <c r="FYN33" s="545"/>
      <c r="FYO33" s="545"/>
      <c r="FYP33" s="545"/>
      <c r="FYQ33" s="545"/>
      <c r="FYR33" s="545"/>
      <c r="FYS33" s="545"/>
      <c r="FYT33" s="545"/>
      <c r="FYU33" s="545"/>
      <c r="FYV33" s="545"/>
      <c r="FYW33" s="545"/>
      <c r="FYX33" s="545"/>
      <c r="FYY33" s="545"/>
      <c r="FYZ33" s="545"/>
      <c r="FZA33" s="545"/>
      <c r="FZB33" s="545"/>
      <c r="FZC33" s="545"/>
      <c r="FZD33" s="545"/>
      <c r="FZE33" s="545"/>
      <c r="FZF33" s="545"/>
      <c r="FZG33" s="545"/>
      <c r="FZH33" s="545"/>
      <c r="FZI33" s="545"/>
      <c r="FZJ33" s="545"/>
      <c r="FZK33" s="545"/>
      <c r="FZL33" s="545"/>
      <c r="FZM33" s="545"/>
      <c r="FZN33" s="545"/>
      <c r="FZO33" s="545"/>
      <c r="FZP33" s="545"/>
      <c r="FZQ33" s="545"/>
      <c r="FZR33" s="545"/>
      <c r="FZS33" s="545"/>
      <c r="FZT33" s="545"/>
      <c r="FZU33" s="545"/>
      <c r="FZV33" s="545"/>
      <c r="FZW33" s="545"/>
      <c r="FZX33" s="545"/>
      <c r="FZY33" s="545"/>
      <c r="FZZ33" s="545"/>
      <c r="GAA33" s="545"/>
      <c r="GAB33" s="545"/>
      <c r="GAC33" s="545"/>
      <c r="GAD33" s="545"/>
      <c r="GAE33" s="545"/>
      <c r="GAF33" s="545"/>
      <c r="GAG33" s="545"/>
      <c r="GAH33" s="545"/>
      <c r="GAI33" s="545"/>
      <c r="GAJ33" s="545"/>
      <c r="GAK33" s="545"/>
      <c r="GAL33" s="545"/>
      <c r="GAM33" s="545"/>
      <c r="GAN33" s="545"/>
      <c r="GAO33" s="545"/>
      <c r="GAP33" s="545"/>
      <c r="GAQ33" s="545"/>
      <c r="GAR33" s="545"/>
      <c r="GAS33" s="545"/>
      <c r="GAT33" s="545"/>
      <c r="GAU33" s="545"/>
      <c r="GAV33" s="545"/>
      <c r="GAW33" s="545"/>
      <c r="GAX33" s="545"/>
      <c r="GAY33" s="545"/>
      <c r="GAZ33" s="545"/>
      <c r="GBA33" s="545"/>
      <c r="GBB33" s="545"/>
      <c r="GBC33" s="545"/>
      <c r="GBD33" s="545"/>
      <c r="GBE33" s="545"/>
      <c r="GBF33" s="545"/>
      <c r="GBG33" s="545"/>
      <c r="GBH33" s="545"/>
      <c r="GBI33" s="545"/>
      <c r="GBJ33" s="545"/>
      <c r="GBK33" s="545"/>
      <c r="GBL33" s="545"/>
      <c r="GBM33" s="545"/>
      <c r="GBN33" s="545"/>
      <c r="GBO33" s="545"/>
      <c r="GBP33" s="545"/>
      <c r="GBQ33" s="545"/>
      <c r="GBR33" s="545"/>
      <c r="GBS33" s="545"/>
      <c r="GBT33" s="545"/>
      <c r="GBU33" s="545"/>
      <c r="GBV33" s="545"/>
      <c r="GBW33" s="545"/>
      <c r="GBX33" s="545"/>
      <c r="GBY33" s="545"/>
      <c r="GBZ33" s="545"/>
      <c r="GCA33" s="545"/>
      <c r="GCB33" s="545"/>
      <c r="GCC33" s="545"/>
      <c r="GCD33" s="545"/>
      <c r="GCE33" s="545"/>
      <c r="GCF33" s="545"/>
      <c r="GCG33" s="545"/>
      <c r="GCH33" s="545"/>
      <c r="GCI33" s="545"/>
      <c r="GCJ33" s="545"/>
      <c r="GCK33" s="545"/>
      <c r="GCL33" s="545"/>
      <c r="GCM33" s="545"/>
      <c r="GCN33" s="545"/>
      <c r="GCO33" s="545"/>
      <c r="GCP33" s="545"/>
      <c r="GCQ33" s="545"/>
      <c r="GCR33" s="545"/>
      <c r="GCS33" s="545"/>
      <c r="GCT33" s="545"/>
      <c r="GCU33" s="545"/>
      <c r="GCV33" s="545"/>
      <c r="GCW33" s="545"/>
      <c r="GCX33" s="545"/>
      <c r="GCY33" s="545"/>
      <c r="GCZ33" s="545"/>
      <c r="GDA33" s="545"/>
      <c r="GDB33" s="545"/>
      <c r="GDC33" s="545"/>
      <c r="GDD33" s="545"/>
      <c r="GDE33" s="545"/>
      <c r="GDF33" s="545"/>
      <c r="GDG33" s="545"/>
      <c r="GDH33" s="545"/>
      <c r="GDI33" s="545"/>
      <c r="GDJ33" s="545"/>
      <c r="GDK33" s="545"/>
      <c r="GDL33" s="545"/>
      <c r="GDM33" s="545"/>
      <c r="GDN33" s="545"/>
      <c r="GDO33" s="545"/>
      <c r="GDP33" s="545"/>
      <c r="GDQ33" s="545"/>
      <c r="GDR33" s="545"/>
      <c r="GDS33" s="545"/>
      <c r="GDT33" s="545"/>
      <c r="GDU33" s="545"/>
      <c r="GDV33" s="545"/>
      <c r="GDW33" s="545"/>
      <c r="GDX33" s="545"/>
      <c r="GDY33" s="545"/>
      <c r="GDZ33" s="545"/>
      <c r="GEA33" s="545"/>
      <c r="GEB33" s="545"/>
      <c r="GEC33" s="545"/>
      <c r="GED33" s="545"/>
      <c r="GEE33" s="545"/>
      <c r="GEF33" s="545"/>
      <c r="GEG33" s="545"/>
      <c r="GEH33" s="545"/>
      <c r="GEI33" s="545"/>
      <c r="GEJ33" s="545"/>
      <c r="GEK33" s="545"/>
      <c r="GEL33" s="545"/>
      <c r="GEM33" s="545"/>
      <c r="GEN33" s="545"/>
      <c r="GEO33" s="545"/>
      <c r="GEP33" s="545"/>
      <c r="GEQ33" s="545"/>
      <c r="GER33" s="545"/>
      <c r="GES33" s="545"/>
      <c r="GET33" s="545"/>
      <c r="GEU33" s="545"/>
      <c r="GEV33" s="545"/>
      <c r="GEW33" s="545"/>
      <c r="GEX33" s="545"/>
      <c r="GEY33" s="545"/>
      <c r="GEZ33" s="545"/>
      <c r="GFA33" s="545"/>
      <c r="GFB33" s="545"/>
      <c r="GFC33" s="545"/>
      <c r="GFD33" s="545"/>
      <c r="GFE33" s="545"/>
      <c r="GFF33" s="545"/>
      <c r="GFG33" s="545"/>
      <c r="GFH33" s="545"/>
      <c r="GFI33" s="545"/>
      <c r="GFJ33" s="545"/>
      <c r="GFK33" s="545"/>
      <c r="GFL33" s="545"/>
      <c r="GFM33" s="545"/>
      <c r="GFN33" s="545"/>
      <c r="GFO33" s="545"/>
      <c r="GFP33" s="545"/>
      <c r="GFQ33" s="545"/>
      <c r="GFR33" s="545"/>
      <c r="GFS33" s="545"/>
      <c r="GFT33" s="545"/>
      <c r="GFU33" s="545"/>
      <c r="GFV33" s="545"/>
      <c r="GFW33" s="545"/>
      <c r="GFX33" s="545"/>
      <c r="GFY33" s="545"/>
      <c r="GFZ33" s="545"/>
      <c r="GGA33" s="545"/>
      <c r="GGB33" s="545"/>
      <c r="GGC33" s="545"/>
      <c r="GGD33" s="545"/>
      <c r="GGE33" s="545"/>
      <c r="GGF33" s="545"/>
      <c r="GGG33" s="545"/>
      <c r="GGH33" s="545"/>
      <c r="GGI33" s="545"/>
      <c r="GGJ33" s="545"/>
      <c r="GGK33" s="545"/>
      <c r="GGL33" s="545"/>
      <c r="GGM33" s="545"/>
      <c r="GGN33" s="545"/>
      <c r="GGO33" s="545"/>
      <c r="GGP33" s="545"/>
      <c r="GGQ33" s="545"/>
      <c r="GGR33" s="545"/>
      <c r="GGS33" s="545"/>
      <c r="GGT33" s="545"/>
      <c r="GGU33" s="545"/>
      <c r="GGV33" s="545"/>
      <c r="GGW33" s="545"/>
      <c r="GGX33" s="545"/>
      <c r="GGY33" s="545"/>
      <c r="GGZ33" s="545"/>
      <c r="GHA33" s="545"/>
      <c r="GHB33" s="545"/>
      <c r="GHC33" s="545"/>
      <c r="GHD33" s="545"/>
      <c r="GHE33" s="545"/>
      <c r="GHF33" s="545"/>
      <c r="GHG33" s="545"/>
      <c r="GHH33" s="545"/>
      <c r="GHI33" s="545"/>
      <c r="GHJ33" s="545"/>
      <c r="GHK33" s="545"/>
      <c r="GHL33" s="545"/>
      <c r="GHM33" s="545"/>
      <c r="GHN33" s="545"/>
      <c r="GHO33" s="545"/>
      <c r="GHP33" s="545"/>
      <c r="GHQ33" s="545"/>
      <c r="GHR33" s="545"/>
      <c r="GHS33" s="545"/>
      <c r="GHT33" s="545"/>
      <c r="GHU33" s="545"/>
      <c r="GHV33" s="545"/>
      <c r="GHW33" s="545"/>
      <c r="GHX33" s="545"/>
      <c r="GHY33" s="545"/>
      <c r="GHZ33" s="545"/>
      <c r="GIA33" s="545"/>
      <c r="GIB33" s="545"/>
      <c r="GIC33" s="545"/>
      <c r="GID33" s="545"/>
      <c r="GIE33" s="545"/>
      <c r="GIF33" s="545"/>
      <c r="GIG33" s="545"/>
      <c r="GIH33" s="545"/>
      <c r="GII33" s="545"/>
      <c r="GIJ33" s="545"/>
      <c r="GIK33" s="545"/>
      <c r="GIL33" s="545"/>
      <c r="GIM33" s="545"/>
      <c r="GIN33" s="545"/>
      <c r="GIO33" s="545"/>
      <c r="GIP33" s="545"/>
      <c r="GIQ33" s="545"/>
      <c r="GIR33" s="545"/>
      <c r="GIS33" s="545"/>
      <c r="GIT33" s="545"/>
      <c r="GIU33" s="545"/>
      <c r="GIV33" s="545"/>
      <c r="GIW33" s="545"/>
      <c r="GIX33" s="545"/>
      <c r="GIY33" s="545"/>
      <c r="GIZ33" s="545"/>
      <c r="GJA33" s="545"/>
      <c r="GJB33" s="545"/>
      <c r="GJC33" s="545"/>
      <c r="GJD33" s="545"/>
      <c r="GJE33" s="545"/>
      <c r="GJF33" s="545"/>
      <c r="GJG33" s="545"/>
      <c r="GJH33" s="545"/>
      <c r="GJI33" s="545"/>
      <c r="GJJ33" s="545"/>
      <c r="GJK33" s="545"/>
      <c r="GJL33" s="545"/>
      <c r="GJM33" s="545"/>
      <c r="GJN33" s="545"/>
      <c r="GJO33" s="545"/>
      <c r="GJP33" s="545"/>
      <c r="GJQ33" s="545"/>
      <c r="GJR33" s="545"/>
      <c r="GJS33" s="545"/>
      <c r="GJT33" s="545"/>
      <c r="GJU33" s="545"/>
      <c r="GJV33" s="545"/>
      <c r="GJW33" s="545"/>
      <c r="GJX33" s="545"/>
      <c r="GJY33" s="545"/>
      <c r="GJZ33" s="545"/>
      <c r="GKA33" s="545"/>
      <c r="GKB33" s="545"/>
      <c r="GKC33" s="545"/>
      <c r="GKD33" s="545"/>
      <c r="GKE33" s="545"/>
      <c r="GKF33" s="545"/>
      <c r="GKG33" s="545"/>
      <c r="GKH33" s="545"/>
      <c r="GKI33" s="545"/>
      <c r="GKJ33" s="545"/>
      <c r="GKK33" s="545"/>
      <c r="GKL33" s="545"/>
      <c r="GKM33" s="545"/>
      <c r="GKN33" s="545"/>
      <c r="GKO33" s="545"/>
      <c r="GKP33" s="545"/>
      <c r="GKQ33" s="545"/>
      <c r="GKR33" s="545"/>
      <c r="GKS33" s="545"/>
      <c r="GKT33" s="545"/>
      <c r="GKU33" s="545"/>
      <c r="GKV33" s="545"/>
      <c r="GKW33" s="545"/>
      <c r="GKX33" s="545"/>
      <c r="GKY33" s="545"/>
      <c r="GKZ33" s="545"/>
      <c r="GLA33" s="545"/>
      <c r="GLB33" s="545"/>
      <c r="GLC33" s="545"/>
      <c r="GLD33" s="545"/>
      <c r="GLE33" s="545"/>
      <c r="GLF33" s="545"/>
      <c r="GLG33" s="545"/>
      <c r="GLH33" s="545"/>
      <c r="GLI33" s="545"/>
      <c r="GLJ33" s="545"/>
      <c r="GLK33" s="545"/>
      <c r="GLL33" s="545"/>
      <c r="GLM33" s="545"/>
      <c r="GLN33" s="545"/>
      <c r="GLO33" s="545"/>
      <c r="GLP33" s="545"/>
      <c r="GLQ33" s="545"/>
      <c r="GLR33" s="545"/>
      <c r="GLS33" s="545"/>
      <c r="GLT33" s="545"/>
      <c r="GLU33" s="545"/>
      <c r="GLV33" s="545"/>
      <c r="GLW33" s="545"/>
      <c r="GLX33" s="545"/>
      <c r="GLY33" s="545"/>
      <c r="GLZ33" s="545"/>
      <c r="GMA33" s="545"/>
      <c r="GMB33" s="545"/>
      <c r="GMC33" s="545"/>
      <c r="GMD33" s="545"/>
      <c r="GME33" s="545"/>
      <c r="GMF33" s="545"/>
      <c r="GMG33" s="545"/>
      <c r="GMH33" s="545"/>
      <c r="GMI33" s="545"/>
      <c r="GMJ33" s="545"/>
      <c r="GMK33" s="545"/>
      <c r="GML33" s="545"/>
      <c r="GMM33" s="545"/>
      <c r="GMN33" s="545"/>
      <c r="GMO33" s="545"/>
      <c r="GMP33" s="545"/>
      <c r="GMQ33" s="545"/>
      <c r="GMR33" s="545"/>
      <c r="GMS33" s="545"/>
      <c r="GMT33" s="545"/>
      <c r="GMU33" s="545"/>
      <c r="GMV33" s="545"/>
      <c r="GMW33" s="545"/>
      <c r="GMX33" s="545"/>
      <c r="GMY33" s="545"/>
      <c r="GMZ33" s="545"/>
      <c r="GNA33" s="545"/>
      <c r="GNB33" s="545"/>
      <c r="GNC33" s="545"/>
      <c r="GND33" s="545"/>
      <c r="GNE33" s="545"/>
      <c r="GNF33" s="545"/>
      <c r="GNG33" s="545"/>
      <c r="GNH33" s="545"/>
      <c r="GNI33" s="545"/>
      <c r="GNJ33" s="545"/>
      <c r="GNK33" s="545"/>
      <c r="GNL33" s="545"/>
      <c r="GNM33" s="545"/>
      <c r="GNN33" s="545"/>
      <c r="GNO33" s="545"/>
      <c r="GNP33" s="545"/>
      <c r="GNQ33" s="545"/>
      <c r="GNR33" s="545"/>
      <c r="GNS33" s="545"/>
      <c r="GNT33" s="545"/>
      <c r="GNU33" s="545"/>
      <c r="GNV33" s="545"/>
      <c r="GNW33" s="545"/>
      <c r="GNX33" s="545"/>
      <c r="GNY33" s="545"/>
      <c r="GNZ33" s="545"/>
      <c r="GOA33" s="545"/>
      <c r="GOB33" s="545"/>
      <c r="GOC33" s="545"/>
      <c r="GOD33" s="545"/>
      <c r="GOE33" s="545"/>
      <c r="GOF33" s="545"/>
      <c r="GOG33" s="545"/>
      <c r="GOH33" s="545"/>
      <c r="GOI33" s="545"/>
      <c r="GOJ33" s="545"/>
      <c r="GOK33" s="545"/>
      <c r="GOL33" s="545"/>
      <c r="GOM33" s="545"/>
      <c r="GON33" s="545"/>
      <c r="GOO33" s="545"/>
      <c r="GOP33" s="545"/>
      <c r="GOQ33" s="545"/>
      <c r="GOR33" s="545"/>
      <c r="GOS33" s="545"/>
      <c r="GOT33" s="545"/>
      <c r="GOU33" s="545"/>
      <c r="GOV33" s="545"/>
      <c r="GOW33" s="545"/>
      <c r="GOX33" s="545"/>
      <c r="GOY33" s="545"/>
      <c r="GOZ33" s="545"/>
      <c r="GPA33" s="545"/>
      <c r="GPB33" s="545"/>
      <c r="GPC33" s="545"/>
      <c r="GPD33" s="545"/>
      <c r="GPE33" s="545"/>
      <c r="GPF33" s="545"/>
      <c r="GPG33" s="545"/>
      <c r="GPH33" s="545"/>
      <c r="GPI33" s="545"/>
      <c r="GPJ33" s="545"/>
      <c r="GPK33" s="545"/>
      <c r="GPL33" s="545"/>
      <c r="GPM33" s="545"/>
      <c r="GPN33" s="545"/>
      <c r="GPO33" s="545"/>
      <c r="GPP33" s="545"/>
      <c r="GPQ33" s="545"/>
      <c r="GPR33" s="545"/>
      <c r="GPS33" s="545"/>
      <c r="GPT33" s="545"/>
      <c r="GPU33" s="545"/>
      <c r="GPV33" s="545"/>
      <c r="GPW33" s="545"/>
      <c r="GPX33" s="545"/>
      <c r="GPY33" s="545"/>
      <c r="GPZ33" s="545"/>
      <c r="GQA33" s="545"/>
      <c r="GQB33" s="545"/>
      <c r="GQC33" s="545"/>
      <c r="GQD33" s="545"/>
      <c r="GQE33" s="545"/>
      <c r="GQF33" s="545"/>
      <c r="GQG33" s="545"/>
      <c r="GQH33" s="545"/>
      <c r="GQI33" s="545"/>
      <c r="GQJ33" s="545"/>
      <c r="GQK33" s="545"/>
      <c r="GQL33" s="545"/>
      <c r="GQM33" s="545"/>
      <c r="GQN33" s="545"/>
      <c r="GQO33" s="545"/>
      <c r="GQP33" s="545"/>
      <c r="GQQ33" s="545"/>
      <c r="GQR33" s="545"/>
      <c r="GQS33" s="545"/>
      <c r="GQT33" s="545"/>
      <c r="GQU33" s="545"/>
      <c r="GQV33" s="545"/>
      <c r="GQW33" s="545"/>
      <c r="GQX33" s="545"/>
      <c r="GQY33" s="545"/>
      <c r="GQZ33" s="545"/>
      <c r="GRA33" s="545"/>
      <c r="GRB33" s="545"/>
      <c r="GRC33" s="545"/>
      <c r="GRD33" s="545"/>
      <c r="GRE33" s="545"/>
      <c r="GRF33" s="545"/>
      <c r="GRG33" s="545"/>
      <c r="GRH33" s="545"/>
      <c r="GRI33" s="545"/>
      <c r="GRJ33" s="545"/>
      <c r="GRK33" s="545"/>
      <c r="GRL33" s="545"/>
      <c r="GRM33" s="545"/>
      <c r="GRN33" s="545"/>
      <c r="GRO33" s="545"/>
      <c r="GRP33" s="545"/>
      <c r="GRQ33" s="545"/>
      <c r="GRR33" s="545"/>
      <c r="GRS33" s="545"/>
      <c r="GRT33" s="545"/>
      <c r="GRU33" s="545"/>
      <c r="GRV33" s="545"/>
      <c r="GRW33" s="545"/>
      <c r="GRX33" s="545"/>
      <c r="GRY33" s="545"/>
      <c r="GRZ33" s="545"/>
      <c r="GSA33" s="545"/>
      <c r="GSB33" s="545"/>
      <c r="GSC33" s="545"/>
      <c r="GSD33" s="545"/>
      <c r="GSE33" s="545"/>
      <c r="GSF33" s="545"/>
      <c r="GSG33" s="545"/>
      <c r="GSH33" s="545"/>
      <c r="GSI33" s="545"/>
      <c r="GSJ33" s="545"/>
      <c r="GSK33" s="545"/>
      <c r="GSL33" s="545"/>
      <c r="GSM33" s="545"/>
      <c r="GSN33" s="545"/>
      <c r="GSO33" s="545"/>
      <c r="GSP33" s="545"/>
      <c r="GSQ33" s="545"/>
      <c r="GSR33" s="545"/>
      <c r="GSS33" s="545"/>
      <c r="GST33" s="545"/>
      <c r="GSU33" s="545"/>
      <c r="GSV33" s="545"/>
      <c r="GSW33" s="545"/>
      <c r="GSX33" s="545"/>
      <c r="GSY33" s="545"/>
      <c r="GSZ33" s="545"/>
      <c r="GTA33" s="545"/>
      <c r="GTB33" s="545"/>
      <c r="GTC33" s="545"/>
      <c r="GTD33" s="545"/>
      <c r="GTE33" s="545"/>
      <c r="GTF33" s="545"/>
      <c r="GTG33" s="545"/>
      <c r="GTH33" s="545"/>
      <c r="GTI33" s="545"/>
      <c r="GTJ33" s="545"/>
      <c r="GTK33" s="545"/>
      <c r="GTL33" s="545"/>
      <c r="GTM33" s="545"/>
      <c r="GTN33" s="545"/>
      <c r="GTO33" s="545"/>
      <c r="GTP33" s="545"/>
      <c r="GTQ33" s="545"/>
      <c r="GTR33" s="545"/>
      <c r="GTS33" s="545"/>
      <c r="GTT33" s="545"/>
      <c r="GTU33" s="545"/>
      <c r="GTV33" s="545"/>
      <c r="GTW33" s="545"/>
      <c r="GTX33" s="545"/>
      <c r="GTY33" s="545"/>
      <c r="GTZ33" s="545"/>
      <c r="GUA33" s="545"/>
      <c r="GUB33" s="545"/>
      <c r="GUC33" s="545"/>
      <c r="GUD33" s="545"/>
      <c r="GUE33" s="545"/>
      <c r="GUF33" s="545"/>
      <c r="GUG33" s="545"/>
      <c r="GUH33" s="545"/>
      <c r="GUI33" s="545"/>
      <c r="GUJ33" s="545"/>
      <c r="GUK33" s="545"/>
      <c r="GUL33" s="545"/>
      <c r="GUM33" s="545"/>
      <c r="GUN33" s="545"/>
      <c r="GUO33" s="545"/>
      <c r="GUP33" s="545"/>
      <c r="GUQ33" s="545"/>
      <c r="GUR33" s="545"/>
      <c r="GUS33" s="545"/>
      <c r="GUT33" s="545"/>
      <c r="GUU33" s="545"/>
      <c r="GUV33" s="545"/>
      <c r="GUW33" s="545"/>
      <c r="GUX33" s="545"/>
      <c r="GUY33" s="545"/>
      <c r="GUZ33" s="545"/>
      <c r="GVA33" s="545"/>
      <c r="GVB33" s="545"/>
      <c r="GVC33" s="545"/>
      <c r="GVD33" s="545"/>
      <c r="GVE33" s="545"/>
      <c r="GVF33" s="545"/>
      <c r="GVG33" s="545"/>
      <c r="GVH33" s="545"/>
      <c r="GVI33" s="545"/>
      <c r="GVJ33" s="545"/>
      <c r="GVK33" s="545"/>
      <c r="GVL33" s="545"/>
      <c r="GVM33" s="545"/>
      <c r="GVN33" s="545"/>
      <c r="GVO33" s="545"/>
      <c r="GVP33" s="545"/>
      <c r="GVQ33" s="545"/>
      <c r="GVR33" s="545"/>
      <c r="GVS33" s="545"/>
      <c r="GVT33" s="545"/>
      <c r="GVU33" s="545"/>
      <c r="GVV33" s="545"/>
      <c r="GVW33" s="545"/>
      <c r="GVX33" s="545"/>
      <c r="GVY33" s="545"/>
      <c r="GVZ33" s="545"/>
      <c r="GWA33" s="545"/>
      <c r="GWB33" s="545"/>
      <c r="GWC33" s="545"/>
      <c r="GWD33" s="545"/>
      <c r="GWE33" s="545"/>
      <c r="GWF33" s="545"/>
      <c r="GWG33" s="545"/>
      <c r="GWH33" s="545"/>
      <c r="GWI33" s="545"/>
      <c r="GWJ33" s="545"/>
      <c r="GWK33" s="545"/>
      <c r="GWL33" s="545"/>
      <c r="GWM33" s="545"/>
      <c r="GWN33" s="545"/>
      <c r="GWO33" s="545"/>
      <c r="GWP33" s="545"/>
      <c r="GWQ33" s="545"/>
      <c r="GWR33" s="545"/>
      <c r="GWS33" s="545"/>
      <c r="GWT33" s="545"/>
      <c r="GWU33" s="545"/>
      <c r="GWV33" s="545"/>
      <c r="GWW33" s="545"/>
      <c r="GWX33" s="545"/>
      <c r="GWY33" s="545"/>
      <c r="GWZ33" s="545"/>
      <c r="GXA33" s="545"/>
      <c r="GXB33" s="545"/>
      <c r="GXC33" s="545"/>
      <c r="GXD33" s="545"/>
      <c r="GXE33" s="545"/>
      <c r="GXF33" s="545"/>
      <c r="GXG33" s="545"/>
      <c r="GXH33" s="545"/>
      <c r="GXI33" s="545"/>
      <c r="GXJ33" s="545"/>
      <c r="GXK33" s="545"/>
      <c r="GXL33" s="545"/>
      <c r="GXM33" s="545"/>
      <c r="GXN33" s="545"/>
      <c r="GXO33" s="545"/>
      <c r="GXP33" s="545"/>
      <c r="GXQ33" s="545"/>
      <c r="GXR33" s="545"/>
      <c r="GXS33" s="545"/>
      <c r="GXT33" s="545"/>
      <c r="GXU33" s="545"/>
      <c r="GXV33" s="545"/>
      <c r="GXW33" s="545"/>
      <c r="GXX33" s="545"/>
      <c r="GXY33" s="545"/>
      <c r="GXZ33" s="545"/>
      <c r="GYA33" s="545"/>
      <c r="GYB33" s="545"/>
      <c r="GYC33" s="545"/>
      <c r="GYD33" s="545"/>
      <c r="GYE33" s="545"/>
      <c r="GYF33" s="545"/>
      <c r="GYG33" s="545"/>
      <c r="GYH33" s="545"/>
      <c r="GYI33" s="545"/>
      <c r="GYJ33" s="545"/>
      <c r="GYK33" s="545"/>
      <c r="GYL33" s="545"/>
      <c r="GYM33" s="545"/>
      <c r="GYN33" s="545"/>
      <c r="GYO33" s="545"/>
      <c r="GYP33" s="545"/>
      <c r="GYQ33" s="545"/>
      <c r="GYR33" s="545"/>
      <c r="GYS33" s="545"/>
      <c r="GYT33" s="545"/>
      <c r="GYU33" s="545"/>
      <c r="GYV33" s="545"/>
      <c r="GYW33" s="545"/>
      <c r="GYX33" s="545"/>
      <c r="GYY33" s="545"/>
      <c r="GYZ33" s="545"/>
      <c r="GZA33" s="545"/>
      <c r="GZB33" s="545"/>
      <c r="GZC33" s="545"/>
      <c r="GZD33" s="545"/>
      <c r="GZE33" s="545"/>
      <c r="GZF33" s="545"/>
      <c r="GZG33" s="545"/>
      <c r="GZH33" s="545"/>
      <c r="GZI33" s="545"/>
      <c r="GZJ33" s="545"/>
      <c r="GZK33" s="545"/>
      <c r="GZL33" s="545"/>
      <c r="GZM33" s="545"/>
      <c r="GZN33" s="545"/>
      <c r="GZO33" s="545"/>
      <c r="GZP33" s="545"/>
      <c r="GZQ33" s="545"/>
      <c r="GZR33" s="545"/>
      <c r="GZS33" s="545"/>
      <c r="GZT33" s="545"/>
      <c r="GZU33" s="545"/>
      <c r="GZV33" s="545"/>
      <c r="GZW33" s="545"/>
      <c r="GZX33" s="545"/>
      <c r="GZY33" s="545"/>
      <c r="GZZ33" s="545"/>
      <c r="HAA33" s="545"/>
      <c r="HAB33" s="545"/>
      <c r="HAC33" s="545"/>
      <c r="HAD33" s="545"/>
      <c r="HAE33" s="545"/>
      <c r="HAF33" s="545"/>
      <c r="HAG33" s="545"/>
      <c r="HAH33" s="545"/>
      <c r="HAI33" s="545"/>
      <c r="HAJ33" s="545"/>
      <c r="HAK33" s="545"/>
      <c r="HAL33" s="545"/>
      <c r="HAM33" s="545"/>
      <c r="HAN33" s="545"/>
      <c r="HAO33" s="545"/>
      <c r="HAP33" s="545"/>
      <c r="HAQ33" s="545"/>
      <c r="HAR33" s="545"/>
      <c r="HAS33" s="545"/>
      <c r="HAT33" s="545"/>
      <c r="HAU33" s="545"/>
      <c r="HAV33" s="545"/>
      <c r="HAW33" s="545"/>
      <c r="HAX33" s="545"/>
      <c r="HAY33" s="545"/>
      <c r="HAZ33" s="545"/>
      <c r="HBA33" s="545"/>
      <c r="HBB33" s="545"/>
      <c r="HBC33" s="545"/>
      <c r="HBD33" s="545"/>
      <c r="HBE33" s="545"/>
      <c r="HBF33" s="545"/>
      <c r="HBG33" s="545"/>
      <c r="HBH33" s="545"/>
      <c r="HBI33" s="545"/>
      <c r="HBJ33" s="545"/>
      <c r="HBK33" s="545"/>
      <c r="HBL33" s="545"/>
      <c r="HBM33" s="545"/>
      <c r="HBN33" s="545"/>
      <c r="HBO33" s="545"/>
      <c r="HBP33" s="545"/>
      <c r="HBQ33" s="545"/>
      <c r="HBR33" s="545"/>
      <c r="HBS33" s="545"/>
      <c r="HBT33" s="545"/>
      <c r="HBU33" s="545"/>
      <c r="HBV33" s="545"/>
      <c r="HBW33" s="545"/>
      <c r="HBX33" s="545"/>
      <c r="HBY33" s="545"/>
      <c r="HBZ33" s="545"/>
      <c r="HCA33" s="545"/>
      <c r="HCB33" s="545"/>
      <c r="HCC33" s="545"/>
      <c r="HCD33" s="545"/>
      <c r="HCE33" s="545"/>
      <c r="HCF33" s="545"/>
      <c r="HCG33" s="545"/>
      <c r="HCH33" s="545"/>
      <c r="HCI33" s="545"/>
      <c r="HCJ33" s="545"/>
      <c r="HCK33" s="545"/>
      <c r="HCL33" s="545"/>
      <c r="HCM33" s="545"/>
      <c r="HCN33" s="545"/>
      <c r="HCO33" s="545"/>
      <c r="HCP33" s="545"/>
      <c r="HCQ33" s="545"/>
      <c r="HCR33" s="545"/>
      <c r="HCS33" s="545"/>
      <c r="HCT33" s="545"/>
      <c r="HCU33" s="545"/>
      <c r="HCV33" s="545"/>
      <c r="HCW33" s="545"/>
      <c r="HCX33" s="545"/>
      <c r="HCY33" s="545"/>
      <c r="HCZ33" s="545"/>
      <c r="HDA33" s="545"/>
      <c r="HDB33" s="545"/>
      <c r="HDC33" s="545"/>
      <c r="HDD33" s="545"/>
      <c r="HDE33" s="545"/>
      <c r="HDF33" s="545"/>
      <c r="HDG33" s="545"/>
      <c r="HDH33" s="545"/>
      <c r="HDI33" s="545"/>
      <c r="HDJ33" s="545"/>
      <c r="HDK33" s="545"/>
      <c r="HDL33" s="545"/>
      <c r="HDM33" s="545"/>
      <c r="HDN33" s="545"/>
      <c r="HDO33" s="545"/>
      <c r="HDP33" s="545"/>
      <c r="HDQ33" s="545"/>
      <c r="HDR33" s="545"/>
      <c r="HDS33" s="545"/>
      <c r="HDT33" s="545"/>
      <c r="HDU33" s="545"/>
      <c r="HDV33" s="545"/>
      <c r="HDW33" s="545"/>
      <c r="HDX33" s="545"/>
      <c r="HDY33" s="545"/>
      <c r="HDZ33" s="545"/>
      <c r="HEA33" s="545"/>
      <c r="HEB33" s="545"/>
      <c r="HEC33" s="545"/>
      <c r="HED33" s="545"/>
      <c r="HEE33" s="545"/>
      <c r="HEF33" s="545"/>
      <c r="HEG33" s="545"/>
      <c r="HEH33" s="545"/>
      <c r="HEI33" s="545"/>
      <c r="HEJ33" s="545"/>
      <c r="HEK33" s="545"/>
      <c r="HEL33" s="545"/>
      <c r="HEM33" s="545"/>
      <c r="HEN33" s="545"/>
      <c r="HEO33" s="545"/>
      <c r="HEP33" s="545"/>
      <c r="HEQ33" s="545"/>
      <c r="HER33" s="545"/>
      <c r="HES33" s="545"/>
      <c r="HET33" s="545"/>
      <c r="HEU33" s="545"/>
      <c r="HEV33" s="545"/>
      <c r="HEW33" s="545"/>
      <c r="HEX33" s="545"/>
      <c r="HEY33" s="545"/>
      <c r="HEZ33" s="545"/>
      <c r="HFA33" s="545"/>
      <c r="HFB33" s="545"/>
      <c r="HFC33" s="545"/>
      <c r="HFD33" s="545"/>
      <c r="HFE33" s="545"/>
      <c r="HFF33" s="545"/>
      <c r="HFG33" s="545"/>
      <c r="HFH33" s="545"/>
      <c r="HFI33" s="545"/>
      <c r="HFJ33" s="545"/>
      <c r="HFK33" s="545"/>
      <c r="HFL33" s="545"/>
      <c r="HFM33" s="545"/>
      <c r="HFN33" s="545"/>
      <c r="HFO33" s="545"/>
      <c r="HFP33" s="545"/>
      <c r="HFQ33" s="545"/>
      <c r="HFR33" s="545"/>
      <c r="HFS33" s="545"/>
      <c r="HFT33" s="545"/>
      <c r="HFU33" s="545"/>
      <c r="HFV33" s="545"/>
      <c r="HFW33" s="545"/>
      <c r="HFX33" s="545"/>
      <c r="HFY33" s="545"/>
      <c r="HFZ33" s="545"/>
      <c r="HGA33" s="545"/>
      <c r="HGB33" s="545"/>
      <c r="HGC33" s="545"/>
      <c r="HGD33" s="545"/>
      <c r="HGE33" s="545"/>
      <c r="HGF33" s="545"/>
      <c r="HGG33" s="545"/>
      <c r="HGH33" s="545"/>
      <c r="HGI33" s="545"/>
      <c r="HGJ33" s="545"/>
      <c r="HGK33" s="545"/>
      <c r="HGL33" s="545"/>
      <c r="HGM33" s="545"/>
      <c r="HGN33" s="545"/>
      <c r="HGO33" s="545"/>
      <c r="HGP33" s="545"/>
      <c r="HGQ33" s="545"/>
      <c r="HGR33" s="545"/>
      <c r="HGS33" s="545"/>
      <c r="HGT33" s="545"/>
      <c r="HGU33" s="545"/>
      <c r="HGV33" s="545"/>
      <c r="HGW33" s="545"/>
      <c r="HGX33" s="545"/>
      <c r="HGY33" s="545"/>
      <c r="HGZ33" s="545"/>
      <c r="HHA33" s="545"/>
      <c r="HHB33" s="545"/>
      <c r="HHC33" s="545"/>
      <c r="HHD33" s="545"/>
      <c r="HHE33" s="545"/>
      <c r="HHF33" s="545"/>
      <c r="HHG33" s="545"/>
      <c r="HHH33" s="545"/>
      <c r="HHI33" s="545"/>
      <c r="HHJ33" s="545"/>
      <c r="HHK33" s="545"/>
      <c r="HHL33" s="545"/>
      <c r="HHM33" s="545"/>
      <c r="HHN33" s="545"/>
      <c r="HHO33" s="545"/>
      <c r="HHP33" s="545"/>
      <c r="HHQ33" s="545"/>
      <c r="HHR33" s="545"/>
      <c r="HHS33" s="545"/>
      <c r="HHT33" s="545"/>
      <c r="HHU33" s="545"/>
      <c r="HHV33" s="545"/>
      <c r="HHW33" s="545"/>
      <c r="HHX33" s="545"/>
      <c r="HHY33" s="545"/>
      <c r="HHZ33" s="545"/>
      <c r="HIA33" s="545"/>
      <c r="HIB33" s="545"/>
      <c r="HIC33" s="545"/>
      <c r="HID33" s="545"/>
      <c r="HIE33" s="545"/>
      <c r="HIF33" s="545"/>
      <c r="HIG33" s="545"/>
      <c r="HIH33" s="545"/>
      <c r="HII33" s="545"/>
      <c r="HIJ33" s="545"/>
      <c r="HIK33" s="545"/>
      <c r="HIL33" s="545"/>
      <c r="HIM33" s="545"/>
      <c r="HIN33" s="545"/>
      <c r="HIO33" s="545"/>
      <c r="HIP33" s="545"/>
      <c r="HIQ33" s="545"/>
      <c r="HIR33" s="545"/>
      <c r="HIS33" s="545"/>
      <c r="HIT33" s="545"/>
      <c r="HIU33" s="545"/>
      <c r="HIV33" s="545"/>
      <c r="HIW33" s="545"/>
      <c r="HIX33" s="545"/>
      <c r="HIY33" s="545"/>
      <c r="HIZ33" s="545"/>
      <c r="HJA33" s="545"/>
      <c r="HJB33" s="545"/>
      <c r="HJC33" s="545"/>
      <c r="HJD33" s="545"/>
      <c r="HJE33" s="545"/>
      <c r="HJF33" s="545"/>
      <c r="HJG33" s="545"/>
      <c r="HJH33" s="545"/>
      <c r="HJI33" s="545"/>
      <c r="HJJ33" s="545"/>
      <c r="HJK33" s="545"/>
      <c r="HJL33" s="545"/>
      <c r="HJM33" s="545"/>
      <c r="HJN33" s="545"/>
      <c r="HJO33" s="545"/>
      <c r="HJP33" s="545"/>
      <c r="HJQ33" s="545"/>
      <c r="HJR33" s="545"/>
      <c r="HJS33" s="545"/>
      <c r="HJT33" s="545"/>
      <c r="HJU33" s="545"/>
      <c r="HJV33" s="545"/>
      <c r="HJW33" s="545"/>
      <c r="HJX33" s="545"/>
      <c r="HJY33" s="545"/>
      <c r="HJZ33" s="545"/>
      <c r="HKA33" s="545"/>
      <c r="HKB33" s="545"/>
      <c r="HKC33" s="545"/>
      <c r="HKD33" s="545"/>
      <c r="HKE33" s="545"/>
      <c r="HKF33" s="545"/>
      <c r="HKG33" s="545"/>
      <c r="HKH33" s="545"/>
      <c r="HKI33" s="545"/>
      <c r="HKJ33" s="545"/>
      <c r="HKK33" s="545"/>
      <c r="HKL33" s="545"/>
      <c r="HKM33" s="545"/>
      <c r="HKN33" s="545"/>
      <c r="HKO33" s="545"/>
      <c r="HKP33" s="545"/>
      <c r="HKQ33" s="545"/>
      <c r="HKR33" s="545"/>
      <c r="HKS33" s="545"/>
      <c r="HKT33" s="545"/>
      <c r="HKU33" s="545"/>
      <c r="HKV33" s="545"/>
      <c r="HKW33" s="545"/>
      <c r="HKX33" s="545"/>
      <c r="HKY33" s="545"/>
      <c r="HKZ33" s="545"/>
      <c r="HLA33" s="545"/>
      <c r="HLB33" s="545"/>
      <c r="HLC33" s="545"/>
      <c r="HLD33" s="545"/>
      <c r="HLE33" s="545"/>
      <c r="HLF33" s="545"/>
      <c r="HLG33" s="545"/>
      <c r="HLH33" s="545"/>
      <c r="HLI33" s="545"/>
      <c r="HLJ33" s="545"/>
      <c r="HLK33" s="545"/>
      <c r="HLL33" s="545"/>
      <c r="HLM33" s="545"/>
      <c r="HLN33" s="545"/>
      <c r="HLO33" s="545"/>
      <c r="HLP33" s="545"/>
      <c r="HLQ33" s="545"/>
      <c r="HLR33" s="545"/>
      <c r="HLS33" s="545"/>
      <c r="HLT33" s="545"/>
      <c r="HLU33" s="545"/>
      <c r="HLV33" s="545"/>
      <c r="HLW33" s="545"/>
      <c r="HLX33" s="545"/>
      <c r="HLY33" s="545"/>
      <c r="HLZ33" s="545"/>
      <c r="HMA33" s="545"/>
      <c r="HMB33" s="545"/>
      <c r="HMC33" s="545"/>
      <c r="HMD33" s="545"/>
      <c r="HME33" s="545"/>
      <c r="HMF33" s="545"/>
      <c r="HMG33" s="545"/>
      <c r="HMH33" s="545"/>
      <c r="HMI33" s="545"/>
      <c r="HMJ33" s="545"/>
      <c r="HMK33" s="545"/>
      <c r="HML33" s="545"/>
      <c r="HMM33" s="545"/>
      <c r="HMN33" s="545"/>
      <c r="HMO33" s="545"/>
      <c r="HMP33" s="545"/>
      <c r="HMQ33" s="545"/>
      <c r="HMR33" s="545"/>
      <c r="HMS33" s="545"/>
      <c r="HMT33" s="545"/>
      <c r="HMU33" s="545"/>
      <c r="HMV33" s="545"/>
      <c r="HMW33" s="545"/>
      <c r="HMX33" s="545"/>
      <c r="HMY33" s="545"/>
      <c r="HMZ33" s="545"/>
      <c r="HNA33" s="545"/>
      <c r="HNB33" s="545"/>
      <c r="HNC33" s="545"/>
      <c r="HND33" s="545"/>
      <c r="HNE33" s="545"/>
      <c r="HNF33" s="545"/>
      <c r="HNG33" s="545"/>
      <c r="HNH33" s="545"/>
      <c r="HNI33" s="545"/>
      <c r="HNJ33" s="545"/>
      <c r="HNK33" s="545"/>
      <c r="HNL33" s="545"/>
      <c r="HNM33" s="545"/>
      <c r="HNN33" s="545"/>
      <c r="HNO33" s="545"/>
      <c r="HNP33" s="545"/>
      <c r="HNQ33" s="545"/>
      <c r="HNR33" s="545"/>
      <c r="HNS33" s="545"/>
      <c r="HNT33" s="545"/>
      <c r="HNU33" s="545"/>
      <c r="HNV33" s="545"/>
      <c r="HNW33" s="545"/>
      <c r="HNX33" s="545"/>
      <c r="HNY33" s="545"/>
      <c r="HNZ33" s="545"/>
      <c r="HOA33" s="545"/>
      <c r="HOB33" s="545"/>
      <c r="HOC33" s="545"/>
      <c r="HOD33" s="545"/>
      <c r="HOE33" s="545"/>
      <c r="HOF33" s="545"/>
      <c r="HOG33" s="545"/>
      <c r="HOH33" s="545"/>
      <c r="HOI33" s="545"/>
      <c r="HOJ33" s="545"/>
      <c r="HOK33" s="545"/>
      <c r="HOL33" s="545"/>
      <c r="HOM33" s="545"/>
      <c r="HON33" s="545"/>
      <c r="HOO33" s="545"/>
      <c r="HOP33" s="545"/>
      <c r="HOQ33" s="545"/>
      <c r="HOR33" s="545"/>
      <c r="HOS33" s="545"/>
      <c r="HOT33" s="545"/>
      <c r="HOU33" s="545"/>
      <c r="HOV33" s="545"/>
      <c r="HOW33" s="545"/>
      <c r="HOX33" s="545"/>
      <c r="HOY33" s="545"/>
      <c r="HOZ33" s="545"/>
      <c r="HPA33" s="545"/>
      <c r="HPB33" s="545"/>
      <c r="HPC33" s="545"/>
      <c r="HPD33" s="545"/>
      <c r="HPE33" s="545"/>
      <c r="HPF33" s="545"/>
      <c r="HPG33" s="545"/>
      <c r="HPH33" s="545"/>
      <c r="HPI33" s="545"/>
      <c r="HPJ33" s="545"/>
      <c r="HPK33" s="545"/>
      <c r="HPL33" s="545"/>
      <c r="HPM33" s="545"/>
      <c r="HPN33" s="545"/>
      <c r="HPO33" s="545"/>
      <c r="HPP33" s="545"/>
      <c r="HPQ33" s="545"/>
      <c r="HPR33" s="545"/>
      <c r="HPS33" s="545"/>
      <c r="HPT33" s="545"/>
      <c r="HPU33" s="545"/>
      <c r="HPV33" s="545"/>
      <c r="HPW33" s="545"/>
      <c r="HPX33" s="545"/>
      <c r="HPY33" s="545"/>
      <c r="HPZ33" s="545"/>
      <c r="HQA33" s="545"/>
      <c r="HQB33" s="545"/>
      <c r="HQC33" s="545"/>
      <c r="HQD33" s="545"/>
      <c r="HQE33" s="545"/>
      <c r="HQF33" s="545"/>
      <c r="HQG33" s="545"/>
      <c r="HQH33" s="545"/>
      <c r="HQI33" s="545"/>
      <c r="HQJ33" s="545"/>
      <c r="HQK33" s="545"/>
      <c r="HQL33" s="545"/>
      <c r="HQM33" s="545"/>
      <c r="HQN33" s="545"/>
      <c r="HQO33" s="545"/>
      <c r="HQP33" s="545"/>
      <c r="HQQ33" s="545"/>
      <c r="HQR33" s="545"/>
      <c r="HQS33" s="545"/>
      <c r="HQT33" s="545"/>
      <c r="HQU33" s="545"/>
      <c r="HQV33" s="545"/>
      <c r="HQW33" s="545"/>
      <c r="HQX33" s="545"/>
      <c r="HQY33" s="545"/>
      <c r="HQZ33" s="545"/>
      <c r="HRA33" s="545"/>
      <c r="HRB33" s="545"/>
      <c r="HRC33" s="545"/>
      <c r="HRD33" s="545"/>
      <c r="HRE33" s="545"/>
      <c r="HRF33" s="545"/>
      <c r="HRG33" s="545"/>
      <c r="HRH33" s="545"/>
      <c r="HRI33" s="545"/>
      <c r="HRJ33" s="545"/>
      <c r="HRK33" s="545"/>
      <c r="HRL33" s="545"/>
      <c r="HRM33" s="545"/>
      <c r="HRN33" s="545"/>
      <c r="HRO33" s="545"/>
      <c r="HRP33" s="545"/>
      <c r="HRQ33" s="545"/>
      <c r="HRR33" s="545"/>
      <c r="HRS33" s="545"/>
      <c r="HRT33" s="545"/>
      <c r="HRU33" s="545"/>
      <c r="HRV33" s="545"/>
      <c r="HRW33" s="545"/>
      <c r="HRX33" s="545"/>
      <c r="HRY33" s="545"/>
      <c r="HRZ33" s="545"/>
      <c r="HSA33" s="545"/>
      <c r="HSB33" s="545"/>
      <c r="HSC33" s="545"/>
      <c r="HSD33" s="545"/>
      <c r="HSE33" s="545"/>
      <c r="HSF33" s="545"/>
      <c r="HSG33" s="545"/>
      <c r="HSH33" s="545"/>
      <c r="HSI33" s="545"/>
      <c r="HSJ33" s="545"/>
      <c r="HSK33" s="545"/>
      <c r="HSL33" s="545"/>
      <c r="HSM33" s="545"/>
      <c r="HSN33" s="545"/>
      <c r="HSO33" s="545"/>
      <c r="HSP33" s="545"/>
      <c r="HSQ33" s="545"/>
      <c r="HSR33" s="545"/>
      <c r="HSS33" s="545"/>
      <c r="HST33" s="545"/>
      <c r="HSU33" s="545"/>
      <c r="HSV33" s="545"/>
      <c r="HSW33" s="545"/>
      <c r="HSX33" s="545"/>
      <c r="HSY33" s="545"/>
      <c r="HSZ33" s="545"/>
      <c r="HTA33" s="545"/>
      <c r="HTB33" s="545"/>
      <c r="HTC33" s="545"/>
      <c r="HTD33" s="545"/>
      <c r="HTE33" s="545"/>
      <c r="HTF33" s="545"/>
      <c r="HTG33" s="545"/>
      <c r="HTH33" s="545"/>
      <c r="HTI33" s="545"/>
      <c r="HTJ33" s="545"/>
      <c r="HTK33" s="545"/>
      <c r="HTL33" s="545"/>
      <c r="HTM33" s="545"/>
      <c r="HTN33" s="545"/>
      <c r="HTO33" s="545"/>
      <c r="HTP33" s="545"/>
      <c r="HTQ33" s="545"/>
      <c r="HTR33" s="545"/>
      <c r="HTS33" s="545"/>
      <c r="HTT33" s="545"/>
      <c r="HTU33" s="545"/>
      <c r="HTV33" s="545"/>
      <c r="HTW33" s="545"/>
      <c r="HTX33" s="545"/>
      <c r="HTY33" s="545"/>
      <c r="HTZ33" s="545"/>
      <c r="HUA33" s="545"/>
      <c r="HUB33" s="545"/>
      <c r="HUC33" s="545"/>
      <c r="HUD33" s="545"/>
      <c r="HUE33" s="545"/>
      <c r="HUF33" s="545"/>
      <c r="HUG33" s="545"/>
      <c r="HUH33" s="545"/>
      <c r="HUI33" s="545"/>
      <c r="HUJ33" s="545"/>
      <c r="HUK33" s="545"/>
      <c r="HUL33" s="545"/>
      <c r="HUM33" s="545"/>
      <c r="HUN33" s="545"/>
      <c r="HUO33" s="545"/>
      <c r="HUP33" s="545"/>
      <c r="HUQ33" s="545"/>
      <c r="HUR33" s="545"/>
      <c r="HUS33" s="545"/>
      <c r="HUT33" s="545"/>
      <c r="HUU33" s="545"/>
      <c r="HUV33" s="545"/>
      <c r="HUW33" s="545"/>
      <c r="HUX33" s="545"/>
      <c r="HUY33" s="545"/>
      <c r="HUZ33" s="545"/>
      <c r="HVA33" s="545"/>
      <c r="HVB33" s="545"/>
      <c r="HVC33" s="545"/>
      <c r="HVD33" s="545"/>
      <c r="HVE33" s="545"/>
      <c r="HVF33" s="545"/>
      <c r="HVG33" s="545"/>
      <c r="HVH33" s="545"/>
      <c r="HVI33" s="545"/>
      <c r="HVJ33" s="545"/>
      <c r="HVK33" s="545"/>
      <c r="HVL33" s="545"/>
      <c r="HVM33" s="545"/>
      <c r="HVN33" s="545"/>
      <c r="HVO33" s="545"/>
      <c r="HVP33" s="545"/>
      <c r="HVQ33" s="545"/>
      <c r="HVR33" s="545"/>
      <c r="HVS33" s="545"/>
      <c r="HVT33" s="545"/>
      <c r="HVU33" s="545"/>
      <c r="HVV33" s="545"/>
      <c r="HVW33" s="545"/>
      <c r="HVX33" s="545"/>
      <c r="HVY33" s="545"/>
      <c r="HVZ33" s="545"/>
      <c r="HWA33" s="545"/>
      <c r="HWB33" s="545"/>
      <c r="HWC33" s="545"/>
      <c r="HWD33" s="545"/>
      <c r="HWE33" s="545"/>
      <c r="HWF33" s="545"/>
      <c r="HWG33" s="545"/>
      <c r="HWH33" s="545"/>
      <c r="HWI33" s="545"/>
      <c r="HWJ33" s="545"/>
      <c r="HWK33" s="545"/>
      <c r="HWL33" s="545"/>
      <c r="HWM33" s="545"/>
      <c r="HWN33" s="545"/>
      <c r="HWO33" s="545"/>
      <c r="HWP33" s="545"/>
      <c r="HWQ33" s="545"/>
      <c r="HWR33" s="545"/>
      <c r="HWS33" s="545"/>
      <c r="HWT33" s="545"/>
      <c r="HWU33" s="545"/>
      <c r="HWV33" s="545"/>
      <c r="HWW33" s="545"/>
      <c r="HWX33" s="545"/>
      <c r="HWY33" s="545"/>
      <c r="HWZ33" s="545"/>
      <c r="HXA33" s="545"/>
      <c r="HXB33" s="545"/>
      <c r="HXC33" s="545"/>
      <c r="HXD33" s="545"/>
      <c r="HXE33" s="545"/>
      <c r="HXF33" s="545"/>
      <c r="HXG33" s="545"/>
      <c r="HXH33" s="545"/>
      <c r="HXI33" s="545"/>
      <c r="HXJ33" s="545"/>
      <c r="HXK33" s="545"/>
      <c r="HXL33" s="545"/>
      <c r="HXM33" s="545"/>
      <c r="HXN33" s="545"/>
      <c r="HXO33" s="545"/>
      <c r="HXP33" s="545"/>
      <c r="HXQ33" s="545"/>
      <c r="HXR33" s="545"/>
      <c r="HXS33" s="545"/>
      <c r="HXT33" s="545"/>
      <c r="HXU33" s="545"/>
      <c r="HXV33" s="545"/>
      <c r="HXW33" s="545"/>
      <c r="HXX33" s="545"/>
      <c r="HXY33" s="545"/>
      <c r="HXZ33" s="545"/>
      <c r="HYA33" s="545"/>
      <c r="HYB33" s="545"/>
      <c r="HYC33" s="545"/>
      <c r="HYD33" s="545"/>
      <c r="HYE33" s="545"/>
      <c r="HYF33" s="545"/>
      <c r="HYG33" s="545"/>
      <c r="HYH33" s="545"/>
      <c r="HYI33" s="545"/>
      <c r="HYJ33" s="545"/>
      <c r="HYK33" s="545"/>
      <c r="HYL33" s="545"/>
      <c r="HYM33" s="545"/>
      <c r="HYN33" s="545"/>
      <c r="HYO33" s="545"/>
      <c r="HYP33" s="545"/>
      <c r="HYQ33" s="545"/>
      <c r="HYR33" s="545"/>
      <c r="HYS33" s="545"/>
      <c r="HYT33" s="545"/>
      <c r="HYU33" s="545"/>
      <c r="HYV33" s="545"/>
      <c r="HYW33" s="545"/>
      <c r="HYX33" s="545"/>
      <c r="HYY33" s="545"/>
      <c r="HYZ33" s="545"/>
      <c r="HZA33" s="545"/>
      <c r="HZB33" s="545"/>
      <c r="HZC33" s="545"/>
      <c r="HZD33" s="545"/>
      <c r="HZE33" s="545"/>
      <c r="HZF33" s="545"/>
      <c r="HZG33" s="545"/>
      <c r="HZH33" s="545"/>
      <c r="HZI33" s="545"/>
      <c r="HZJ33" s="545"/>
      <c r="HZK33" s="545"/>
      <c r="HZL33" s="545"/>
      <c r="HZM33" s="545"/>
      <c r="HZN33" s="545"/>
      <c r="HZO33" s="545"/>
      <c r="HZP33" s="545"/>
      <c r="HZQ33" s="545"/>
      <c r="HZR33" s="545"/>
      <c r="HZS33" s="545"/>
      <c r="HZT33" s="545"/>
      <c r="HZU33" s="545"/>
      <c r="HZV33" s="545"/>
      <c r="HZW33" s="545"/>
      <c r="HZX33" s="545"/>
      <c r="HZY33" s="545"/>
      <c r="HZZ33" s="545"/>
      <c r="IAA33" s="545"/>
      <c r="IAB33" s="545"/>
      <c r="IAC33" s="545"/>
      <c r="IAD33" s="545"/>
      <c r="IAE33" s="545"/>
      <c r="IAF33" s="545"/>
      <c r="IAG33" s="545"/>
      <c r="IAH33" s="545"/>
      <c r="IAI33" s="545"/>
      <c r="IAJ33" s="545"/>
      <c r="IAK33" s="545"/>
      <c r="IAL33" s="545"/>
      <c r="IAM33" s="545"/>
      <c r="IAN33" s="545"/>
      <c r="IAO33" s="545"/>
      <c r="IAP33" s="545"/>
      <c r="IAQ33" s="545"/>
      <c r="IAR33" s="545"/>
      <c r="IAS33" s="545"/>
      <c r="IAT33" s="545"/>
      <c r="IAU33" s="545"/>
      <c r="IAV33" s="545"/>
      <c r="IAW33" s="545"/>
      <c r="IAX33" s="545"/>
      <c r="IAY33" s="545"/>
      <c r="IAZ33" s="545"/>
      <c r="IBA33" s="545"/>
      <c r="IBB33" s="545"/>
      <c r="IBC33" s="545"/>
      <c r="IBD33" s="545"/>
      <c r="IBE33" s="545"/>
      <c r="IBF33" s="545"/>
      <c r="IBG33" s="545"/>
      <c r="IBH33" s="545"/>
      <c r="IBI33" s="545"/>
      <c r="IBJ33" s="545"/>
      <c r="IBK33" s="545"/>
      <c r="IBL33" s="545"/>
      <c r="IBM33" s="545"/>
      <c r="IBN33" s="545"/>
      <c r="IBO33" s="545"/>
      <c r="IBP33" s="545"/>
      <c r="IBQ33" s="545"/>
      <c r="IBR33" s="545"/>
      <c r="IBS33" s="545"/>
      <c r="IBT33" s="545"/>
      <c r="IBU33" s="545"/>
      <c r="IBV33" s="545"/>
      <c r="IBW33" s="545"/>
      <c r="IBX33" s="545"/>
      <c r="IBY33" s="545"/>
      <c r="IBZ33" s="545"/>
      <c r="ICA33" s="545"/>
      <c r="ICB33" s="545"/>
      <c r="ICC33" s="545"/>
      <c r="ICD33" s="545"/>
      <c r="ICE33" s="545"/>
      <c r="ICF33" s="545"/>
      <c r="ICG33" s="545"/>
      <c r="ICH33" s="545"/>
      <c r="ICI33" s="545"/>
      <c r="ICJ33" s="545"/>
      <c r="ICK33" s="545"/>
      <c r="ICL33" s="545"/>
      <c r="ICM33" s="545"/>
      <c r="ICN33" s="545"/>
      <c r="ICO33" s="545"/>
      <c r="ICP33" s="545"/>
      <c r="ICQ33" s="545"/>
      <c r="ICR33" s="545"/>
      <c r="ICS33" s="545"/>
      <c r="ICT33" s="545"/>
      <c r="ICU33" s="545"/>
      <c r="ICV33" s="545"/>
      <c r="ICW33" s="545"/>
      <c r="ICX33" s="545"/>
      <c r="ICY33" s="545"/>
      <c r="ICZ33" s="545"/>
      <c r="IDA33" s="545"/>
      <c r="IDB33" s="545"/>
      <c r="IDC33" s="545"/>
      <c r="IDD33" s="545"/>
      <c r="IDE33" s="545"/>
      <c r="IDF33" s="545"/>
      <c r="IDG33" s="545"/>
      <c r="IDH33" s="545"/>
      <c r="IDI33" s="545"/>
      <c r="IDJ33" s="545"/>
      <c r="IDK33" s="545"/>
      <c r="IDL33" s="545"/>
      <c r="IDM33" s="545"/>
      <c r="IDN33" s="545"/>
      <c r="IDO33" s="545"/>
      <c r="IDP33" s="545"/>
      <c r="IDQ33" s="545"/>
      <c r="IDR33" s="545"/>
      <c r="IDS33" s="545"/>
      <c r="IDT33" s="545"/>
      <c r="IDU33" s="545"/>
      <c r="IDV33" s="545"/>
      <c r="IDW33" s="545"/>
      <c r="IDX33" s="545"/>
      <c r="IDY33" s="545"/>
      <c r="IDZ33" s="545"/>
      <c r="IEA33" s="545"/>
      <c r="IEB33" s="545"/>
      <c r="IEC33" s="545"/>
      <c r="IED33" s="545"/>
      <c r="IEE33" s="545"/>
      <c r="IEF33" s="545"/>
      <c r="IEG33" s="545"/>
      <c r="IEH33" s="545"/>
      <c r="IEI33" s="545"/>
      <c r="IEJ33" s="545"/>
      <c r="IEK33" s="545"/>
      <c r="IEL33" s="545"/>
      <c r="IEM33" s="545"/>
      <c r="IEN33" s="545"/>
      <c r="IEO33" s="545"/>
      <c r="IEP33" s="545"/>
      <c r="IEQ33" s="545"/>
      <c r="IER33" s="545"/>
      <c r="IES33" s="545"/>
      <c r="IET33" s="545"/>
      <c r="IEU33" s="545"/>
      <c r="IEV33" s="545"/>
      <c r="IEW33" s="545"/>
      <c r="IEX33" s="545"/>
      <c r="IEY33" s="545"/>
      <c r="IEZ33" s="545"/>
      <c r="IFA33" s="545"/>
      <c r="IFB33" s="545"/>
      <c r="IFC33" s="545"/>
      <c r="IFD33" s="545"/>
      <c r="IFE33" s="545"/>
      <c r="IFF33" s="545"/>
      <c r="IFG33" s="545"/>
      <c r="IFH33" s="545"/>
      <c r="IFI33" s="545"/>
      <c r="IFJ33" s="545"/>
      <c r="IFK33" s="545"/>
      <c r="IFL33" s="545"/>
      <c r="IFM33" s="545"/>
      <c r="IFN33" s="545"/>
      <c r="IFO33" s="545"/>
      <c r="IFP33" s="545"/>
      <c r="IFQ33" s="545"/>
      <c r="IFR33" s="545"/>
      <c r="IFS33" s="545"/>
      <c r="IFT33" s="545"/>
      <c r="IFU33" s="545"/>
      <c r="IFV33" s="545"/>
      <c r="IFW33" s="545"/>
      <c r="IFX33" s="545"/>
      <c r="IFY33" s="545"/>
      <c r="IFZ33" s="545"/>
      <c r="IGA33" s="545"/>
      <c r="IGB33" s="545"/>
      <c r="IGC33" s="545"/>
      <c r="IGD33" s="545"/>
      <c r="IGE33" s="545"/>
      <c r="IGF33" s="545"/>
      <c r="IGG33" s="545"/>
      <c r="IGH33" s="545"/>
      <c r="IGI33" s="545"/>
      <c r="IGJ33" s="545"/>
      <c r="IGK33" s="545"/>
      <c r="IGL33" s="545"/>
      <c r="IGM33" s="545"/>
      <c r="IGN33" s="545"/>
      <c r="IGO33" s="545"/>
      <c r="IGP33" s="545"/>
      <c r="IGQ33" s="545"/>
      <c r="IGR33" s="545"/>
      <c r="IGS33" s="545"/>
      <c r="IGT33" s="545"/>
      <c r="IGU33" s="545"/>
      <c r="IGV33" s="545"/>
      <c r="IGW33" s="545"/>
      <c r="IGX33" s="545"/>
      <c r="IGY33" s="545"/>
      <c r="IGZ33" s="545"/>
      <c r="IHA33" s="545"/>
      <c r="IHB33" s="545"/>
      <c r="IHC33" s="545"/>
      <c r="IHD33" s="545"/>
      <c r="IHE33" s="545"/>
      <c r="IHF33" s="545"/>
      <c r="IHG33" s="545"/>
      <c r="IHH33" s="545"/>
      <c r="IHI33" s="545"/>
      <c r="IHJ33" s="545"/>
      <c r="IHK33" s="545"/>
      <c r="IHL33" s="545"/>
      <c r="IHM33" s="545"/>
      <c r="IHN33" s="545"/>
      <c r="IHO33" s="545"/>
      <c r="IHP33" s="545"/>
      <c r="IHQ33" s="545"/>
      <c r="IHR33" s="545"/>
      <c r="IHS33" s="545"/>
      <c r="IHT33" s="545"/>
      <c r="IHU33" s="545"/>
      <c r="IHV33" s="545"/>
      <c r="IHW33" s="545"/>
      <c r="IHX33" s="545"/>
      <c r="IHY33" s="545"/>
      <c r="IHZ33" s="545"/>
      <c r="IIA33" s="545"/>
      <c r="IIB33" s="545"/>
      <c r="IIC33" s="545"/>
      <c r="IID33" s="545"/>
      <c r="IIE33" s="545"/>
      <c r="IIF33" s="545"/>
      <c r="IIG33" s="545"/>
      <c r="IIH33" s="545"/>
      <c r="III33" s="545"/>
      <c r="IIJ33" s="545"/>
      <c r="IIK33" s="545"/>
      <c r="IIL33" s="545"/>
      <c r="IIM33" s="545"/>
      <c r="IIN33" s="545"/>
      <c r="IIO33" s="545"/>
      <c r="IIP33" s="545"/>
      <c r="IIQ33" s="545"/>
      <c r="IIR33" s="545"/>
      <c r="IIS33" s="545"/>
      <c r="IIT33" s="545"/>
      <c r="IIU33" s="545"/>
      <c r="IIV33" s="545"/>
      <c r="IIW33" s="545"/>
      <c r="IIX33" s="545"/>
      <c r="IIY33" s="545"/>
      <c r="IIZ33" s="545"/>
      <c r="IJA33" s="545"/>
      <c r="IJB33" s="545"/>
      <c r="IJC33" s="545"/>
      <c r="IJD33" s="545"/>
      <c r="IJE33" s="545"/>
      <c r="IJF33" s="545"/>
      <c r="IJG33" s="545"/>
      <c r="IJH33" s="545"/>
      <c r="IJI33" s="545"/>
      <c r="IJJ33" s="545"/>
      <c r="IJK33" s="545"/>
      <c r="IJL33" s="545"/>
      <c r="IJM33" s="545"/>
      <c r="IJN33" s="545"/>
      <c r="IJO33" s="545"/>
      <c r="IJP33" s="545"/>
      <c r="IJQ33" s="545"/>
      <c r="IJR33" s="545"/>
      <c r="IJS33" s="545"/>
      <c r="IJT33" s="545"/>
      <c r="IJU33" s="545"/>
      <c r="IJV33" s="545"/>
      <c r="IJW33" s="545"/>
      <c r="IJX33" s="545"/>
      <c r="IJY33" s="545"/>
      <c r="IJZ33" s="545"/>
      <c r="IKA33" s="545"/>
      <c r="IKB33" s="545"/>
      <c r="IKC33" s="545"/>
      <c r="IKD33" s="545"/>
      <c r="IKE33" s="545"/>
      <c r="IKF33" s="545"/>
      <c r="IKG33" s="545"/>
      <c r="IKH33" s="545"/>
      <c r="IKI33" s="545"/>
      <c r="IKJ33" s="545"/>
      <c r="IKK33" s="545"/>
      <c r="IKL33" s="545"/>
      <c r="IKM33" s="545"/>
      <c r="IKN33" s="545"/>
      <c r="IKO33" s="545"/>
      <c r="IKP33" s="545"/>
      <c r="IKQ33" s="545"/>
      <c r="IKR33" s="545"/>
      <c r="IKS33" s="545"/>
      <c r="IKT33" s="545"/>
      <c r="IKU33" s="545"/>
      <c r="IKV33" s="545"/>
      <c r="IKW33" s="545"/>
      <c r="IKX33" s="545"/>
      <c r="IKY33" s="545"/>
      <c r="IKZ33" s="545"/>
      <c r="ILA33" s="545"/>
      <c r="ILB33" s="545"/>
      <c r="ILC33" s="545"/>
      <c r="ILD33" s="545"/>
      <c r="ILE33" s="545"/>
      <c r="ILF33" s="545"/>
      <c r="ILG33" s="545"/>
      <c r="ILH33" s="545"/>
      <c r="ILI33" s="545"/>
      <c r="ILJ33" s="545"/>
      <c r="ILK33" s="545"/>
      <c r="ILL33" s="545"/>
      <c r="ILM33" s="545"/>
      <c r="ILN33" s="545"/>
      <c r="ILO33" s="545"/>
      <c r="ILP33" s="545"/>
      <c r="ILQ33" s="545"/>
      <c r="ILR33" s="545"/>
      <c r="ILS33" s="545"/>
      <c r="ILT33" s="545"/>
      <c r="ILU33" s="545"/>
      <c r="ILV33" s="545"/>
      <c r="ILW33" s="545"/>
      <c r="ILX33" s="545"/>
      <c r="ILY33" s="545"/>
      <c r="ILZ33" s="545"/>
      <c r="IMA33" s="545"/>
      <c r="IMB33" s="545"/>
      <c r="IMC33" s="545"/>
      <c r="IMD33" s="545"/>
      <c r="IME33" s="545"/>
      <c r="IMF33" s="545"/>
      <c r="IMG33" s="545"/>
      <c r="IMH33" s="545"/>
      <c r="IMI33" s="545"/>
      <c r="IMJ33" s="545"/>
      <c r="IMK33" s="545"/>
      <c r="IML33" s="545"/>
      <c r="IMM33" s="545"/>
      <c r="IMN33" s="545"/>
      <c r="IMO33" s="545"/>
      <c r="IMP33" s="545"/>
      <c r="IMQ33" s="545"/>
      <c r="IMR33" s="545"/>
      <c r="IMS33" s="545"/>
      <c r="IMT33" s="545"/>
      <c r="IMU33" s="545"/>
      <c r="IMV33" s="545"/>
      <c r="IMW33" s="545"/>
      <c r="IMX33" s="545"/>
      <c r="IMY33" s="545"/>
      <c r="IMZ33" s="545"/>
      <c r="INA33" s="545"/>
      <c r="INB33" s="545"/>
      <c r="INC33" s="545"/>
      <c r="IND33" s="545"/>
      <c r="INE33" s="545"/>
      <c r="INF33" s="545"/>
      <c r="ING33" s="545"/>
      <c r="INH33" s="545"/>
      <c r="INI33" s="545"/>
      <c r="INJ33" s="545"/>
      <c r="INK33" s="545"/>
      <c r="INL33" s="545"/>
      <c r="INM33" s="545"/>
      <c r="INN33" s="545"/>
      <c r="INO33" s="545"/>
      <c r="INP33" s="545"/>
      <c r="INQ33" s="545"/>
      <c r="INR33" s="545"/>
      <c r="INS33" s="545"/>
      <c r="INT33" s="545"/>
      <c r="INU33" s="545"/>
      <c r="INV33" s="545"/>
      <c r="INW33" s="545"/>
      <c r="INX33" s="545"/>
      <c r="INY33" s="545"/>
      <c r="INZ33" s="545"/>
      <c r="IOA33" s="545"/>
      <c r="IOB33" s="545"/>
      <c r="IOC33" s="545"/>
      <c r="IOD33" s="545"/>
      <c r="IOE33" s="545"/>
      <c r="IOF33" s="545"/>
      <c r="IOG33" s="545"/>
      <c r="IOH33" s="545"/>
      <c r="IOI33" s="545"/>
      <c r="IOJ33" s="545"/>
      <c r="IOK33" s="545"/>
      <c r="IOL33" s="545"/>
      <c r="IOM33" s="545"/>
      <c r="ION33" s="545"/>
      <c r="IOO33" s="545"/>
      <c r="IOP33" s="545"/>
      <c r="IOQ33" s="545"/>
      <c r="IOR33" s="545"/>
      <c r="IOS33" s="545"/>
      <c r="IOT33" s="545"/>
      <c r="IOU33" s="545"/>
      <c r="IOV33" s="545"/>
      <c r="IOW33" s="545"/>
      <c r="IOX33" s="545"/>
      <c r="IOY33" s="545"/>
      <c r="IOZ33" s="545"/>
      <c r="IPA33" s="545"/>
      <c r="IPB33" s="545"/>
      <c r="IPC33" s="545"/>
      <c r="IPD33" s="545"/>
      <c r="IPE33" s="545"/>
      <c r="IPF33" s="545"/>
      <c r="IPG33" s="545"/>
      <c r="IPH33" s="545"/>
      <c r="IPI33" s="545"/>
      <c r="IPJ33" s="545"/>
      <c r="IPK33" s="545"/>
      <c r="IPL33" s="545"/>
      <c r="IPM33" s="545"/>
      <c r="IPN33" s="545"/>
      <c r="IPO33" s="545"/>
      <c r="IPP33" s="545"/>
      <c r="IPQ33" s="545"/>
      <c r="IPR33" s="545"/>
      <c r="IPS33" s="545"/>
      <c r="IPT33" s="545"/>
      <c r="IPU33" s="545"/>
      <c r="IPV33" s="545"/>
      <c r="IPW33" s="545"/>
      <c r="IPX33" s="545"/>
      <c r="IPY33" s="545"/>
      <c r="IPZ33" s="545"/>
      <c r="IQA33" s="545"/>
      <c r="IQB33" s="545"/>
      <c r="IQC33" s="545"/>
      <c r="IQD33" s="545"/>
      <c r="IQE33" s="545"/>
      <c r="IQF33" s="545"/>
      <c r="IQG33" s="545"/>
      <c r="IQH33" s="545"/>
      <c r="IQI33" s="545"/>
      <c r="IQJ33" s="545"/>
      <c r="IQK33" s="545"/>
      <c r="IQL33" s="545"/>
      <c r="IQM33" s="545"/>
      <c r="IQN33" s="545"/>
      <c r="IQO33" s="545"/>
      <c r="IQP33" s="545"/>
      <c r="IQQ33" s="545"/>
      <c r="IQR33" s="545"/>
      <c r="IQS33" s="545"/>
      <c r="IQT33" s="545"/>
      <c r="IQU33" s="545"/>
      <c r="IQV33" s="545"/>
      <c r="IQW33" s="545"/>
      <c r="IQX33" s="545"/>
      <c r="IQY33" s="545"/>
      <c r="IQZ33" s="545"/>
      <c r="IRA33" s="545"/>
      <c r="IRB33" s="545"/>
      <c r="IRC33" s="545"/>
      <c r="IRD33" s="545"/>
      <c r="IRE33" s="545"/>
      <c r="IRF33" s="545"/>
      <c r="IRG33" s="545"/>
      <c r="IRH33" s="545"/>
      <c r="IRI33" s="545"/>
      <c r="IRJ33" s="545"/>
      <c r="IRK33" s="545"/>
      <c r="IRL33" s="545"/>
      <c r="IRM33" s="545"/>
      <c r="IRN33" s="545"/>
      <c r="IRO33" s="545"/>
      <c r="IRP33" s="545"/>
      <c r="IRQ33" s="545"/>
      <c r="IRR33" s="545"/>
      <c r="IRS33" s="545"/>
      <c r="IRT33" s="545"/>
      <c r="IRU33" s="545"/>
      <c r="IRV33" s="545"/>
      <c r="IRW33" s="545"/>
      <c r="IRX33" s="545"/>
      <c r="IRY33" s="545"/>
      <c r="IRZ33" s="545"/>
      <c r="ISA33" s="545"/>
      <c r="ISB33" s="545"/>
      <c r="ISC33" s="545"/>
      <c r="ISD33" s="545"/>
      <c r="ISE33" s="545"/>
      <c r="ISF33" s="545"/>
      <c r="ISG33" s="545"/>
      <c r="ISH33" s="545"/>
      <c r="ISI33" s="545"/>
      <c r="ISJ33" s="545"/>
      <c r="ISK33" s="545"/>
      <c r="ISL33" s="545"/>
      <c r="ISM33" s="545"/>
      <c r="ISN33" s="545"/>
      <c r="ISO33" s="545"/>
      <c r="ISP33" s="545"/>
      <c r="ISQ33" s="545"/>
      <c r="ISR33" s="545"/>
      <c r="ISS33" s="545"/>
      <c r="IST33" s="545"/>
      <c r="ISU33" s="545"/>
      <c r="ISV33" s="545"/>
      <c r="ISW33" s="545"/>
      <c r="ISX33" s="545"/>
      <c r="ISY33" s="545"/>
      <c r="ISZ33" s="545"/>
      <c r="ITA33" s="545"/>
      <c r="ITB33" s="545"/>
      <c r="ITC33" s="545"/>
      <c r="ITD33" s="545"/>
      <c r="ITE33" s="545"/>
      <c r="ITF33" s="545"/>
      <c r="ITG33" s="545"/>
      <c r="ITH33" s="545"/>
      <c r="ITI33" s="545"/>
      <c r="ITJ33" s="545"/>
      <c r="ITK33" s="545"/>
      <c r="ITL33" s="545"/>
      <c r="ITM33" s="545"/>
      <c r="ITN33" s="545"/>
      <c r="ITO33" s="545"/>
      <c r="ITP33" s="545"/>
      <c r="ITQ33" s="545"/>
      <c r="ITR33" s="545"/>
      <c r="ITS33" s="545"/>
      <c r="ITT33" s="545"/>
      <c r="ITU33" s="545"/>
      <c r="ITV33" s="545"/>
      <c r="ITW33" s="545"/>
      <c r="ITX33" s="545"/>
      <c r="ITY33" s="545"/>
      <c r="ITZ33" s="545"/>
      <c r="IUA33" s="545"/>
      <c r="IUB33" s="545"/>
      <c r="IUC33" s="545"/>
      <c r="IUD33" s="545"/>
      <c r="IUE33" s="545"/>
      <c r="IUF33" s="545"/>
      <c r="IUG33" s="545"/>
      <c r="IUH33" s="545"/>
      <c r="IUI33" s="545"/>
      <c r="IUJ33" s="545"/>
      <c r="IUK33" s="545"/>
      <c r="IUL33" s="545"/>
      <c r="IUM33" s="545"/>
      <c r="IUN33" s="545"/>
      <c r="IUO33" s="545"/>
      <c r="IUP33" s="545"/>
      <c r="IUQ33" s="545"/>
      <c r="IUR33" s="545"/>
      <c r="IUS33" s="545"/>
      <c r="IUT33" s="545"/>
      <c r="IUU33" s="545"/>
      <c r="IUV33" s="545"/>
      <c r="IUW33" s="545"/>
      <c r="IUX33" s="545"/>
      <c r="IUY33" s="545"/>
      <c r="IUZ33" s="545"/>
      <c r="IVA33" s="545"/>
      <c r="IVB33" s="545"/>
      <c r="IVC33" s="545"/>
      <c r="IVD33" s="545"/>
      <c r="IVE33" s="545"/>
      <c r="IVF33" s="545"/>
      <c r="IVG33" s="545"/>
      <c r="IVH33" s="545"/>
      <c r="IVI33" s="545"/>
      <c r="IVJ33" s="545"/>
      <c r="IVK33" s="545"/>
      <c r="IVL33" s="545"/>
      <c r="IVM33" s="545"/>
      <c r="IVN33" s="545"/>
      <c r="IVO33" s="545"/>
      <c r="IVP33" s="545"/>
      <c r="IVQ33" s="545"/>
      <c r="IVR33" s="545"/>
      <c r="IVS33" s="545"/>
      <c r="IVT33" s="545"/>
      <c r="IVU33" s="545"/>
      <c r="IVV33" s="545"/>
      <c r="IVW33" s="545"/>
      <c r="IVX33" s="545"/>
      <c r="IVY33" s="545"/>
      <c r="IVZ33" s="545"/>
      <c r="IWA33" s="545"/>
      <c r="IWB33" s="545"/>
      <c r="IWC33" s="545"/>
      <c r="IWD33" s="545"/>
      <c r="IWE33" s="545"/>
      <c r="IWF33" s="545"/>
      <c r="IWG33" s="545"/>
      <c r="IWH33" s="545"/>
      <c r="IWI33" s="545"/>
      <c r="IWJ33" s="545"/>
      <c r="IWK33" s="545"/>
      <c r="IWL33" s="545"/>
      <c r="IWM33" s="545"/>
      <c r="IWN33" s="545"/>
      <c r="IWO33" s="545"/>
      <c r="IWP33" s="545"/>
      <c r="IWQ33" s="545"/>
      <c r="IWR33" s="545"/>
      <c r="IWS33" s="545"/>
      <c r="IWT33" s="545"/>
      <c r="IWU33" s="545"/>
      <c r="IWV33" s="545"/>
      <c r="IWW33" s="545"/>
      <c r="IWX33" s="545"/>
      <c r="IWY33" s="545"/>
      <c r="IWZ33" s="545"/>
      <c r="IXA33" s="545"/>
      <c r="IXB33" s="545"/>
      <c r="IXC33" s="545"/>
      <c r="IXD33" s="545"/>
      <c r="IXE33" s="545"/>
      <c r="IXF33" s="545"/>
      <c r="IXG33" s="545"/>
      <c r="IXH33" s="545"/>
      <c r="IXI33" s="545"/>
      <c r="IXJ33" s="545"/>
      <c r="IXK33" s="545"/>
      <c r="IXL33" s="545"/>
      <c r="IXM33" s="545"/>
      <c r="IXN33" s="545"/>
      <c r="IXO33" s="545"/>
      <c r="IXP33" s="545"/>
      <c r="IXQ33" s="545"/>
      <c r="IXR33" s="545"/>
      <c r="IXS33" s="545"/>
      <c r="IXT33" s="545"/>
      <c r="IXU33" s="545"/>
      <c r="IXV33" s="545"/>
      <c r="IXW33" s="545"/>
      <c r="IXX33" s="545"/>
      <c r="IXY33" s="545"/>
      <c r="IXZ33" s="545"/>
      <c r="IYA33" s="545"/>
      <c r="IYB33" s="545"/>
      <c r="IYC33" s="545"/>
      <c r="IYD33" s="545"/>
      <c r="IYE33" s="545"/>
      <c r="IYF33" s="545"/>
      <c r="IYG33" s="545"/>
      <c r="IYH33" s="545"/>
      <c r="IYI33" s="545"/>
      <c r="IYJ33" s="545"/>
      <c r="IYK33" s="545"/>
      <c r="IYL33" s="545"/>
      <c r="IYM33" s="545"/>
      <c r="IYN33" s="545"/>
      <c r="IYO33" s="545"/>
      <c r="IYP33" s="545"/>
      <c r="IYQ33" s="545"/>
      <c r="IYR33" s="545"/>
      <c r="IYS33" s="545"/>
      <c r="IYT33" s="545"/>
      <c r="IYU33" s="545"/>
      <c r="IYV33" s="545"/>
      <c r="IYW33" s="545"/>
      <c r="IYX33" s="545"/>
      <c r="IYY33" s="545"/>
      <c r="IYZ33" s="545"/>
      <c r="IZA33" s="545"/>
      <c r="IZB33" s="545"/>
      <c r="IZC33" s="545"/>
      <c r="IZD33" s="545"/>
      <c r="IZE33" s="545"/>
      <c r="IZF33" s="545"/>
      <c r="IZG33" s="545"/>
      <c r="IZH33" s="545"/>
      <c r="IZI33" s="545"/>
      <c r="IZJ33" s="545"/>
      <c r="IZK33" s="545"/>
      <c r="IZL33" s="545"/>
      <c r="IZM33" s="545"/>
      <c r="IZN33" s="545"/>
      <c r="IZO33" s="545"/>
      <c r="IZP33" s="545"/>
      <c r="IZQ33" s="545"/>
      <c r="IZR33" s="545"/>
      <c r="IZS33" s="545"/>
      <c r="IZT33" s="545"/>
      <c r="IZU33" s="545"/>
      <c r="IZV33" s="545"/>
      <c r="IZW33" s="545"/>
      <c r="IZX33" s="545"/>
      <c r="IZY33" s="545"/>
      <c r="IZZ33" s="545"/>
      <c r="JAA33" s="545"/>
      <c r="JAB33" s="545"/>
      <c r="JAC33" s="545"/>
      <c r="JAD33" s="545"/>
      <c r="JAE33" s="545"/>
      <c r="JAF33" s="545"/>
      <c r="JAG33" s="545"/>
      <c r="JAH33" s="545"/>
      <c r="JAI33" s="545"/>
      <c r="JAJ33" s="545"/>
      <c r="JAK33" s="545"/>
      <c r="JAL33" s="545"/>
      <c r="JAM33" s="545"/>
      <c r="JAN33" s="545"/>
      <c r="JAO33" s="545"/>
      <c r="JAP33" s="545"/>
      <c r="JAQ33" s="545"/>
      <c r="JAR33" s="545"/>
      <c r="JAS33" s="545"/>
      <c r="JAT33" s="545"/>
      <c r="JAU33" s="545"/>
      <c r="JAV33" s="545"/>
      <c r="JAW33" s="545"/>
      <c r="JAX33" s="545"/>
      <c r="JAY33" s="545"/>
      <c r="JAZ33" s="545"/>
      <c r="JBA33" s="545"/>
      <c r="JBB33" s="545"/>
      <c r="JBC33" s="545"/>
      <c r="JBD33" s="545"/>
      <c r="JBE33" s="545"/>
      <c r="JBF33" s="545"/>
      <c r="JBG33" s="545"/>
      <c r="JBH33" s="545"/>
      <c r="JBI33" s="545"/>
      <c r="JBJ33" s="545"/>
      <c r="JBK33" s="545"/>
      <c r="JBL33" s="545"/>
      <c r="JBM33" s="545"/>
      <c r="JBN33" s="545"/>
      <c r="JBO33" s="545"/>
      <c r="JBP33" s="545"/>
      <c r="JBQ33" s="545"/>
      <c r="JBR33" s="545"/>
      <c r="JBS33" s="545"/>
      <c r="JBT33" s="545"/>
      <c r="JBU33" s="545"/>
      <c r="JBV33" s="545"/>
      <c r="JBW33" s="545"/>
      <c r="JBX33" s="545"/>
      <c r="JBY33" s="545"/>
      <c r="JBZ33" s="545"/>
      <c r="JCA33" s="545"/>
      <c r="JCB33" s="545"/>
      <c r="JCC33" s="545"/>
      <c r="JCD33" s="545"/>
      <c r="JCE33" s="545"/>
      <c r="JCF33" s="545"/>
      <c r="JCG33" s="545"/>
      <c r="JCH33" s="545"/>
      <c r="JCI33" s="545"/>
      <c r="JCJ33" s="545"/>
      <c r="JCK33" s="545"/>
      <c r="JCL33" s="545"/>
      <c r="JCM33" s="545"/>
      <c r="JCN33" s="545"/>
      <c r="JCO33" s="545"/>
      <c r="JCP33" s="545"/>
      <c r="JCQ33" s="545"/>
      <c r="JCR33" s="545"/>
      <c r="JCS33" s="545"/>
      <c r="JCT33" s="545"/>
      <c r="JCU33" s="545"/>
      <c r="JCV33" s="545"/>
      <c r="JCW33" s="545"/>
      <c r="JCX33" s="545"/>
      <c r="JCY33" s="545"/>
      <c r="JCZ33" s="545"/>
      <c r="JDA33" s="545"/>
      <c r="JDB33" s="545"/>
      <c r="JDC33" s="545"/>
      <c r="JDD33" s="545"/>
      <c r="JDE33" s="545"/>
      <c r="JDF33" s="545"/>
      <c r="JDG33" s="545"/>
      <c r="JDH33" s="545"/>
      <c r="JDI33" s="545"/>
      <c r="JDJ33" s="545"/>
      <c r="JDK33" s="545"/>
      <c r="JDL33" s="545"/>
      <c r="JDM33" s="545"/>
      <c r="JDN33" s="545"/>
      <c r="JDO33" s="545"/>
      <c r="JDP33" s="545"/>
      <c r="JDQ33" s="545"/>
      <c r="JDR33" s="545"/>
      <c r="JDS33" s="545"/>
      <c r="JDT33" s="545"/>
      <c r="JDU33" s="545"/>
      <c r="JDV33" s="545"/>
      <c r="JDW33" s="545"/>
      <c r="JDX33" s="545"/>
      <c r="JDY33" s="545"/>
      <c r="JDZ33" s="545"/>
      <c r="JEA33" s="545"/>
      <c r="JEB33" s="545"/>
      <c r="JEC33" s="545"/>
      <c r="JED33" s="545"/>
      <c r="JEE33" s="545"/>
      <c r="JEF33" s="545"/>
      <c r="JEG33" s="545"/>
      <c r="JEH33" s="545"/>
      <c r="JEI33" s="545"/>
      <c r="JEJ33" s="545"/>
      <c r="JEK33" s="545"/>
      <c r="JEL33" s="545"/>
      <c r="JEM33" s="545"/>
      <c r="JEN33" s="545"/>
      <c r="JEO33" s="545"/>
      <c r="JEP33" s="545"/>
      <c r="JEQ33" s="545"/>
      <c r="JER33" s="545"/>
      <c r="JES33" s="545"/>
      <c r="JET33" s="545"/>
      <c r="JEU33" s="545"/>
      <c r="JEV33" s="545"/>
      <c r="JEW33" s="545"/>
      <c r="JEX33" s="545"/>
      <c r="JEY33" s="545"/>
      <c r="JEZ33" s="545"/>
      <c r="JFA33" s="545"/>
      <c r="JFB33" s="545"/>
      <c r="JFC33" s="545"/>
      <c r="JFD33" s="545"/>
      <c r="JFE33" s="545"/>
      <c r="JFF33" s="545"/>
      <c r="JFG33" s="545"/>
      <c r="JFH33" s="545"/>
      <c r="JFI33" s="545"/>
      <c r="JFJ33" s="545"/>
      <c r="JFK33" s="545"/>
      <c r="JFL33" s="545"/>
      <c r="JFM33" s="545"/>
      <c r="JFN33" s="545"/>
      <c r="JFO33" s="545"/>
      <c r="JFP33" s="545"/>
      <c r="JFQ33" s="545"/>
      <c r="JFR33" s="545"/>
      <c r="JFS33" s="545"/>
      <c r="JFT33" s="545"/>
      <c r="JFU33" s="545"/>
      <c r="JFV33" s="545"/>
      <c r="JFW33" s="545"/>
      <c r="JFX33" s="545"/>
      <c r="JFY33" s="545"/>
      <c r="JFZ33" s="545"/>
      <c r="JGA33" s="545"/>
      <c r="JGB33" s="545"/>
      <c r="JGC33" s="545"/>
      <c r="JGD33" s="545"/>
      <c r="JGE33" s="545"/>
      <c r="JGF33" s="545"/>
      <c r="JGG33" s="545"/>
      <c r="JGH33" s="545"/>
      <c r="JGI33" s="545"/>
      <c r="JGJ33" s="545"/>
      <c r="JGK33" s="545"/>
      <c r="JGL33" s="545"/>
      <c r="JGM33" s="545"/>
      <c r="JGN33" s="545"/>
      <c r="JGO33" s="545"/>
      <c r="JGP33" s="545"/>
      <c r="JGQ33" s="545"/>
      <c r="JGR33" s="545"/>
      <c r="JGS33" s="545"/>
      <c r="JGT33" s="545"/>
      <c r="JGU33" s="545"/>
      <c r="JGV33" s="545"/>
      <c r="JGW33" s="545"/>
      <c r="JGX33" s="545"/>
      <c r="JGY33" s="545"/>
      <c r="JGZ33" s="545"/>
      <c r="JHA33" s="545"/>
      <c r="JHB33" s="545"/>
      <c r="JHC33" s="545"/>
      <c r="JHD33" s="545"/>
      <c r="JHE33" s="545"/>
      <c r="JHF33" s="545"/>
      <c r="JHG33" s="545"/>
      <c r="JHH33" s="545"/>
      <c r="JHI33" s="545"/>
      <c r="JHJ33" s="545"/>
      <c r="JHK33" s="545"/>
      <c r="JHL33" s="545"/>
      <c r="JHM33" s="545"/>
      <c r="JHN33" s="545"/>
      <c r="JHO33" s="545"/>
      <c r="JHP33" s="545"/>
      <c r="JHQ33" s="545"/>
      <c r="JHR33" s="545"/>
      <c r="JHS33" s="545"/>
      <c r="JHT33" s="545"/>
      <c r="JHU33" s="545"/>
      <c r="JHV33" s="545"/>
      <c r="JHW33" s="545"/>
      <c r="JHX33" s="545"/>
      <c r="JHY33" s="545"/>
      <c r="JHZ33" s="545"/>
      <c r="JIA33" s="545"/>
      <c r="JIB33" s="545"/>
      <c r="JIC33" s="545"/>
      <c r="JID33" s="545"/>
      <c r="JIE33" s="545"/>
      <c r="JIF33" s="545"/>
      <c r="JIG33" s="545"/>
      <c r="JIH33" s="545"/>
      <c r="JII33" s="545"/>
      <c r="JIJ33" s="545"/>
      <c r="JIK33" s="545"/>
      <c r="JIL33" s="545"/>
      <c r="JIM33" s="545"/>
      <c r="JIN33" s="545"/>
      <c r="JIO33" s="545"/>
      <c r="JIP33" s="545"/>
      <c r="JIQ33" s="545"/>
      <c r="JIR33" s="545"/>
      <c r="JIS33" s="545"/>
      <c r="JIT33" s="545"/>
      <c r="JIU33" s="545"/>
      <c r="JIV33" s="545"/>
      <c r="JIW33" s="545"/>
      <c r="JIX33" s="545"/>
      <c r="JIY33" s="545"/>
      <c r="JIZ33" s="545"/>
      <c r="JJA33" s="545"/>
      <c r="JJB33" s="545"/>
      <c r="JJC33" s="545"/>
      <c r="JJD33" s="545"/>
      <c r="JJE33" s="545"/>
      <c r="JJF33" s="545"/>
      <c r="JJG33" s="545"/>
      <c r="JJH33" s="545"/>
      <c r="JJI33" s="545"/>
      <c r="JJJ33" s="545"/>
      <c r="JJK33" s="545"/>
      <c r="JJL33" s="545"/>
      <c r="JJM33" s="545"/>
      <c r="JJN33" s="545"/>
      <c r="JJO33" s="545"/>
      <c r="JJP33" s="545"/>
      <c r="JJQ33" s="545"/>
      <c r="JJR33" s="545"/>
      <c r="JJS33" s="545"/>
      <c r="JJT33" s="545"/>
      <c r="JJU33" s="545"/>
      <c r="JJV33" s="545"/>
      <c r="JJW33" s="545"/>
      <c r="JJX33" s="545"/>
      <c r="JJY33" s="545"/>
      <c r="JJZ33" s="545"/>
      <c r="JKA33" s="545"/>
      <c r="JKB33" s="545"/>
      <c r="JKC33" s="545"/>
      <c r="JKD33" s="545"/>
      <c r="JKE33" s="545"/>
      <c r="JKF33" s="545"/>
      <c r="JKG33" s="545"/>
      <c r="JKH33" s="545"/>
      <c r="JKI33" s="545"/>
      <c r="JKJ33" s="545"/>
      <c r="JKK33" s="545"/>
      <c r="JKL33" s="545"/>
      <c r="JKM33" s="545"/>
      <c r="JKN33" s="545"/>
      <c r="JKO33" s="545"/>
      <c r="JKP33" s="545"/>
      <c r="JKQ33" s="545"/>
      <c r="JKR33" s="545"/>
      <c r="JKS33" s="545"/>
      <c r="JKT33" s="545"/>
      <c r="JKU33" s="545"/>
      <c r="JKV33" s="545"/>
      <c r="JKW33" s="545"/>
      <c r="JKX33" s="545"/>
      <c r="JKY33" s="545"/>
      <c r="JKZ33" s="545"/>
      <c r="JLA33" s="545"/>
      <c r="JLB33" s="545"/>
      <c r="JLC33" s="545"/>
      <c r="JLD33" s="545"/>
      <c r="JLE33" s="545"/>
      <c r="JLF33" s="545"/>
      <c r="JLG33" s="545"/>
      <c r="JLH33" s="545"/>
      <c r="JLI33" s="545"/>
      <c r="JLJ33" s="545"/>
      <c r="JLK33" s="545"/>
      <c r="JLL33" s="545"/>
      <c r="JLM33" s="545"/>
      <c r="JLN33" s="545"/>
      <c r="JLO33" s="545"/>
      <c r="JLP33" s="545"/>
      <c r="JLQ33" s="545"/>
      <c r="JLR33" s="545"/>
      <c r="JLS33" s="545"/>
      <c r="JLT33" s="545"/>
      <c r="JLU33" s="545"/>
      <c r="JLV33" s="545"/>
      <c r="JLW33" s="545"/>
      <c r="JLX33" s="545"/>
      <c r="JLY33" s="545"/>
      <c r="JLZ33" s="545"/>
      <c r="JMA33" s="545"/>
      <c r="JMB33" s="545"/>
      <c r="JMC33" s="545"/>
      <c r="JMD33" s="545"/>
      <c r="JME33" s="545"/>
      <c r="JMF33" s="545"/>
      <c r="JMG33" s="545"/>
      <c r="JMH33" s="545"/>
      <c r="JMI33" s="545"/>
      <c r="JMJ33" s="545"/>
      <c r="JMK33" s="545"/>
      <c r="JML33" s="545"/>
      <c r="JMM33" s="545"/>
      <c r="JMN33" s="545"/>
      <c r="JMO33" s="545"/>
      <c r="JMP33" s="545"/>
      <c r="JMQ33" s="545"/>
      <c r="JMR33" s="545"/>
      <c r="JMS33" s="545"/>
      <c r="JMT33" s="545"/>
      <c r="JMU33" s="545"/>
      <c r="JMV33" s="545"/>
      <c r="JMW33" s="545"/>
      <c r="JMX33" s="545"/>
      <c r="JMY33" s="545"/>
      <c r="JMZ33" s="545"/>
      <c r="JNA33" s="545"/>
      <c r="JNB33" s="545"/>
      <c r="JNC33" s="545"/>
      <c r="JND33" s="545"/>
      <c r="JNE33" s="545"/>
      <c r="JNF33" s="545"/>
      <c r="JNG33" s="545"/>
      <c r="JNH33" s="545"/>
      <c r="JNI33" s="545"/>
      <c r="JNJ33" s="545"/>
      <c r="JNK33" s="545"/>
      <c r="JNL33" s="545"/>
      <c r="JNM33" s="545"/>
      <c r="JNN33" s="545"/>
      <c r="JNO33" s="545"/>
      <c r="JNP33" s="545"/>
      <c r="JNQ33" s="545"/>
      <c r="JNR33" s="545"/>
      <c r="JNS33" s="545"/>
      <c r="JNT33" s="545"/>
      <c r="JNU33" s="545"/>
      <c r="JNV33" s="545"/>
      <c r="JNW33" s="545"/>
      <c r="JNX33" s="545"/>
      <c r="JNY33" s="545"/>
      <c r="JNZ33" s="545"/>
      <c r="JOA33" s="545"/>
      <c r="JOB33" s="545"/>
      <c r="JOC33" s="545"/>
      <c r="JOD33" s="545"/>
      <c r="JOE33" s="545"/>
      <c r="JOF33" s="545"/>
      <c r="JOG33" s="545"/>
      <c r="JOH33" s="545"/>
      <c r="JOI33" s="545"/>
      <c r="JOJ33" s="545"/>
      <c r="JOK33" s="545"/>
      <c r="JOL33" s="545"/>
      <c r="JOM33" s="545"/>
      <c r="JON33" s="545"/>
      <c r="JOO33" s="545"/>
      <c r="JOP33" s="545"/>
      <c r="JOQ33" s="545"/>
      <c r="JOR33" s="545"/>
      <c r="JOS33" s="545"/>
      <c r="JOT33" s="545"/>
      <c r="JOU33" s="545"/>
      <c r="JOV33" s="545"/>
      <c r="JOW33" s="545"/>
      <c r="JOX33" s="545"/>
      <c r="JOY33" s="545"/>
      <c r="JOZ33" s="545"/>
      <c r="JPA33" s="545"/>
      <c r="JPB33" s="545"/>
      <c r="JPC33" s="545"/>
      <c r="JPD33" s="545"/>
      <c r="JPE33" s="545"/>
      <c r="JPF33" s="545"/>
      <c r="JPG33" s="545"/>
      <c r="JPH33" s="545"/>
      <c r="JPI33" s="545"/>
      <c r="JPJ33" s="545"/>
      <c r="JPK33" s="545"/>
      <c r="JPL33" s="545"/>
      <c r="JPM33" s="545"/>
      <c r="JPN33" s="545"/>
      <c r="JPO33" s="545"/>
      <c r="JPP33" s="545"/>
      <c r="JPQ33" s="545"/>
      <c r="JPR33" s="545"/>
      <c r="JPS33" s="545"/>
      <c r="JPT33" s="545"/>
      <c r="JPU33" s="545"/>
      <c r="JPV33" s="545"/>
      <c r="JPW33" s="545"/>
      <c r="JPX33" s="545"/>
      <c r="JPY33" s="545"/>
      <c r="JPZ33" s="545"/>
      <c r="JQA33" s="545"/>
      <c r="JQB33" s="545"/>
      <c r="JQC33" s="545"/>
      <c r="JQD33" s="545"/>
      <c r="JQE33" s="545"/>
      <c r="JQF33" s="545"/>
      <c r="JQG33" s="545"/>
      <c r="JQH33" s="545"/>
      <c r="JQI33" s="545"/>
      <c r="JQJ33" s="545"/>
      <c r="JQK33" s="545"/>
      <c r="JQL33" s="545"/>
      <c r="JQM33" s="545"/>
      <c r="JQN33" s="545"/>
      <c r="JQO33" s="545"/>
      <c r="JQP33" s="545"/>
      <c r="JQQ33" s="545"/>
      <c r="JQR33" s="545"/>
      <c r="JQS33" s="545"/>
      <c r="JQT33" s="545"/>
      <c r="JQU33" s="545"/>
      <c r="JQV33" s="545"/>
      <c r="JQW33" s="545"/>
      <c r="JQX33" s="545"/>
      <c r="JQY33" s="545"/>
      <c r="JQZ33" s="545"/>
      <c r="JRA33" s="545"/>
      <c r="JRB33" s="545"/>
      <c r="JRC33" s="545"/>
      <c r="JRD33" s="545"/>
      <c r="JRE33" s="545"/>
      <c r="JRF33" s="545"/>
      <c r="JRG33" s="545"/>
      <c r="JRH33" s="545"/>
      <c r="JRI33" s="545"/>
      <c r="JRJ33" s="545"/>
      <c r="JRK33" s="545"/>
      <c r="JRL33" s="545"/>
      <c r="JRM33" s="545"/>
      <c r="JRN33" s="545"/>
      <c r="JRO33" s="545"/>
      <c r="JRP33" s="545"/>
      <c r="JRQ33" s="545"/>
      <c r="JRR33" s="545"/>
      <c r="JRS33" s="545"/>
      <c r="JRT33" s="545"/>
      <c r="JRU33" s="545"/>
      <c r="JRV33" s="545"/>
      <c r="JRW33" s="545"/>
      <c r="JRX33" s="545"/>
      <c r="JRY33" s="545"/>
      <c r="JRZ33" s="545"/>
      <c r="JSA33" s="545"/>
      <c r="JSB33" s="545"/>
      <c r="JSC33" s="545"/>
      <c r="JSD33" s="545"/>
      <c r="JSE33" s="545"/>
      <c r="JSF33" s="545"/>
      <c r="JSG33" s="545"/>
      <c r="JSH33" s="545"/>
      <c r="JSI33" s="545"/>
      <c r="JSJ33" s="545"/>
      <c r="JSK33" s="545"/>
      <c r="JSL33" s="545"/>
      <c r="JSM33" s="545"/>
      <c r="JSN33" s="545"/>
      <c r="JSO33" s="545"/>
      <c r="JSP33" s="545"/>
      <c r="JSQ33" s="545"/>
      <c r="JSR33" s="545"/>
      <c r="JSS33" s="545"/>
      <c r="JST33" s="545"/>
      <c r="JSU33" s="545"/>
      <c r="JSV33" s="545"/>
      <c r="JSW33" s="545"/>
      <c r="JSX33" s="545"/>
      <c r="JSY33" s="545"/>
      <c r="JSZ33" s="545"/>
      <c r="JTA33" s="545"/>
      <c r="JTB33" s="545"/>
      <c r="JTC33" s="545"/>
      <c r="JTD33" s="545"/>
      <c r="JTE33" s="545"/>
      <c r="JTF33" s="545"/>
      <c r="JTG33" s="545"/>
      <c r="JTH33" s="545"/>
      <c r="JTI33" s="545"/>
      <c r="JTJ33" s="545"/>
      <c r="JTK33" s="545"/>
      <c r="JTL33" s="545"/>
      <c r="JTM33" s="545"/>
      <c r="JTN33" s="545"/>
      <c r="JTO33" s="545"/>
      <c r="JTP33" s="545"/>
      <c r="JTQ33" s="545"/>
      <c r="JTR33" s="545"/>
      <c r="JTS33" s="545"/>
      <c r="JTT33" s="545"/>
      <c r="JTU33" s="545"/>
      <c r="JTV33" s="545"/>
      <c r="JTW33" s="545"/>
      <c r="JTX33" s="545"/>
      <c r="JTY33" s="545"/>
      <c r="JTZ33" s="545"/>
      <c r="JUA33" s="545"/>
      <c r="JUB33" s="545"/>
      <c r="JUC33" s="545"/>
      <c r="JUD33" s="545"/>
      <c r="JUE33" s="545"/>
      <c r="JUF33" s="545"/>
      <c r="JUG33" s="545"/>
      <c r="JUH33" s="545"/>
      <c r="JUI33" s="545"/>
      <c r="JUJ33" s="545"/>
      <c r="JUK33" s="545"/>
      <c r="JUL33" s="545"/>
      <c r="JUM33" s="545"/>
      <c r="JUN33" s="545"/>
      <c r="JUO33" s="545"/>
      <c r="JUP33" s="545"/>
      <c r="JUQ33" s="545"/>
      <c r="JUR33" s="545"/>
      <c r="JUS33" s="545"/>
      <c r="JUT33" s="545"/>
      <c r="JUU33" s="545"/>
      <c r="JUV33" s="545"/>
      <c r="JUW33" s="545"/>
      <c r="JUX33" s="545"/>
      <c r="JUY33" s="545"/>
      <c r="JUZ33" s="545"/>
      <c r="JVA33" s="545"/>
      <c r="JVB33" s="545"/>
      <c r="JVC33" s="545"/>
      <c r="JVD33" s="545"/>
      <c r="JVE33" s="545"/>
      <c r="JVF33" s="545"/>
      <c r="JVG33" s="545"/>
      <c r="JVH33" s="545"/>
      <c r="JVI33" s="545"/>
      <c r="JVJ33" s="545"/>
      <c r="JVK33" s="545"/>
      <c r="JVL33" s="545"/>
      <c r="JVM33" s="545"/>
      <c r="JVN33" s="545"/>
      <c r="JVO33" s="545"/>
      <c r="JVP33" s="545"/>
      <c r="JVQ33" s="545"/>
      <c r="JVR33" s="545"/>
      <c r="JVS33" s="545"/>
      <c r="JVT33" s="545"/>
      <c r="JVU33" s="545"/>
      <c r="JVV33" s="545"/>
      <c r="JVW33" s="545"/>
      <c r="JVX33" s="545"/>
      <c r="JVY33" s="545"/>
      <c r="JVZ33" s="545"/>
      <c r="JWA33" s="545"/>
      <c r="JWB33" s="545"/>
      <c r="JWC33" s="545"/>
      <c r="JWD33" s="545"/>
      <c r="JWE33" s="545"/>
      <c r="JWF33" s="545"/>
      <c r="JWG33" s="545"/>
      <c r="JWH33" s="545"/>
      <c r="JWI33" s="545"/>
      <c r="JWJ33" s="545"/>
      <c r="JWK33" s="545"/>
      <c r="JWL33" s="545"/>
      <c r="JWM33" s="545"/>
      <c r="JWN33" s="545"/>
      <c r="JWO33" s="545"/>
      <c r="JWP33" s="545"/>
      <c r="JWQ33" s="545"/>
      <c r="JWR33" s="545"/>
      <c r="JWS33" s="545"/>
      <c r="JWT33" s="545"/>
      <c r="JWU33" s="545"/>
      <c r="JWV33" s="545"/>
      <c r="JWW33" s="545"/>
      <c r="JWX33" s="545"/>
      <c r="JWY33" s="545"/>
      <c r="JWZ33" s="545"/>
      <c r="JXA33" s="545"/>
      <c r="JXB33" s="545"/>
      <c r="JXC33" s="545"/>
      <c r="JXD33" s="545"/>
      <c r="JXE33" s="545"/>
      <c r="JXF33" s="545"/>
      <c r="JXG33" s="545"/>
      <c r="JXH33" s="545"/>
      <c r="JXI33" s="545"/>
      <c r="JXJ33" s="545"/>
      <c r="JXK33" s="545"/>
      <c r="JXL33" s="545"/>
      <c r="JXM33" s="545"/>
      <c r="JXN33" s="545"/>
      <c r="JXO33" s="545"/>
      <c r="JXP33" s="545"/>
      <c r="JXQ33" s="545"/>
      <c r="JXR33" s="545"/>
      <c r="JXS33" s="545"/>
      <c r="JXT33" s="545"/>
      <c r="JXU33" s="545"/>
      <c r="JXV33" s="545"/>
      <c r="JXW33" s="545"/>
      <c r="JXX33" s="545"/>
      <c r="JXY33" s="545"/>
      <c r="JXZ33" s="545"/>
      <c r="JYA33" s="545"/>
      <c r="JYB33" s="545"/>
      <c r="JYC33" s="545"/>
      <c r="JYD33" s="545"/>
      <c r="JYE33" s="545"/>
      <c r="JYF33" s="545"/>
      <c r="JYG33" s="545"/>
      <c r="JYH33" s="545"/>
      <c r="JYI33" s="545"/>
      <c r="JYJ33" s="545"/>
      <c r="JYK33" s="545"/>
      <c r="JYL33" s="545"/>
      <c r="JYM33" s="545"/>
      <c r="JYN33" s="545"/>
      <c r="JYO33" s="545"/>
      <c r="JYP33" s="545"/>
      <c r="JYQ33" s="545"/>
      <c r="JYR33" s="545"/>
      <c r="JYS33" s="545"/>
      <c r="JYT33" s="545"/>
      <c r="JYU33" s="545"/>
      <c r="JYV33" s="545"/>
      <c r="JYW33" s="545"/>
      <c r="JYX33" s="545"/>
      <c r="JYY33" s="545"/>
      <c r="JYZ33" s="545"/>
      <c r="JZA33" s="545"/>
      <c r="JZB33" s="545"/>
      <c r="JZC33" s="545"/>
      <c r="JZD33" s="545"/>
      <c r="JZE33" s="545"/>
      <c r="JZF33" s="545"/>
      <c r="JZG33" s="545"/>
      <c r="JZH33" s="545"/>
      <c r="JZI33" s="545"/>
      <c r="JZJ33" s="545"/>
      <c r="JZK33" s="545"/>
      <c r="JZL33" s="545"/>
      <c r="JZM33" s="545"/>
      <c r="JZN33" s="545"/>
      <c r="JZO33" s="545"/>
      <c r="JZP33" s="545"/>
      <c r="JZQ33" s="545"/>
      <c r="JZR33" s="545"/>
      <c r="JZS33" s="545"/>
      <c r="JZT33" s="545"/>
      <c r="JZU33" s="545"/>
      <c r="JZV33" s="545"/>
      <c r="JZW33" s="545"/>
      <c r="JZX33" s="545"/>
      <c r="JZY33" s="545"/>
      <c r="JZZ33" s="545"/>
      <c r="KAA33" s="545"/>
      <c r="KAB33" s="545"/>
      <c r="KAC33" s="545"/>
      <c r="KAD33" s="545"/>
      <c r="KAE33" s="545"/>
      <c r="KAF33" s="545"/>
      <c r="KAG33" s="545"/>
      <c r="KAH33" s="545"/>
      <c r="KAI33" s="545"/>
      <c r="KAJ33" s="545"/>
      <c r="KAK33" s="545"/>
      <c r="KAL33" s="545"/>
      <c r="KAM33" s="545"/>
      <c r="KAN33" s="545"/>
      <c r="KAO33" s="545"/>
      <c r="KAP33" s="545"/>
      <c r="KAQ33" s="545"/>
      <c r="KAR33" s="545"/>
      <c r="KAS33" s="545"/>
      <c r="KAT33" s="545"/>
      <c r="KAU33" s="545"/>
      <c r="KAV33" s="545"/>
      <c r="KAW33" s="545"/>
      <c r="KAX33" s="545"/>
      <c r="KAY33" s="545"/>
      <c r="KAZ33" s="545"/>
      <c r="KBA33" s="545"/>
      <c r="KBB33" s="545"/>
      <c r="KBC33" s="545"/>
      <c r="KBD33" s="545"/>
      <c r="KBE33" s="545"/>
      <c r="KBF33" s="545"/>
      <c r="KBG33" s="545"/>
      <c r="KBH33" s="545"/>
      <c r="KBI33" s="545"/>
      <c r="KBJ33" s="545"/>
      <c r="KBK33" s="545"/>
      <c r="KBL33" s="545"/>
      <c r="KBM33" s="545"/>
      <c r="KBN33" s="545"/>
      <c r="KBO33" s="545"/>
      <c r="KBP33" s="545"/>
      <c r="KBQ33" s="545"/>
      <c r="KBR33" s="545"/>
      <c r="KBS33" s="545"/>
      <c r="KBT33" s="545"/>
      <c r="KBU33" s="545"/>
      <c r="KBV33" s="545"/>
      <c r="KBW33" s="545"/>
      <c r="KBX33" s="545"/>
      <c r="KBY33" s="545"/>
      <c r="KBZ33" s="545"/>
      <c r="KCA33" s="545"/>
      <c r="KCB33" s="545"/>
      <c r="KCC33" s="545"/>
      <c r="KCD33" s="545"/>
      <c r="KCE33" s="545"/>
      <c r="KCF33" s="545"/>
      <c r="KCG33" s="545"/>
      <c r="KCH33" s="545"/>
      <c r="KCI33" s="545"/>
      <c r="KCJ33" s="545"/>
      <c r="KCK33" s="545"/>
      <c r="KCL33" s="545"/>
      <c r="KCM33" s="545"/>
      <c r="KCN33" s="545"/>
      <c r="KCO33" s="545"/>
      <c r="KCP33" s="545"/>
      <c r="KCQ33" s="545"/>
      <c r="KCR33" s="545"/>
      <c r="KCS33" s="545"/>
      <c r="KCT33" s="545"/>
      <c r="KCU33" s="545"/>
      <c r="KCV33" s="545"/>
      <c r="KCW33" s="545"/>
      <c r="KCX33" s="545"/>
      <c r="KCY33" s="545"/>
      <c r="KCZ33" s="545"/>
      <c r="KDA33" s="545"/>
      <c r="KDB33" s="545"/>
      <c r="KDC33" s="545"/>
      <c r="KDD33" s="545"/>
      <c r="KDE33" s="545"/>
      <c r="KDF33" s="545"/>
      <c r="KDG33" s="545"/>
      <c r="KDH33" s="545"/>
      <c r="KDI33" s="545"/>
      <c r="KDJ33" s="545"/>
      <c r="KDK33" s="545"/>
      <c r="KDL33" s="545"/>
      <c r="KDM33" s="545"/>
      <c r="KDN33" s="545"/>
      <c r="KDO33" s="545"/>
      <c r="KDP33" s="545"/>
      <c r="KDQ33" s="545"/>
      <c r="KDR33" s="545"/>
      <c r="KDS33" s="545"/>
      <c r="KDT33" s="545"/>
      <c r="KDU33" s="545"/>
      <c r="KDV33" s="545"/>
      <c r="KDW33" s="545"/>
      <c r="KDX33" s="545"/>
      <c r="KDY33" s="545"/>
      <c r="KDZ33" s="545"/>
      <c r="KEA33" s="545"/>
      <c r="KEB33" s="545"/>
      <c r="KEC33" s="545"/>
      <c r="KED33" s="545"/>
      <c r="KEE33" s="545"/>
      <c r="KEF33" s="545"/>
      <c r="KEG33" s="545"/>
      <c r="KEH33" s="545"/>
      <c r="KEI33" s="545"/>
      <c r="KEJ33" s="545"/>
      <c r="KEK33" s="545"/>
      <c r="KEL33" s="545"/>
      <c r="KEM33" s="545"/>
      <c r="KEN33" s="545"/>
      <c r="KEO33" s="545"/>
      <c r="KEP33" s="545"/>
      <c r="KEQ33" s="545"/>
      <c r="KER33" s="545"/>
      <c r="KES33" s="545"/>
      <c r="KET33" s="545"/>
      <c r="KEU33" s="545"/>
      <c r="KEV33" s="545"/>
      <c r="KEW33" s="545"/>
      <c r="KEX33" s="545"/>
      <c r="KEY33" s="545"/>
      <c r="KEZ33" s="545"/>
      <c r="KFA33" s="545"/>
      <c r="KFB33" s="545"/>
      <c r="KFC33" s="545"/>
      <c r="KFD33" s="545"/>
      <c r="KFE33" s="545"/>
      <c r="KFF33" s="545"/>
      <c r="KFG33" s="545"/>
      <c r="KFH33" s="545"/>
      <c r="KFI33" s="545"/>
      <c r="KFJ33" s="545"/>
      <c r="KFK33" s="545"/>
      <c r="KFL33" s="545"/>
      <c r="KFM33" s="545"/>
      <c r="KFN33" s="545"/>
      <c r="KFO33" s="545"/>
      <c r="KFP33" s="545"/>
      <c r="KFQ33" s="545"/>
      <c r="KFR33" s="545"/>
      <c r="KFS33" s="545"/>
      <c r="KFT33" s="545"/>
      <c r="KFU33" s="545"/>
      <c r="KFV33" s="545"/>
      <c r="KFW33" s="545"/>
      <c r="KFX33" s="545"/>
      <c r="KFY33" s="545"/>
      <c r="KFZ33" s="545"/>
      <c r="KGA33" s="545"/>
      <c r="KGB33" s="545"/>
      <c r="KGC33" s="545"/>
      <c r="KGD33" s="545"/>
      <c r="KGE33" s="545"/>
      <c r="KGF33" s="545"/>
      <c r="KGG33" s="545"/>
      <c r="KGH33" s="545"/>
      <c r="KGI33" s="545"/>
      <c r="KGJ33" s="545"/>
      <c r="KGK33" s="545"/>
      <c r="KGL33" s="545"/>
      <c r="KGM33" s="545"/>
      <c r="KGN33" s="545"/>
      <c r="KGO33" s="545"/>
      <c r="KGP33" s="545"/>
      <c r="KGQ33" s="545"/>
      <c r="KGR33" s="545"/>
      <c r="KGS33" s="545"/>
      <c r="KGT33" s="545"/>
      <c r="KGU33" s="545"/>
      <c r="KGV33" s="545"/>
      <c r="KGW33" s="545"/>
      <c r="KGX33" s="545"/>
      <c r="KGY33" s="545"/>
      <c r="KGZ33" s="545"/>
      <c r="KHA33" s="545"/>
      <c r="KHB33" s="545"/>
      <c r="KHC33" s="545"/>
      <c r="KHD33" s="545"/>
      <c r="KHE33" s="545"/>
      <c r="KHF33" s="545"/>
      <c r="KHG33" s="545"/>
      <c r="KHH33" s="545"/>
      <c r="KHI33" s="545"/>
      <c r="KHJ33" s="545"/>
      <c r="KHK33" s="545"/>
      <c r="KHL33" s="545"/>
      <c r="KHM33" s="545"/>
      <c r="KHN33" s="545"/>
      <c r="KHO33" s="545"/>
      <c r="KHP33" s="545"/>
      <c r="KHQ33" s="545"/>
      <c r="KHR33" s="545"/>
      <c r="KHS33" s="545"/>
      <c r="KHT33" s="545"/>
      <c r="KHU33" s="545"/>
      <c r="KHV33" s="545"/>
      <c r="KHW33" s="545"/>
      <c r="KHX33" s="545"/>
      <c r="KHY33" s="545"/>
      <c r="KHZ33" s="545"/>
      <c r="KIA33" s="545"/>
      <c r="KIB33" s="545"/>
      <c r="KIC33" s="545"/>
      <c r="KID33" s="545"/>
      <c r="KIE33" s="545"/>
      <c r="KIF33" s="545"/>
      <c r="KIG33" s="545"/>
      <c r="KIH33" s="545"/>
      <c r="KII33" s="545"/>
      <c r="KIJ33" s="545"/>
      <c r="KIK33" s="545"/>
      <c r="KIL33" s="545"/>
      <c r="KIM33" s="545"/>
      <c r="KIN33" s="545"/>
      <c r="KIO33" s="545"/>
      <c r="KIP33" s="545"/>
      <c r="KIQ33" s="545"/>
      <c r="KIR33" s="545"/>
      <c r="KIS33" s="545"/>
      <c r="KIT33" s="545"/>
      <c r="KIU33" s="545"/>
      <c r="KIV33" s="545"/>
      <c r="KIW33" s="545"/>
      <c r="KIX33" s="545"/>
      <c r="KIY33" s="545"/>
      <c r="KIZ33" s="545"/>
      <c r="KJA33" s="545"/>
      <c r="KJB33" s="545"/>
      <c r="KJC33" s="545"/>
      <c r="KJD33" s="545"/>
      <c r="KJE33" s="545"/>
      <c r="KJF33" s="545"/>
      <c r="KJG33" s="545"/>
      <c r="KJH33" s="545"/>
      <c r="KJI33" s="545"/>
      <c r="KJJ33" s="545"/>
      <c r="KJK33" s="545"/>
      <c r="KJL33" s="545"/>
      <c r="KJM33" s="545"/>
      <c r="KJN33" s="545"/>
      <c r="KJO33" s="545"/>
      <c r="KJP33" s="545"/>
      <c r="KJQ33" s="545"/>
      <c r="KJR33" s="545"/>
      <c r="KJS33" s="545"/>
      <c r="KJT33" s="545"/>
      <c r="KJU33" s="545"/>
      <c r="KJV33" s="545"/>
      <c r="KJW33" s="545"/>
      <c r="KJX33" s="545"/>
      <c r="KJY33" s="545"/>
      <c r="KJZ33" s="545"/>
      <c r="KKA33" s="545"/>
      <c r="KKB33" s="545"/>
      <c r="KKC33" s="545"/>
      <c r="KKD33" s="545"/>
      <c r="KKE33" s="545"/>
      <c r="KKF33" s="545"/>
      <c r="KKG33" s="545"/>
      <c r="KKH33" s="545"/>
      <c r="KKI33" s="545"/>
      <c r="KKJ33" s="545"/>
      <c r="KKK33" s="545"/>
      <c r="KKL33" s="545"/>
      <c r="KKM33" s="545"/>
      <c r="KKN33" s="545"/>
      <c r="KKO33" s="545"/>
      <c r="KKP33" s="545"/>
      <c r="KKQ33" s="545"/>
      <c r="KKR33" s="545"/>
      <c r="KKS33" s="545"/>
      <c r="KKT33" s="545"/>
      <c r="KKU33" s="545"/>
      <c r="KKV33" s="545"/>
      <c r="KKW33" s="545"/>
      <c r="KKX33" s="545"/>
      <c r="KKY33" s="545"/>
      <c r="KKZ33" s="545"/>
      <c r="KLA33" s="545"/>
      <c r="KLB33" s="545"/>
      <c r="KLC33" s="545"/>
      <c r="KLD33" s="545"/>
      <c r="KLE33" s="545"/>
      <c r="KLF33" s="545"/>
      <c r="KLG33" s="545"/>
      <c r="KLH33" s="545"/>
      <c r="KLI33" s="545"/>
      <c r="KLJ33" s="545"/>
      <c r="KLK33" s="545"/>
      <c r="KLL33" s="545"/>
      <c r="KLM33" s="545"/>
      <c r="KLN33" s="545"/>
      <c r="KLO33" s="545"/>
      <c r="KLP33" s="545"/>
      <c r="KLQ33" s="545"/>
      <c r="KLR33" s="545"/>
      <c r="KLS33" s="545"/>
      <c r="KLT33" s="545"/>
      <c r="KLU33" s="545"/>
      <c r="KLV33" s="545"/>
      <c r="KLW33" s="545"/>
      <c r="KLX33" s="545"/>
      <c r="KLY33" s="545"/>
      <c r="KLZ33" s="545"/>
      <c r="KMA33" s="545"/>
      <c r="KMB33" s="545"/>
      <c r="KMC33" s="545"/>
      <c r="KMD33" s="545"/>
      <c r="KME33" s="545"/>
      <c r="KMF33" s="545"/>
      <c r="KMG33" s="545"/>
      <c r="KMH33" s="545"/>
      <c r="KMI33" s="545"/>
      <c r="KMJ33" s="545"/>
      <c r="KMK33" s="545"/>
      <c r="KML33" s="545"/>
      <c r="KMM33" s="545"/>
      <c r="KMN33" s="545"/>
      <c r="KMO33" s="545"/>
      <c r="KMP33" s="545"/>
      <c r="KMQ33" s="545"/>
      <c r="KMR33" s="545"/>
      <c r="KMS33" s="545"/>
      <c r="KMT33" s="545"/>
      <c r="KMU33" s="545"/>
      <c r="KMV33" s="545"/>
      <c r="KMW33" s="545"/>
      <c r="KMX33" s="545"/>
      <c r="KMY33" s="545"/>
      <c r="KMZ33" s="545"/>
      <c r="KNA33" s="545"/>
      <c r="KNB33" s="545"/>
      <c r="KNC33" s="545"/>
      <c r="KND33" s="545"/>
      <c r="KNE33" s="545"/>
      <c r="KNF33" s="545"/>
      <c r="KNG33" s="545"/>
      <c r="KNH33" s="545"/>
      <c r="KNI33" s="545"/>
      <c r="KNJ33" s="545"/>
      <c r="KNK33" s="545"/>
      <c r="KNL33" s="545"/>
      <c r="KNM33" s="545"/>
      <c r="KNN33" s="545"/>
      <c r="KNO33" s="545"/>
      <c r="KNP33" s="545"/>
      <c r="KNQ33" s="545"/>
      <c r="KNR33" s="545"/>
      <c r="KNS33" s="545"/>
      <c r="KNT33" s="545"/>
      <c r="KNU33" s="545"/>
      <c r="KNV33" s="545"/>
      <c r="KNW33" s="545"/>
      <c r="KNX33" s="545"/>
      <c r="KNY33" s="545"/>
      <c r="KNZ33" s="545"/>
      <c r="KOA33" s="545"/>
      <c r="KOB33" s="545"/>
      <c r="KOC33" s="545"/>
      <c r="KOD33" s="545"/>
      <c r="KOE33" s="545"/>
      <c r="KOF33" s="545"/>
      <c r="KOG33" s="545"/>
      <c r="KOH33" s="545"/>
      <c r="KOI33" s="545"/>
      <c r="KOJ33" s="545"/>
      <c r="KOK33" s="545"/>
      <c r="KOL33" s="545"/>
      <c r="KOM33" s="545"/>
      <c r="KON33" s="545"/>
      <c r="KOO33" s="545"/>
      <c r="KOP33" s="545"/>
      <c r="KOQ33" s="545"/>
      <c r="KOR33" s="545"/>
      <c r="KOS33" s="545"/>
      <c r="KOT33" s="545"/>
      <c r="KOU33" s="545"/>
      <c r="KOV33" s="545"/>
      <c r="KOW33" s="545"/>
      <c r="KOX33" s="545"/>
      <c r="KOY33" s="545"/>
      <c r="KOZ33" s="545"/>
      <c r="KPA33" s="545"/>
      <c r="KPB33" s="545"/>
      <c r="KPC33" s="545"/>
      <c r="KPD33" s="545"/>
      <c r="KPE33" s="545"/>
      <c r="KPF33" s="545"/>
      <c r="KPG33" s="545"/>
      <c r="KPH33" s="545"/>
      <c r="KPI33" s="545"/>
      <c r="KPJ33" s="545"/>
      <c r="KPK33" s="545"/>
      <c r="KPL33" s="545"/>
      <c r="KPM33" s="545"/>
      <c r="KPN33" s="545"/>
      <c r="KPO33" s="545"/>
      <c r="KPP33" s="545"/>
      <c r="KPQ33" s="545"/>
      <c r="KPR33" s="545"/>
      <c r="KPS33" s="545"/>
      <c r="KPT33" s="545"/>
      <c r="KPU33" s="545"/>
      <c r="KPV33" s="545"/>
      <c r="KPW33" s="545"/>
      <c r="KPX33" s="545"/>
      <c r="KPY33" s="545"/>
      <c r="KPZ33" s="545"/>
      <c r="KQA33" s="545"/>
      <c r="KQB33" s="545"/>
      <c r="KQC33" s="545"/>
      <c r="KQD33" s="545"/>
      <c r="KQE33" s="545"/>
      <c r="KQF33" s="545"/>
      <c r="KQG33" s="545"/>
      <c r="KQH33" s="545"/>
      <c r="KQI33" s="545"/>
      <c r="KQJ33" s="545"/>
      <c r="KQK33" s="545"/>
      <c r="KQL33" s="545"/>
      <c r="KQM33" s="545"/>
      <c r="KQN33" s="545"/>
      <c r="KQO33" s="545"/>
      <c r="KQP33" s="545"/>
      <c r="KQQ33" s="545"/>
      <c r="KQR33" s="545"/>
      <c r="KQS33" s="545"/>
      <c r="KQT33" s="545"/>
      <c r="KQU33" s="545"/>
      <c r="KQV33" s="545"/>
      <c r="KQW33" s="545"/>
      <c r="KQX33" s="545"/>
      <c r="KQY33" s="545"/>
      <c r="KQZ33" s="545"/>
      <c r="KRA33" s="545"/>
      <c r="KRB33" s="545"/>
      <c r="KRC33" s="545"/>
      <c r="KRD33" s="545"/>
      <c r="KRE33" s="545"/>
      <c r="KRF33" s="545"/>
      <c r="KRG33" s="545"/>
      <c r="KRH33" s="545"/>
      <c r="KRI33" s="545"/>
      <c r="KRJ33" s="545"/>
      <c r="KRK33" s="545"/>
      <c r="KRL33" s="545"/>
      <c r="KRM33" s="545"/>
      <c r="KRN33" s="545"/>
      <c r="KRO33" s="545"/>
      <c r="KRP33" s="545"/>
      <c r="KRQ33" s="545"/>
      <c r="KRR33" s="545"/>
      <c r="KRS33" s="545"/>
      <c r="KRT33" s="545"/>
      <c r="KRU33" s="545"/>
      <c r="KRV33" s="545"/>
      <c r="KRW33" s="545"/>
      <c r="KRX33" s="545"/>
      <c r="KRY33" s="545"/>
      <c r="KRZ33" s="545"/>
      <c r="KSA33" s="545"/>
      <c r="KSB33" s="545"/>
      <c r="KSC33" s="545"/>
      <c r="KSD33" s="545"/>
      <c r="KSE33" s="545"/>
      <c r="KSF33" s="545"/>
      <c r="KSG33" s="545"/>
      <c r="KSH33" s="545"/>
      <c r="KSI33" s="545"/>
      <c r="KSJ33" s="545"/>
      <c r="KSK33" s="545"/>
      <c r="KSL33" s="545"/>
      <c r="KSM33" s="545"/>
      <c r="KSN33" s="545"/>
      <c r="KSO33" s="545"/>
      <c r="KSP33" s="545"/>
      <c r="KSQ33" s="545"/>
      <c r="KSR33" s="545"/>
      <c r="KSS33" s="545"/>
      <c r="KST33" s="545"/>
      <c r="KSU33" s="545"/>
      <c r="KSV33" s="545"/>
      <c r="KSW33" s="545"/>
      <c r="KSX33" s="545"/>
      <c r="KSY33" s="545"/>
      <c r="KSZ33" s="545"/>
      <c r="KTA33" s="545"/>
      <c r="KTB33" s="545"/>
      <c r="KTC33" s="545"/>
      <c r="KTD33" s="545"/>
      <c r="KTE33" s="545"/>
      <c r="KTF33" s="545"/>
      <c r="KTG33" s="545"/>
      <c r="KTH33" s="545"/>
      <c r="KTI33" s="545"/>
      <c r="KTJ33" s="545"/>
      <c r="KTK33" s="545"/>
      <c r="KTL33" s="545"/>
      <c r="KTM33" s="545"/>
      <c r="KTN33" s="545"/>
      <c r="KTO33" s="545"/>
      <c r="KTP33" s="545"/>
      <c r="KTQ33" s="545"/>
      <c r="KTR33" s="545"/>
      <c r="KTS33" s="545"/>
      <c r="KTT33" s="545"/>
      <c r="KTU33" s="545"/>
      <c r="KTV33" s="545"/>
      <c r="KTW33" s="545"/>
      <c r="KTX33" s="545"/>
      <c r="KTY33" s="545"/>
      <c r="KTZ33" s="545"/>
      <c r="KUA33" s="545"/>
      <c r="KUB33" s="545"/>
      <c r="KUC33" s="545"/>
      <c r="KUD33" s="545"/>
      <c r="KUE33" s="545"/>
      <c r="KUF33" s="545"/>
      <c r="KUG33" s="545"/>
      <c r="KUH33" s="545"/>
      <c r="KUI33" s="545"/>
      <c r="KUJ33" s="545"/>
      <c r="KUK33" s="545"/>
      <c r="KUL33" s="545"/>
      <c r="KUM33" s="545"/>
      <c r="KUN33" s="545"/>
      <c r="KUO33" s="545"/>
      <c r="KUP33" s="545"/>
      <c r="KUQ33" s="545"/>
      <c r="KUR33" s="545"/>
      <c r="KUS33" s="545"/>
      <c r="KUT33" s="545"/>
      <c r="KUU33" s="545"/>
      <c r="KUV33" s="545"/>
      <c r="KUW33" s="545"/>
      <c r="KUX33" s="545"/>
      <c r="KUY33" s="545"/>
      <c r="KUZ33" s="545"/>
      <c r="KVA33" s="545"/>
      <c r="KVB33" s="545"/>
      <c r="KVC33" s="545"/>
      <c r="KVD33" s="545"/>
      <c r="KVE33" s="545"/>
      <c r="KVF33" s="545"/>
      <c r="KVG33" s="545"/>
      <c r="KVH33" s="545"/>
      <c r="KVI33" s="545"/>
      <c r="KVJ33" s="545"/>
      <c r="KVK33" s="545"/>
      <c r="KVL33" s="545"/>
      <c r="KVM33" s="545"/>
      <c r="KVN33" s="545"/>
      <c r="KVO33" s="545"/>
      <c r="KVP33" s="545"/>
      <c r="KVQ33" s="545"/>
      <c r="KVR33" s="545"/>
      <c r="KVS33" s="545"/>
      <c r="KVT33" s="545"/>
      <c r="KVU33" s="545"/>
      <c r="KVV33" s="545"/>
      <c r="KVW33" s="545"/>
      <c r="KVX33" s="545"/>
      <c r="KVY33" s="545"/>
      <c r="KVZ33" s="545"/>
      <c r="KWA33" s="545"/>
      <c r="KWB33" s="545"/>
      <c r="KWC33" s="545"/>
      <c r="KWD33" s="545"/>
      <c r="KWE33" s="545"/>
      <c r="KWF33" s="545"/>
      <c r="KWG33" s="545"/>
      <c r="KWH33" s="545"/>
      <c r="KWI33" s="545"/>
      <c r="KWJ33" s="545"/>
      <c r="KWK33" s="545"/>
      <c r="KWL33" s="545"/>
      <c r="KWM33" s="545"/>
      <c r="KWN33" s="545"/>
      <c r="KWO33" s="545"/>
      <c r="KWP33" s="545"/>
      <c r="KWQ33" s="545"/>
      <c r="KWR33" s="545"/>
      <c r="KWS33" s="545"/>
      <c r="KWT33" s="545"/>
      <c r="KWU33" s="545"/>
      <c r="KWV33" s="545"/>
      <c r="KWW33" s="545"/>
      <c r="KWX33" s="545"/>
      <c r="KWY33" s="545"/>
      <c r="KWZ33" s="545"/>
      <c r="KXA33" s="545"/>
      <c r="KXB33" s="545"/>
      <c r="KXC33" s="545"/>
      <c r="KXD33" s="545"/>
      <c r="KXE33" s="545"/>
      <c r="KXF33" s="545"/>
      <c r="KXG33" s="545"/>
      <c r="KXH33" s="545"/>
      <c r="KXI33" s="545"/>
      <c r="KXJ33" s="545"/>
      <c r="KXK33" s="545"/>
      <c r="KXL33" s="545"/>
      <c r="KXM33" s="545"/>
      <c r="KXN33" s="545"/>
      <c r="KXO33" s="545"/>
      <c r="KXP33" s="545"/>
      <c r="KXQ33" s="545"/>
      <c r="KXR33" s="545"/>
      <c r="KXS33" s="545"/>
      <c r="KXT33" s="545"/>
      <c r="KXU33" s="545"/>
      <c r="KXV33" s="545"/>
      <c r="KXW33" s="545"/>
      <c r="KXX33" s="545"/>
      <c r="KXY33" s="545"/>
      <c r="KXZ33" s="545"/>
      <c r="KYA33" s="545"/>
      <c r="KYB33" s="545"/>
      <c r="KYC33" s="545"/>
      <c r="KYD33" s="545"/>
      <c r="KYE33" s="545"/>
      <c r="KYF33" s="545"/>
      <c r="KYG33" s="545"/>
      <c r="KYH33" s="545"/>
      <c r="KYI33" s="545"/>
      <c r="KYJ33" s="545"/>
      <c r="KYK33" s="545"/>
      <c r="KYL33" s="545"/>
      <c r="KYM33" s="545"/>
      <c r="KYN33" s="545"/>
      <c r="KYO33" s="545"/>
      <c r="KYP33" s="545"/>
      <c r="KYQ33" s="545"/>
      <c r="KYR33" s="545"/>
      <c r="KYS33" s="545"/>
      <c r="KYT33" s="545"/>
      <c r="KYU33" s="545"/>
      <c r="KYV33" s="545"/>
      <c r="KYW33" s="545"/>
      <c r="KYX33" s="545"/>
      <c r="KYY33" s="545"/>
      <c r="KYZ33" s="545"/>
      <c r="KZA33" s="545"/>
      <c r="KZB33" s="545"/>
      <c r="KZC33" s="545"/>
      <c r="KZD33" s="545"/>
      <c r="KZE33" s="545"/>
      <c r="KZF33" s="545"/>
      <c r="KZG33" s="545"/>
      <c r="KZH33" s="545"/>
      <c r="KZI33" s="545"/>
      <c r="KZJ33" s="545"/>
      <c r="KZK33" s="545"/>
      <c r="KZL33" s="545"/>
      <c r="KZM33" s="545"/>
      <c r="KZN33" s="545"/>
      <c r="KZO33" s="545"/>
      <c r="KZP33" s="545"/>
      <c r="KZQ33" s="545"/>
      <c r="KZR33" s="545"/>
      <c r="KZS33" s="545"/>
      <c r="KZT33" s="545"/>
      <c r="KZU33" s="545"/>
      <c r="KZV33" s="545"/>
      <c r="KZW33" s="545"/>
      <c r="KZX33" s="545"/>
      <c r="KZY33" s="545"/>
      <c r="KZZ33" s="545"/>
      <c r="LAA33" s="545"/>
      <c r="LAB33" s="545"/>
      <c r="LAC33" s="545"/>
      <c r="LAD33" s="545"/>
      <c r="LAE33" s="545"/>
      <c r="LAF33" s="545"/>
      <c r="LAG33" s="545"/>
      <c r="LAH33" s="545"/>
      <c r="LAI33" s="545"/>
      <c r="LAJ33" s="545"/>
      <c r="LAK33" s="545"/>
      <c r="LAL33" s="545"/>
      <c r="LAM33" s="545"/>
      <c r="LAN33" s="545"/>
      <c r="LAO33" s="545"/>
      <c r="LAP33" s="545"/>
      <c r="LAQ33" s="545"/>
      <c r="LAR33" s="545"/>
      <c r="LAS33" s="545"/>
      <c r="LAT33" s="545"/>
      <c r="LAU33" s="545"/>
      <c r="LAV33" s="545"/>
      <c r="LAW33" s="545"/>
      <c r="LAX33" s="545"/>
      <c r="LAY33" s="545"/>
      <c r="LAZ33" s="545"/>
      <c r="LBA33" s="545"/>
      <c r="LBB33" s="545"/>
      <c r="LBC33" s="545"/>
      <c r="LBD33" s="545"/>
      <c r="LBE33" s="545"/>
      <c r="LBF33" s="545"/>
      <c r="LBG33" s="545"/>
      <c r="LBH33" s="545"/>
      <c r="LBI33" s="545"/>
      <c r="LBJ33" s="545"/>
      <c r="LBK33" s="545"/>
      <c r="LBL33" s="545"/>
      <c r="LBM33" s="545"/>
      <c r="LBN33" s="545"/>
      <c r="LBO33" s="545"/>
      <c r="LBP33" s="545"/>
      <c r="LBQ33" s="545"/>
      <c r="LBR33" s="545"/>
      <c r="LBS33" s="545"/>
      <c r="LBT33" s="545"/>
      <c r="LBU33" s="545"/>
      <c r="LBV33" s="545"/>
      <c r="LBW33" s="545"/>
      <c r="LBX33" s="545"/>
      <c r="LBY33" s="545"/>
      <c r="LBZ33" s="545"/>
      <c r="LCA33" s="545"/>
      <c r="LCB33" s="545"/>
      <c r="LCC33" s="545"/>
      <c r="LCD33" s="545"/>
      <c r="LCE33" s="545"/>
      <c r="LCF33" s="545"/>
      <c r="LCG33" s="545"/>
      <c r="LCH33" s="545"/>
      <c r="LCI33" s="545"/>
      <c r="LCJ33" s="545"/>
      <c r="LCK33" s="545"/>
      <c r="LCL33" s="545"/>
      <c r="LCM33" s="545"/>
      <c r="LCN33" s="545"/>
      <c r="LCO33" s="545"/>
      <c r="LCP33" s="545"/>
      <c r="LCQ33" s="545"/>
      <c r="LCR33" s="545"/>
      <c r="LCS33" s="545"/>
      <c r="LCT33" s="545"/>
      <c r="LCU33" s="545"/>
      <c r="LCV33" s="545"/>
      <c r="LCW33" s="545"/>
      <c r="LCX33" s="545"/>
      <c r="LCY33" s="545"/>
      <c r="LCZ33" s="545"/>
      <c r="LDA33" s="545"/>
      <c r="LDB33" s="545"/>
      <c r="LDC33" s="545"/>
      <c r="LDD33" s="545"/>
      <c r="LDE33" s="545"/>
      <c r="LDF33" s="545"/>
      <c r="LDG33" s="545"/>
      <c r="LDH33" s="545"/>
      <c r="LDI33" s="545"/>
      <c r="LDJ33" s="545"/>
      <c r="LDK33" s="545"/>
      <c r="LDL33" s="545"/>
      <c r="LDM33" s="545"/>
      <c r="LDN33" s="545"/>
      <c r="LDO33" s="545"/>
      <c r="LDP33" s="545"/>
      <c r="LDQ33" s="545"/>
      <c r="LDR33" s="545"/>
      <c r="LDS33" s="545"/>
      <c r="LDT33" s="545"/>
      <c r="LDU33" s="545"/>
      <c r="LDV33" s="545"/>
      <c r="LDW33" s="545"/>
      <c r="LDX33" s="545"/>
      <c r="LDY33" s="545"/>
      <c r="LDZ33" s="545"/>
      <c r="LEA33" s="545"/>
      <c r="LEB33" s="545"/>
      <c r="LEC33" s="545"/>
      <c r="LED33" s="545"/>
      <c r="LEE33" s="545"/>
      <c r="LEF33" s="545"/>
      <c r="LEG33" s="545"/>
      <c r="LEH33" s="545"/>
      <c r="LEI33" s="545"/>
      <c r="LEJ33" s="545"/>
      <c r="LEK33" s="545"/>
      <c r="LEL33" s="545"/>
      <c r="LEM33" s="545"/>
      <c r="LEN33" s="545"/>
      <c r="LEO33" s="545"/>
      <c r="LEP33" s="545"/>
      <c r="LEQ33" s="545"/>
      <c r="LER33" s="545"/>
      <c r="LES33" s="545"/>
      <c r="LET33" s="545"/>
      <c r="LEU33" s="545"/>
      <c r="LEV33" s="545"/>
      <c r="LEW33" s="545"/>
      <c r="LEX33" s="545"/>
      <c r="LEY33" s="545"/>
      <c r="LEZ33" s="545"/>
      <c r="LFA33" s="545"/>
      <c r="LFB33" s="545"/>
      <c r="LFC33" s="545"/>
      <c r="LFD33" s="545"/>
      <c r="LFE33" s="545"/>
      <c r="LFF33" s="545"/>
      <c r="LFG33" s="545"/>
      <c r="LFH33" s="545"/>
      <c r="LFI33" s="545"/>
      <c r="LFJ33" s="545"/>
      <c r="LFK33" s="545"/>
      <c r="LFL33" s="545"/>
      <c r="LFM33" s="545"/>
      <c r="LFN33" s="545"/>
      <c r="LFO33" s="545"/>
      <c r="LFP33" s="545"/>
      <c r="LFQ33" s="545"/>
      <c r="LFR33" s="545"/>
      <c r="LFS33" s="545"/>
      <c r="LFT33" s="545"/>
      <c r="LFU33" s="545"/>
      <c r="LFV33" s="545"/>
      <c r="LFW33" s="545"/>
      <c r="LFX33" s="545"/>
      <c r="LFY33" s="545"/>
      <c r="LFZ33" s="545"/>
      <c r="LGA33" s="545"/>
      <c r="LGB33" s="545"/>
      <c r="LGC33" s="545"/>
      <c r="LGD33" s="545"/>
      <c r="LGE33" s="545"/>
      <c r="LGF33" s="545"/>
      <c r="LGG33" s="545"/>
      <c r="LGH33" s="545"/>
      <c r="LGI33" s="545"/>
      <c r="LGJ33" s="545"/>
      <c r="LGK33" s="545"/>
      <c r="LGL33" s="545"/>
      <c r="LGM33" s="545"/>
      <c r="LGN33" s="545"/>
      <c r="LGO33" s="545"/>
      <c r="LGP33" s="545"/>
      <c r="LGQ33" s="545"/>
      <c r="LGR33" s="545"/>
      <c r="LGS33" s="545"/>
      <c r="LGT33" s="545"/>
      <c r="LGU33" s="545"/>
      <c r="LGV33" s="545"/>
      <c r="LGW33" s="545"/>
      <c r="LGX33" s="545"/>
      <c r="LGY33" s="545"/>
      <c r="LGZ33" s="545"/>
      <c r="LHA33" s="545"/>
      <c r="LHB33" s="545"/>
      <c r="LHC33" s="545"/>
      <c r="LHD33" s="545"/>
      <c r="LHE33" s="545"/>
      <c r="LHF33" s="545"/>
      <c r="LHG33" s="545"/>
      <c r="LHH33" s="545"/>
      <c r="LHI33" s="545"/>
      <c r="LHJ33" s="545"/>
      <c r="LHK33" s="545"/>
      <c r="LHL33" s="545"/>
      <c r="LHM33" s="545"/>
      <c r="LHN33" s="545"/>
      <c r="LHO33" s="545"/>
      <c r="LHP33" s="545"/>
      <c r="LHQ33" s="545"/>
      <c r="LHR33" s="545"/>
      <c r="LHS33" s="545"/>
      <c r="LHT33" s="545"/>
      <c r="LHU33" s="545"/>
      <c r="LHV33" s="545"/>
      <c r="LHW33" s="545"/>
      <c r="LHX33" s="545"/>
      <c r="LHY33" s="545"/>
      <c r="LHZ33" s="545"/>
      <c r="LIA33" s="545"/>
      <c r="LIB33" s="545"/>
      <c r="LIC33" s="545"/>
      <c r="LID33" s="545"/>
      <c r="LIE33" s="545"/>
      <c r="LIF33" s="545"/>
      <c r="LIG33" s="545"/>
      <c r="LIH33" s="545"/>
      <c r="LII33" s="545"/>
      <c r="LIJ33" s="545"/>
      <c r="LIK33" s="545"/>
      <c r="LIL33" s="545"/>
      <c r="LIM33" s="545"/>
      <c r="LIN33" s="545"/>
      <c r="LIO33" s="545"/>
      <c r="LIP33" s="545"/>
      <c r="LIQ33" s="545"/>
      <c r="LIR33" s="545"/>
      <c r="LIS33" s="545"/>
      <c r="LIT33" s="545"/>
      <c r="LIU33" s="545"/>
      <c r="LIV33" s="545"/>
      <c r="LIW33" s="545"/>
      <c r="LIX33" s="545"/>
      <c r="LIY33" s="545"/>
      <c r="LIZ33" s="545"/>
      <c r="LJA33" s="545"/>
      <c r="LJB33" s="545"/>
      <c r="LJC33" s="545"/>
      <c r="LJD33" s="545"/>
      <c r="LJE33" s="545"/>
      <c r="LJF33" s="545"/>
      <c r="LJG33" s="545"/>
      <c r="LJH33" s="545"/>
      <c r="LJI33" s="545"/>
      <c r="LJJ33" s="545"/>
      <c r="LJK33" s="545"/>
      <c r="LJL33" s="545"/>
      <c r="LJM33" s="545"/>
      <c r="LJN33" s="545"/>
      <c r="LJO33" s="545"/>
      <c r="LJP33" s="545"/>
      <c r="LJQ33" s="545"/>
      <c r="LJR33" s="545"/>
      <c r="LJS33" s="545"/>
      <c r="LJT33" s="545"/>
      <c r="LJU33" s="545"/>
      <c r="LJV33" s="545"/>
      <c r="LJW33" s="545"/>
      <c r="LJX33" s="545"/>
      <c r="LJY33" s="545"/>
      <c r="LJZ33" s="545"/>
      <c r="LKA33" s="545"/>
      <c r="LKB33" s="545"/>
      <c r="LKC33" s="545"/>
      <c r="LKD33" s="545"/>
      <c r="LKE33" s="545"/>
      <c r="LKF33" s="545"/>
      <c r="LKG33" s="545"/>
      <c r="LKH33" s="545"/>
      <c r="LKI33" s="545"/>
      <c r="LKJ33" s="545"/>
      <c r="LKK33" s="545"/>
      <c r="LKL33" s="545"/>
      <c r="LKM33" s="545"/>
      <c r="LKN33" s="545"/>
      <c r="LKO33" s="545"/>
      <c r="LKP33" s="545"/>
      <c r="LKQ33" s="545"/>
      <c r="LKR33" s="545"/>
      <c r="LKS33" s="545"/>
      <c r="LKT33" s="545"/>
      <c r="LKU33" s="545"/>
      <c r="LKV33" s="545"/>
      <c r="LKW33" s="545"/>
      <c r="LKX33" s="545"/>
      <c r="LKY33" s="545"/>
      <c r="LKZ33" s="545"/>
      <c r="LLA33" s="545"/>
      <c r="LLB33" s="545"/>
      <c r="LLC33" s="545"/>
      <c r="LLD33" s="545"/>
      <c r="LLE33" s="545"/>
      <c r="LLF33" s="545"/>
      <c r="LLG33" s="545"/>
      <c r="LLH33" s="545"/>
      <c r="LLI33" s="545"/>
      <c r="LLJ33" s="545"/>
      <c r="LLK33" s="545"/>
      <c r="LLL33" s="545"/>
      <c r="LLM33" s="545"/>
      <c r="LLN33" s="545"/>
      <c r="LLO33" s="545"/>
      <c r="LLP33" s="545"/>
      <c r="LLQ33" s="545"/>
      <c r="LLR33" s="545"/>
      <c r="LLS33" s="545"/>
      <c r="LLT33" s="545"/>
      <c r="LLU33" s="545"/>
      <c r="LLV33" s="545"/>
      <c r="LLW33" s="545"/>
      <c r="LLX33" s="545"/>
      <c r="LLY33" s="545"/>
      <c r="LLZ33" s="545"/>
      <c r="LMA33" s="545"/>
      <c r="LMB33" s="545"/>
      <c r="LMC33" s="545"/>
      <c r="LMD33" s="545"/>
      <c r="LME33" s="545"/>
      <c r="LMF33" s="545"/>
      <c r="LMG33" s="545"/>
      <c r="LMH33" s="545"/>
      <c r="LMI33" s="545"/>
      <c r="LMJ33" s="545"/>
      <c r="LMK33" s="545"/>
      <c r="LML33" s="545"/>
      <c r="LMM33" s="545"/>
      <c r="LMN33" s="545"/>
      <c r="LMO33" s="545"/>
      <c r="LMP33" s="545"/>
      <c r="LMQ33" s="545"/>
      <c r="LMR33" s="545"/>
      <c r="LMS33" s="545"/>
      <c r="LMT33" s="545"/>
      <c r="LMU33" s="545"/>
      <c r="LMV33" s="545"/>
      <c r="LMW33" s="545"/>
      <c r="LMX33" s="545"/>
      <c r="LMY33" s="545"/>
      <c r="LMZ33" s="545"/>
      <c r="LNA33" s="545"/>
      <c r="LNB33" s="545"/>
      <c r="LNC33" s="545"/>
      <c r="LND33" s="545"/>
      <c r="LNE33" s="545"/>
      <c r="LNF33" s="545"/>
      <c r="LNG33" s="545"/>
      <c r="LNH33" s="545"/>
      <c r="LNI33" s="545"/>
      <c r="LNJ33" s="545"/>
      <c r="LNK33" s="545"/>
      <c r="LNL33" s="545"/>
      <c r="LNM33" s="545"/>
      <c r="LNN33" s="545"/>
      <c r="LNO33" s="545"/>
      <c r="LNP33" s="545"/>
      <c r="LNQ33" s="545"/>
      <c r="LNR33" s="545"/>
      <c r="LNS33" s="545"/>
      <c r="LNT33" s="545"/>
      <c r="LNU33" s="545"/>
      <c r="LNV33" s="545"/>
      <c r="LNW33" s="545"/>
      <c r="LNX33" s="545"/>
      <c r="LNY33" s="545"/>
      <c r="LNZ33" s="545"/>
      <c r="LOA33" s="545"/>
      <c r="LOB33" s="545"/>
      <c r="LOC33" s="545"/>
      <c r="LOD33" s="545"/>
      <c r="LOE33" s="545"/>
      <c r="LOF33" s="545"/>
      <c r="LOG33" s="545"/>
      <c r="LOH33" s="545"/>
      <c r="LOI33" s="545"/>
      <c r="LOJ33" s="545"/>
      <c r="LOK33" s="545"/>
      <c r="LOL33" s="545"/>
      <c r="LOM33" s="545"/>
      <c r="LON33" s="545"/>
      <c r="LOO33" s="545"/>
      <c r="LOP33" s="545"/>
      <c r="LOQ33" s="545"/>
      <c r="LOR33" s="545"/>
      <c r="LOS33" s="545"/>
      <c r="LOT33" s="545"/>
      <c r="LOU33" s="545"/>
      <c r="LOV33" s="545"/>
      <c r="LOW33" s="545"/>
      <c r="LOX33" s="545"/>
      <c r="LOY33" s="545"/>
      <c r="LOZ33" s="545"/>
      <c r="LPA33" s="545"/>
      <c r="LPB33" s="545"/>
      <c r="LPC33" s="545"/>
      <c r="LPD33" s="545"/>
      <c r="LPE33" s="545"/>
      <c r="LPF33" s="545"/>
      <c r="LPG33" s="545"/>
      <c r="LPH33" s="545"/>
      <c r="LPI33" s="545"/>
      <c r="LPJ33" s="545"/>
      <c r="LPK33" s="545"/>
      <c r="LPL33" s="545"/>
      <c r="LPM33" s="545"/>
      <c r="LPN33" s="545"/>
      <c r="LPO33" s="545"/>
      <c r="LPP33" s="545"/>
      <c r="LPQ33" s="545"/>
      <c r="LPR33" s="545"/>
      <c r="LPS33" s="545"/>
      <c r="LPT33" s="545"/>
      <c r="LPU33" s="545"/>
      <c r="LPV33" s="545"/>
      <c r="LPW33" s="545"/>
      <c r="LPX33" s="545"/>
      <c r="LPY33" s="545"/>
      <c r="LPZ33" s="545"/>
      <c r="LQA33" s="545"/>
      <c r="LQB33" s="545"/>
      <c r="LQC33" s="545"/>
      <c r="LQD33" s="545"/>
      <c r="LQE33" s="545"/>
      <c r="LQF33" s="545"/>
      <c r="LQG33" s="545"/>
      <c r="LQH33" s="545"/>
      <c r="LQI33" s="545"/>
      <c r="LQJ33" s="545"/>
      <c r="LQK33" s="545"/>
      <c r="LQL33" s="545"/>
      <c r="LQM33" s="545"/>
      <c r="LQN33" s="545"/>
      <c r="LQO33" s="545"/>
      <c r="LQP33" s="545"/>
      <c r="LQQ33" s="545"/>
      <c r="LQR33" s="545"/>
      <c r="LQS33" s="545"/>
      <c r="LQT33" s="545"/>
      <c r="LQU33" s="545"/>
      <c r="LQV33" s="545"/>
      <c r="LQW33" s="545"/>
      <c r="LQX33" s="545"/>
      <c r="LQY33" s="545"/>
      <c r="LQZ33" s="545"/>
      <c r="LRA33" s="545"/>
      <c r="LRB33" s="545"/>
      <c r="LRC33" s="545"/>
      <c r="LRD33" s="545"/>
      <c r="LRE33" s="545"/>
      <c r="LRF33" s="545"/>
      <c r="LRG33" s="545"/>
      <c r="LRH33" s="545"/>
      <c r="LRI33" s="545"/>
      <c r="LRJ33" s="545"/>
      <c r="LRK33" s="545"/>
      <c r="LRL33" s="545"/>
      <c r="LRM33" s="545"/>
      <c r="LRN33" s="545"/>
      <c r="LRO33" s="545"/>
      <c r="LRP33" s="545"/>
      <c r="LRQ33" s="545"/>
      <c r="LRR33" s="545"/>
      <c r="LRS33" s="545"/>
      <c r="LRT33" s="545"/>
      <c r="LRU33" s="545"/>
      <c r="LRV33" s="545"/>
      <c r="LRW33" s="545"/>
      <c r="LRX33" s="545"/>
      <c r="LRY33" s="545"/>
      <c r="LRZ33" s="545"/>
      <c r="LSA33" s="545"/>
      <c r="LSB33" s="545"/>
      <c r="LSC33" s="545"/>
      <c r="LSD33" s="545"/>
      <c r="LSE33" s="545"/>
      <c r="LSF33" s="545"/>
      <c r="LSG33" s="545"/>
      <c r="LSH33" s="545"/>
      <c r="LSI33" s="545"/>
      <c r="LSJ33" s="545"/>
      <c r="LSK33" s="545"/>
      <c r="LSL33" s="545"/>
      <c r="LSM33" s="545"/>
      <c r="LSN33" s="545"/>
      <c r="LSO33" s="545"/>
      <c r="LSP33" s="545"/>
      <c r="LSQ33" s="545"/>
      <c r="LSR33" s="545"/>
      <c r="LSS33" s="545"/>
      <c r="LST33" s="545"/>
      <c r="LSU33" s="545"/>
      <c r="LSV33" s="545"/>
      <c r="LSW33" s="545"/>
      <c r="LSX33" s="545"/>
      <c r="LSY33" s="545"/>
      <c r="LSZ33" s="545"/>
      <c r="LTA33" s="545"/>
      <c r="LTB33" s="545"/>
      <c r="LTC33" s="545"/>
      <c r="LTD33" s="545"/>
      <c r="LTE33" s="545"/>
      <c r="LTF33" s="545"/>
      <c r="LTG33" s="545"/>
      <c r="LTH33" s="545"/>
      <c r="LTI33" s="545"/>
      <c r="LTJ33" s="545"/>
      <c r="LTK33" s="545"/>
      <c r="LTL33" s="545"/>
      <c r="LTM33" s="545"/>
      <c r="LTN33" s="545"/>
      <c r="LTO33" s="545"/>
      <c r="LTP33" s="545"/>
      <c r="LTQ33" s="545"/>
      <c r="LTR33" s="545"/>
      <c r="LTS33" s="545"/>
      <c r="LTT33" s="545"/>
      <c r="LTU33" s="545"/>
      <c r="LTV33" s="545"/>
      <c r="LTW33" s="545"/>
      <c r="LTX33" s="545"/>
      <c r="LTY33" s="545"/>
      <c r="LTZ33" s="545"/>
      <c r="LUA33" s="545"/>
      <c r="LUB33" s="545"/>
      <c r="LUC33" s="545"/>
      <c r="LUD33" s="545"/>
      <c r="LUE33" s="545"/>
      <c r="LUF33" s="545"/>
      <c r="LUG33" s="545"/>
      <c r="LUH33" s="545"/>
      <c r="LUI33" s="545"/>
      <c r="LUJ33" s="545"/>
      <c r="LUK33" s="545"/>
      <c r="LUL33" s="545"/>
      <c r="LUM33" s="545"/>
      <c r="LUN33" s="545"/>
      <c r="LUO33" s="545"/>
      <c r="LUP33" s="545"/>
      <c r="LUQ33" s="545"/>
      <c r="LUR33" s="545"/>
      <c r="LUS33" s="545"/>
      <c r="LUT33" s="545"/>
      <c r="LUU33" s="545"/>
      <c r="LUV33" s="545"/>
      <c r="LUW33" s="545"/>
      <c r="LUX33" s="545"/>
      <c r="LUY33" s="545"/>
      <c r="LUZ33" s="545"/>
      <c r="LVA33" s="545"/>
      <c r="LVB33" s="545"/>
      <c r="LVC33" s="545"/>
      <c r="LVD33" s="545"/>
      <c r="LVE33" s="545"/>
      <c r="LVF33" s="545"/>
      <c r="LVG33" s="545"/>
      <c r="LVH33" s="545"/>
      <c r="LVI33" s="545"/>
      <c r="LVJ33" s="545"/>
      <c r="LVK33" s="545"/>
      <c r="LVL33" s="545"/>
      <c r="LVM33" s="545"/>
      <c r="LVN33" s="545"/>
      <c r="LVO33" s="545"/>
      <c r="LVP33" s="545"/>
      <c r="LVQ33" s="545"/>
      <c r="LVR33" s="545"/>
      <c r="LVS33" s="545"/>
      <c r="LVT33" s="545"/>
      <c r="LVU33" s="545"/>
      <c r="LVV33" s="545"/>
      <c r="LVW33" s="545"/>
      <c r="LVX33" s="545"/>
      <c r="LVY33" s="545"/>
      <c r="LVZ33" s="545"/>
      <c r="LWA33" s="545"/>
      <c r="LWB33" s="545"/>
      <c r="LWC33" s="545"/>
      <c r="LWD33" s="545"/>
      <c r="LWE33" s="545"/>
      <c r="LWF33" s="545"/>
      <c r="LWG33" s="545"/>
      <c r="LWH33" s="545"/>
      <c r="LWI33" s="545"/>
      <c r="LWJ33" s="545"/>
      <c r="LWK33" s="545"/>
      <c r="LWL33" s="545"/>
      <c r="LWM33" s="545"/>
      <c r="LWN33" s="545"/>
      <c r="LWO33" s="545"/>
      <c r="LWP33" s="545"/>
      <c r="LWQ33" s="545"/>
      <c r="LWR33" s="545"/>
      <c r="LWS33" s="545"/>
      <c r="LWT33" s="545"/>
      <c r="LWU33" s="545"/>
      <c r="LWV33" s="545"/>
      <c r="LWW33" s="545"/>
      <c r="LWX33" s="545"/>
      <c r="LWY33" s="545"/>
      <c r="LWZ33" s="545"/>
      <c r="LXA33" s="545"/>
      <c r="LXB33" s="545"/>
      <c r="LXC33" s="545"/>
      <c r="LXD33" s="545"/>
      <c r="LXE33" s="545"/>
      <c r="LXF33" s="545"/>
      <c r="LXG33" s="545"/>
      <c r="LXH33" s="545"/>
      <c r="LXI33" s="545"/>
      <c r="LXJ33" s="545"/>
      <c r="LXK33" s="545"/>
      <c r="LXL33" s="545"/>
      <c r="LXM33" s="545"/>
      <c r="LXN33" s="545"/>
      <c r="LXO33" s="545"/>
      <c r="LXP33" s="545"/>
      <c r="LXQ33" s="545"/>
      <c r="LXR33" s="545"/>
      <c r="LXS33" s="545"/>
      <c r="LXT33" s="545"/>
      <c r="LXU33" s="545"/>
      <c r="LXV33" s="545"/>
      <c r="LXW33" s="545"/>
      <c r="LXX33" s="545"/>
      <c r="LXY33" s="545"/>
      <c r="LXZ33" s="545"/>
      <c r="LYA33" s="545"/>
      <c r="LYB33" s="545"/>
      <c r="LYC33" s="545"/>
      <c r="LYD33" s="545"/>
      <c r="LYE33" s="545"/>
      <c r="LYF33" s="545"/>
      <c r="LYG33" s="545"/>
      <c r="LYH33" s="545"/>
      <c r="LYI33" s="545"/>
      <c r="LYJ33" s="545"/>
      <c r="LYK33" s="545"/>
      <c r="LYL33" s="545"/>
      <c r="LYM33" s="545"/>
      <c r="LYN33" s="545"/>
      <c r="LYO33" s="545"/>
      <c r="LYP33" s="545"/>
      <c r="LYQ33" s="545"/>
      <c r="LYR33" s="545"/>
      <c r="LYS33" s="545"/>
      <c r="LYT33" s="545"/>
      <c r="LYU33" s="545"/>
      <c r="LYV33" s="545"/>
      <c r="LYW33" s="545"/>
      <c r="LYX33" s="545"/>
      <c r="LYY33" s="545"/>
      <c r="LYZ33" s="545"/>
      <c r="LZA33" s="545"/>
      <c r="LZB33" s="545"/>
      <c r="LZC33" s="545"/>
      <c r="LZD33" s="545"/>
      <c r="LZE33" s="545"/>
      <c r="LZF33" s="545"/>
      <c r="LZG33" s="545"/>
      <c r="LZH33" s="545"/>
      <c r="LZI33" s="545"/>
      <c r="LZJ33" s="545"/>
      <c r="LZK33" s="545"/>
      <c r="LZL33" s="545"/>
      <c r="LZM33" s="545"/>
      <c r="LZN33" s="545"/>
      <c r="LZO33" s="545"/>
      <c r="LZP33" s="545"/>
      <c r="LZQ33" s="545"/>
      <c r="LZR33" s="545"/>
      <c r="LZS33" s="545"/>
      <c r="LZT33" s="545"/>
      <c r="LZU33" s="545"/>
      <c r="LZV33" s="545"/>
      <c r="LZW33" s="545"/>
      <c r="LZX33" s="545"/>
      <c r="LZY33" s="545"/>
      <c r="LZZ33" s="545"/>
      <c r="MAA33" s="545"/>
      <c r="MAB33" s="545"/>
      <c r="MAC33" s="545"/>
      <c r="MAD33" s="545"/>
      <c r="MAE33" s="545"/>
      <c r="MAF33" s="545"/>
      <c r="MAG33" s="545"/>
      <c r="MAH33" s="545"/>
      <c r="MAI33" s="545"/>
      <c r="MAJ33" s="545"/>
      <c r="MAK33" s="545"/>
      <c r="MAL33" s="545"/>
      <c r="MAM33" s="545"/>
      <c r="MAN33" s="545"/>
      <c r="MAO33" s="545"/>
      <c r="MAP33" s="545"/>
      <c r="MAQ33" s="545"/>
      <c r="MAR33" s="545"/>
      <c r="MAS33" s="545"/>
      <c r="MAT33" s="545"/>
      <c r="MAU33" s="545"/>
      <c r="MAV33" s="545"/>
      <c r="MAW33" s="545"/>
      <c r="MAX33" s="545"/>
      <c r="MAY33" s="545"/>
      <c r="MAZ33" s="545"/>
      <c r="MBA33" s="545"/>
      <c r="MBB33" s="545"/>
      <c r="MBC33" s="545"/>
      <c r="MBD33" s="545"/>
      <c r="MBE33" s="545"/>
      <c r="MBF33" s="545"/>
      <c r="MBG33" s="545"/>
      <c r="MBH33" s="545"/>
      <c r="MBI33" s="545"/>
      <c r="MBJ33" s="545"/>
      <c r="MBK33" s="545"/>
      <c r="MBL33" s="545"/>
      <c r="MBM33" s="545"/>
      <c r="MBN33" s="545"/>
      <c r="MBO33" s="545"/>
      <c r="MBP33" s="545"/>
      <c r="MBQ33" s="545"/>
      <c r="MBR33" s="545"/>
      <c r="MBS33" s="545"/>
      <c r="MBT33" s="545"/>
      <c r="MBU33" s="545"/>
      <c r="MBV33" s="545"/>
      <c r="MBW33" s="545"/>
      <c r="MBX33" s="545"/>
      <c r="MBY33" s="545"/>
      <c r="MBZ33" s="545"/>
      <c r="MCA33" s="545"/>
      <c r="MCB33" s="545"/>
      <c r="MCC33" s="545"/>
      <c r="MCD33" s="545"/>
      <c r="MCE33" s="545"/>
      <c r="MCF33" s="545"/>
      <c r="MCG33" s="545"/>
      <c r="MCH33" s="545"/>
      <c r="MCI33" s="545"/>
      <c r="MCJ33" s="545"/>
      <c r="MCK33" s="545"/>
      <c r="MCL33" s="545"/>
      <c r="MCM33" s="545"/>
      <c r="MCN33" s="545"/>
      <c r="MCO33" s="545"/>
      <c r="MCP33" s="545"/>
      <c r="MCQ33" s="545"/>
      <c r="MCR33" s="545"/>
      <c r="MCS33" s="545"/>
      <c r="MCT33" s="545"/>
      <c r="MCU33" s="545"/>
      <c r="MCV33" s="545"/>
      <c r="MCW33" s="545"/>
      <c r="MCX33" s="545"/>
      <c r="MCY33" s="545"/>
      <c r="MCZ33" s="545"/>
      <c r="MDA33" s="545"/>
      <c r="MDB33" s="545"/>
      <c r="MDC33" s="545"/>
      <c r="MDD33" s="545"/>
      <c r="MDE33" s="545"/>
      <c r="MDF33" s="545"/>
      <c r="MDG33" s="545"/>
      <c r="MDH33" s="545"/>
      <c r="MDI33" s="545"/>
      <c r="MDJ33" s="545"/>
      <c r="MDK33" s="545"/>
      <c r="MDL33" s="545"/>
      <c r="MDM33" s="545"/>
      <c r="MDN33" s="545"/>
      <c r="MDO33" s="545"/>
      <c r="MDP33" s="545"/>
      <c r="MDQ33" s="545"/>
      <c r="MDR33" s="545"/>
      <c r="MDS33" s="545"/>
      <c r="MDT33" s="545"/>
      <c r="MDU33" s="545"/>
      <c r="MDV33" s="545"/>
      <c r="MDW33" s="545"/>
      <c r="MDX33" s="545"/>
      <c r="MDY33" s="545"/>
      <c r="MDZ33" s="545"/>
      <c r="MEA33" s="545"/>
      <c r="MEB33" s="545"/>
      <c r="MEC33" s="545"/>
      <c r="MED33" s="545"/>
      <c r="MEE33" s="545"/>
      <c r="MEF33" s="545"/>
      <c r="MEG33" s="545"/>
      <c r="MEH33" s="545"/>
      <c r="MEI33" s="545"/>
      <c r="MEJ33" s="545"/>
      <c r="MEK33" s="545"/>
      <c r="MEL33" s="545"/>
      <c r="MEM33" s="545"/>
      <c r="MEN33" s="545"/>
      <c r="MEO33" s="545"/>
      <c r="MEP33" s="545"/>
      <c r="MEQ33" s="545"/>
      <c r="MER33" s="545"/>
      <c r="MES33" s="545"/>
      <c r="MET33" s="545"/>
      <c r="MEU33" s="545"/>
      <c r="MEV33" s="545"/>
      <c r="MEW33" s="545"/>
      <c r="MEX33" s="545"/>
      <c r="MEY33" s="545"/>
      <c r="MEZ33" s="545"/>
      <c r="MFA33" s="545"/>
      <c r="MFB33" s="545"/>
      <c r="MFC33" s="545"/>
      <c r="MFD33" s="545"/>
      <c r="MFE33" s="545"/>
      <c r="MFF33" s="545"/>
      <c r="MFG33" s="545"/>
      <c r="MFH33" s="545"/>
      <c r="MFI33" s="545"/>
      <c r="MFJ33" s="545"/>
      <c r="MFK33" s="545"/>
      <c r="MFL33" s="545"/>
      <c r="MFM33" s="545"/>
      <c r="MFN33" s="545"/>
      <c r="MFO33" s="545"/>
      <c r="MFP33" s="545"/>
      <c r="MFQ33" s="545"/>
      <c r="MFR33" s="545"/>
      <c r="MFS33" s="545"/>
      <c r="MFT33" s="545"/>
      <c r="MFU33" s="545"/>
      <c r="MFV33" s="545"/>
      <c r="MFW33" s="545"/>
      <c r="MFX33" s="545"/>
      <c r="MFY33" s="545"/>
      <c r="MFZ33" s="545"/>
      <c r="MGA33" s="545"/>
      <c r="MGB33" s="545"/>
      <c r="MGC33" s="545"/>
      <c r="MGD33" s="545"/>
      <c r="MGE33" s="545"/>
      <c r="MGF33" s="545"/>
      <c r="MGG33" s="545"/>
      <c r="MGH33" s="545"/>
      <c r="MGI33" s="545"/>
      <c r="MGJ33" s="545"/>
      <c r="MGK33" s="545"/>
      <c r="MGL33" s="545"/>
      <c r="MGM33" s="545"/>
      <c r="MGN33" s="545"/>
      <c r="MGO33" s="545"/>
      <c r="MGP33" s="545"/>
      <c r="MGQ33" s="545"/>
      <c r="MGR33" s="545"/>
      <c r="MGS33" s="545"/>
      <c r="MGT33" s="545"/>
      <c r="MGU33" s="545"/>
      <c r="MGV33" s="545"/>
      <c r="MGW33" s="545"/>
      <c r="MGX33" s="545"/>
      <c r="MGY33" s="545"/>
      <c r="MGZ33" s="545"/>
      <c r="MHA33" s="545"/>
      <c r="MHB33" s="545"/>
      <c r="MHC33" s="545"/>
      <c r="MHD33" s="545"/>
      <c r="MHE33" s="545"/>
      <c r="MHF33" s="545"/>
      <c r="MHG33" s="545"/>
      <c r="MHH33" s="545"/>
      <c r="MHI33" s="545"/>
      <c r="MHJ33" s="545"/>
      <c r="MHK33" s="545"/>
      <c r="MHL33" s="545"/>
      <c r="MHM33" s="545"/>
      <c r="MHN33" s="545"/>
      <c r="MHO33" s="545"/>
      <c r="MHP33" s="545"/>
      <c r="MHQ33" s="545"/>
      <c r="MHR33" s="545"/>
      <c r="MHS33" s="545"/>
      <c r="MHT33" s="545"/>
      <c r="MHU33" s="545"/>
      <c r="MHV33" s="545"/>
      <c r="MHW33" s="545"/>
      <c r="MHX33" s="545"/>
      <c r="MHY33" s="545"/>
      <c r="MHZ33" s="545"/>
      <c r="MIA33" s="545"/>
      <c r="MIB33" s="545"/>
      <c r="MIC33" s="545"/>
      <c r="MID33" s="545"/>
      <c r="MIE33" s="545"/>
      <c r="MIF33" s="545"/>
      <c r="MIG33" s="545"/>
      <c r="MIH33" s="545"/>
      <c r="MII33" s="545"/>
      <c r="MIJ33" s="545"/>
      <c r="MIK33" s="545"/>
      <c r="MIL33" s="545"/>
      <c r="MIM33" s="545"/>
      <c r="MIN33" s="545"/>
      <c r="MIO33" s="545"/>
      <c r="MIP33" s="545"/>
      <c r="MIQ33" s="545"/>
      <c r="MIR33" s="545"/>
      <c r="MIS33" s="545"/>
      <c r="MIT33" s="545"/>
      <c r="MIU33" s="545"/>
      <c r="MIV33" s="545"/>
      <c r="MIW33" s="545"/>
      <c r="MIX33" s="545"/>
      <c r="MIY33" s="545"/>
      <c r="MIZ33" s="545"/>
      <c r="MJA33" s="545"/>
      <c r="MJB33" s="545"/>
      <c r="MJC33" s="545"/>
      <c r="MJD33" s="545"/>
      <c r="MJE33" s="545"/>
      <c r="MJF33" s="545"/>
      <c r="MJG33" s="545"/>
      <c r="MJH33" s="545"/>
      <c r="MJI33" s="545"/>
      <c r="MJJ33" s="545"/>
      <c r="MJK33" s="545"/>
      <c r="MJL33" s="545"/>
      <c r="MJM33" s="545"/>
      <c r="MJN33" s="545"/>
      <c r="MJO33" s="545"/>
      <c r="MJP33" s="545"/>
      <c r="MJQ33" s="545"/>
      <c r="MJR33" s="545"/>
      <c r="MJS33" s="545"/>
      <c r="MJT33" s="545"/>
      <c r="MJU33" s="545"/>
      <c r="MJV33" s="545"/>
      <c r="MJW33" s="545"/>
      <c r="MJX33" s="545"/>
      <c r="MJY33" s="545"/>
      <c r="MJZ33" s="545"/>
      <c r="MKA33" s="545"/>
      <c r="MKB33" s="545"/>
      <c r="MKC33" s="545"/>
      <c r="MKD33" s="545"/>
      <c r="MKE33" s="545"/>
      <c r="MKF33" s="545"/>
      <c r="MKG33" s="545"/>
      <c r="MKH33" s="545"/>
      <c r="MKI33" s="545"/>
      <c r="MKJ33" s="545"/>
      <c r="MKK33" s="545"/>
      <c r="MKL33" s="545"/>
      <c r="MKM33" s="545"/>
      <c r="MKN33" s="545"/>
      <c r="MKO33" s="545"/>
      <c r="MKP33" s="545"/>
      <c r="MKQ33" s="545"/>
      <c r="MKR33" s="545"/>
      <c r="MKS33" s="545"/>
      <c r="MKT33" s="545"/>
      <c r="MKU33" s="545"/>
      <c r="MKV33" s="545"/>
      <c r="MKW33" s="545"/>
      <c r="MKX33" s="545"/>
      <c r="MKY33" s="545"/>
      <c r="MKZ33" s="545"/>
      <c r="MLA33" s="545"/>
      <c r="MLB33" s="545"/>
      <c r="MLC33" s="545"/>
      <c r="MLD33" s="545"/>
      <c r="MLE33" s="545"/>
      <c r="MLF33" s="545"/>
      <c r="MLG33" s="545"/>
      <c r="MLH33" s="545"/>
      <c r="MLI33" s="545"/>
      <c r="MLJ33" s="545"/>
      <c r="MLK33" s="545"/>
      <c r="MLL33" s="545"/>
      <c r="MLM33" s="545"/>
      <c r="MLN33" s="545"/>
      <c r="MLO33" s="545"/>
      <c r="MLP33" s="545"/>
      <c r="MLQ33" s="545"/>
      <c r="MLR33" s="545"/>
      <c r="MLS33" s="545"/>
      <c r="MLT33" s="545"/>
      <c r="MLU33" s="545"/>
      <c r="MLV33" s="545"/>
      <c r="MLW33" s="545"/>
      <c r="MLX33" s="545"/>
      <c r="MLY33" s="545"/>
      <c r="MLZ33" s="545"/>
      <c r="MMA33" s="545"/>
      <c r="MMB33" s="545"/>
      <c r="MMC33" s="545"/>
      <c r="MMD33" s="545"/>
      <c r="MME33" s="545"/>
      <c r="MMF33" s="545"/>
      <c r="MMG33" s="545"/>
      <c r="MMH33" s="545"/>
      <c r="MMI33" s="545"/>
      <c r="MMJ33" s="545"/>
      <c r="MMK33" s="545"/>
      <c r="MML33" s="545"/>
      <c r="MMM33" s="545"/>
      <c r="MMN33" s="545"/>
      <c r="MMO33" s="545"/>
      <c r="MMP33" s="545"/>
      <c r="MMQ33" s="545"/>
      <c r="MMR33" s="545"/>
      <c r="MMS33" s="545"/>
      <c r="MMT33" s="545"/>
      <c r="MMU33" s="545"/>
      <c r="MMV33" s="545"/>
      <c r="MMW33" s="545"/>
      <c r="MMX33" s="545"/>
      <c r="MMY33" s="545"/>
      <c r="MMZ33" s="545"/>
      <c r="MNA33" s="545"/>
      <c r="MNB33" s="545"/>
      <c r="MNC33" s="545"/>
      <c r="MND33" s="545"/>
      <c r="MNE33" s="545"/>
      <c r="MNF33" s="545"/>
      <c r="MNG33" s="545"/>
      <c r="MNH33" s="545"/>
      <c r="MNI33" s="545"/>
      <c r="MNJ33" s="545"/>
      <c r="MNK33" s="545"/>
      <c r="MNL33" s="545"/>
      <c r="MNM33" s="545"/>
      <c r="MNN33" s="545"/>
      <c r="MNO33" s="545"/>
      <c r="MNP33" s="545"/>
      <c r="MNQ33" s="545"/>
      <c r="MNR33" s="545"/>
      <c r="MNS33" s="545"/>
      <c r="MNT33" s="545"/>
      <c r="MNU33" s="545"/>
      <c r="MNV33" s="545"/>
      <c r="MNW33" s="545"/>
      <c r="MNX33" s="545"/>
      <c r="MNY33" s="545"/>
      <c r="MNZ33" s="545"/>
      <c r="MOA33" s="545"/>
      <c r="MOB33" s="545"/>
      <c r="MOC33" s="545"/>
      <c r="MOD33" s="545"/>
      <c r="MOE33" s="545"/>
      <c r="MOF33" s="545"/>
      <c r="MOG33" s="545"/>
      <c r="MOH33" s="545"/>
      <c r="MOI33" s="545"/>
      <c r="MOJ33" s="545"/>
      <c r="MOK33" s="545"/>
      <c r="MOL33" s="545"/>
      <c r="MOM33" s="545"/>
      <c r="MON33" s="545"/>
      <c r="MOO33" s="545"/>
      <c r="MOP33" s="545"/>
      <c r="MOQ33" s="545"/>
      <c r="MOR33" s="545"/>
      <c r="MOS33" s="545"/>
      <c r="MOT33" s="545"/>
      <c r="MOU33" s="545"/>
      <c r="MOV33" s="545"/>
      <c r="MOW33" s="545"/>
      <c r="MOX33" s="545"/>
      <c r="MOY33" s="545"/>
      <c r="MOZ33" s="545"/>
      <c r="MPA33" s="545"/>
      <c r="MPB33" s="545"/>
      <c r="MPC33" s="545"/>
      <c r="MPD33" s="545"/>
      <c r="MPE33" s="545"/>
      <c r="MPF33" s="545"/>
      <c r="MPG33" s="545"/>
      <c r="MPH33" s="545"/>
      <c r="MPI33" s="545"/>
      <c r="MPJ33" s="545"/>
      <c r="MPK33" s="545"/>
      <c r="MPL33" s="545"/>
      <c r="MPM33" s="545"/>
      <c r="MPN33" s="545"/>
      <c r="MPO33" s="545"/>
      <c r="MPP33" s="545"/>
      <c r="MPQ33" s="545"/>
      <c r="MPR33" s="545"/>
      <c r="MPS33" s="545"/>
      <c r="MPT33" s="545"/>
      <c r="MPU33" s="545"/>
      <c r="MPV33" s="545"/>
      <c r="MPW33" s="545"/>
      <c r="MPX33" s="545"/>
      <c r="MPY33" s="545"/>
      <c r="MPZ33" s="545"/>
      <c r="MQA33" s="545"/>
      <c r="MQB33" s="545"/>
      <c r="MQC33" s="545"/>
      <c r="MQD33" s="545"/>
      <c r="MQE33" s="545"/>
      <c r="MQF33" s="545"/>
      <c r="MQG33" s="545"/>
      <c r="MQH33" s="545"/>
      <c r="MQI33" s="545"/>
      <c r="MQJ33" s="545"/>
      <c r="MQK33" s="545"/>
      <c r="MQL33" s="545"/>
      <c r="MQM33" s="545"/>
      <c r="MQN33" s="545"/>
      <c r="MQO33" s="545"/>
      <c r="MQP33" s="545"/>
      <c r="MQQ33" s="545"/>
      <c r="MQR33" s="545"/>
      <c r="MQS33" s="545"/>
      <c r="MQT33" s="545"/>
      <c r="MQU33" s="545"/>
      <c r="MQV33" s="545"/>
      <c r="MQW33" s="545"/>
      <c r="MQX33" s="545"/>
      <c r="MQY33" s="545"/>
      <c r="MQZ33" s="545"/>
      <c r="MRA33" s="545"/>
      <c r="MRB33" s="545"/>
      <c r="MRC33" s="545"/>
      <c r="MRD33" s="545"/>
      <c r="MRE33" s="545"/>
      <c r="MRF33" s="545"/>
      <c r="MRG33" s="545"/>
      <c r="MRH33" s="545"/>
      <c r="MRI33" s="545"/>
      <c r="MRJ33" s="545"/>
      <c r="MRK33" s="545"/>
      <c r="MRL33" s="545"/>
      <c r="MRM33" s="545"/>
      <c r="MRN33" s="545"/>
      <c r="MRO33" s="545"/>
      <c r="MRP33" s="545"/>
      <c r="MRQ33" s="545"/>
      <c r="MRR33" s="545"/>
      <c r="MRS33" s="545"/>
      <c r="MRT33" s="545"/>
      <c r="MRU33" s="545"/>
      <c r="MRV33" s="545"/>
      <c r="MRW33" s="545"/>
      <c r="MRX33" s="545"/>
      <c r="MRY33" s="545"/>
      <c r="MRZ33" s="545"/>
      <c r="MSA33" s="545"/>
      <c r="MSB33" s="545"/>
      <c r="MSC33" s="545"/>
      <c r="MSD33" s="545"/>
      <c r="MSE33" s="545"/>
      <c r="MSF33" s="545"/>
      <c r="MSG33" s="545"/>
      <c r="MSH33" s="545"/>
      <c r="MSI33" s="545"/>
      <c r="MSJ33" s="545"/>
      <c r="MSK33" s="545"/>
      <c r="MSL33" s="545"/>
      <c r="MSM33" s="545"/>
      <c r="MSN33" s="545"/>
      <c r="MSO33" s="545"/>
      <c r="MSP33" s="545"/>
      <c r="MSQ33" s="545"/>
      <c r="MSR33" s="545"/>
      <c r="MSS33" s="545"/>
      <c r="MST33" s="545"/>
      <c r="MSU33" s="545"/>
      <c r="MSV33" s="545"/>
      <c r="MSW33" s="545"/>
      <c r="MSX33" s="545"/>
      <c r="MSY33" s="545"/>
      <c r="MSZ33" s="545"/>
      <c r="MTA33" s="545"/>
      <c r="MTB33" s="545"/>
      <c r="MTC33" s="545"/>
      <c r="MTD33" s="545"/>
      <c r="MTE33" s="545"/>
      <c r="MTF33" s="545"/>
      <c r="MTG33" s="545"/>
      <c r="MTH33" s="545"/>
      <c r="MTI33" s="545"/>
      <c r="MTJ33" s="545"/>
      <c r="MTK33" s="545"/>
      <c r="MTL33" s="545"/>
      <c r="MTM33" s="545"/>
      <c r="MTN33" s="545"/>
      <c r="MTO33" s="545"/>
      <c r="MTP33" s="545"/>
      <c r="MTQ33" s="545"/>
      <c r="MTR33" s="545"/>
      <c r="MTS33" s="545"/>
      <c r="MTT33" s="545"/>
      <c r="MTU33" s="545"/>
      <c r="MTV33" s="545"/>
      <c r="MTW33" s="545"/>
      <c r="MTX33" s="545"/>
      <c r="MTY33" s="545"/>
      <c r="MTZ33" s="545"/>
      <c r="MUA33" s="545"/>
      <c r="MUB33" s="545"/>
      <c r="MUC33" s="545"/>
      <c r="MUD33" s="545"/>
      <c r="MUE33" s="545"/>
      <c r="MUF33" s="545"/>
      <c r="MUG33" s="545"/>
      <c r="MUH33" s="545"/>
      <c r="MUI33" s="545"/>
      <c r="MUJ33" s="545"/>
      <c r="MUK33" s="545"/>
      <c r="MUL33" s="545"/>
      <c r="MUM33" s="545"/>
      <c r="MUN33" s="545"/>
      <c r="MUO33" s="545"/>
      <c r="MUP33" s="545"/>
      <c r="MUQ33" s="545"/>
      <c r="MUR33" s="545"/>
      <c r="MUS33" s="545"/>
      <c r="MUT33" s="545"/>
      <c r="MUU33" s="545"/>
      <c r="MUV33" s="545"/>
      <c r="MUW33" s="545"/>
      <c r="MUX33" s="545"/>
      <c r="MUY33" s="545"/>
      <c r="MUZ33" s="545"/>
      <c r="MVA33" s="545"/>
      <c r="MVB33" s="545"/>
      <c r="MVC33" s="545"/>
      <c r="MVD33" s="545"/>
      <c r="MVE33" s="545"/>
      <c r="MVF33" s="545"/>
      <c r="MVG33" s="545"/>
      <c r="MVH33" s="545"/>
      <c r="MVI33" s="545"/>
      <c r="MVJ33" s="545"/>
      <c r="MVK33" s="545"/>
      <c r="MVL33" s="545"/>
      <c r="MVM33" s="545"/>
      <c r="MVN33" s="545"/>
      <c r="MVO33" s="545"/>
      <c r="MVP33" s="545"/>
      <c r="MVQ33" s="545"/>
      <c r="MVR33" s="545"/>
      <c r="MVS33" s="545"/>
      <c r="MVT33" s="545"/>
      <c r="MVU33" s="545"/>
      <c r="MVV33" s="545"/>
      <c r="MVW33" s="545"/>
      <c r="MVX33" s="545"/>
      <c r="MVY33" s="545"/>
      <c r="MVZ33" s="545"/>
      <c r="MWA33" s="545"/>
      <c r="MWB33" s="545"/>
      <c r="MWC33" s="545"/>
      <c r="MWD33" s="545"/>
      <c r="MWE33" s="545"/>
      <c r="MWF33" s="545"/>
      <c r="MWG33" s="545"/>
      <c r="MWH33" s="545"/>
      <c r="MWI33" s="545"/>
      <c r="MWJ33" s="545"/>
      <c r="MWK33" s="545"/>
      <c r="MWL33" s="545"/>
      <c r="MWM33" s="545"/>
      <c r="MWN33" s="545"/>
      <c r="MWO33" s="545"/>
      <c r="MWP33" s="545"/>
      <c r="MWQ33" s="545"/>
      <c r="MWR33" s="545"/>
      <c r="MWS33" s="545"/>
      <c r="MWT33" s="545"/>
      <c r="MWU33" s="545"/>
      <c r="MWV33" s="545"/>
      <c r="MWW33" s="545"/>
      <c r="MWX33" s="545"/>
      <c r="MWY33" s="545"/>
      <c r="MWZ33" s="545"/>
      <c r="MXA33" s="545"/>
      <c r="MXB33" s="545"/>
      <c r="MXC33" s="545"/>
      <c r="MXD33" s="545"/>
      <c r="MXE33" s="545"/>
      <c r="MXF33" s="545"/>
      <c r="MXG33" s="545"/>
      <c r="MXH33" s="545"/>
      <c r="MXI33" s="545"/>
      <c r="MXJ33" s="545"/>
      <c r="MXK33" s="545"/>
      <c r="MXL33" s="545"/>
      <c r="MXM33" s="545"/>
      <c r="MXN33" s="545"/>
      <c r="MXO33" s="545"/>
      <c r="MXP33" s="545"/>
      <c r="MXQ33" s="545"/>
      <c r="MXR33" s="545"/>
      <c r="MXS33" s="545"/>
      <c r="MXT33" s="545"/>
      <c r="MXU33" s="545"/>
      <c r="MXV33" s="545"/>
      <c r="MXW33" s="545"/>
      <c r="MXX33" s="545"/>
      <c r="MXY33" s="545"/>
      <c r="MXZ33" s="545"/>
      <c r="MYA33" s="545"/>
      <c r="MYB33" s="545"/>
      <c r="MYC33" s="545"/>
      <c r="MYD33" s="545"/>
      <c r="MYE33" s="545"/>
      <c r="MYF33" s="545"/>
      <c r="MYG33" s="545"/>
      <c r="MYH33" s="545"/>
      <c r="MYI33" s="545"/>
      <c r="MYJ33" s="545"/>
      <c r="MYK33" s="545"/>
      <c r="MYL33" s="545"/>
      <c r="MYM33" s="545"/>
      <c r="MYN33" s="545"/>
      <c r="MYO33" s="545"/>
      <c r="MYP33" s="545"/>
      <c r="MYQ33" s="545"/>
      <c r="MYR33" s="545"/>
      <c r="MYS33" s="545"/>
      <c r="MYT33" s="545"/>
      <c r="MYU33" s="545"/>
      <c r="MYV33" s="545"/>
      <c r="MYW33" s="545"/>
      <c r="MYX33" s="545"/>
      <c r="MYY33" s="545"/>
      <c r="MYZ33" s="545"/>
      <c r="MZA33" s="545"/>
      <c r="MZB33" s="545"/>
      <c r="MZC33" s="545"/>
      <c r="MZD33" s="545"/>
      <c r="MZE33" s="545"/>
      <c r="MZF33" s="545"/>
      <c r="MZG33" s="545"/>
      <c r="MZH33" s="545"/>
      <c r="MZI33" s="545"/>
      <c r="MZJ33" s="545"/>
      <c r="MZK33" s="545"/>
      <c r="MZL33" s="545"/>
      <c r="MZM33" s="545"/>
      <c r="MZN33" s="545"/>
      <c r="MZO33" s="545"/>
      <c r="MZP33" s="545"/>
      <c r="MZQ33" s="545"/>
      <c r="MZR33" s="545"/>
      <c r="MZS33" s="545"/>
      <c r="MZT33" s="545"/>
      <c r="MZU33" s="545"/>
      <c r="MZV33" s="545"/>
      <c r="MZW33" s="545"/>
      <c r="MZX33" s="545"/>
      <c r="MZY33" s="545"/>
      <c r="MZZ33" s="545"/>
      <c r="NAA33" s="545"/>
      <c r="NAB33" s="545"/>
      <c r="NAC33" s="545"/>
      <c r="NAD33" s="545"/>
      <c r="NAE33" s="545"/>
      <c r="NAF33" s="545"/>
      <c r="NAG33" s="545"/>
      <c r="NAH33" s="545"/>
      <c r="NAI33" s="545"/>
      <c r="NAJ33" s="545"/>
      <c r="NAK33" s="545"/>
      <c r="NAL33" s="545"/>
      <c r="NAM33" s="545"/>
      <c r="NAN33" s="545"/>
      <c r="NAO33" s="545"/>
      <c r="NAP33" s="545"/>
      <c r="NAQ33" s="545"/>
      <c r="NAR33" s="545"/>
      <c r="NAS33" s="545"/>
      <c r="NAT33" s="545"/>
      <c r="NAU33" s="545"/>
      <c r="NAV33" s="545"/>
      <c r="NAW33" s="545"/>
      <c r="NAX33" s="545"/>
      <c r="NAY33" s="545"/>
      <c r="NAZ33" s="545"/>
      <c r="NBA33" s="545"/>
      <c r="NBB33" s="545"/>
      <c r="NBC33" s="545"/>
      <c r="NBD33" s="545"/>
      <c r="NBE33" s="545"/>
      <c r="NBF33" s="545"/>
      <c r="NBG33" s="545"/>
      <c r="NBH33" s="545"/>
      <c r="NBI33" s="545"/>
      <c r="NBJ33" s="545"/>
      <c r="NBK33" s="545"/>
      <c r="NBL33" s="545"/>
      <c r="NBM33" s="545"/>
      <c r="NBN33" s="545"/>
      <c r="NBO33" s="545"/>
      <c r="NBP33" s="545"/>
      <c r="NBQ33" s="545"/>
      <c r="NBR33" s="545"/>
      <c r="NBS33" s="545"/>
      <c r="NBT33" s="545"/>
      <c r="NBU33" s="545"/>
      <c r="NBV33" s="545"/>
      <c r="NBW33" s="545"/>
      <c r="NBX33" s="545"/>
      <c r="NBY33" s="545"/>
      <c r="NBZ33" s="545"/>
      <c r="NCA33" s="545"/>
      <c r="NCB33" s="545"/>
      <c r="NCC33" s="545"/>
      <c r="NCD33" s="545"/>
      <c r="NCE33" s="545"/>
      <c r="NCF33" s="545"/>
      <c r="NCG33" s="545"/>
      <c r="NCH33" s="545"/>
      <c r="NCI33" s="545"/>
      <c r="NCJ33" s="545"/>
      <c r="NCK33" s="545"/>
      <c r="NCL33" s="545"/>
      <c r="NCM33" s="545"/>
      <c r="NCN33" s="545"/>
      <c r="NCO33" s="545"/>
      <c r="NCP33" s="545"/>
      <c r="NCQ33" s="545"/>
      <c r="NCR33" s="545"/>
      <c r="NCS33" s="545"/>
      <c r="NCT33" s="545"/>
      <c r="NCU33" s="545"/>
      <c r="NCV33" s="545"/>
      <c r="NCW33" s="545"/>
      <c r="NCX33" s="545"/>
      <c r="NCY33" s="545"/>
      <c r="NCZ33" s="545"/>
      <c r="NDA33" s="545"/>
      <c r="NDB33" s="545"/>
      <c r="NDC33" s="545"/>
      <c r="NDD33" s="545"/>
      <c r="NDE33" s="545"/>
      <c r="NDF33" s="545"/>
      <c r="NDG33" s="545"/>
      <c r="NDH33" s="545"/>
      <c r="NDI33" s="545"/>
      <c r="NDJ33" s="545"/>
      <c r="NDK33" s="545"/>
      <c r="NDL33" s="545"/>
      <c r="NDM33" s="545"/>
      <c r="NDN33" s="545"/>
      <c r="NDO33" s="545"/>
      <c r="NDP33" s="545"/>
      <c r="NDQ33" s="545"/>
      <c r="NDR33" s="545"/>
      <c r="NDS33" s="545"/>
      <c r="NDT33" s="545"/>
      <c r="NDU33" s="545"/>
      <c r="NDV33" s="545"/>
      <c r="NDW33" s="545"/>
      <c r="NDX33" s="545"/>
      <c r="NDY33" s="545"/>
      <c r="NDZ33" s="545"/>
      <c r="NEA33" s="545"/>
      <c r="NEB33" s="545"/>
      <c r="NEC33" s="545"/>
      <c r="NED33" s="545"/>
      <c r="NEE33" s="545"/>
      <c r="NEF33" s="545"/>
      <c r="NEG33" s="545"/>
      <c r="NEH33" s="545"/>
      <c r="NEI33" s="545"/>
      <c r="NEJ33" s="545"/>
      <c r="NEK33" s="545"/>
      <c r="NEL33" s="545"/>
      <c r="NEM33" s="545"/>
      <c r="NEN33" s="545"/>
      <c r="NEO33" s="545"/>
      <c r="NEP33" s="545"/>
      <c r="NEQ33" s="545"/>
      <c r="NER33" s="545"/>
      <c r="NES33" s="545"/>
      <c r="NET33" s="545"/>
      <c r="NEU33" s="545"/>
      <c r="NEV33" s="545"/>
      <c r="NEW33" s="545"/>
      <c r="NEX33" s="545"/>
      <c r="NEY33" s="545"/>
      <c r="NEZ33" s="545"/>
      <c r="NFA33" s="545"/>
      <c r="NFB33" s="545"/>
      <c r="NFC33" s="545"/>
      <c r="NFD33" s="545"/>
      <c r="NFE33" s="545"/>
      <c r="NFF33" s="545"/>
      <c r="NFG33" s="545"/>
      <c r="NFH33" s="545"/>
      <c r="NFI33" s="545"/>
      <c r="NFJ33" s="545"/>
      <c r="NFK33" s="545"/>
      <c r="NFL33" s="545"/>
      <c r="NFM33" s="545"/>
      <c r="NFN33" s="545"/>
      <c r="NFO33" s="545"/>
      <c r="NFP33" s="545"/>
      <c r="NFQ33" s="545"/>
      <c r="NFR33" s="545"/>
      <c r="NFS33" s="545"/>
      <c r="NFT33" s="545"/>
      <c r="NFU33" s="545"/>
      <c r="NFV33" s="545"/>
      <c r="NFW33" s="545"/>
      <c r="NFX33" s="545"/>
      <c r="NFY33" s="545"/>
      <c r="NFZ33" s="545"/>
      <c r="NGA33" s="545"/>
      <c r="NGB33" s="545"/>
      <c r="NGC33" s="545"/>
      <c r="NGD33" s="545"/>
      <c r="NGE33" s="545"/>
      <c r="NGF33" s="545"/>
      <c r="NGG33" s="545"/>
      <c r="NGH33" s="545"/>
      <c r="NGI33" s="545"/>
      <c r="NGJ33" s="545"/>
      <c r="NGK33" s="545"/>
      <c r="NGL33" s="545"/>
      <c r="NGM33" s="545"/>
      <c r="NGN33" s="545"/>
      <c r="NGO33" s="545"/>
      <c r="NGP33" s="545"/>
      <c r="NGQ33" s="545"/>
      <c r="NGR33" s="545"/>
      <c r="NGS33" s="545"/>
      <c r="NGT33" s="545"/>
      <c r="NGU33" s="545"/>
      <c r="NGV33" s="545"/>
      <c r="NGW33" s="545"/>
      <c r="NGX33" s="545"/>
      <c r="NGY33" s="545"/>
      <c r="NGZ33" s="545"/>
      <c r="NHA33" s="545"/>
      <c r="NHB33" s="545"/>
      <c r="NHC33" s="545"/>
      <c r="NHD33" s="545"/>
      <c r="NHE33" s="545"/>
      <c r="NHF33" s="545"/>
      <c r="NHG33" s="545"/>
      <c r="NHH33" s="545"/>
      <c r="NHI33" s="545"/>
      <c r="NHJ33" s="545"/>
      <c r="NHK33" s="545"/>
      <c r="NHL33" s="545"/>
      <c r="NHM33" s="545"/>
      <c r="NHN33" s="545"/>
      <c r="NHO33" s="545"/>
      <c r="NHP33" s="545"/>
      <c r="NHQ33" s="545"/>
      <c r="NHR33" s="545"/>
      <c r="NHS33" s="545"/>
      <c r="NHT33" s="545"/>
      <c r="NHU33" s="545"/>
      <c r="NHV33" s="545"/>
      <c r="NHW33" s="545"/>
      <c r="NHX33" s="545"/>
      <c r="NHY33" s="545"/>
      <c r="NHZ33" s="545"/>
      <c r="NIA33" s="545"/>
      <c r="NIB33" s="545"/>
      <c r="NIC33" s="545"/>
      <c r="NID33" s="545"/>
      <c r="NIE33" s="545"/>
      <c r="NIF33" s="545"/>
      <c r="NIG33" s="545"/>
      <c r="NIH33" s="545"/>
      <c r="NII33" s="545"/>
      <c r="NIJ33" s="545"/>
      <c r="NIK33" s="545"/>
      <c r="NIL33" s="545"/>
      <c r="NIM33" s="545"/>
      <c r="NIN33" s="545"/>
      <c r="NIO33" s="545"/>
      <c r="NIP33" s="545"/>
      <c r="NIQ33" s="545"/>
      <c r="NIR33" s="545"/>
      <c r="NIS33" s="545"/>
      <c r="NIT33" s="545"/>
      <c r="NIU33" s="545"/>
      <c r="NIV33" s="545"/>
      <c r="NIW33" s="545"/>
      <c r="NIX33" s="545"/>
      <c r="NIY33" s="545"/>
      <c r="NIZ33" s="545"/>
      <c r="NJA33" s="545"/>
      <c r="NJB33" s="545"/>
      <c r="NJC33" s="545"/>
      <c r="NJD33" s="545"/>
      <c r="NJE33" s="545"/>
      <c r="NJF33" s="545"/>
      <c r="NJG33" s="545"/>
      <c r="NJH33" s="545"/>
      <c r="NJI33" s="545"/>
      <c r="NJJ33" s="545"/>
      <c r="NJK33" s="545"/>
      <c r="NJL33" s="545"/>
      <c r="NJM33" s="545"/>
      <c r="NJN33" s="545"/>
      <c r="NJO33" s="545"/>
      <c r="NJP33" s="545"/>
      <c r="NJQ33" s="545"/>
      <c r="NJR33" s="545"/>
      <c r="NJS33" s="545"/>
      <c r="NJT33" s="545"/>
      <c r="NJU33" s="545"/>
      <c r="NJV33" s="545"/>
      <c r="NJW33" s="545"/>
      <c r="NJX33" s="545"/>
      <c r="NJY33" s="545"/>
      <c r="NJZ33" s="545"/>
      <c r="NKA33" s="545"/>
      <c r="NKB33" s="545"/>
      <c r="NKC33" s="545"/>
      <c r="NKD33" s="545"/>
      <c r="NKE33" s="545"/>
      <c r="NKF33" s="545"/>
      <c r="NKG33" s="545"/>
      <c r="NKH33" s="545"/>
      <c r="NKI33" s="545"/>
      <c r="NKJ33" s="545"/>
      <c r="NKK33" s="545"/>
      <c r="NKL33" s="545"/>
      <c r="NKM33" s="545"/>
      <c r="NKN33" s="545"/>
      <c r="NKO33" s="545"/>
      <c r="NKP33" s="545"/>
      <c r="NKQ33" s="545"/>
      <c r="NKR33" s="545"/>
      <c r="NKS33" s="545"/>
      <c r="NKT33" s="545"/>
      <c r="NKU33" s="545"/>
      <c r="NKV33" s="545"/>
      <c r="NKW33" s="545"/>
      <c r="NKX33" s="545"/>
      <c r="NKY33" s="545"/>
      <c r="NKZ33" s="545"/>
      <c r="NLA33" s="545"/>
      <c r="NLB33" s="545"/>
      <c r="NLC33" s="545"/>
      <c r="NLD33" s="545"/>
      <c r="NLE33" s="545"/>
      <c r="NLF33" s="545"/>
      <c r="NLG33" s="545"/>
      <c r="NLH33" s="545"/>
      <c r="NLI33" s="545"/>
      <c r="NLJ33" s="545"/>
      <c r="NLK33" s="545"/>
      <c r="NLL33" s="545"/>
      <c r="NLM33" s="545"/>
      <c r="NLN33" s="545"/>
      <c r="NLO33" s="545"/>
      <c r="NLP33" s="545"/>
      <c r="NLQ33" s="545"/>
      <c r="NLR33" s="545"/>
      <c r="NLS33" s="545"/>
      <c r="NLT33" s="545"/>
      <c r="NLU33" s="545"/>
      <c r="NLV33" s="545"/>
      <c r="NLW33" s="545"/>
      <c r="NLX33" s="545"/>
      <c r="NLY33" s="545"/>
      <c r="NLZ33" s="545"/>
      <c r="NMA33" s="545"/>
      <c r="NMB33" s="545"/>
      <c r="NMC33" s="545"/>
      <c r="NMD33" s="545"/>
      <c r="NME33" s="545"/>
      <c r="NMF33" s="545"/>
      <c r="NMG33" s="545"/>
      <c r="NMH33" s="545"/>
      <c r="NMI33" s="545"/>
      <c r="NMJ33" s="545"/>
      <c r="NMK33" s="545"/>
      <c r="NML33" s="545"/>
      <c r="NMM33" s="545"/>
      <c r="NMN33" s="545"/>
      <c r="NMO33" s="545"/>
      <c r="NMP33" s="545"/>
      <c r="NMQ33" s="545"/>
      <c r="NMR33" s="545"/>
      <c r="NMS33" s="545"/>
      <c r="NMT33" s="545"/>
      <c r="NMU33" s="545"/>
      <c r="NMV33" s="545"/>
      <c r="NMW33" s="545"/>
      <c r="NMX33" s="545"/>
      <c r="NMY33" s="545"/>
      <c r="NMZ33" s="545"/>
      <c r="NNA33" s="545"/>
      <c r="NNB33" s="545"/>
      <c r="NNC33" s="545"/>
      <c r="NND33" s="545"/>
      <c r="NNE33" s="545"/>
      <c r="NNF33" s="545"/>
      <c r="NNG33" s="545"/>
      <c r="NNH33" s="545"/>
      <c r="NNI33" s="545"/>
      <c r="NNJ33" s="545"/>
      <c r="NNK33" s="545"/>
      <c r="NNL33" s="545"/>
      <c r="NNM33" s="545"/>
      <c r="NNN33" s="545"/>
      <c r="NNO33" s="545"/>
      <c r="NNP33" s="545"/>
      <c r="NNQ33" s="545"/>
      <c r="NNR33" s="545"/>
      <c r="NNS33" s="545"/>
      <c r="NNT33" s="545"/>
      <c r="NNU33" s="545"/>
      <c r="NNV33" s="545"/>
      <c r="NNW33" s="545"/>
      <c r="NNX33" s="545"/>
      <c r="NNY33" s="545"/>
      <c r="NNZ33" s="545"/>
      <c r="NOA33" s="545"/>
      <c r="NOB33" s="545"/>
      <c r="NOC33" s="545"/>
      <c r="NOD33" s="545"/>
      <c r="NOE33" s="545"/>
      <c r="NOF33" s="545"/>
      <c r="NOG33" s="545"/>
      <c r="NOH33" s="545"/>
      <c r="NOI33" s="545"/>
      <c r="NOJ33" s="545"/>
      <c r="NOK33" s="545"/>
      <c r="NOL33" s="545"/>
      <c r="NOM33" s="545"/>
      <c r="NON33" s="545"/>
      <c r="NOO33" s="545"/>
      <c r="NOP33" s="545"/>
      <c r="NOQ33" s="545"/>
      <c r="NOR33" s="545"/>
      <c r="NOS33" s="545"/>
      <c r="NOT33" s="545"/>
      <c r="NOU33" s="545"/>
      <c r="NOV33" s="545"/>
      <c r="NOW33" s="545"/>
      <c r="NOX33" s="545"/>
      <c r="NOY33" s="545"/>
      <c r="NOZ33" s="545"/>
      <c r="NPA33" s="545"/>
      <c r="NPB33" s="545"/>
      <c r="NPC33" s="545"/>
      <c r="NPD33" s="545"/>
      <c r="NPE33" s="545"/>
      <c r="NPF33" s="545"/>
      <c r="NPG33" s="545"/>
      <c r="NPH33" s="545"/>
      <c r="NPI33" s="545"/>
      <c r="NPJ33" s="545"/>
      <c r="NPK33" s="545"/>
      <c r="NPL33" s="545"/>
      <c r="NPM33" s="545"/>
      <c r="NPN33" s="545"/>
      <c r="NPO33" s="545"/>
      <c r="NPP33" s="545"/>
      <c r="NPQ33" s="545"/>
      <c r="NPR33" s="545"/>
      <c r="NPS33" s="545"/>
      <c r="NPT33" s="545"/>
      <c r="NPU33" s="545"/>
      <c r="NPV33" s="545"/>
      <c r="NPW33" s="545"/>
      <c r="NPX33" s="545"/>
      <c r="NPY33" s="545"/>
      <c r="NPZ33" s="545"/>
      <c r="NQA33" s="545"/>
      <c r="NQB33" s="545"/>
      <c r="NQC33" s="545"/>
      <c r="NQD33" s="545"/>
      <c r="NQE33" s="545"/>
      <c r="NQF33" s="545"/>
      <c r="NQG33" s="545"/>
      <c r="NQH33" s="545"/>
      <c r="NQI33" s="545"/>
      <c r="NQJ33" s="545"/>
      <c r="NQK33" s="545"/>
      <c r="NQL33" s="545"/>
      <c r="NQM33" s="545"/>
      <c r="NQN33" s="545"/>
      <c r="NQO33" s="545"/>
      <c r="NQP33" s="545"/>
      <c r="NQQ33" s="545"/>
      <c r="NQR33" s="545"/>
      <c r="NQS33" s="545"/>
      <c r="NQT33" s="545"/>
      <c r="NQU33" s="545"/>
      <c r="NQV33" s="545"/>
      <c r="NQW33" s="545"/>
      <c r="NQX33" s="545"/>
      <c r="NQY33" s="545"/>
      <c r="NQZ33" s="545"/>
      <c r="NRA33" s="545"/>
      <c r="NRB33" s="545"/>
      <c r="NRC33" s="545"/>
      <c r="NRD33" s="545"/>
      <c r="NRE33" s="545"/>
      <c r="NRF33" s="545"/>
      <c r="NRG33" s="545"/>
      <c r="NRH33" s="545"/>
      <c r="NRI33" s="545"/>
      <c r="NRJ33" s="545"/>
      <c r="NRK33" s="545"/>
      <c r="NRL33" s="545"/>
      <c r="NRM33" s="545"/>
      <c r="NRN33" s="545"/>
      <c r="NRO33" s="545"/>
      <c r="NRP33" s="545"/>
      <c r="NRQ33" s="545"/>
      <c r="NRR33" s="545"/>
      <c r="NRS33" s="545"/>
      <c r="NRT33" s="545"/>
      <c r="NRU33" s="545"/>
      <c r="NRV33" s="545"/>
      <c r="NRW33" s="545"/>
      <c r="NRX33" s="545"/>
      <c r="NRY33" s="545"/>
      <c r="NRZ33" s="545"/>
      <c r="NSA33" s="545"/>
      <c r="NSB33" s="545"/>
      <c r="NSC33" s="545"/>
      <c r="NSD33" s="545"/>
      <c r="NSE33" s="545"/>
      <c r="NSF33" s="545"/>
      <c r="NSG33" s="545"/>
      <c r="NSH33" s="545"/>
      <c r="NSI33" s="545"/>
      <c r="NSJ33" s="545"/>
      <c r="NSK33" s="545"/>
      <c r="NSL33" s="545"/>
      <c r="NSM33" s="545"/>
      <c r="NSN33" s="545"/>
      <c r="NSO33" s="545"/>
      <c r="NSP33" s="545"/>
      <c r="NSQ33" s="545"/>
      <c r="NSR33" s="545"/>
      <c r="NSS33" s="545"/>
      <c r="NST33" s="545"/>
      <c r="NSU33" s="545"/>
      <c r="NSV33" s="545"/>
      <c r="NSW33" s="545"/>
      <c r="NSX33" s="545"/>
      <c r="NSY33" s="545"/>
      <c r="NSZ33" s="545"/>
      <c r="NTA33" s="545"/>
      <c r="NTB33" s="545"/>
      <c r="NTC33" s="545"/>
      <c r="NTD33" s="545"/>
      <c r="NTE33" s="545"/>
      <c r="NTF33" s="545"/>
      <c r="NTG33" s="545"/>
      <c r="NTH33" s="545"/>
      <c r="NTI33" s="545"/>
      <c r="NTJ33" s="545"/>
      <c r="NTK33" s="545"/>
      <c r="NTL33" s="545"/>
      <c r="NTM33" s="545"/>
      <c r="NTN33" s="545"/>
      <c r="NTO33" s="545"/>
      <c r="NTP33" s="545"/>
      <c r="NTQ33" s="545"/>
      <c r="NTR33" s="545"/>
      <c r="NTS33" s="545"/>
      <c r="NTT33" s="545"/>
      <c r="NTU33" s="545"/>
      <c r="NTV33" s="545"/>
      <c r="NTW33" s="545"/>
      <c r="NTX33" s="545"/>
      <c r="NTY33" s="545"/>
      <c r="NTZ33" s="545"/>
      <c r="NUA33" s="545"/>
      <c r="NUB33" s="545"/>
      <c r="NUC33" s="545"/>
      <c r="NUD33" s="545"/>
      <c r="NUE33" s="545"/>
      <c r="NUF33" s="545"/>
      <c r="NUG33" s="545"/>
      <c r="NUH33" s="545"/>
      <c r="NUI33" s="545"/>
      <c r="NUJ33" s="545"/>
      <c r="NUK33" s="545"/>
      <c r="NUL33" s="545"/>
      <c r="NUM33" s="545"/>
      <c r="NUN33" s="545"/>
      <c r="NUO33" s="545"/>
      <c r="NUP33" s="545"/>
      <c r="NUQ33" s="545"/>
      <c r="NUR33" s="545"/>
      <c r="NUS33" s="545"/>
      <c r="NUT33" s="545"/>
      <c r="NUU33" s="545"/>
      <c r="NUV33" s="545"/>
      <c r="NUW33" s="545"/>
      <c r="NUX33" s="545"/>
      <c r="NUY33" s="545"/>
      <c r="NUZ33" s="545"/>
      <c r="NVA33" s="545"/>
      <c r="NVB33" s="545"/>
      <c r="NVC33" s="545"/>
      <c r="NVD33" s="545"/>
      <c r="NVE33" s="545"/>
      <c r="NVF33" s="545"/>
      <c r="NVG33" s="545"/>
      <c r="NVH33" s="545"/>
      <c r="NVI33" s="545"/>
      <c r="NVJ33" s="545"/>
      <c r="NVK33" s="545"/>
      <c r="NVL33" s="545"/>
      <c r="NVM33" s="545"/>
      <c r="NVN33" s="545"/>
      <c r="NVO33" s="545"/>
      <c r="NVP33" s="545"/>
      <c r="NVQ33" s="545"/>
      <c r="NVR33" s="545"/>
      <c r="NVS33" s="545"/>
      <c r="NVT33" s="545"/>
      <c r="NVU33" s="545"/>
      <c r="NVV33" s="545"/>
      <c r="NVW33" s="545"/>
      <c r="NVX33" s="545"/>
      <c r="NVY33" s="545"/>
      <c r="NVZ33" s="545"/>
      <c r="NWA33" s="545"/>
      <c r="NWB33" s="545"/>
      <c r="NWC33" s="545"/>
      <c r="NWD33" s="545"/>
      <c r="NWE33" s="545"/>
      <c r="NWF33" s="545"/>
      <c r="NWG33" s="545"/>
      <c r="NWH33" s="545"/>
      <c r="NWI33" s="545"/>
      <c r="NWJ33" s="545"/>
      <c r="NWK33" s="545"/>
      <c r="NWL33" s="545"/>
      <c r="NWM33" s="545"/>
      <c r="NWN33" s="545"/>
      <c r="NWO33" s="545"/>
      <c r="NWP33" s="545"/>
      <c r="NWQ33" s="545"/>
      <c r="NWR33" s="545"/>
      <c r="NWS33" s="545"/>
      <c r="NWT33" s="545"/>
      <c r="NWU33" s="545"/>
      <c r="NWV33" s="545"/>
      <c r="NWW33" s="545"/>
      <c r="NWX33" s="545"/>
      <c r="NWY33" s="545"/>
      <c r="NWZ33" s="545"/>
      <c r="NXA33" s="545"/>
      <c r="NXB33" s="545"/>
      <c r="NXC33" s="545"/>
      <c r="NXD33" s="545"/>
      <c r="NXE33" s="545"/>
      <c r="NXF33" s="545"/>
      <c r="NXG33" s="545"/>
      <c r="NXH33" s="545"/>
      <c r="NXI33" s="545"/>
      <c r="NXJ33" s="545"/>
      <c r="NXK33" s="545"/>
      <c r="NXL33" s="545"/>
      <c r="NXM33" s="545"/>
      <c r="NXN33" s="545"/>
      <c r="NXO33" s="545"/>
      <c r="NXP33" s="545"/>
      <c r="NXQ33" s="545"/>
      <c r="NXR33" s="545"/>
      <c r="NXS33" s="545"/>
      <c r="NXT33" s="545"/>
      <c r="NXU33" s="545"/>
      <c r="NXV33" s="545"/>
      <c r="NXW33" s="545"/>
      <c r="NXX33" s="545"/>
      <c r="NXY33" s="545"/>
      <c r="NXZ33" s="545"/>
      <c r="NYA33" s="545"/>
      <c r="NYB33" s="545"/>
      <c r="NYC33" s="545"/>
      <c r="NYD33" s="545"/>
      <c r="NYE33" s="545"/>
      <c r="NYF33" s="545"/>
      <c r="NYG33" s="545"/>
      <c r="NYH33" s="545"/>
      <c r="NYI33" s="545"/>
      <c r="NYJ33" s="545"/>
      <c r="NYK33" s="545"/>
      <c r="NYL33" s="545"/>
      <c r="NYM33" s="545"/>
      <c r="NYN33" s="545"/>
      <c r="NYO33" s="545"/>
      <c r="NYP33" s="545"/>
      <c r="NYQ33" s="545"/>
      <c r="NYR33" s="545"/>
      <c r="NYS33" s="545"/>
      <c r="NYT33" s="545"/>
      <c r="NYU33" s="545"/>
      <c r="NYV33" s="545"/>
      <c r="NYW33" s="545"/>
      <c r="NYX33" s="545"/>
      <c r="NYY33" s="545"/>
      <c r="NYZ33" s="545"/>
      <c r="NZA33" s="545"/>
      <c r="NZB33" s="545"/>
      <c r="NZC33" s="545"/>
      <c r="NZD33" s="545"/>
      <c r="NZE33" s="545"/>
      <c r="NZF33" s="545"/>
      <c r="NZG33" s="545"/>
      <c r="NZH33" s="545"/>
      <c r="NZI33" s="545"/>
      <c r="NZJ33" s="545"/>
      <c r="NZK33" s="545"/>
      <c r="NZL33" s="545"/>
      <c r="NZM33" s="545"/>
      <c r="NZN33" s="545"/>
      <c r="NZO33" s="545"/>
      <c r="NZP33" s="545"/>
      <c r="NZQ33" s="545"/>
      <c r="NZR33" s="545"/>
      <c r="NZS33" s="545"/>
      <c r="NZT33" s="545"/>
      <c r="NZU33" s="545"/>
      <c r="NZV33" s="545"/>
      <c r="NZW33" s="545"/>
      <c r="NZX33" s="545"/>
      <c r="NZY33" s="545"/>
      <c r="NZZ33" s="545"/>
      <c r="OAA33" s="545"/>
      <c r="OAB33" s="545"/>
      <c r="OAC33" s="545"/>
      <c r="OAD33" s="545"/>
      <c r="OAE33" s="545"/>
      <c r="OAF33" s="545"/>
      <c r="OAG33" s="545"/>
      <c r="OAH33" s="545"/>
      <c r="OAI33" s="545"/>
      <c r="OAJ33" s="545"/>
      <c r="OAK33" s="545"/>
      <c r="OAL33" s="545"/>
      <c r="OAM33" s="545"/>
      <c r="OAN33" s="545"/>
      <c r="OAO33" s="545"/>
      <c r="OAP33" s="545"/>
      <c r="OAQ33" s="545"/>
      <c r="OAR33" s="545"/>
      <c r="OAS33" s="545"/>
      <c r="OAT33" s="545"/>
      <c r="OAU33" s="545"/>
      <c r="OAV33" s="545"/>
      <c r="OAW33" s="545"/>
      <c r="OAX33" s="545"/>
      <c r="OAY33" s="545"/>
      <c r="OAZ33" s="545"/>
      <c r="OBA33" s="545"/>
      <c r="OBB33" s="545"/>
      <c r="OBC33" s="545"/>
      <c r="OBD33" s="545"/>
      <c r="OBE33" s="545"/>
      <c r="OBF33" s="545"/>
      <c r="OBG33" s="545"/>
      <c r="OBH33" s="545"/>
      <c r="OBI33" s="545"/>
      <c r="OBJ33" s="545"/>
      <c r="OBK33" s="545"/>
      <c r="OBL33" s="545"/>
      <c r="OBM33" s="545"/>
      <c r="OBN33" s="545"/>
      <c r="OBO33" s="545"/>
      <c r="OBP33" s="545"/>
      <c r="OBQ33" s="545"/>
      <c r="OBR33" s="545"/>
      <c r="OBS33" s="545"/>
      <c r="OBT33" s="545"/>
      <c r="OBU33" s="545"/>
      <c r="OBV33" s="545"/>
      <c r="OBW33" s="545"/>
      <c r="OBX33" s="545"/>
      <c r="OBY33" s="545"/>
      <c r="OBZ33" s="545"/>
      <c r="OCA33" s="545"/>
      <c r="OCB33" s="545"/>
      <c r="OCC33" s="545"/>
      <c r="OCD33" s="545"/>
      <c r="OCE33" s="545"/>
      <c r="OCF33" s="545"/>
      <c r="OCG33" s="545"/>
      <c r="OCH33" s="545"/>
      <c r="OCI33" s="545"/>
      <c r="OCJ33" s="545"/>
      <c r="OCK33" s="545"/>
      <c r="OCL33" s="545"/>
      <c r="OCM33" s="545"/>
      <c r="OCN33" s="545"/>
      <c r="OCO33" s="545"/>
      <c r="OCP33" s="545"/>
      <c r="OCQ33" s="545"/>
      <c r="OCR33" s="545"/>
      <c r="OCS33" s="545"/>
      <c r="OCT33" s="545"/>
      <c r="OCU33" s="545"/>
      <c r="OCV33" s="545"/>
      <c r="OCW33" s="545"/>
      <c r="OCX33" s="545"/>
      <c r="OCY33" s="545"/>
      <c r="OCZ33" s="545"/>
      <c r="ODA33" s="545"/>
      <c r="ODB33" s="545"/>
      <c r="ODC33" s="545"/>
      <c r="ODD33" s="545"/>
      <c r="ODE33" s="545"/>
      <c r="ODF33" s="545"/>
      <c r="ODG33" s="545"/>
      <c r="ODH33" s="545"/>
      <c r="ODI33" s="545"/>
      <c r="ODJ33" s="545"/>
      <c r="ODK33" s="545"/>
      <c r="ODL33" s="545"/>
      <c r="ODM33" s="545"/>
      <c r="ODN33" s="545"/>
      <c r="ODO33" s="545"/>
      <c r="ODP33" s="545"/>
      <c r="ODQ33" s="545"/>
      <c r="ODR33" s="545"/>
      <c r="ODS33" s="545"/>
      <c r="ODT33" s="545"/>
      <c r="ODU33" s="545"/>
      <c r="ODV33" s="545"/>
      <c r="ODW33" s="545"/>
      <c r="ODX33" s="545"/>
      <c r="ODY33" s="545"/>
      <c r="ODZ33" s="545"/>
      <c r="OEA33" s="545"/>
      <c r="OEB33" s="545"/>
      <c r="OEC33" s="545"/>
      <c r="OED33" s="545"/>
      <c r="OEE33" s="545"/>
      <c r="OEF33" s="545"/>
      <c r="OEG33" s="545"/>
      <c r="OEH33" s="545"/>
      <c r="OEI33" s="545"/>
      <c r="OEJ33" s="545"/>
      <c r="OEK33" s="545"/>
      <c r="OEL33" s="545"/>
      <c r="OEM33" s="545"/>
      <c r="OEN33" s="545"/>
      <c r="OEO33" s="545"/>
      <c r="OEP33" s="545"/>
      <c r="OEQ33" s="545"/>
      <c r="OER33" s="545"/>
      <c r="OES33" s="545"/>
      <c r="OET33" s="545"/>
      <c r="OEU33" s="545"/>
      <c r="OEV33" s="545"/>
      <c r="OEW33" s="545"/>
      <c r="OEX33" s="545"/>
      <c r="OEY33" s="545"/>
      <c r="OEZ33" s="545"/>
      <c r="OFA33" s="545"/>
      <c r="OFB33" s="545"/>
      <c r="OFC33" s="545"/>
      <c r="OFD33" s="545"/>
      <c r="OFE33" s="545"/>
      <c r="OFF33" s="545"/>
      <c r="OFG33" s="545"/>
      <c r="OFH33" s="545"/>
      <c r="OFI33" s="545"/>
      <c r="OFJ33" s="545"/>
      <c r="OFK33" s="545"/>
      <c r="OFL33" s="545"/>
      <c r="OFM33" s="545"/>
      <c r="OFN33" s="545"/>
      <c r="OFO33" s="545"/>
      <c r="OFP33" s="545"/>
      <c r="OFQ33" s="545"/>
      <c r="OFR33" s="545"/>
      <c r="OFS33" s="545"/>
      <c r="OFT33" s="545"/>
      <c r="OFU33" s="545"/>
      <c r="OFV33" s="545"/>
      <c r="OFW33" s="545"/>
      <c r="OFX33" s="545"/>
      <c r="OFY33" s="545"/>
      <c r="OFZ33" s="545"/>
      <c r="OGA33" s="545"/>
      <c r="OGB33" s="545"/>
      <c r="OGC33" s="545"/>
      <c r="OGD33" s="545"/>
      <c r="OGE33" s="545"/>
      <c r="OGF33" s="545"/>
      <c r="OGG33" s="545"/>
      <c r="OGH33" s="545"/>
      <c r="OGI33" s="545"/>
      <c r="OGJ33" s="545"/>
      <c r="OGK33" s="545"/>
      <c r="OGL33" s="545"/>
      <c r="OGM33" s="545"/>
      <c r="OGN33" s="545"/>
      <c r="OGO33" s="545"/>
      <c r="OGP33" s="545"/>
      <c r="OGQ33" s="545"/>
      <c r="OGR33" s="545"/>
      <c r="OGS33" s="545"/>
      <c r="OGT33" s="545"/>
      <c r="OGU33" s="545"/>
      <c r="OGV33" s="545"/>
      <c r="OGW33" s="545"/>
      <c r="OGX33" s="545"/>
      <c r="OGY33" s="545"/>
      <c r="OGZ33" s="545"/>
      <c r="OHA33" s="545"/>
      <c r="OHB33" s="545"/>
      <c r="OHC33" s="545"/>
      <c r="OHD33" s="545"/>
      <c r="OHE33" s="545"/>
      <c r="OHF33" s="545"/>
      <c r="OHG33" s="545"/>
      <c r="OHH33" s="545"/>
      <c r="OHI33" s="545"/>
      <c r="OHJ33" s="545"/>
      <c r="OHK33" s="545"/>
      <c r="OHL33" s="545"/>
      <c r="OHM33" s="545"/>
      <c r="OHN33" s="545"/>
      <c r="OHO33" s="545"/>
      <c r="OHP33" s="545"/>
      <c r="OHQ33" s="545"/>
      <c r="OHR33" s="545"/>
      <c r="OHS33" s="545"/>
      <c r="OHT33" s="545"/>
      <c r="OHU33" s="545"/>
      <c r="OHV33" s="545"/>
      <c r="OHW33" s="545"/>
      <c r="OHX33" s="545"/>
      <c r="OHY33" s="545"/>
      <c r="OHZ33" s="545"/>
      <c r="OIA33" s="545"/>
      <c r="OIB33" s="545"/>
      <c r="OIC33" s="545"/>
      <c r="OID33" s="545"/>
      <c r="OIE33" s="545"/>
      <c r="OIF33" s="545"/>
      <c r="OIG33" s="545"/>
      <c r="OIH33" s="545"/>
      <c r="OII33" s="545"/>
      <c r="OIJ33" s="545"/>
      <c r="OIK33" s="545"/>
      <c r="OIL33" s="545"/>
      <c r="OIM33" s="545"/>
      <c r="OIN33" s="545"/>
      <c r="OIO33" s="545"/>
      <c r="OIP33" s="545"/>
      <c r="OIQ33" s="545"/>
      <c r="OIR33" s="545"/>
      <c r="OIS33" s="545"/>
      <c r="OIT33" s="545"/>
      <c r="OIU33" s="545"/>
      <c r="OIV33" s="545"/>
      <c r="OIW33" s="545"/>
      <c r="OIX33" s="545"/>
      <c r="OIY33" s="545"/>
      <c r="OIZ33" s="545"/>
      <c r="OJA33" s="545"/>
      <c r="OJB33" s="545"/>
      <c r="OJC33" s="545"/>
      <c r="OJD33" s="545"/>
      <c r="OJE33" s="545"/>
      <c r="OJF33" s="545"/>
      <c r="OJG33" s="545"/>
      <c r="OJH33" s="545"/>
      <c r="OJI33" s="545"/>
      <c r="OJJ33" s="545"/>
      <c r="OJK33" s="545"/>
      <c r="OJL33" s="545"/>
      <c r="OJM33" s="545"/>
      <c r="OJN33" s="545"/>
      <c r="OJO33" s="545"/>
      <c r="OJP33" s="545"/>
      <c r="OJQ33" s="545"/>
      <c r="OJR33" s="545"/>
      <c r="OJS33" s="545"/>
      <c r="OJT33" s="545"/>
      <c r="OJU33" s="545"/>
      <c r="OJV33" s="545"/>
      <c r="OJW33" s="545"/>
      <c r="OJX33" s="545"/>
      <c r="OJY33" s="545"/>
      <c r="OJZ33" s="545"/>
      <c r="OKA33" s="545"/>
      <c r="OKB33" s="545"/>
      <c r="OKC33" s="545"/>
      <c r="OKD33" s="545"/>
      <c r="OKE33" s="545"/>
      <c r="OKF33" s="545"/>
      <c r="OKG33" s="545"/>
      <c r="OKH33" s="545"/>
      <c r="OKI33" s="545"/>
      <c r="OKJ33" s="545"/>
      <c r="OKK33" s="545"/>
      <c r="OKL33" s="545"/>
      <c r="OKM33" s="545"/>
      <c r="OKN33" s="545"/>
      <c r="OKO33" s="545"/>
      <c r="OKP33" s="545"/>
      <c r="OKQ33" s="545"/>
      <c r="OKR33" s="545"/>
      <c r="OKS33" s="545"/>
      <c r="OKT33" s="545"/>
      <c r="OKU33" s="545"/>
      <c r="OKV33" s="545"/>
      <c r="OKW33" s="545"/>
      <c r="OKX33" s="545"/>
      <c r="OKY33" s="545"/>
      <c r="OKZ33" s="545"/>
      <c r="OLA33" s="545"/>
      <c r="OLB33" s="545"/>
      <c r="OLC33" s="545"/>
      <c r="OLD33" s="545"/>
      <c r="OLE33" s="545"/>
      <c r="OLF33" s="545"/>
      <c r="OLG33" s="545"/>
      <c r="OLH33" s="545"/>
      <c r="OLI33" s="545"/>
      <c r="OLJ33" s="545"/>
      <c r="OLK33" s="545"/>
      <c r="OLL33" s="545"/>
      <c r="OLM33" s="545"/>
      <c r="OLN33" s="545"/>
      <c r="OLO33" s="545"/>
      <c r="OLP33" s="545"/>
      <c r="OLQ33" s="545"/>
      <c r="OLR33" s="545"/>
      <c r="OLS33" s="545"/>
      <c r="OLT33" s="545"/>
      <c r="OLU33" s="545"/>
      <c r="OLV33" s="545"/>
      <c r="OLW33" s="545"/>
      <c r="OLX33" s="545"/>
      <c r="OLY33" s="545"/>
      <c r="OLZ33" s="545"/>
      <c r="OMA33" s="545"/>
      <c r="OMB33" s="545"/>
      <c r="OMC33" s="545"/>
      <c r="OMD33" s="545"/>
      <c r="OME33" s="545"/>
      <c r="OMF33" s="545"/>
      <c r="OMG33" s="545"/>
      <c r="OMH33" s="545"/>
      <c r="OMI33" s="545"/>
      <c r="OMJ33" s="545"/>
      <c r="OMK33" s="545"/>
      <c r="OML33" s="545"/>
      <c r="OMM33" s="545"/>
      <c r="OMN33" s="545"/>
      <c r="OMO33" s="545"/>
      <c r="OMP33" s="545"/>
      <c r="OMQ33" s="545"/>
      <c r="OMR33" s="545"/>
      <c r="OMS33" s="545"/>
      <c r="OMT33" s="545"/>
      <c r="OMU33" s="545"/>
      <c r="OMV33" s="545"/>
      <c r="OMW33" s="545"/>
      <c r="OMX33" s="545"/>
      <c r="OMY33" s="545"/>
      <c r="OMZ33" s="545"/>
      <c r="ONA33" s="545"/>
      <c r="ONB33" s="545"/>
      <c r="ONC33" s="545"/>
      <c r="OND33" s="545"/>
      <c r="ONE33" s="545"/>
      <c r="ONF33" s="545"/>
      <c r="ONG33" s="545"/>
      <c r="ONH33" s="545"/>
      <c r="ONI33" s="545"/>
      <c r="ONJ33" s="545"/>
      <c r="ONK33" s="545"/>
      <c r="ONL33" s="545"/>
      <c r="ONM33" s="545"/>
      <c r="ONN33" s="545"/>
      <c r="ONO33" s="545"/>
      <c r="ONP33" s="545"/>
      <c r="ONQ33" s="545"/>
      <c r="ONR33" s="545"/>
      <c r="ONS33" s="545"/>
      <c r="ONT33" s="545"/>
      <c r="ONU33" s="545"/>
      <c r="ONV33" s="545"/>
      <c r="ONW33" s="545"/>
      <c r="ONX33" s="545"/>
      <c r="ONY33" s="545"/>
      <c r="ONZ33" s="545"/>
      <c r="OOA33" s="545"/>
      <c r="OOB33" s="545"/>
      <c r="OOC33" s="545"/>
      <c r="OOD33" s="545"/>
      <c r="OOE33" s="545"/>
      <c r="OOF33" s="545"/>
      <c r="OOG33" s="545"/>
      <c r="OOH33" s="545"/>
      <c r="OOI33" s="545"/>
      <c r="OOJ33" s="545"/>
      <c r="OOK33" s="545"/>
      <c r="OOL33" s="545"/>
      <c r="OOM33" s="545"/>
      <c r="OON33" s="545"/>
      <c r="OOO33" s="545"/>
      <c r="OOP33" s="545"/>
      <c r="OOQ33" s="545"/>
      <c r="OOR33" s="545"/>
      <c r="OOS33" s="545"/>
      <c r="OOT33" s="545"/>
      <c r="OOU33" s="545"/>
      <c r="OOV33" s="545"/>
      <c r="OOW33" s="545"/>
      <c r="OOX33" s="545"/>
      <c r="OOY33" s="545"/>
      <c r="OOZ33" s="545"/>
      <c r="OPA33" s="545"/>
      <c r="OPB33" s="545"/>
      <c r="OPC33" s="545"/>
      <c r="OPD33" s="545"/>
      <c r="OPE33" s="545"/>
      <c r="OPF33" s="545"/>
      <c r="OPG33" s="545"/>
      <c r="OPH33" s="545"/>
      <c r="OPI33" s="545"/>
      <c r="OPJ33" s="545"/>
      <c r="OPK33" s="545"/>
      <c r="OPL33" s="545"/>
      <c r="OPM33" s="545"/>
      <c r="OPN33" s="545"/>
      <c r="OPO33" s="545"/>
      <c r="OPP33" s="545"/>
      <c r="OPQ33" s="545"/>
      <c r="OPR33" s="545"/>
      <c r="OPS33" s="545"/>
      <c r="OPT33" s="545"/>
      <c r="OPU33" s="545"/>
      <c r="OPV33" s="545"/>
      <c r="OPW33" s="545"/>
      <c r="OPX33" s="545"/>
      <c r="OPY33" s="545"/>
      <c r="OPZ33" s="545"/>
      <c r="OQA33" s="545"/>
      <c r="OQB33" s="545"/>
      <c r="OQC33" s="545"/>
      <c r="OQD33" s="545"/>
      <c r="OQE33" s="545"/>
      <c r="OQF33" s="545"/>
      <c r="OQG33" s="545"/>
      <c r="OQH33" s="545"/>
      <c r="OQI33" s="545"/>
      <c r="OQJ33" s="545"/>
      <c r="OQK33" s="545"/>
      <c r="OQL33" s="545"/>
      <c r="OQM33" s="545"/>
      <c r="OQN33" s="545"/>
      <c r="OQO33" s="545"/>
      <c r="OQP33" s="545"/>
      <c r="OQQ33" s="545"/>
      <c r="OQR33" s="545"/>
      <c r="OQS33" s="545"/>
      <c r="OQT33" s="545"/>
      <c r="OQU33" s="545"/>
      <c r="OQV33" s="545"/>
      <c r="OQW33" s="545"/>
      <c r="OQX33" s="545"/>
      <c r="OQY33" s="545"/>
      <c r="OQZ33" s="545"/>
      <c r="ORA33" s="545"/>
      <c r="ORB33" s="545"/>
      <c r="ORC33" s="545"/>
      <c r="ORD33" s="545"/>
      <c r="ORE33" s="545"/>
      <c r="ORF33" s="545"/>
      <c r="ORG33" s="545"/>
      <c r="ORH33" s="545"/>
      <c r="ORI33" s="545"/>
      <c r="ORJ33" s="545"/>
      <c r="ORK33" s="545"/>
      <c r="ORL33" s="545"/>
      <c r="ORM33" s="545"/>
      <c r="ORN33" s="545"/>
      <c r="ORO33" s="545"/>
      <c r="ORP33" s="545"/>
      <c r="ORQ33" s="545"/>
      <c r="ORR33" s="545"/>
      <c r="ORS33" s="545"/>
      <c r="ORT33" s="545"/>
      <c r="ORU33" s="545"/>
      <c r="ORV33" s="545"/>
      <c r="ORW33" s="545"/>
      <c r="ORX33" s="545"/>
      <c r="ORY33" s="545"/>
      <c r="ORZ33" s="545"/>
      <c r="OSA33" s="545"/>
      <c r="OSB33" s="545"/>
      <c r="OSC33" s="545"/>
      <c r="OSD33" s="545"/>
      <c r="OSE33" s="545"/>
      <c r="OSF33" s="545"/>
      <c r="OSG33" s="545"/>
      <c r="OSH33" s="545"/>
      <c r="OSI33" s="545"/>
      <c r="OSJ33" s="545"/>
      <c r="OSK33" s="545"/>
      <c r="OSL33" s="545"/>
      <c r="OSM33" s="545"/>
      <c r="OSN33" s="545"/>
      <c r="OSO33" s="545"/>
      <c r="OSP33" s="545"/>
      <c r="OSQ33" s="545"/>
      <c r="OSR33" s="545"/>
      <c r="OSS33" s="545"/>
      <c r="OST33" s="545"/>
      <c r="OSU33" s="545"/>
      <c r="OSV33" s="545"/>
      <c r="OSW33" s="545"/>
      <c r="OSX33" s="545"/>
      <c r="OSY33" s="545"/>
      <c r="OSZ33" s="545"/>
      <c r="OTA33" s="545"/>
      <c r="OTB33" s="545"/>
      <c r="OTC33" s="545"/>
      <c r="OTD33" s="545"/>
      <c r="OTE33" s="545"/>
      <c r="OTF33" s="545"/>
      <c r="OTG33" s="545"/>
      <c r="OTH33" s="545"/>
      <c r="OTI33" s="545"/>
      <c r="OTJ33" s="545"/>
      <c r="OTK33" s="545"/>
      <c r="OTL33" s="545"/>
      <c r="OTM33" s="545"/>
      <c r="OTN33" s="545"/>
      <c r="OTO33" s="545"/>
      <c r="OTP33" s="545"/>
      <c r="OTQ33" s="545"/>
      <c r="OTR33" s="545"/>
      <c r="OTS33" s="545"/>
      <c r="OTT33" s="545"/>
      <c r="OTU33" s="545"/>
      <c r="OTV33" s="545"/>
      <c r="OTW33" s="545"/>
      <c r="OTX33" s="545"/>
      <c r="OTY33" s="545"/>
      <c r="OTZ33" s="545"/>
      <c r="OUA33" s="545"/>
      <c r="OUB33" s="545"/>
      <c r="OUC33" s="545"/>
      <c r="OUD33" s="545"/>
      <c r="OUE33" s="545"/>
      <c r="OUF33" s="545"/>
      <c r="OUG33" s="545"/>
      <c r="OUH33" s="545"/>
      <c r="OUI33" s="545"/>
      <c r="OUJ33" s="545"/>
      <c r="OUK33" s="545"/>
      <c r="OUL33" s="545"/>
      <c r="OUM33" s="545"/>
      <c r="OUN33" s="545"/>
      <c r="OUO33" s="545"/>
      <c r="OUP33" s="545"/>
      <c r="OUQ33" s="545"/>
      <c r="OUR33" s="545"/>
      <c r="OUS33" s="545"/>
      <c r="OUT33" s="545"/>
      <c r="OUU33" s="545"/>
      <c r="OUV33" s="545"/>
      <c r="OUW33" s="545"/>
      <c r="OUX33" s="545"/>
      <c r="OUY33" s="545"/>
      <c r="OUZ33" s="545"/>
      <c r="OVA33" s="545"/>
      <c r="OVB33" s="545"/>
      <c r="OVC33" s="545"/>
      <c r="OVD33" s="545"/>
      <c r="OVE33" s="545"/>
      <c r="OVF33" s="545"/>
      <c r="OVG33" s="545"/>
      <c r="OVH33" s="545"/>
      <c r="OVI33" s="545"/>
      <c r="OVJ33" s="545"/>
      <c r="OVK33" s="545"/>
      <c r="OVL33" s="545"/>
      <c r="OVM33" s="545"/>
      <c r="OVN33" s="545"/>
      <c r="OVO33" s="545"/>
      <c r="OVP33" s="545"/>
      <c r="OVQ33" s="545"/>
      <c r="OVR33" s="545"/>
      <c r="OVS33" s="545"/>
      <c r="OVT33" s="545"/>
      <c r="OVU33" s="545"/>
      <c r="OVV33" s="545"/>
      <c r="OVW33" s="545"/>
      <c r="OVX33" s="545"/>
      <c r="OVY33" s="545"/>
      <c r="OVZ33" s="545"/>
      <c r="OWA33" s="545"/>
      <c r="OWB33" s="545"/>
      <c r="OWC33" s="545"/>
      <c r="OWD33" s="545"/>
      <c r="OWE33" s="545"/>
      <c r="OWF33" s="545"/>
      <c r="OWG33" s="545"/>
      <c r="OWH33" s="545"/>
      <c r="OWI33" s="545"/>
      <c r="OWJ33" s="545"/>
      <c r="OWK33" s="545"/>
      <c r="OWL33" s="545"/>
      <c r="OWM33" s="545"/>
      <c r="OWN33" s="545"/>
      <c r="OWO33" s="545"/>
      <c r="OWP33" s="545"/>
      <c r="OWQ33" s="545"/>
      <c r="OWR33" s="545"/>
      <c r="OWS33" s="545"/>
      <c r="OWT33" s="545"/>
      <c r="OWU33" s="545"/>
      <c r="OWV33" s="545"/>
      <c r="OWW33" s="545"/>
      <c r="OWX33" s="545"/>
      <c r="OWY33" s="545"/>
      <c r="OWZ33" s="545"/>
      <c r="OXA33" s="545"/>
      <c r="OXB33" s="545"/>
      <c r="OXC33" s="545"/>
      <c r="OXD33" s="545"/>
      <c r="OXE33" s="545"/>
      <c r="OXF33" s="545"/>
      <c r="OXG33" s="545"/>
      <c r="OXH33" s="545"/>
      <c r="OXI33" s="545"/>
      <c r="OXJ33" s="545"/>
      <c r="OXK33" s="545"/>
      <c r="OXL33" s="545"/>
      <c r="OXM33" s="545"/>
      <c r="OXN33" s="545"/>
      <c r="OXO33" s="545"/>
      <c r="OXP33" s="545"/>
      <c r="OXQ33" s="545"/>
      <c r="OXR33" s="545"/>
      <c r="OXS33" s="545"/>
      <c r="OXT33" s="545"/>
      <c r="OXU33" s="545"/>
      <c r="OXV33" s="545"/>
      <c r="OXW33" s="545"/>
      <c r="OXX33" s="545"/>
      <c r="OXY33" s="545"/>
      <c r="OXZ33" s="545"/>
      <c r="OYA33" s="545"/>
      <c r="OYB33" s="545"/>
      <c r="OYC33" s="545"/>
      <c r="OYD33" s="545"/>
      <c r="OYE33" s="545"/>
      <c r="OYF33" s="545"/>
      <c r="OYG33" s="545"/>
      <c r="OYH33" s="545"/>
      <c r="OYI33" s="545"/>
      <c r="OYJ33" s="545"/>
      <c r="OYK33" s="545"/>
      <c r="OYL33" s="545"/>
      <c r="OYM33" s="545"/>
      <c r="OYN33" s="545"/>
      <c r="OYO33" s="545"/>
      <c r="OYP33" s="545"/>
      <c r="OYQ33" s="545"/>
      <c r="OYR33" s="545"/>
      <c r="OYS33" s="545"/>
      <c r="OYT33" s="545"/>
      <c r="OYU33" s="545"/>
      <c r="OYV33" s="545"/>
      <c r="OYW33" s="545"/>
      <c r="OYX33" s="545"/>
      <c r="OYY33" s="545"/>
      <c r="OYZ33" s="545"/>
      <c r="OZA33" s="545"/>
      <c r="OZB33" s="545"/>
      <c r="OZC33" s="545"/>
      <c r="OZD33" s="545"/>
      <c r="OZE33" s="545"/>
      <c r="OZF33" s="545"/>
      <c r="OZG33" s="545"/>
      <c r="OZH33" s="545"/>
      <c r="OZI33" s="545"/>
      <c r="OZJ33" s="545"/>
      <c r="OZK33" s="545"/>
      <c r="OZL33" s="545"/>
      <c r="OZM33" s="545"/>
      <c r="OZN33" s="545"/>
      <c r="OZO33" s="545"/>
      <c r="OZP33" s="545"/>
      <c r="OZQ33" s="545"/>
      <c r="OZR33" s="545"/>
      <c r="OZS33" s="545"/>
      <c r="OZT33" s="545"/>
      <c r="OZU33" s="545"/>
      <c r="OZV33" s="545"/>
      <c r="OZW33" s="545"/>
      <c r="OZX33" s="545"/>
      <c r="OZY33" s="545"/>
      <c r="OZZ33" s="545"/>
      <c r="PAA33" s="545"/>
      <c r="PAB33" s="545"/>
      <c r="PAC33" s="545"/>
      <c r="PAD33" s="545"/>
      <c r="PAE33" s="545"/>
      <c r="PAF33" s="545"/>
      <c r="PAG33" s="545"/>
      <c r="PAH33" s="545"/>
      <c r="PAI33" s="545"/>
      <c r="PAJ33" s="545"/>
      <c r="PAK33" s="545"/>
      <c r="PAL33" s="545"/>
      <c r="PAM33" s="545"/>
      <c r="PAN33" s="545"/>
      <c r="PAO33" s="545"/>
      <c r="PAP33" s="545"/>
      <c r="PAQ33" s="545"/>
      <c r="PAR33" s="545"/>
      <c r="PAS33" s="545"/>
      <c r="PAT33" s="545"/>
      <c r="PAU33" s="545"/>
      <c r="PAV33" s="545"/>
      <c r="PAW33" s="545"/>
      <c r="PAX33" s="545"/>
      <c r="PAY33" s="545"/>
      <c r="PAZ33" s="545"/>
      <c r="PBA33" s="545"/>
      <c r="PBB33" s="545"/>
      <c r="PBC33" s="545"/>
      <c r="PBD33" s="545"/>
      <c r="PBE33" s="545"/>
      <c r="PBF33" s="545"/>
      <c r="PBG33" s="545"/>
      <c r="PBH33" s="545"/>
      <c r="PBI33" s="545"/>
      <c r="PBJ33" s="545"/>
      <c r="PBK33" s="545"/>
      <c r="PBL33" s="545"/>
      <c r="PBM33" s="545"/>
      <c r="PBN33" s="545"/>
      <c r="PBO33" s="545"/>
      <c r="PBP33" s="545"/>
      <c r="PBQ33" s="545"/>
      <c r="PBR33" s="545"/>
      <c r="PBS33" s="545"/>
      <c r="PBT33" s="545"/>
      <c r="PBU33" s="545"/>
      <c r="PBV33" s="545"/>
      <c r="PBW33" s="545"/>
      <c r="PBX33" s="545"/>
      <c r="PBY33" s="545"/>
      <c r="PBZ33" s="545"/>
      <c r="PCA33" s="545"/>
      <c r="PCB33" s="545"/>
      <c r="PCC33" s="545"/>
      <c r="PCD33" s="545"/>
      <c r="PCE33" s="545"/>
      <c r="PCF33" s="545"/>
      <c r="PCG33" s="545"/>
      <c r="PCH33" s="545"/>
      <c r="PCI33" s="545"/>
      <c r="PCJ33" s="545"/>
      <c r="PCK33" s="545"/>
      <c r="PCL33" s="545"/>
      <c r="PCM33" s="545"/>
      <c r="PCN33" s="545"/>
      <c r="PCO33" s="545"/>
      <c r="PCP33" s="545"/>
      <c r="PCQ33" s="545"/>
      <c r="PCR33" s="545"/>
      <c r="PCS33" s="545"/>
      <c r="PCT33" s="545"/>
      <c r="PCU33" s="545"/>
      <c r="PCV33" s="545"/>
      <c r="PCW33" s="545"/>
      <c r="PCX33" s="545"/>
      <c r="PCY33" s="545"/>
      <c r="PCZ33" s="545"/>
      <c r="PDA33" s="545"/>
      <c r="PDB33" s="545"/>
      <c r="PDC33" s="545"/>
      <c r="PDD33" s="545"/>
      <c r="PDE33" s="545"/>
      <c r="PDF33" s="545"/>
      <c r="PDG33" s="545"/>
      <c r="PDH33" s="545"/>
      <c r="PDI33" s="545"/>
      <c r="PDJ33" s="545"/>
      <c r="PDK33" s="545"/>
      <c r="PDL33" s="545"/>
      <c r="PDM33" s="545"/>
      <c r="PDN33" s="545"/>
      <c r="PDO33" s="545"/>
      <c r="PDP33" s="545"/>
      <c r="PDQ33" s="545"/>
      <c r="PDR33" s="545"/>
      <c r="PDS33" s="545"/>
      <c r="PDT33" s="545"/>
      <c r="PDU33" s="545"/>
      <c r="PDV33" s="545"/>
      <c r="PDW33" s="545"/>
      <c r="PDX33" s="545"/>
      <c r="PDY33" s="545"/>
      <c r="PDZ33" s="545"/>
      <c r="PEA33" s="545"/>
      <c r="PEB33" s="545"/>
      <c r="PEC33" s="545"/>
      <c r="PED33" s="545"/>
      <c r="PEE33" s="545"/>
      <c r="PEF33" s="545"/>
      <c r="PEG33" s="545"/>
      <c r="PEH33" s="545"/>
      <c r="PEI33" s="545"/>
      <c r="PEJ33" s="545"/>
      <c r="PEK33" s="545"/>
      <c r="PEL33" s="545"/>
      <c r="PEM33" s="545"/>
      <c r="PEN33" s="545"/>
      <c r="PEO33" s="545"/>
      <c r="PEP33" s="545"/>
      <c r="PEQ33" s="545"/>
      <c r="PER33" s="545"/>
      <c r="PES33" s="545"/>
      <c r="PET33" s="545"/>
      <c r="PEU33" s="545"/>
      <c r="PEV33" s="545"/>
      <c r="PEW33" s="545"/>
      <c r="PEX33" s="545"/>
      <c r="PEY33" s="545"/>
      <c r="PEZ33" s="545"/>
      <c r="PFA33" s="545"/>
      <c r="PFB33" s="545"/>
      <c r="PFC33" s="545"/>
      <c r="PFD33" s="545"/>
      <c r="PFE33" s="545"/>
      <c r="PFF33" s="545"/>
      <c r="PFG33" s="545"/>
      <c r="PFH33" s="545"/>
      <c r="PFI33" s="545"/>
      <c r="PFJ33" s="545"/>
      <c r="PFK33" s="545"/>
      <c r="PFL33" s="545"/>
      <c r="PFM33" s="545"/>
      <c r="PFN33" s="545"/>
      <c r="PFO33" s="545"/>
      <c r="PFP33" s="545"/>
      <c r="PFQ33" s="545"/>
      <c r="PFR33" s="545"/>
      <c r="PFS33" s="545"/>
      <c r="PFT33" s="545"/>
      <c r="PFU33" s="545"/>
      <c r="PFV33" s="545"/>
      <c r="PFW33" s="545"/>
      <c r="PFX33" s="545"/>
      <c r="PFY33" s="545"/>
      <c r="PFZ33" s="545"/>
      <c r="PGA33" s="545"/>
      <c r="PGB33" s="545"/>
      <c r="PGC33" s="545"/>
      <c r="PGD33" s="545"/>
      <c r="PGE33" s="545"/>
      <c r="PGF33" s="545"/>
      <c r="PGG33" s="545"/>
      <c r="PGH33" s="545"/>
      <c r="PGI33" s="545"/>
      <c r="PGJ33" s="545"/>
      <c r="PGK33" s="545"/>
      <c r="PGL33" s="545"/>
      <c r="PGM33" s="545"/>
      <c r="PGN33" s="545"/>
      <c r="PGO33" s="545"/>
      <c r="PGP33" s="545"/>
      <c r="PGQ33" s="545"/>
      <c r="PGR33" s="545"/>
      <c r="PGS33" s="545"/>
      <c r="PGT33" s="545"/>
      <c r="PGU33" s="545"/>
      <c r="PGV33" s="545"/>
      <c r="PGW33" s="545"/>
      <c r="PGX33" s="545"/>
      <c r="PGY33" s="545"/>
      <c r="PGZ33" s="545"/>
      <c r="PHA33" s="545"/>
      <c r="PHB33" s="545"/>
      <c r="PHC33" s="545"/>
      <c r="PHD33" s="545"/>
      <c r="PHE33" s="545"/>
      <c r="PHF33" s="545"/>
      <c r="PHG33" s="545"/>
      <c r="PHH33" s="545"/>
      <c r="PHI33" s="545"/>
      <c r="PHJ33" s="545"/>
      <c r="PHK33" s="545"/>
      <c r="PHL33" s="545"/>
      <c r="PHM33" s="545"/>
      <c r="PHN33" s="545"/>
      <c r="PHO33" s="545"/>
      <c r="PHP33" s="545"/>
      <c r="PHQ33" s="545"/>
      <c r="PHR33" s="545"/>
      <c r="PHS33" s="545"/>
      <c r="PHT33" s="545"/>
      <c r="PHU33" s="545"/>
      <c r="PHV33" s="545"/>
      <c r="PHW33" s="545"/>
      <c r="PHX33" s="545"/>
      <c r="PHY33" s="545"/>
      <c r="PHZ33" s="545"/>
      <c r="PIA33" s="545"/>
      <c r="PIB33" s="545"/>
      <c r="PIC33" s="545"/>
      <c r="PID33" s="545"/>
      <c r="PIE33" s="545"/>
      <c r="PIF33" s="545"/>
      <c r="PIG33" s="545"/>
      <c r="PIH33" s="545"/>
      <c r="PII33" s="545"/>
      <c r="PIJ33" s="545"/>
      <c r="PIK33" s="545"/>
      <c r="PIL33" s="545"/>
      <c r="PIM33" s="545"/>
      <c r="PIN33" s="545"/>
      <c r="PIO33" s="545"/>
      <c r="PIP33" s="545"/>
      <c r="PIQ33" s="545"/>
      <c r="PIR33" s="545"/>
      <c r="PIS33" s="545"/>
      <c r="PIT33" s="545"/>
      <c r="PIU33" s="545"/>
      <c r="PIV33" s="545"/>
      <c r="PIW33" s="545"/>
      <c r="PIX33" s="545"/>
      <c r="PIY33" s="545"/>
      <c r="PIZ33" s="545"/>
      <c r="PJA33" s="545"/>
      <c r="PJB33" s="545"/>
      <c r="PJC33" s="545"/>
      <c r="PJD33" s="545"/>
      <c r="PJE33" s="545"/>
      <c r="PJF33" s="545"/>
      <c r="PJG33" s="545"/>
      <c r="PJH33" s="545"/>
      <c r="PJI33" s="545"/>
      <c r="PJJ33" s="545"/>
      <c r="PJK33" s="545"/>
      <c r="PJL33" s="545"/>
      <c r="PJM33" s="545"/>
      <c r="PJN33" s="545"/>
      <c r="PJO33" s="545"/>
      <c r="PJP33" s="545"/>
      <c r="PJQ33" s="545"/>
      <c r="PJR33" s="545"/>
      <c r="PJS33" s="545"/>
      <c r="PJT33" s="545"/>
      <c r="PJU33" s="545"/>
      <c r="PJV33" s="545"/>
      <c r="PJW33" s="545"/>
      <c r="PJX33" s="545"/>
      <c r="PJY33" s="545"/>
      <c r="PJZ33" s="545"/>
      <c r="PKA33" s="545"/>
      <c r="PKB33" s="545"/>
      <c r="PKC33" s="545"/>
      <c r="PKD33" s="545"/>
      <c r="PKE33" s="545"/>
      <c r="PKF33" s="545"/>
      <c r="PKG33" s="545"/>
      <c r="PKH33" s="545"/>
      <c r="PKI33" s="545"/>
      <c r="PKJ33" s="545"/>
      <c r="PKK33" s="545"/>
      <c r="PKL33" s="545"/>
      <c r="PKM33" s="545"/>
      <c r="PKN33" s="545"/>
      <c r="PKO33" s="545"/>
      <c r="PKP33" s="545"/>
      <c r="PKQ33" s="545"/>
      <c r="PKR33" s="545"/>
      <c r="PKS33" s="545"/>
      <c r="PKT33" s="545"/>
      <c r="PKU33" s="545"/>
      <c r="PKV33" s="545"/>
      <c r="PKW33" s="545"/>
      <c r="PKX33" s="545"/>
      <c r="PKY33" s="545"/>
      <c r="PKZ33" s="545"/>
      <c r="PLA33" s="545"/>
      <c r="PLB33" s="545"/>
      <c r="PLC33" s="545"/>
      <c r="PLD33" s="545"/>
      <c r="PLE33" s="545"/>
      <c r="PLF33" s="545"/>
      <c r="PLG33" s="545"/>
      <c r="PLH33" s="545"/>
      <c r="PLI33" s="545"/>
      <c r="PLJ33" s="545"/>
      <c r="PLK33" s="545"/>
      <c r="PLL33" s="545"/>
      <c r="PLM33" s="545"/>
      <c r="PLN33" s="545"/>
      <c r="PLO33" s="545"/>
      <c r="PLP33" s="545"/>
      <c r="PLQ33" s="545"/>
      <c r="PLR33" s="545"/>
      <c r="PLS33" s="545"/>
      <c r="PLT33" s="545"/>
      <c r="PLU33" s="545"/>
      <c r="PLV33" s="545"/>
      <c r="PLW33" s="545"/>
      <c r="PLX33" s="545"/>
      <c r="PLY33" s="545"/>
      <c r="PLZ33" s="545"/>
      <c r="PMA33" s="545"/>
      <c r="PMB33" s="545"/>
      <c r="PMC33" s="545"/>
      <c r="PMD33" s="545"/>
      <c r="PME33" s="545"/>
      <c r="PMF33" s="545"/>
      <c r="PMG33" s="545"/>
      <c r="PMH33" s="545"/>
      <c r="PMI33" s="545"/>
      <c r="PMJ33" s="545"/>
      <c r="PMK33" s="545"/>
      <c r="PML33" s="545"/>
      <c r="PMM33" s="545"/>
      <c r="PMN33" s="545"/>
      <c r="PMO33" s="545"/>
      <c r="PMP33" s="545"/>
      <c r="PMQ33" s="545"/>
      <c r="PMR33" s="545"/>
      <c r="PMS33" s="545"/>
      <c r="PMT33" s="545"/>
      <c r="PMU33" s="545"/>
      <c r="PMV33" s="545"/>
      <c r="PMW33" s="545"/>
      <c r="PMX33" s="545"/>
      <c r="PMY33" s="545"/>
      <c r="PMZ33" s="545"/>
      <c r="PNA33" s="545"/>
      <c r="PNB33" s="545"/>
      <c r="PNC33" s="545"/>
      <c r="PND33" s="545"/>
      <c r="PNE33" s="545"/>
      <c r="PNF33" s="545"/>
      <c r="PNG33" s="545"/>
      <c r="PNH33" s="545"/>
      <c r="PNI33" s="545"/>
      <c r="PNJ33" s="545"/>
      <c r="PNK33" s="545"/>
      <c r="PNL33" s="545"/>
      <c r="PNM33" s="545"/>
      <c r="PNN33" s="545"/>
      <c r="PNO33" s="545"/>
      <c r="PNP33" s="545"/>
      <c r="PNQ33" s="545"/>
      <c r="PNR33" s="545"/>
      <c r="PNS33" s="545"/>
      <c r="PNT33" s="545"/>
      <c r="PNU33" s="545"/>
      <c r="PNV33" s="545"/>
      <c r="PNW33" s="545"/>
      <c r="PNX33" s="545"/>
      <c r="PNY33" s="545"/>
      <c r="PNZ33" s="545"/>
      <c r="POA33" s="545"/>
      <c r="POB33" s="545"/>
      <c r="POC33" s="545"/>
      <c r="POD33" s="545"/>
      <c r="POE33" s="545"/>
      <c r="POF33" s="545"/>
      <c r="POG33" s="545"/>
      <c r="POH33" s="545"/>
      <c r="POI33" s="545"/>
      <c r="POJ33" s="545"/>
      <c r="POK33" s="545"/>
      <c r="POL33" s="545"/>
      <c r="POM33" s="545"/>
      <c r="PON33" s="545"/>
      <c r="POO33" s="545"/>
      <c r="POP33" s="545"/>
      <c r="POQ33" s="545"/>
      <c r="POR33" s="545"/>
      <c r="POS33" s="545"/>
      <c r="POT33" s="545"/>
      <c r="POU33" s="545"/>
      <c r="POV33" s="545"/>
      <c r="POW33" s="545"/>
      <c r="POX33" s="545"/>
      <c r="POY33" s="545"/>
      <c r="POZ33" s="545"/>
      <c r="PPA33" s="545"/>
      <c r="PPB33" s="545"/>
      <c r="PPC33" s="545"/>
      <c r="PPD33" s="545"/>
      <c r="PPE33" s="545"/>
      <c r="PPF33" s="545"/>
      <c r="PPG33" s="545"/>
      <c r="PPH33" s="545"/>
      <c r="PPI33" s="545"/>
      <c r="PPJ33" s="545"/>
      <c r="PPK33" s="545"/>
      <c r="PPL33" s="545"/>
      <c r="PPM33" s="545"/>
      <c r="PPN33" s="545"/>
      <c r="PPO33" s="545"/>
      <c r="PPP33" s="545"/>
      <c r="PPQ33" s="545"/>
      <c r="PPR33" s="545"/>
      <c r="PPS33" s="545"/>
      <c r="PPT33" s="545"/>
      <c r="PPU33" s="545"/>
      <c r="PPV33" s="545"/>
      <c r="PPW33" s="545"/>
      <c r="PPX33" s="545"/>
      <c r="PPY33" s="545"/>
      <c r="PPZ33" s="545"/>
      <c r="PQA33" s="545"/>
      <c r="PQB33" s="545"/>
      <c r="PQC33" s="545"/>
      <c r="PQD33" s="545"/>
      <c r="PQE33" s="545"/>
      <c r="PQF33" s="545"/>
      <c r="PQG33" s="545"/>
      <c r="PQH33" s="545"/>
      <c r="PQI33" s="545"/>
      <c r="PQJ33" s="545"/>
      <c r="PQK33" s="545"/>
      <c r="PQL33" s="545"/>
      <c r="PQM33" s="545"/>
      <c r="PQN33" s="545"/>
      <c r="PQO33" s="545"/>
      <c r="PQP33" s="545"/>
      <c r="PQQ33" s="545"/>
      <c r="PQR33" s="545"/>
      <c r="PQS33" s="545"/>
      <c r="PQT33" s="545"/>
      <c r="PQU33" s="545"/>
      <c r="PQV33" s="545"/>
      <c r="PQW33" s="545"/>
      <c r="PQX33" s="545"/>
      <c r="PQY33" s="545"/>
      <c r="PQZ33" s="545"/>
      <c r="PRA33" s="545"/>
      <c r="PRB33" s="545"/>
      <c r="PRC33" s="545"/>
      <c r="PRD33" s="545"/>
      <c r="PRE33" s="545"/>
      <c r="PRF33" s="545"/>
      <c r="PRG33" s="545"/>
      <c r="PRH33" s="545"/>
      <c r="PRI33" s="545"/>
      <c r="PRJ33" s="545"/>
      <c r="PRK33" s="545"/>
      <c r="PRL33" s="545"/>
      <c r="PRM33" s="545"/>
      <c r="PRN33" s="545"/>
      <c r="PRO33" s="545"/>
      <c r="PRP33" s="545"/>
      <c r="PRQ33" s="545"/>
      <c r="PRR33" s="545"/>
      <c r="PRS33" s="545"/>
      <c r="PRT33" s="545"/>
      <c r="PRU33" s="545"/>
      <c r="PRV33" s="545"/>
      <c r="PRW33" s="545"/>
      <c r="PRX33" s="545"/>
      <c r="PRY33" s="545"/>
      <c r="PRZ33" s="545"/>
      <c r="PSA33" s="545"/>
      <c r="PSB33" s="545"/>
      <c r="PSC33" s="545"/>
      <c r="PSD33" s="545"/>
      <c r="PSE33" s="545"/>
      <c r="PSF33" s="545"/>
      <c r="PSG33" s="545"/>
      <c r="PSH33" s="545"/>
      <c r="PSI33" s="545"/>
      <c r="PSJ33" s="545"/>
      <c r="PSK33" s="545"/>
      <c r="PSL33" s="545"/>
      <c r="PSM33" s="545"/>
      <c r="PSN33" s="545"/>
      <c r="PSO33" s="545"/>
      <c r="PSP33" s="545"/>
      <c r="PSQ33" s="545"/>
      <c r="PSR33" s="545"/>
      <c r="PSS33" s="545"/>
      <c r="PST33" s="545"/>
      <c r="PSU33" s="545"/>
      <c r="PSV33" s="545"/>
      <c r="PSW33" s="545"/>
      <c r="PSX33" s="545"/>
      <c r="PSY33" s="545"/>
      <c r="PSZ33" s="545"/>
      <c r="PTA33" s="545"/>
      <c r="PTB33" s="545"/>
      <c r="PTC33" s="545"/>
      <c r="PTD33" s="545"/>
      <c r="PTE33" s="545"/>
      <c r="PTF33" s="545"/>
      <c r="PTG33" s="545"/>
      <c r="PTH33" s="545"/>
      <c r="PTI33" s="545"/>
      <c r="PTJ33" s="545"/>
      <c r="PTK33" s="545"/>
      <c r="PTL33" s="545"/>
      <c r="PTM33" s="545"/>
      <c r="PTN33" s="545"/>
      <c r="PTO33" s="545"/>
      <c r="PTP33" s="545"/>
      <c r="PTQ33" s="545"/>
      <c r="PTR33" s="545"/>
      <c r="PTS33" s="545"/>
      <c r="PTT33" s="545"/>
      <c r="PTU33" s="545"/>
      <c r="PTV33" s="545"/>
      <c r="PTW33" s="545"/>
      <c r="PTX33" s="545"/>
      <c r="PTY33" s="545"/>
      <c r="PTZ33" s="545"/>
      <c r="PUA33" s="545"/>
      <c r="PUB33" s="545"/>
      <c r="PUC33" s="545"/>
      <c r="PUD33" s="545"/>
      <c r="PUE33" s="545"/>
      <c r="PUF33" s="545"/>
      <c r="PUG33" s="545"/>
      <c r="PUH33" s="545"/>
      <c r="PUI33" s="545"/>
      <c r="PUJ33" s="545"/>
      <c r="PUK33" s="545"/>
      <c r="PUL33" s="545"/>
      <c r="PUM33" s="545"/>
      <c r="PUN33" s="545"/>
      <c r="PUO33" s="545"/>
      <c r="PUP33" s="545"/>
      <c r="PUQ33" s="545"/>
      <c r="PUR33" s="545"/>
      <c r="PUS33" s="545"/>
      <c r="PUT33" s="545"/>
      <c r="PUU33" s="545"/>
      <c r="PUV33" s="545"/>
      <c r="PUW33" s="545"/>
      <c r="PUX33" s="545"/>
      <c r="PUY33" s="545"/>
      <c r="PUZ33" s="545"/>
      <c r="PVA33" s="545"/>
      <c r="PVB33" s="545"/>
      <c r="PVC33" s="545"/>
      <c r="PVD33" s="545"/>
      <c r="PVE33" s="545"/>
      <c r="PVF33" s="545"/>
      <c r="PVG33" s="545"/>
      <c r="PVH33" s="545"/>
      <c r="PVI33" s="545"/>
      <c r="PVJ33" s="545"/>
      <c r="PVK33" s="545"/>
      <c r="PVL33" s="545"/>
      <c r="PVM33" s="545"/>
      <c r="PVN33" s="545"/>
      <c r="PVO33" s="545"/>
      <c r="PVP33" s="545"/>
      <c r="PVQ33" s="545"/>
      <c r="PVR33" s="545"/>
      <c r="PVS33" s="545"/>
      <c r="PVT33" s="545"/>
      <c r="PVU33" s="545"/>
      <c r="PVV33" s="545"/>
      <c r="PVW33" s="545"/>
      <c r="PVX33" s="545"/>
      <c r="PVY33" s="545"/>
      <c r="PVZ33" s="545"/>
      <c r="PWA33" s="545"/>
      <c r="PWB33" s="545"/>
      <c r="PWC33" s="545"/>
      <c r="PWD33" s="545"/>
      <c r="PWE33" s="545"/>
      <c r="PWF33" s="545"/>
      <c r="PWG33" s="545"/>
      <c r="PWH33" s="545"/>
      <c r="PWI33" s="545"/>
      <c r="PWJ33" s="545"/>
      <c r="PWK33" s="545"/>
      <c r="PWL33" s="545"/>
      <c r="PWM33" s="545"/>
      <c r="PWN33" s="545"/>
      <c r="PWO33" s="545"/>
      <c r="PWP33" s="545"/>
      <c r="PWQ33" s="545"/>
      <c r="PWR33" s="545"/>
      <c r="PWS33" s="545"/>
      <c r="PWT33" s="545"/>
      <c r="PWU33" s="545"/>
      <c r="PWV33" s="545"/>
      <c r="PWW33" s="545"/>
      <c r="PWX33" s="545"/>
      <c r="PWY33" s="545"/>
      <c r="PWZ33" s="545"/>
      <c r="PXA33" s="545"/>
      <c r="PXB33" s="545"/>
      <c r="PXC33" s="545"/>
      <c r="PXD33" s="545"/>
      <c r="PXE33" s="545"/>
      <c r="PXF33" s="545"/>
      <c r="PXG33" s="545"/>
      <c r="PXH33" s="545"/>
      <c r="PXI33" s="545"/>
      <c r="PXJ33" s="545"/>
      <c r="PXK33" s="545"/>
      <c r="PXL33" s="545"/>
      <c r="PXM33" s="545"/>
      <c r="PXN33" s="545"/>
      <c r="PXO33" s="545"/>
      <c r="PXP33" s="545"/>
      <c r="PXQ33" s="545"/>
      <c r="PXR33" s="545"/>
      <c r="PXS33" s="545"/>
      <c r="PXT33" s="545"/>
      <c r="PXU33" s="545"/>
      <c r="PXV33" s="545"/>
      <c r="PXW33" s="545"/>
      <c r="PXX33" s="545"/>
      <c r="PXY33" s="545"/>
      <c r="PXZ33" s="545"/>
      <c r="PYA33" s="545"/>
      <c r="PYB33" s="545"/>
      <c r="PYC33" s="545"/>
      <c r="PYD33" s="545"/>
      <c r="PYE33" s="545"/>
      <c r="PYF33" s="545"/>
      <c r="PYG33" s="545"/>
      <c r="PYH33" s="545"/>
      <c r="PYI33" s="545"/>
      <c r="PYJ33" s="545"/>
      <c r="PYK33" s="545"/>
      <c r="PYL33" s="545"/>
      <c r="PYM33" s="545"/>
      <c r="PYN33" s="545"/>
      <c r="PYO33" s="545"/>
      <c r="PYP33" s="545"/>
      <c r="PYQ33" s="545"/>
      <c r="PYR33" s="545"/>
      <c r="PYS33" s="545"/>
      <c r="PYT33" s="545"/>
      <c r="PYU33" s="545"/>
      <c r="PYV33" s="545"/>
      <c r="PYW33" s="545"/>
      <c r="PYX33" s="545"/>
      <c r="PYY33" s="545"/>
      <c r="PYZ33" s="545"/>
      <c r="PZA33" s="545"/>
      <c r="PZB33" s="545"/>
      <c r="PZC33" s="545"/>
      <c r="PZD33" s="545"/>
      <c r="PZE33" s="545"/>
      <c r="PZF33" s="545"/>
      <c r="PZG33" s="545"/>
      <c r="PZH33" s="545"/>
      <c r="PZI33" s="545"/>
      <c r="PZJ33" s="545"/>
      <c r="PZK33" s="545"/>
      <c r="PZL33" s="545"/>
      <c r="PZM33" s="545"/>
      <c r="PZN33" s="545"/>
      <c r="PZO33" s="545"/>
      <c r="PZP33" s="545"/>
      <c r="PZQ33" s="545"/>
      <c r="PZR33" s="545"/>
      <c r="PZS33" s="545"/>
      <c r="PZT33" s="545"/>
      <c r="PZU33" s="545"/>
      <c r="PZV33" s="545"/>
      <c r="PZW33" s="545"/>
      <c r="PZX33" s="545"/>
      <c r="PZY33" s="545"/>
      <c r="PZZ33" s="545"/>
      <c r="QAA33" s="545"/>
      <c r="QAB33" s="545"/>
      <c r="QAC33" s="545"/>
      <c r="QAD33" s="545"/>
      <c r="QAE33" s="545"/>
      <c r="QAF33" s="545"/>
      <c r="QAG33" s="545"/>
      <c r="QAH33" s="545"/>
      <c r="QAI33" s="545"/>
      <c r="QAJ33" s="545"/>
      <c r="QAK33" s="545"/>
      <c r="QAL33" s="545"/>
      <c r="QAM33" s="545"/>
      <c r="QAN33" s="545"/>
      <c r="QAO33" s="545"/>
      <c r="QAP33" s="545"/>
      <c r="QAQ33" s="545"/>
      <c r="QAR33" s="545"/>
      <c r="QAS33" s="545"/>
      <c r="QAT33" s="545"/>
      <c r="QAU33" s="545"/>
      <c r="QAV33" s="545"/>
      <c r="QAW33" s="545"/>
      <c r="QAX33" s="545"/>
      <c r="QAY33" s="545"/>
      <c r="QAZ33" s="545"/>
      <c r="QBA33" s="545"/>
      <c r="QBB33" s="545"/>
      <c r="QBC33" s="545"/>
      <c r="QBD33" s="545"/>
      <c r="QBE33" s="545"/>
      <c r="QBF33" s="545"/>
      <c r="QBG33" s="545"/>
      <c r="QBH33" s="545"/>
      <c r="QBI33" s="545"/>
      <c r="QBJ33" s="545"/>
      <c r="QBK33" s="545"/>
      <c r="QBL33" s="545"/>
      <c r="QBM33" s="545"/>
      <c r="QBN33" s="545"/>
      <c r="QBO33" s="545"/>
      <c r="QBP33" s="545"/>
      <c r="QBQ33" s="545"/>
      <c r="QBR33" s="545"/>
      <c r="QBS33" s="545"/>
      <c r="QBT33" s="545"/>
      <c r="QBU33" s="545"/>
      <c r="QBV33" s="545"/>
      <c r="QBW33" s="545"/>
      <c r="QBX33" s="545"/>
      <c r="QBY33" s="545"/>
      <c r="QBZ33" s="545"/>
      <c r="QCA33" s="545"/>
      <c r="QCB33" s="545"/>
      <c r="QCC33" s="545"/>
      <c r="QCD33" s="545"/>
      <c r="QCE33" s="545"/>
      <c r="QCF33" s="545"/>
      <c r="QCG33" s="545"/>
      <c r="QCH33" s="545"/>
      <c r="QCI33" s="545"/>
      <c r="QCJ33" s="545"/>
      <c r="QCK33" s="545"/>
      <c r="QCL33" s="545"/>
      <c r="QCM33" s="545"/>
      <c r="QCN33" s="545"/>
      <c r="QCO33" s="545"/>
      <c r="QCP33" s="545"/>
      <c r="QCQ33" s="545"/>
      <c r="QCR33" s="545"/>
      <c r="QCS33" s="545"/>
      <c r="QCT33" s="545"/>
      <c r="QCU33" s="545"/>
      <c r="QCV33" s="545"/>
      <c r="QCW33" s="545"/>
      <c r="QCX33" s="545"/>
      <c r="QCY33" s="545"/>
      <c r="QCZ33" s="545"/>
      <c r="QDA33" s="545"/>
      <c r="QDB33" s="545"/>
      <c r="QDC33" s="545"/>
      <c r="QDD33" s="545"/>
      <c r="QDE33" s="545"/>
      <c r="QDF33" s="545"/>
      <c r="QDG33" s="545"/>
      <c r="QDH33" s="545"/>
      <c r="QDI33" s="545"/>
      <c r="QDJ33" s="545"/>
      <c r="QDK33" s="545"/>
      <c r="QDL33" s="545"/>
      <c r="QDM33" s="545"/>
      <c r="QDN33" s="545"/>
      <c r="QDO33" s="545"/>
      <c r="QDP33" s="545"/>
      <c r="QDQ33" s="545"/>
      <c r="QDR33" s="545"/>
      <c r="QDS33" s="545"/>
      <c r="QDT33" s="545"/>
      <c r="QDU33" s="545"/>
      <c r="QDV33" s="545"/>
      <c r="QDW33" s="545"/>
      <c r="QDX33" s="545"/>
      <c r="QDY33" s="545"/>
      <c r="QDZ33" s="545"/>
      <c r="QEA33" s="545"/>
      <c r="QEB33" s="545"/>
      <c r="QEC33" s="545"/>
      <c r="QED33" s="545"/>
      <c r="QEE33" s="545"/>
      <c r="QEF33" s="545"/>
      <c r="QEG33" s="545"/>
      <c r="QEH33" s="545"/>
      <c r="QEI33" s="545"/>
      <c r="QEJ33" s="545"/>
      <c r="QEK33" s="545"/>
      <c r="QEL33" s="545"/>
      <c r="QEM33" s="545"/>
      <c r="QEN33" s="545"/>
      <c r="QEO33" s="545"/>
      <c r="QEP33" s="545"/>
      <c r="QEQ33" s="545"/>
      <c r="QER33" s="545"/>
      <c r="QES33" s="545"/>
      <c r="QET33" s="545"/>
      <c r="QEU33" s="545"/>
      <c r="QEV33" s="545"/>
      <c r="QEW33" s="545"/>
      <c r="QEX33" s="545"/>
      <c r="QEY33" s="545"/>
      <c r="QEZ33" s="545"/>
      <c r="QFA33" s="545"/>
      <c r="QFB33" s="545"/>
      <c r="QFC33" s="545"/>
      <c r="QFD33" s="545"/>
      <c r="QFE33" s="545"/>
      <c r="QFF33" s="545"/>
      <c r="QFG33" s="545"/>
      <c r="QFH33" s="545"/>
      <c r="QFI33" s="545"/>
      <c r="QFJ33" s="545"/>
      <c r="QFK33" s="545"/>
      <c r="QFL33" s="545"/>
      <c r="QFM33" s="545"/>
      <c r="QFN33" s="545"/>
      <c r="QFO33" s="545"/>
      <c r="QFP33" s="545"/>
      <c r="QFQ33" s="545"/>
      <c r="QFR33" s="545"/>
      <c r="QFS33" s="545"/>
      <c r="QFT33" s="545"/>
      <c r="QFU33" s="545"/>
      <c r="QFV33" s="545"/>
      <c r="QFW33" s="545"/>
      <c r="QFX33" s="545"/>
      <c r="QFY33" s="545"/>
      <c r="QFZ33" s="545"/>
      <c r="QGA33" s="545"/>
      <c r="QGB33" s="545"/>
      <c r="QGC33" s="545"/>
      <c r="QGD33" s="545"/>
      <c r="QGE33" s="545"/>
      <c r="QGF33" s="545"/>
      <c r="QGG33" s="545"/>
      <c r="QGH33" s="545"/>
      <c r="QGI33" s="545"/>
      <c r="QGJ33" s="545"/>
      <c r="QGK33" s="545"/>
      <c r="QGL33" s="545"/>
      <c r="QGM33" s="545"/>
      <c r="QGN33" s="545"/>
      <c r="QGO33" s="545"/>
      <c r="QGP33" s="545"/>
      <c r="QGQ33" s="545"/>
      <c r="QGR33" s="545"/>
      <c r="QGS33" s="545"/>
      <c r="QGT33" s="545"/>
      <c r="QGU33" s="545"/>
      <c r="QGV33" s="545"/>
      <c r="QGW33" s="545"/>
      <c r="QGX33" s="545"/>
      <c r="QGY33" s="545"/>
      <c r="QGZ33" s="545"/>
      <c r="QHA33" s="545"/>
      <c r="QHB33" s="545"/>
      <c r="QHC33" s="545"/>
      <c r="QHD33" s="545"/>
      <c r="QHE33" s="545"/>
      <c r="QHF33" s="545"/>
      <c r="QHG33" s="545"/>
      <c r="QHH33" s="545"/>
      <c r="QHI33" s="545"/>
      <c r="QHJ33" s="545"/>
      <c r="QHK33" s="545"/>
      <c r="QHL33" s="545"/>
      <c r="QHM33" s="545"/>
      <c r="QHN33" s="545"/>
      <c r="QHO33" s="545"/>
      <c r="QHP33" s="545"/>
      <c r="QHQ33" s="545"/>
      <c r="QHR33" s="545"/>
      <c r="QHS33" s="545"/>
      <c r="QHT33" s="545"/>
      <c r="QHU33" s="545"/>
      <c r="QHV33" s="545"/>
      <c r="QHW33" s="545"/>
      <c r="QHX33" s="545"/>
      <c r="QHY33" s="545"/>
      <c r="QHZ33" s="545"/>
      <c r="QIA33" s="545"/>
      <c r="QIB33" s="545"/>
      <c r="QIC33" s="545"/>
      <c r="QID33" s="545"/>
      <c r="QIE33" s="545"/>
      <c r="QIF33" s="545"/>
      <c r="QIG33" s="545"/>
      <c r="QIH33" s="545"/>
      <c r="QII33" s="545"/>
      <c r="QIJ33" s="545"/>
      <c r="QIK33" s="545"/>
      <c r="QIL33" s="545"/>
      <c r="QIM33" s="545"/>
      <c r="QIN33" s="545"/>
      <c r="QIO33" s="545"/>
      <c r="QIP33" s="545"/>
      <c r="QIQ33" s="545"/>
      <c r="QIR33" s="545"/>
      <c r="QIS33" s="545"/>
      <c r="QIT33" s="545"/>
      <c r="QIU33" s="545"/>
      <c r="QIV33" s="545"/>
      <c r="QIW33" s="545"/>
      <c r="QIX33" s="545"/>
      <c r="QIY33" s="545"/>
      <c r="QIZ33" s="545"/>
      <c r="QJA33" s="545"/>
      <c r="QJB33" s="545"/>
      <c r="QJC33" s="545"/>
      <c r="QJD33" s="545"/>
      <c r="QJE33" s="545"/>
      <c r="QJF33" s="545"/>
      <c r="QJG33" s="545"/>
      <c r="QJH33" s="545"/>
      <c r="QJI33" s="545"/>
      <c r="QJJ33" s="545"/>
      <c r="QJK33" s="545"/>
      <c r="QJL33" s="545"/>
      <c r="QJM33" s="545"/>
      <c r="QJN33" s="545"/>
      <c r="QJO33" s="545"/>
      <c r="QJP33" s="545"/>
      <c r="QJQ33" s="545"/>
      <c r="QJR33" s="545"/>
      <c r="QJS33" s="545"/>
      <c r="QJT33" s="545"/>
      <c r="QJU33" s="545"/>
      <c r="QJV33" s="545"/>
      <c r="QJW33" s="545"/>
      <c r="QJX33" s="545"/>
      <c r="QJY33" s="545"/>
      <c r="QJZ33" s="545"/>
      <c r="QKA33" s="545"/>
      <c r="QKB33" s="545"/>
      <c r="QKC33" s="545"/>
      <c r="QKD33" s="545"/>
      <c r="QKE33" s="545"/>
      <c r="QKF33" s="545"/>
      <c r="QKG33" s="545"/>
      <c r="QKH33" s="545"/>
      <c r="QKI33" s="545"/>
      <c r="QKJ33" s="545"/>
      <c r="QKK33" s="545"/>
      <c r="QKL33" s="545"/>
      <c r="QKM33" s="545"/>
      <c r="QKN33" s="545"/>
      <c r="QKO33" s="545"/>
      <c r="QKP33" s="545"/>
      <c r="QKQ33" s="545"/>
      <c r="QKR33" s="545"/>
      <c r="QKS33" s="545"/>
      <c r="QKT33" s="545"/>
      <c r="QKU33" s="545"/>
      <c r="QKV33" s="545"/>
      <c r="QKW33" s="545"/>
      <c r="QKX33" s="545"/>
      <c r="QKY33" s="545"/>
      <c r="QKZ33" s="545"/>
      <c r="QLA33" s="545"/>
      <c r="QLB33" s="545"/>
      <c r="QLC33" s="545"/>
      <c r="QLD33" s="545"/>
      <c r="QLE33" s="545"/>
      <c r="QLF33" s="545"/>
      <c r="QLG33" s="545"/>
      <c r="QLH33" s="545"/>
      <c r="QLI33" s="545"/>
      <c r="QLJ33" s="545"/>
      <c r="QLK33" s="545"/>
      <c r="QLL33" s="545"/>
      <c r="QLM33" s="545"/>
      <c r="QLN33" s="545"/>
      <c r="QLO33" s="545"/>
      <c r="QLP33" s="545"/>
      <c r="QLQ33" s="545"/>
      <c r="QLR33" s="545"/>
      <c r="QLS33" s="545"/>
      <c r="QLT33" s="545"/>
      <c r="QLU33" s="545"/>
      <c r="QLV33" s="545"/>
      <c r="QLW33" s="545"/>
      <c r="QLX33" s="545"/>
      <c r="QLY33" s="545"/>
      <c r="QLZ33" s="545"/>
      <c r="QMA33" s="545"/>
      <c r="QMB33" s="545"/>
      <c r="QMC33" s="545"/>
      <c r="QMD33" s="545"/>
      <c r="QME33" s="545"/>
      <c r="QMF33" s="545"/>
      <c r="QMG33" s="545"/>
      <c r="QMH33" s="545"/>
      <c r="QMI33" s="545"/>
      <c r="QMJ33" s="545"/>
      <c r="QMK33" s="545"/>
      <c r="QML33" s="545"/>
      <c r="QMM33" s="545"/>
      <c r="QMN33" s="545"/>
      <c r="QMO33" s="545"/>
      <c r="QMP33" s="545"/>
      <c r="QMQ33" s="545"/>
      <c r="QMR33" s="545"/>
      <c r="QMS33" s="545"/>
      <c r="QMT33" s="545"/>
      <c r="QMU33" s="545"/>
      <c r="QMV33" s="545"/>
      <c r="QMW33" s="545"/>
      <c r="QMX33" s="545"/>
      <c r="QMY33" s="545"/>
      <c r="QMZ33" s="545"/>
      <c r="QNA33" s="545"/>
      <c r="QNB33" s="545"/>
      <c r="QNC33" s="545"/>
      <c r="QND33" s="545"/>
      <c r="QNE33" s="545"/>
      <c r="QNF33" s="545"/>
      <c r="QNG33" s="545"/>
      <c r="QNH33" s="545"/>
      <c r="QNI33" s="545"/>
      <c r="QNJ33" s="545"/>
      <c r="QNK33" s="545"/>
      <c r="QNL33" s="545"/>
      <c r="QNM33" s="545"/>
      <c r="QNN33" s="545"/>
      <c r="QNO33" s="545"/>
      <c r="QNP33" s="545"/>
      <c r="QNQ33" s="545"/>
      <c r="QNR33" s="545"/>
      <c r="QNS33" s="545"/>
      <c r="QNT33" s="545"/>
      <c r="QNU33" s="545"/>
      <c r="QNV33" s="545"/>
      <c r="QNW33" s="545"/>
      <c r="QNX33" s="545"/>
      <c r="QNY33" s="545"/>
      <c r="QNZ33" s="545"/>
      <c r="QOA33" s="545"/>
      <c r="QOB33" s="545"/>
      <c r="QOC33" s="545"/>
      <c r="QOD33" s="545"/>
      <c r="QOE33" s="545"/>
      <c r="QOF33" s="545"/>
      <c r="QOG33" s="545"/>
      <c r="QOH33" s="545"/>
      <c r="QOI33" s="545"/>
      <c r="QOJ33" s="545"/>
      <c r="QOK33" s="545"/>
      <c r="QOL33" s="545"/>
      <c r="QOM33" s="545"/>
      <c r="QON33" s="545"/>
      <c r="QOO33" s="545"/>
      <c r="QOP33" s="545"/>
      <c r="QOQ33" s="545"/>
      <c r="QOR33" s="545"/>
      <c r="QOS33" s="545"/>
      <c r="QOT33" s="545"/>
      <c r="QOU33" s="545"/>
      <c r="QOV33" s="545"/>
      <c r="QOW33" s="545"/>
      <c r="QOX33" s="545"/>
      <c r="QOY33" s="545"/>
      <c r="QOZ33" s="545"/>
      <c r="QPA33" s="545"/>
      <c r="QPB33" s="545"/>
      <c r="QPC33" s="545"/>
      <c r="QPD33" s="545"/>
      <c r="QPE33" s="545"/>
      <c r="QPF33" s="545"/>
      <c r="QPG33" s="545"/>
      <c r="QPH33" s="545"/>
      <c r="QPI33" s="545"/>
      <c r="QPJ33" s="545"/>
      <c r="QPK33" s="545"/>
      <c r="QPL33" s="545"/>
      <c r="QPM33" s="545"/>
      <c r="QPN33" s="545"/>
      <c r="QPO33" s="545"/>
      <c r="QPP33" s="545"/>
      <c r="QPQ33" s="545"/>
      <c r="QPR33" s="545"/>
      <c r="QPS33" s="545"/>
      <c r="QPT33" s="545"/>
      <c r="QPU33" s="545"/>
      <c r="QPV33" s="545"/>
      <c r="QPW33" s="545"/>
      <c r="QPX33" s="545"/>
      <c r="QPY33" s="545"/>
      <c r="QPZ33" s="545"/>
      <c r="QQA33" s="545"/>
      <c r="QQB33" s="545"/>
      <c r="QQC33" s="545"/>
      <c r="QQD33" s="545"/>
      <c r="QQE33" s="545"/>
      <c r="QQF33" s="545"/>
      <c r="QQG33" s="545"/>
      <c r="QQH33" s="545"/>
      <c r="QQI33" s="545"/>
      <c r="QQJ33" s="545"/>
      <c r="QQK33" s="545"/>
      <c r="QQL33" s="545"/>
      <c r="QQM33" s="545"/>
      <c r="QQN33" s="545"/>
      <c r="QQO33" s="545"/>
      <c r="QQP33" s="545"/>
      <c r="QQQ33" s="545"/>
      <c r="QQR33" s="545"/>
      <c r="QQS33" s="545"/>
      <c r="QQT33" s="545"/>
      <c r="QQU33" s="545"/>
      <c r="QQV33" s="545"/>
      <c r="QQW33" s="545"/>
      <c r="QQX33" s="545"/>
      <c r="QQY33" s="545"/>
      <c r="QQZ33" s="545"/>
      <c r="QRA33" s="545"/>
      <c r="QRB33" s="545"/>
      <c r="QRC33" s="545"/>
      <c r="QRD33" s="545"/>
      <c r="QRE33" s="545"/>
      <c r="QRF33" s="545"/>
      <c r="QRG33" s="545"/>
      <c r="QRH33" s="545"/>
      <c r="QRI33" s="545"/>
      <c r="QRJ33" s="545"/>
      <c r="QRK33" s="545"/>
      <c r="QRL33" s="545"/>
      <c r="QRM33" s="545"/>
      <c r="QRN33" s="545"/>
      <c r="QRO33" s="545"/>
      <c r="QRP33" s="545"/>
      <c r="QRQ33" s="545"/>
      <c r="QRR33" s="545"/>
      <c r="QRS33" s="545"/>
      <c r="QRT33" s="545"/>
      <c r="QRU33" s="545"/>
      <c r="QRV33" s="545"/>
      <c r="QRW33" s="545"/>
      <c r="QRX33" s="545"/>
      <c r="QRY33" s="545"/>
      <c r="QRZ33" s="545"/>
      <c r="QSA33" s="545"/>
      <c r="QSB33" s="545"/>
      <c r="QSC33" s="545"/>
      <c r="QSD33" s="545"/>
      <c r="QSE33" s="545"/>
      <c r="QSF33" s="545"/>
      <c r="QSG33" s="545"/>
      <c r="QSH33" s="545"/>
      <c r="QSI33" s="545"/>
      <c r="QSJ33" s="545"/>
      <c r="QSK33" s="545"/>
      <c r="QSL33" s="545"/>
      <c r="QSM33" s="545"/>
      <c r="QSN33" s="545"/>
      <c r="QSO33" s="545"/>
      <c r="QSP33" s="545"/>
      <c r="QSQ33" s="545"/>
      <c r="QSR33" s="545"/>
      <c r="QSS33" s="545"/>
      <c r="QST33" s="545"/>
      <c r="QSU33" s="545"/>
      <c r="QSV33" s="545"/>
      <c r="QSW33" s="545"/>
      <c r="QSX33" s="545"/>
      <c r="QSY33" s="545"/>
      <c r="QSZ33" s="545"/>
      <c r="QTA33" s="545"/>
      <c r="QTB33" s="545"/>
      <c r="QTC33" s="545"/>
      <c r="QTD33" s="545"/>
      <c r="QTE33" s="545"/>
      <c r="QTF33" s="545"/>
      <c r="QTG33" s="545"/>
      <c r="QTH33" s="545"/>
      <c r="QTI33" s="545"/>
      <c r="QTJ33" s="545"/>
      <c r="QTK33" s="545"/>
      <c r="QTL33" s="545"/>
      <c r="QTM33" s="545"/>
      <c r="QTN33" s="545"/>
      <c r="QTO33" s="545"/>
      <c r="QTP33" s="545"/>
      <c r="QTQ33" s="545"/>
      <c r="QTR33" s="545"/>
      <c r="QTS33" s="545"/>
      <c r="QTT33" s="545"/>
      <c r="QTU33" s="545"/>
      <c r="QTV33" s="545"/>
      <c r="QTW33" s="545"/>
      <c r="QTX33" s="545"/>
      <c r="QTY33" s="545"/>
      <c r="QTZ33" s="545"/>
      <c r="QUA33" s="545"/>
      <c r="QUB33" s="545"/>
      <c r="QUC33" s="545"/>
      <c r="QUD33" s="545"/>
      <c r="QUE33" s="545"/>
      <c r="QUF33" s="545"/>
      <c r="QUG33" s="545"/>
      <c r="QUH33" s="545"/>
      <c r="QUI33" s="545"/>
      <c r="QUJ33" s="545"/>
      <c r="QUK33" s="545"/>
      <c r="QUL33" s="545"/>
      <c r="QUM33" s="545"/>
      <c r="QUN33" s="545"/>
      <c r="QUO33" s="545"/>
      <c r="QUP33" s="545"/>
      <c r="QUQ33" s="545"/>
      <c r="QUR33" s="545"/>
      <c r="QUS33" s="545"/>
      <c r="QUT33" s="545"/>
      <c r="QUU33" s="545"/>
      <c r="QUV33" s="545"/>
      <c r="QUW33" s="545"/>
      <c r="QUX33" s="545"/>
      <c r="QUY33" s="545"/>
      <c r="QUZ33" s="545"/>
      <c r="QVA33" s="545"/>
      <c r="QVB33" s="545"/>
      <c r="QVC33" s="545"/>
      <c r="QVD33" s="545"/>
      <c r="QVE33" s="545"/>
      <c r="QVF33" s="545"/>
      <c r="QVG33" s="545"/>
      <c r="QVH33" s="545"/>
      <c r="QVI33" s="545"/>
      <c r="QVJ33" s="545"/>
      <c r="QVK33" s="545"/>
      <c r="QVL33" s="545"/>
      <c r="QVM33" s="545"/>
      <c r="QVN33" s="545"/>
      <c r="QVO33" s="545"/>
      <c r="QVP33" s="545"/>
      <c r="QVQ33" s="545"/>
      <c r="QVR33" s="545"/>
      <c r="QVS33" s="545"/>
      <c r="QVT33" s="545"/>
      <c r="QVU33" s="545"/>
      <c r="QVV33" s="545"/>
      <c r="QVW33" s="545"/>
      <c r="QVX33" s="545"/>
      <c r="QVY33" s="545"/>
      <c r="QVZ33" s="545"/>
      <c r="QWA33" s="545"/>
      <c r="QWB33" s="545"/>
      <c r="QWC33" s="545"/>
      <c r="QWD33" s="545"/>
      <c r="QWE33" s="545"/>
      <c r="QWF33" s="545"/>
      <c r="QWG33" s="545"/>
      <c r="QWH33" s="545"/>
      <c r="QWI33" s="545"/>
      <c r="QWJ33" s="545"/>
      <c r="QWK33" s="545"/>
      <c r="QWL33" s="545"/>
      <c r="QWM33" s="545"/>
      <c r="QWN33" s="545"/>
      <c r="QWO33" s="545"/>
      <c r="QWP33" s="545"/>
      <c r="QWQ33" s="545"/>
      <c r="QWR33" s="545"/>
      <c r="QWS33" s="545"/>
      <c r="QWT33" s="545"/>
      <c r="QWU33" s="545"/>
      <c r="QWV33" s="545"/>
      <c r="QWW33" s="545"/>
      <c r="QWX33" s="545"/>
      <c r="QWY33" s="545"/>
      <c r="QWZ33" s="545"/>
      <c r="QXA33" s="545"/>
      <c r="QXB33" s="545"/>
      <c r="QXC33" s="545"/>
      <c r="QXD33" s="545"/>
      <c r="QXE33" s="545"/>
      <c r="QXF33" s="545"/>
      <c r="QXG33" s="545"/>
      <c r="QXH33" s="545"/>
      <c r="QXI33" s="545"/>
      <c r="QXJ33" s="545"/>
      <c r="QXK33" s="545"/>
      <c r="QXL33" s="545"/>
      <c r="QXM33" s="545"/>
      <c r="QXN33" s="545"/>
      <c r="QXO33" s="545"/>
      <c r="QXP33" s="545"/>
      <c r="QXQ33" s="545"/>
      <c r="QXR33" s="545"/>
      <c r="QXS33" s="545"/>
      <c r="QXT33" s="545"/>
      <c r="QXU33" s="545"/>
      <c r="QXV33" s="545"/>
      <c r="QXW33" s="545"/>
      <c r="QXX33" s="545"/>
      <c r="QXY33" s="545"/>
      <c r="QXZ33" s="545"/>
      <c r="QYA33" s="545"/>
      <c r="QYB33" s="545"/>
      <c r="QYC33" s="545"/>
      <c r="QYD33" s="545"/>
      <c r="QYE33" s="545"/>
      <c r="QYF33" s="545"/>
      <c r="QYG33" s="545"/>
      <c r="QYH33" s="545"/>
      <c r="QYI33" s="545"/>
      <c r="QYJ33" s="545"/>
      <c r="QYK33" s="545"/>
      <c r="QYL33" s="545"/>
      <c r="QYM33" s="545"/>
      <c r="QYN33" s="545"/>
      <c r="QYO33" s="545"/>
      <c r="QYP33" s="545"/>
      <c r="QYQ33" s="545"/>
      <c r="QYR33" s="545"/>
      <c r="QYS33" s="545"/>
      <c r="QYT33" s="545"/>
      <c r="QYU33" s="545"/>
      <c r="QYV33" s="545"/>
      <c r="QYW33" s="545"/>
      <c r="QYX33" s="545"/>
      <c r="QYY33" s="545"/>
      <c r="QYZ33" s="545"/>
      <c r="QZA33" s="545"/>
      <c r="QZB33" s="545"/>
      <c r="QZC33" s="545"/>
      <c r="QZD33" s="545"/>
      <c r="QZE33" s="545"/>
      <c r="QZF33" s="545"/>
      <c r="QZG33" s="545"/>
      <c r="QZH33" s="545"/>
      <c r="QZI33" s="545"/>
      <c r="QZJ33" s="545"/>
      <c r="QZK33" s="545"/>
      <c r="QZL33" s="545"/>
      <c r="QZM33" s="545"/>
      <c r="QZN33" s="545"/>
      <c r="QZO33" s="545"/>
      <c r="QZP33" s="545"/>
      <c r="QZQ33" s="545"/>
      <c r="QZR33" s="545"/>
      <c r="QZS33" s="545"/>
      <c r="QZT33" s="545"/>
      <c r="QZU33" s="545"/>
      <c r="QZV33" s="545"/>
      <c r="QZW33" s="545"/>
      <c r="QZX33" s="545"/>
      <c r="QZY33" s="545"/>
      <c r="QZZ33" s="545"/>
      <c r="RAA33" s="545"/>
      <c r="RAB33" s="545"/>
      <c r="RAC33" s="545"/>
      <c r="RAD33" s="545"/>
      <c r="RAE33" s="545"/>
      <c r="RAF33" s="545"/>
      <c r="RAG33" s="545"/>
      <c r="RAH33" s="545"/>
      <c r="RAI33" s="545"/>
      <c r="RAJ33" s="545"/>
      <c r="RAK33" s="545"/>
      <c r="RAL33" s="545"/>
      <c r="RAM33" s="545"/>
      <c r="RAN33" s="545"/>
      <c r="RAO33" s="545"/>
      <c r="RAP33" s="545"/>
      <c r="RAQ33" s="545"/>
      <c r="RAR33" s="545"/>
      <c r="RAS33" s="545"/>
      <c r="RAT33" s="545"/>
      <c r="RAU33" s="545"/>
      <c r="RAV33" s="545"/>
      <c r="RAW33" s="545"/>
      <c r="RAX33" s="545"/>
      <c r="RAY33" s="545"/>
      <c r="RAZ33" s="545"/>
      <c r="RBA33" s="545"/>
      <c r="RBB33" s="545"/>
      <c r="RBC33" s="545"/>
      <c r="RBD33" s="545"/>
      <c r="RBE33" s="545"/>
      <c r="RBF33" s="545"/>
      <c r="RBG33" s="545"/>
      <c r="RBH33" s="545"/>
      <c r="RBI33" s="545"/>
      <c r="RBJ33" s="545"/>
      <c r="RBK33" s="545"/>
      <c r="RBL33" s="545"/>
      <c r="RBM33" s="545"/>
      <c r="RBN33" s="545"/>
      <c r="RBO33" s="545"/>
      <c r="RBP33" s="545"/>
      <c r="RBQ33" s="545"/>
      <c r="RBR33" s="545"/>
      <c r="RBS33" s="545"/>
      <c r="RBT33" s="545"/>
      <c r="RBU33" s="545"/>
      <c r="RBV33" s="545"/>
      <c r="RBW33" s="545"/>
      <c r="RBX33" s="545"/>
      <c r="RBY33" s="545"/>
      <c r="RBZ33" s="545"/>
      <c r="RCA33" s="545"/>
      <c r="RCB33" s="545"/>
      <c r="RCC33" s="545"/>
      <c r="RCD33" s="545"/>
      <c r="RCE33" s="545"/>
      <c r="RCF33" s="545"/>
      <c r="RCG33" s="545"/>
      <c r="RCH33" s="545"/>
      <c r="RCI33" s="545"/>
      <c r="RCJ33" s="545"/>
      <c r="RCK33" s="545"/>
      <c r="RCL33" s="545"/>
      <c r="RCM33" s="545"/>
      <c r="RCN33" s="545"/>
      <c r="RCO33" s="545"/>
      <c r="RCP33" s="545"/>
      <c r="RCQ33" s="545"/>
      <c r="RCR33" s="545"/>
      <c r="RCS33" s="545"/>
      <c r="RCT33" s="545"/>
      <c r="RCU33" s="545"/>
      <c r="RCV33" s="545"/>
      <c r="RCW33" s="545"/>
      <c r="RCX33" s="545"/>
      <c r="RCY33" s="545"/>
      <c r="RCZ33" s="545"/>
      <c r="RDA33" s="545"/>
      <c r="RDB33" s="545"/>
      <c r="RDC33" s="545"/>
      <c r="RDD33" s="545"/>
      <c r="RDE33" s="545"/>
      <c r="RDF33" s="545"/>
      <c r="RDG33" s="545"/>
      <c r="RDH33" s="545"/>
      <c r="RDI33" s="545"/>
      <c r="RDJ33" s="545"/>
      <c r="RDK33" s="545"/>
      <c r="RDL33" s="545"/>
      <c r="RDM33" s="545"/>
      <c r="RDN33" s="545"/>
      <c r="RDO33" s="545"/>
      <c r="RDP33" s="545"/>
      <c r="RDQ33" s="545"/>
      <c r="RDR33" s="545"/>
      <c r="RDS33" s="545"/>
      <c r="RDT33" s="545"/>
      <c r="RDU33" s="545"/>
      <c r="RDV33" s="545"/>
      <c r="RDW33" s="545"/>
      <c r="RDX33" s="545"/>
      <c r="RDY33" s="545"/>
      <c r="RDZ33" s="545"/>
      <c r="REA33" s="545"/>
      <c r="REB33" s="545"/>
      <c r="REC33" s="545"/>
      <c r="RED33" s="545"/>
      <c r="REE33" s="545"/>
      <c r="REF33" s="545"/>
      <c r="REG33" s="545"/>
      <c r="REH33" s="545"/>
      <c r="REI33" s="545"/>
      <c r="REJ33" s="545"/>
      <c r="REK33" s="545"/>
      <c r="REL33" s="545"/>
      <c r="REM33" s="545"/>
      <c r="REN33" s="545"/>
      <c r="REO33" s="545"/>
      <c r="REP33" s="545"/>
      <c r="REQ33" s="545"/>
      <c r="RER33" s="545"/>
      <c r="RES33" s="545"/>
      <c r="RET33" s="545"/>
      <c r="REU33" s="545"/>
      <c r="REV33" s="545"/>
      <c r="REW33" s="545"/>
      <c r="REX33" s="545"/>
      <c r="REY33" s="545"/>
      <c r="REZ33" s="545"/>
      <c r="RFA33" s="545"/>
      <c r="RFB33" s="545"/>
      <c r="RFC33" s="545"/>
      <c r="RFD33" s="545"/>
      <c r="RFE33" s="545"/>
      <c r="RFF33" s="545"/>
      <c r="RFG33" s="545"/>
      <c r="RFH33" s="545"/>
      <c r="RFI33" s="545"/>
      <c r="RFJ33" s="545"/>
      <c r="RFK33" s="545"/>
      <c r="RFL33" s="545"/>
      <c r="RFM33" s="545"/>
      <c r="RFN33" s="545"/>
      <c r="RFO33" s="545"/>
      <c r="RFP33" s="545"/>
      <c r="RFQ33" s="545"/>
      <c r="RFR33" s="545"/>
      <c r="RFS33" s="545"/>
      <c r="RFT33" s="545"/>
      <c r="RFU33" s="545"/>
      <c r="RFV33" s="545"/>
      <c r="RFW33" s="545"/>
      <c r="RFX33" s="545"/>
      <c r="RFY33" s="545"/>
      <c r="RFZ33" s="545"/>
      <c r="RGA33" s="545"/>
      <c r="RGB33" s="545"/>
      <c r="RGC33" s="545"/>
      <c r="RGD33" s="545"/>
      <c r="RGE33" s="545"/>
      <c r="RGF33" s="545"/>
      <c r="RGG33" s="545"/>
      <c r="RGH33" s="545"/>
      <c r="RGI33" s="545"/>
      <c r="RGJ33" s="545"/>
      <c r="RGK33" s="545"/>
      <c r="RGL33" s="545"/>
      <c r="RGM33" s="545"/>
      <c r="RGN33" s="545"/>
      <c r="RGO33" s="545"/>
      <c r="RGP33" s="545"/>
      <c r="RGQ33" s="545"/>
      <c r="RGR33" s="545"/>
      <c r="RGS33" s="545"/>
      <c r="RGT33" s="545"/>
      <c r="RGU33" s="545"/>
      <c r="RGV33" s="545"/>
      <c r="RGW33" s="545"/>
      <c r="RGX33" s="545"/>
      <c r="RGY33" s="545"/>
      <c r="RGZ33" s="545"/>
      <c r="RHA33" s="545"/>
      <c r="RHB33" s="545"/>
      <c r="RHC33" s="545"/>
      <c r="RHD33" s="545"/>
      <c r="RHE33" s="545"/>
      <c r="RHF33" s="545"/>
      <c r="RHG33" s="545"/>
      <c r="RHH33" s="545"/>
      <c r="RHI33" s="545"/>
      <c r="RHJ33" s="545"/>
      <c r="RHK33" s="545"/>
      <c r="RHL33" s="545"/>
      <c r="RHM33" s="545"/>
      <c r="RHN33" s="545"/>
      <c r="RHO33" s="545"/>
      <c r="RHP33" s="545"/>
      <c r="RHQ33" s="545"/>
      <c r="RHR33" s="545"/>
      <c r="RHS33" s="545"/>
      <c r="RHT33" s="545"/>
      <c r="RHU33" s="545"/>
      <c r="RHV33" s="545"/>
      <c r="RHW33" s="545"/>
      <c r="RHX33" s="545"/>
      <c r="RHY33" s="545"/>
      <c r="RHZ33" s="545"/>
      <c r="RIA33" s="545"/>
      <c r="RIB33" s="545"/>
      <c r="RIC33" s="545"/>
      <c r="RID33" s="545"/>
      <c r="RIE33" s="545"/>
      <c r="RIF33" s="545"/>
      <c r="RIG33" s="545"/>
      <c r="RIH33" s="545"/>
      <c r="RII33" s="545"/>
      <c r="RIJ33" s="545"/>
      <c r="RIK33" s="545"/>
      <c r="RIL33" s="545"/>
      <c r="RIM33" s="545"/>
      <c r="RIN33" s="545"/>
      <c r="RIO33" s="545"/>
      <c r="RIP33" s="545"/>
      <c r="RIQ33" s="545"/>
      <c r="RIR33" s="545"/>
      <c r="RIS33" s="545"/>
      <c r="RIT33" s="545"/>
      <c r="RIU33" s="545"/>
      <c r="RIV33" s="545"/>
      <c r="RIW33" s="545"/>
      <c r="RIX33" s="545"/>
      <c r="RIY33" s="545"/>
      <c r="RIZ33" s="545"/>
      <c r="RJA33" s="545"/>
      <c r="RJB33" s="545"/>
      <c r="RJC33" s="545"/>
      <c r="RJD33" s="545"/>
      <c r="RJE33" s="545"/>
      <c r="RJF33" s="545"/>
      <c r="RJG33" s="545"/>
      <c r="RJH33" s="545"/>
      <c r="RJI33" s="545"/>
      <c r="RJJ33" s="545"/>
      <c r="RJK33" s="545"/>
      <c r="RJL33" s="545"/>
      <c r="RJM33" s="545"/>
      <c r="RJN33" s="545"/>
      <c r="RJO33" s="545"/>
      <c r="RJP33" s="545"/>
      <c r="RJQ33" s="545"/>
      <c r="RJR33" s="545"/>
      <c r="RJS33" s="545"/>
      <c r="RJT33" s="545"/>
      <c r="RJU33" s="545"/>
      <c r="RJV33" s="545"/>
      <c r="RJW33" s="545"/>
      <c r="RJX33" s="545"/>
      <c r="RJY33" s="545"/>
      <c r="RJZ33" s="545"/>
      <c r="RKA33" s="545"/>
      <c r="RKB33" s="545"/>
      <c r="RKC33" s="545"/>
      <c r="RKD33" s="545"/>
      <c r="RKE33" s="545"/>
      <c r="RKF33" s="545"/>
      <c r="RKG33" s="545"/>
      <c r="RKH33" s="545"/>
      <c r="RKI33" s="545"/>
      <c r="RKJ33" s="545"/>
      <c r="RKK33" s="545"/>
      <c r="RKL33" s="545"/>
      <c r="RKM33" s="545"/>
      <c r="RKN33" s="545"/>
      <c r="RKO33" s="545"/>
      <c r="RKP33" s="545"/>
      <c r="RKQ33" s="545"/>
      <c r="RKR33" s="545"/>
      <c r="RKS33" s="545"/>
      <c r="RKT33" s="545"/>
      <c r="RKU33" s="545"/>
      <c r="RKV33" s="545"/>
      <c r="RKW33" s="545"/>
      <c r="RKX33" s="545"/>
      <c r="RKY33" s="545"/>
      <c r="RKZ33" s="545"/>
      <c r="RLA33" s="545"/>
      <c r="RLB33" s="545"/>
      <c r="RLC33" s="545"/>
      <c r="RLD33" s="545"/>
      <c r="RLE33" s="545"/>
      <c r="RLF33" s="545"/>
      <c r="RLG33" s="545"/>
      <c r="RLH33" s="545"/>
      <c r="RLI33" s="545"/>
      <c r="RLJ33" s="545"/>
      <c r="RLK33" s="545"/>
      <c r="RLL33" s="545"/>
      <c r="RLM33" s="545"/>
      <c r="RLN33" s="545"/>
      <c r="RLO33" s="545"/>
      <c r="RLP33" s="545"/>
      <c r="RLQ33" s="545"/>
      <c r="RLR33" s="545"/>
      <c r="RLS33" s="545"/>
      <c r="RLT33" s="545"/>
      <c r="RLU33" s="545"/>
      <c r="RLV33" s="545"/>
      <c r="RLW33" s="545"/>
      <c r="RLX33" s="545"/>
      <c r="RLY33" s="545"/>
      <c r="RLZ33" s="545"/>
      <c r="RMA33" s="545"/>
      <c r="RMB33" s="545"/>
      <c r="RMC33" s="545"/>
      <c r="RMD33" s="545"/>
      <c r="RME33" s="545"/>
      <c r="RMF33" s="545"/>
      <c r="RMG33" s="545"/>
      <c r="RMH33" s="545"/>
      <c r="RMI33" s="545"/>
      <c r="RMJ33" s="545"/>
      <c r="RMK33" s="545"/>
      <c r="RML33" s="545"/>
      <c r="RMM33" s="545"/>
      <c r="RMN33" s="545"/>
      <c r="RMO33" s="545"/>
      <c r="RMP33" s="545"/>
      <c r="RMQ33" s="545"/>
      <c r="RMR33" s="545"/>
      <c r="RMS33" s="545"/>
      <c r="RMT33" s="545"/>
      <c r="RMU33" s="545"/>
      <c r="RMV33" s="545"/>
      <c r="RMW33" s="545"/>
      <c r="RMX33" s="545"/>
      <c r="RMY33" s="545"/>
      <c r="RMZ33" s="545"/>
      <c r="RNA33" s="545"/>
      <c r="RNB33" s="545"/>
      <c r="RNC33" s="545"/>
      <c r="RND33" s="545"/>
      <c r="RNE33" s="545"/>
      <c r="RNF33" s="545"/>
      <c r="RNG33" s="545"/>
      <c r="RNH33" s="545"/>
      <c r="RNI33" s="545"/>
      <c r="RNJ33" s="545"/>
      <c r="RNK33" s="545"/>
      <c r="RNL33" s="545"/>
      <c r="RNM33" s="545"/>
      <c r="RNN33" s="545"/>
      <c r="RNO33" s="545"/>
      <c r="RNP33" s="545"/>
      <c r="RNQ33" s="545"/>
      <c r="RNR33" s="545"/>
      <c r="RNS33" s="545"/>
      <c r="RNT33" s="545"/>
      <c r="RNU33" s="545"/>
      <c r="RNV33" s="545"/>
      <c r="RNW33" s="545"/>
      <c r="RNX33" s="545"/>
      <c r="RNY33" s="545"/>
      <c r="RNZ33" s="545"/>
      <c r="ROA33" s="545"/>
      <c r="ROB33" s="545"/>
      <c r="ROC33" s="545"/>
      <c r="ROD33" s="545"/>
      <c r="ROE33" s="545"/>
      <c r="ROF33" s="545"/>
      <c r="ROG33" s="545"/>
      <c r="ROH33" s="545"/>
      <c r="ROI33" s="545"/>
      <c r="ROJ33" s="545"/>
      <c r="ROK33" s="545"/>
      <c r="ROL33" s="545"/>
      <c r="ROM33" s="545"/>
      <c r="RON33" s="545"/>
      <c r="ROO33" s="545"/>
      <c r="ROP33" s="545"/>
      <c r="ROQ33" s="545"/>
      <c r="ROR33" s="545"/>
      <c r="ROS33" s="545"/>
      <c r="ROT33" s="545"/>
      <c r="ROU33" s="545"/>
      <c r="ROV33" s="545"/>
      <c r="ROW33" s="545"/>
      <c r="ROX33" s="545"/>
      <c r="ROY33" s="545"/>
      <c r="ROZ33" s="545"/>
      <c r="RPA33" s="545"/>
      <c r="RPB33" s="545"/>
      <c r="RPC33" s="545"/>
      <c r="RPD33" s="545"/>
      <c r="RPE33" s="545"/>
      <c r="RPF33" s="545"/>
      <c r="RPG33" s="545"/>
      <c r="RPH33" s="545"/>
      <c r="RPI33" s="545"/>
      <c r="RPJ33" s="545"/>
      <c r="RPK33" s="545"/>
      <c r="RPL33" s="545"/>
      <c r="RPM33" s="545"/>
      <c r="RPN33" s="545"/>
      <c r="RPO33" s="545"/>
      <c r="RPP33" s="545"/>
      <c r="RPQ33" s="545"/>
      <c r="RPR33" s="545"/>
      <c r="RPS33" s="545"/>
      <c r="RPT33" s="545"/>
      <c r="RPU33" s="545"/>
      <c r="RPV33" s="545"/>
      <c r="RPW33" s="545"/>
      <c r="RPX33" s="545"/>
      <c r="RPY33" s="545"/>
      <c r="RPZ33" s="545"/>
      <c r="RQA33" s="545"/>
      <c r="RQB33" s="545"/>
      <c r="RQC33" s="545"/>
      <c r="RQD33" s="545"/>
      <c r="RQE33" s="545"/>
      <c r="RQF33" s="545"/>
      <c r="RQG33" s="545"/>
      <c r="RQH33" s="545"/>
      <c r="RQI33" s="545"/>
      <c r="RQJ33" s="545"/>
      <c r="RQK33" s="545"/>
      <c r="RQL33" s="545"/>
      <c r="RQM33" s="545"/>
      <c r="RQN33" s="545"/>
      <c r="RQO33" s="545"/>
      <c r="RQP33" s="545"/>
      <c r="RQQ33" s="545"/>
      <c r="RQR33" s="545"/>
      <c r="RQS33" s="545"/>
      <c r="RQT33" s="545"/>
      <c r="RQU33" s="545"/>
      <c r="RQV33" s="545"/>
      <c r="RQW33" s="545"/>
      <c r="RQX33" s="545"/>
      <c r="RQY33" s="545"/>
      <c r="RQZ33" s="545"/>
      <c r="RRA33" s="545"/>
      <c r="RRB33" s="545"/>
      <c r="RRC33" s="545"/>
      <c r="RRD33" s="545"/>
      <c r="RRE33" s="545"/>
      <c r="RRF33" s="545"/>
      <c r="RRG33" s="545"/>
      <c r="RRH33" s="545"/>
      <c r="RRI33" s="545"/>
      <c r="RRJ33" s="545"/>
      <c r="RRK33" s="545"/>
      <c r="RRL33" s="545"/>
      <c r="RRM33" s="545"/>
      <c r="RRN33" s="545"/>
      <c r="RRO33" s="545"/>
      <c r="RRP33" s="545"/>
      <c r="RRQ33" s="545"/>
      <c r="RRR33" s="545"/>
      <c r="RRS33" s="545"/>
      <c r="RRT33" s="545"/>
      <c r="RRU33" s="545"/>
      <c r="RRV33" s="545"/>
      <c r="RRW33" s="545"/>
      <c r="RRX33" s="545"/>
      <c r="RRY33" s="545"/>
      <c r="RRZ33" s="545"/>
      <c r="RSA33" s="545"/>
      <c r="RSB33" s="545"/>
      <c r="RSC33" s="545"/>
      <c r="RSD33" s="545"/>
      <c r="RSE33" s="545"/>
      <c r="RSF33" s="545"/>
      <c r="RSG33" s="545"/>
      <c r="RSH33" s="545"/>
      <c r="RSI33" s="545"/>
      <c r="RSJ33" s="545"/>
      <c r="RSK33" s="545"/>
      <c r="RSL33" s="545"/>
      <c r="RSM33" s="545"/>
      <c r="RSN33" s="545"/>
      <c r="RSO33" s="545"/>
      <c r="RSP33" s="545"/>
      <c r="RSQ33" s="545"/>
      <c r="RSR33" s="545"/>
      <c r="RSS33" s="545"/>
      <c r="RST33" s="545"/>
      <c r="RSU33" s="545"/>
      <c r="RSV33" s="545"/>
      <c r="RSW33" s="545"/>
      <c r="RSX33" s="545"/>
      <c r="RSY33" s="545"/>
      <c r="RSZ33" s="545"/>
      <c r="RTA33" s="545"/>
      <c r="RTB33" s="545"/>
      <c r="RTC33" s="545"/>
      <c r="RTD33" s="545"/>
      <c r="RTE33" s="545"/>
      <c r="RTF33" s="545"/>
      <c r="RTG33" s="545"/>
      <c r="RTH33" s="545"/>
      <c r="RTI33" s="545"/>
      <c r="RTJ33" s="545"/>
      <c r="RTK33" s="545"/>
      <c r="RTL33" s="545"/>
      <c r="RTM33" s="545"/>
      <c r="RTN33" s="545"/>
      <c r="RTO33" s="545"/>
      <c r="RTP33" s="545"/>
      <c r="RTQ33" s="545"/>
      <c r="RTR33" s="545"/>
      <c r="RTS33" s="545"/>
      <c r="RTT33" s="545"/>
      <c r="RTU33" s="545"/>
      <c r="RTV33" s="545"/>
      <c r="RTW33" s="545"/>
      <c r="RTX33" s="545"/>
      <c r="RTY33" s="545"/>
      <c r="RTZ33" s="545"/>
      <c r="RUA33" s="545"/>
      <c r="RUB33" s="545"/>
      <c r="RUC33" s="545"/>
      <c r="RUD33" s="545"/>
      <c r="RUE33" s="545"/>
      <c r="RUF33" s="545"/>
      <c r="RUG33" s="545"/>
      <c r="RUH33" s="545"/>
      <c r="RUI33" s="545"/>
      <c r="RUJ33" s="545"/>
      <c r="RUK33" s="545"/>
      <c r="RUL33" s="545"/>
      <c r="RUM33" s="545"/>
      <c r="RUN33" s="545"/>
      <c r="RUO33" s="545"/>
      <c r="RUP33" s="545"/>
      <c r="RUQ33" s="545"/>
      <c r="RUR33" s="545"/>
      <c r="RUS33" s="545"/>
      <c r="RUT33" s="545"/>
      <c r="RUU33" s="545"/>
      <c r="RUV33" s="545"/>
      <c r="RUW33" s="545"/>
      <c r="RUX33" s="545"/>
      <c r="RUY33" s="545"/>
      <c r="RUZ33" s="545"/>
      <c r="RVA33" s="545"/>
      <c r="RVB33" s="545"/>
      <c r="RVC33" s="545"/>
      <c r="RVD33" s="545"/>
      <c r="RVE33" s="545"/>
      <c r="RVF33" s="545"/>
      <c r="RVG33" s="545"/>
      <c r="RVH33" s="545"/>
      <c r="RVI33" s="545"/>
      <c r="RVJ33" s="545"/>
      <c r="RVK33" s="545"/>
      <c r="RVL33" s="545"/>
      <c r="RVM33" s="545"/>
      <c r="RVN33" s="545"/>
      <c r="RVO33" s="545"/>
      <c r="RVP33" s="545"/>
      <c r="RVQ33" s="545"/>
      <c r="RVR33" s="545"/>
      <c r="RVS33" s="545"/>
      <c r="RVT33" s="545"/>
      <c r="RVU33" s="545"/>
      <c r="RVV33" s="545"/>
      <c r="RVW33" s="545"/>
      <c r="RVX33" s="545"/>
      <c r="RVY33" s="545"/>
      <c r="RVZ33" s="545"/>
      <c r="RWA33" s="545"/>
      <c r="RWB33" s="545"/>
      <c r="RWC33" s="545"/>
      <c r="RWD33" s="545"/>
      <c r="RWE33" s="545"/>
      <c r="RWF33" s="545"/>
      <c r="RWG33" s="545"/>
      <c r="RWH33" s="545"/>
      <c r="RWI33" s="545"/>
      <c r="RWJ33" s="545"/>
      <c r="RWK33" s="545"/>
      <c r="RWL33" s="545"/>
      <c r="RWM33" s="545"/>
      <c r="RWN33" s="545"/>
      <c r="RWO33" s="545"/>
      <c r="RWP33" s="545"/>
      <c r="RWQ33" s="545"/>
      <c r="RWR33" s="545"/>
      <c r="RWS33" s="545"/>
      <c r="RWT33" s="545"/>
      <c r="RWU33" s="545"/>
      <c r="RWV33" s="545"/>
      <c r="RWW33" s="545"/>
      <c r="RWX33" s="545"/>
      <c r="RWY33" s="545"/>
      <c r="RWZ33" s="545"/>
      <c r="RXA33" s="545"/>
      <c r="RXB33" s="545"/>
      <c r="RXC33" s="545"/>
      <c r="RXD33" s="545"/>
      <c r="RXE33" s="545"/>
      <c r="RXF33" s="545"/>
      <c r="RXG33" s="545"/>
      <c r="RXH33" s="545"/>
      <c r="RXI33" s="545"/>
      <c r="RXJ33" s="545"/>
      <c r="RXK33" s="545"/>
      <c r="RXL33" s="545"/>
      <c r="RXM33" s="545"/>
      <c r="RXN33" s="545"/>
      <c r="RXO33" s="545"/>
      <c r="RXP33" s="545"/>
      <c r="RXQ33" s="545"/>
      <c r="RXR33" s="545"/>
      <c r="RXS33" s="545"/>
      <c r="RXT33" s="545"/>
      <c r="RXU33" s="545"/>
      <c r="RXV33" s="545"/>
      <c r="RXW33" s="545"/>
      <c r="RXX33" s="545"/>
      <c r="RXY33" s="545"/>
      <c r="RXZ33" s="545"/>
      <c r="RYA33" s="545"/>
      <c r="RYB33" s="545"/>
      <c r="RYC33" s="545"/>
      <c r="RYD33" s="545"/>
      <c r="RYE33" s="545"/>
      <c r="RYF33" s="545"/>
      <c r="RYG33" s="545"/>
      <c r="RYH33" s="545"/>
      <c r="RYI33" s="545"/>
      <c r="RYJ33" s="545"/>
      <c r="RYK33" s="545"/>
      <c r="RYL33" s="545"/>
      <c r="RYM33" s="545"/>
      <c r="RYN33" s="545"/>
      <c r="RYO33" s="545"/>
      <c r="RYP33" s="545"/>
      <c r="RYQ33" s="545"/>
      <c r="RYR33" s="545"/>
      <c r="RYS33" s="545"/>
      <c r="RYT33" s="545"/>
      <c r="RYU33" s="545"/>
      <c r="RYV33" s="545"/>
      <c r="RYW33" s="545"/>
      <c r="RYX33" s="545"/>
      <c r="RYY33" s="545"/>
      <c r="RYZ33" s="545"/>
      <c r="RZA33" s="545"/>
      <c r="RZB33" s="545"/>
      <c r="RZC33" s="545"/>
      <c r="RZD33" s="545"/>
      <c r="RZE33" s="545"/>
      <c r="RZF33" s="545"/>
      <c r="RZG33" s="545"/>
      <c r="RZH33" s="545"/>
      <c r="RZI33" s="545"/>
      <c r="RZJ33" s="545"/>
      <c r="RZK33" s="545"/>
      <c r="RZL33" s="545"/>
      <c r="RZM33" s="545"/>
      <c r="RZN33" s="545"/>
      <c r="RZO33" s="545"/>
      <c r="RZP33" s="545"/>
      <c r="RZQ33" s="545"/>
      <c r="RZR33" s="545"/>
      <c r="RZS33" s="545"/>
      <c r="RZT33" s="545"/>
      <c r="RZU33" s="545"/>
      <c r="RZV33" s="545"/>
      <c r="RZW33" s="545"/>
      <c r="RZX33" s="545"/>
      <c r="RZY33" s="545"/>
      <c r="RZZ33" s="545"/>
      <c r="SAA33" s="545"/>
      <c r="SAB33" s="545"/>
      <c r="SAC33" s="545"/>
      <c r="SAD33" s="545"/>
      <c r="SAE33" s="545"/>
      <c r="SAF33" s="545"/>
      <c r="SAG33" s="545"/>
      <c r="SAH33" s="545"/>
      <c r="SAI33" s="545"/>
      <c r="SAJ33" s="545"/>
      <c r="SAK33" s="545"/>
      <c r="SAL33" s="545"/>
      <c r="SAM33" s="545"/>
      <c r="SAN33" s="545"/>
      <c r="SAO33" s="545"/>
      <c r="SAP33" s="545"/>
      <c r="SAQ33" s="545"/>
      <c r="SAR33" s="545"/>
      <c r="SAS33" s="545"/>
      <c r="SAT33" s="545"/>
      <c r="SAU33" s="545"/>
      <c r="SAV33" s="545"/>
      <c r="SAW33" s="545"/>
      <c r="SAX33" s="545"/>
      <c r="SAY33" s="545"/>
      <c r="SAZ33" s="545"/>
      <c r="SBA33" s="545"/>
      <c r="SBB33" s="545"/>
      <c r="SBC33" s="545"/>
      <c r="SBD33" s="545"/>
      <c r="SBE33" s="545"/>
      <c r="SBF33" s="545"/>
      <c r="SBG33" s="545"/>
      <c r="SBH33" s="545"/>
      <c r="SBI33" s="545"/>
      <c r="SBJ33" s="545"/>
      <c r="SBK33" s="545"/>
      <c r="SBL33" s="545"/>
      <c r="SBM33" s="545"/>
      <c r="SBN33" s="545"/>
      <c r="SBO33" s="545"/>
      <c r="SBP33" s="545"/>
      <c r="SBQ33" s="545"/>
      <c r="SBR33" s="545"/>
      <c r="SBS33" s="545"/>
      <c r="SBT33" s="545"/>
      <c r="SBU33" s="545"/>
      <c r="SBV33" s="545"/>
      <c r="SBW33" s="545"/>
      <c r="SBX33" s="545"/>
      <c r="SBY33" s="545"/>
      <c r="SBZ33" s="545"/>
      <c r="SCA33" s="545"/>
      <c r="SCB33" s="545"/>
      <c r="SCC33" s="545"/>
      <c r="SCD33" s="545"/>
      <c r="SCE33" s="545"/>
      <c r="SCF33" s="545"/>
      <c r="SCG33" s="545"/>
      <c r="SCH33" s="545"/>
      <c r="SCI33" s="545"/>
      <c r="SCJ33" s="545"/>
      <c r="SCK33" s="545"/>
      <c r="SCL33" s="545"/>
      <c r="SCM33" s="545"/>
      <c r="SCN33" s="545"/>
      <c r="SCO33" s="545"/>
      <c r="SCP33" s="545"/>
      <c r="SCQ33" s="545"/>
      <c r="SCR33" s="545"/>
      <c r="SCS33" s="545"/>
      <c r="SCT33" s="545"/>
      <c r="SCU33" s="545"/>
      <c r="SCV33" s="545"/>
      <c r="SCW33" s="545"/>
      <c r="SCX33" s="545"/>
      <c r="SCY33" s="545"/>
      <c r="SCZ33" s="545"/>
      <c r="SDA33" s="545"/>
      <c r="SDB33" s="545"/>
      <c r="SDC33" s="545"/>
      <c r="SDD33" s="545"/>
      <c r="SDE33" s="545"/>
      <c r="SDF33" s="545"/>
      <c r="SDG33" s="545"/>
      <c r="SDH33" s="545"/>
      <c r="SDI33" s="545"/>
      <c r="SDJ33" s="545"/>
      <c r="SDK33" s="545"/>
      <c r="SDL33" s="545"/>
      <c r="SDM33" s="545"/>
      <c r="SDN33" s="545"/>
      <c r="SDO33" s="545"/>
      <c r="SDP33" s="545"/>
      <c r="SDQ33" s="545"/>
      <c r="SDR33" s="545"/>
      <c r="SDS33" s="545"/>
      <c r="SDT33" s="545"/>
      <c r="SDU33" s="545"/>
      <c r="SDV33" s="545"/>
      <c r="SDW33" s="545"/>
      <c r="SDX33" s="545"/>
      <c r="SDY33" s="545"/>
      <c r="SDZ33" s="545"/>
      <c r="SEA33" s="545"/>
      <c r="SEB33" s="545"/>
      <c r="SEC33" s="545"/>
      <c r="SED33" s="545"/>
      <c r="SEE33" s="545"/>
      <c r="SEF33" s="545"/>
      <c r="SEG33" s="545"/>
      <c r="SEH33" s="545"/>
      <c r="SEI33" s="545"/>
      <c r="SEJ33" s="545"/>
      <c r="SEK33" s="545"/>
      <c r="SEL33" s="545"/>
      <c r="SEM33" s="545"/>
      <c r="SEN33" s="545"/>
      <c r="SEO33" s="545"/>
      <c r="SEP33" s="545"/>
      <c r="SEQ33" s="545"/>
      <c r="SER33" s="545"/>
      <c r="SES33" s="545"/>
      <c r="SET33" s="545"/>
      <c r="SEU33" s="545"/>
      <c r="SEV33" s="545"/>
      <c r="SEW33" s="545"/>
      <c r="SEX33" s="545"/>
      <c r="SEY33" s="545"/>
      <c r="SEZ33" s="545"/>
      <c r="SFA33" s="545"/>
      <c r="SFB33" s="545"/>
      <c r="SFC33" s="545"/>
      <c r="SFD33" s="545"/>
      <c r="SFE33" s="545"/>
      <c r="SFF33" s="545"/>
      <c r="SFG33" s="545"/>
      <c r="SFH33" s="545"/>
      <c r="SFI33" s="545"/>
      <c r="SFJ33" s="545"/>
      <c r="SFK33" s="545"/>
      <c r="SFL33" s="545"/>
      <c r="SFM33" s="545"/>
      <c r="SFN33" s="545"/>
      <c r="SFO33" s="545"/>
      <c r="SFP33" s="545"/>
      <c r="SFQ33" s="545"/>
      <c r="SFR33" s="545"/>
      <c r="SFS33" s="545"/>
      <c r="SFT33" s="545"/>
      <c r="SFU33" s="545"/>
      <c r="SFV33" s="545"/>
      <c r="SFW33" s="545"/>
      <c r="SFX33" s="545"/>
      <c r="SFY33" s="545"/>
      <c r="SFZ33" s="545"/>
      <c r="SGA33" s="545"/>
      <c r="SGB33" s="545"/>
      <c r="SGC33" s="545"/>
      <c r="SGD33" s="545"/>
      <c r="SGE33" s="545"/>
      <c r="SGF33" s="545"/>
      <c r="SGG33" s="545"/>
      <c r="SGH33" s="545"/>
      <c r="SGI33" s="545"/>
      <c r="SGJ33" s="545"/>
      <c r="SGK33" s="545"/>
      <c r="SGL33" s="545"/>
      <c r="SGM33" s="545"/>
      <c r="SGN33" s="545"/>
      <c r="SGO33" s="545"/>
      <c r="SGP33" s="545"/>
      <c r="SGQ33" s="545"/>
      <c r="SGR33" s="545"/>
      <c r="SGS33" s="545"/>
      <c r="SGT33" s="545"/>
      <c r="SGU33" s="545"/>
      <c r="SGV33" s="545"/>
      <c r="SGW33" s="545"/>
      <c r="SGX33" s="545"/>
      <c r="SGY33" s="545"/>
      <c r="SGZ33" s="545"/>
      <c r="SHA33" s="545"/>
      <c r="SHB33" s="545"/>
      <c r="SHC33" s="545"/>
      <c r="SHD33" s="545"/>
      <c r="SHE33" s="545"/>
      <c r="SHF33" s="545"/>
      <c r="SHG33" s="545"/>
      <c r="SHH33" s="545"/>
      <c r="SHI33" s="545"/>
      <c r="SHJ33" s="545"/>
      <c r="SHK33" s="545"/>
      <c r="SHL33" s="545"/>
      <c r="SHM33" s="545"/>
      <c r="SHN33" s="545"/>
      <c r="SHO33" s="545"/>
      <c r="SHP33" s="545"/>
      <c r="SHQ33" s="545"/>
      <c r="SHR33" s="545"/>
      <c r="SHS33" s="545"/>
      <c r="SHT33" s="545"/>
      <c r="SHU33" s="545"/>
      <c r="SHV33" s="545"/>
      <c r="SHW33" s="545"/>
      <c r="SHX33" s="545"/>
      <c r="SHY33" s="545"/>
      <c r="SHZ33" s="545"/>
      <c r="SIA33" s="545"/>
      <c r="SIB33" s="545"/>
      <c r="SIC33" s="545"/>
      <c r="SID33" s="545"/>
      <c r="SIE33" s="545"/>
      <c r="SIF33" s="545"/>
      <c r="SIG33" s="545"/>
      <c r="SIH33" s="545"/>
      <c r="SII33" s="545"/>
      <c r="SIJ33" s="545"/>
      <c r="SIK33" s="545"/>
      <c r="SIL33" s="545"/>
      <c r="SIM33" s="545"/>
      <c r="SIN33" s="545"/>
      <c r="SIO33" s="545"/>
      <c r="SIP33" s="545"/>
      <c r="SIQ33" s="545"/>
      <c r="SIR33" s="545"/>
      <c r="SIS33" s="545"/>
      <c r="SIT33" s="545"/>
      <c r="SIU33" s="545"/>
      <c r="SIV33" s="545"/>
      <c r="SIW33" s="545"/>
      <c r="SIX33" s="545"/>
      <c r="SIY33" s="545"/>
      <c r="SIZ33" s="545"/>
      <c r="SJA33" s="545"/>
      <c r="SJB33" s="545"/>
      <c r="SJC33" s="545"/>
      <c r="SJD33" s="545"/>
      <c r="SJE33" s="545"/>
      <c r="SJF33" s="545"/>
      <c r="SJG33" s="545"/>
      <c r="SJH33" s="545"/>
      <c r="SJI33" s="545"/>
      <c r="SJJ33" s="545"/>
      <c r="SJK33" s="545"/>
      <c r="SJL33" s="545"/>
      <c r="SJM33" s="545"/>
      <c r="SJN33" s="545"/>
      <c r="SJO33" s="545"/>
      <c r="SJP33" s="545"/>
      <c r="SJQ33" s="545"/>
      <c r="SJR33" s="545"/>
      <c r="SJS33" s="545"/>
      <c r="SJT33" s="545"/>
      <c r="SJU33" s="545"/>
      <c r="SJV33" s="545"/>
      <c r="SJW33" s="545"/>
      <c r="SJX33" s="545"/>
      <c r="SJY33" s="545"/>
      <c r="SJZ33" s="545"/>
      <c r="SKA33" s="545"/>
      <c r="SKB33" s="545"/>
      <c r="SKC33" s="545"/>
      <c r="SKD33" s="545"/>
      <c r="SKE33" s="545"/>
      <c r="SKF33" s="545"/>
      <c r="SKG33" s="545"/>
      <c r="SKH33" s="545"/>
      <c r="SKI33" s="545"/>
      <c r="SKJ33" s="545"/>
      <c r="SKK33" s="545"/>
      <c r="SKL33" s="545"/>
      <c r="SKM33" s="545"/>
      <c r="SKN33" s="545"/>
      <c r="SKO33" s="545"/>
      <c r="SKP33" s="545"/>
      <c r="SKQ33" s="545"/>
      <c r="SKR33" s="545"/>
      <c r="SKS33" s="545"/>
      <c r="SKT33" s="545"/>
      <c r="SKU33" s="545"/>
      <c r="SKV33" s="545"/>
      <c r="SKW33" s="545"/>
      <c r="SKX33" s="545"/>
      <c r="SKY33" s="545"/>
      <c r="SKZ33" s="545"/>
      <c r="SLA33" s="545"/>
      <c r="SLB33" s="545"/>
      <c r="SLC33" s="545"/>
      <c r="SLD33" s="545"/>
      <c r="SLE33" s="545"/>
      <c r="SLF33" s="545"/>
      <c r="SLG33" s="545"/>
      <c r="SLH33" s="545"/>
      <c r="SLI33" s="545"/>
      <c r="SLJ33" s="545"/>
      <c r="SLK33" s="545"/>
      <c r="SLL33" s="545"/>
      <c r="SLM33" s="545"/>
      <c r="SLN33" s="545"/>
      <c r="SLO33" s="545"/>
      <c r="SLP33" s="545"/>
      <c r="SLQ33" s="545"/>
      <c r="SLR33" s="545"/>
      <c r="SLS33" s="545"/>
      <c r="SLT33" s="545"/>
      <c r="SLU33" s="545"/>
      <c r="SLV33" s="545"/>
      <c r="SLW33" s="545"/>
      <c r="SLX33" s="545"/>
      <c r="SLY33" s="545"/>
      <c r="SLZ33" s="545"/>
      <c r="SMA33" s="545"/>
      <c r="SMB33" s="545"/>
      <c r="SMC33" s="545"/>
      <c r="SMD33" s="545"/>
      <c r="SME33" s="545"/>
      <c r="SMF33" s="545"/>
      <c r="SMG33" s="545"/>
      <c r="SMH33" s="545"/>
      <c r="SMI33" s="545"/>
      <c r="SMJ33" s="545"/>
      <c r="SMK33" s="545"/>
      <c r="SML33" s="545"/>
      <c r="SMM33" s="545"/>
      <c r="SMN33" s="545"/>
      <c r="SMO33" s="545"/>
      <c r="SMP33" s="545"/>
      <c r="SMQ33" s="545"/>
      <c r="SMR33" s="545"/>
      <c r="SMS33" s="545"/>
      <c r="SMT33" s="545"/>
      <c r="SMU33" s="545"/>
      <c r="SMV33" s="545"/>
      <c r="SMW33" s="545"/>
      <c r="SMX33" s="545"/>
      <c r="SMY33" s="545"/>
      <c r="SMZ33" s="545"/>
      <c r="SNA33" s="545"/>
      <c r="SNB33" s="545"/>
      <c r="SNC33" s="545"/>
      <c r="SND33" s="545"/>
      <c r="SNE33" s="545"/>
      <c r="SNF33" s="545"/>
      <c r="SNG33" s="545"/>
      <c r="SNH33" s="545"/>
      <c r="SNI33" s="545"/>
      <c r="SNJ33" s="545"/>
      <c r="SNK33" s="545"/>
      <c r="SNL33" s="545"/>
      <c r="SNM33" s="545"/>
      <c r="SNN33" s="545"/>
      <c r="SNO33" s="545"/>
      <c r="SNP33" s="545"/>
      <c r="SNQ33" s="545"/>
      <c r="SNR33" s="545"/>
      <c r="SNS33" s="545"/>
      <c r="SNT33" s="545"/>
      <c r="SNU33" s="545"/>
      <c r="SNV33" s="545"/>
      <c r="SNW33" s="545"/>
      <c r="SNX33" s="545"/>
      <c r="SNY33" s="545"/>
      <c r="SNZ33" s="545"/>
      <c r="SOA33" s="545"/>
      <c r="SOB33" s="545"/>
      <c r="SOC33" s="545"/>
      <c r="SOD33" s="545"/>
      <c r="SOE33" s="545"/>
      <c r="SOF33" s="545"/>
      <c r="SOG33" s="545"/>
      <c r="SOH33" s="545"/>
      <c r="SOI33" s="545"/>
      <c r="SOJ33" s="545"/>
      <c r="SOK33" s="545"/>
      <c r="SOL33" s="545"/>
      <c r="SOM33" s="545"/>
      <c r="SON33" s="545"/>
      <c r="SOO33" s="545"/>
      <c r="SOP33" s="545"/>
      <c r="SOQ33" s="545"/>
      <c r="SOR33" s="545"/>
      <c r="SOS33" s="545"/>
      <c r="SOT33" s="545"/>
      <c r="SOU33" s="545"/>
      <c r="SOV33" s="545"/>
      <c r="SOW33" s="545"/>
      <c r="SOX33" s="545"/>
      <c r="SOY33" s="545"/>
      <c r="SOZ33" s="545"/>
      <c r="SPA33" s="545"/>
      <c r="SPB33" s="545"/>
      <c r="SPC33" s="545"/>
      <c r="SPD33" s="545"/>
      <c r="SPE33" s="545"/>
      <c r="SPF33" s="545"/>
      <c r="SPG33" s="545"/>
      <c r="SPH33" s="545"/>
      <c r="SPI33" s="545"/>
      <c r="SPJ33" s="545"/>
      <c r="SPK33" s="545"/>
      <c r="SPL33" s="545"/>
      <c r="SPM33" s="545"/>
      <c r="SPN33" s="545"/>
      <c r="SPO33" s="545"/>
      <c r="SPP33" s="545"/>
      <c r="SPQ33" s="545"/>
      <c r="SPR33" s="545"/>
      <c r="SPS33" s="545"/>
      <c r="SPT33" s="545"/>
      <c r="SPU33" s="545"/>
      <c r="SPV33" s="545"/>
      <c r="SPW33" s="545"/>
      <c r="SPX33" s="545"/>
      <c r="SPY33" s="545"/>
      <c r="SPZ33" s="545"/>
      <c r="SQA33" s="545"/>
      <c r="SQB33" s="545"/>
      <c r="SQC33" s="545"/>
      <c r="SQD33" s="545"/>
      <c r="SQE33" s="545"/>
      <c r="SQF33" s="545"/>
      <c r="SQG33" s="545"/>
      <c r="SQH33" s="545"/>
      <c r="SQI33" s="545"/>
      <c r="SQJ33" s="545"/>
      <c r="SQK33" s="545"/>
      <c r="SQL33" s="545"/>
      <c r="SQM33" s="545"/>
      <c r="SQN33" s="545"/>
      <c r="SQO33" s="545"/>
      <c r="SQP33" s="545"/>
      <c r="SQQ33" s="545"/>
      <c r="SQR33" s="545"/>
      <c r="SQS33" s="545"/>
      <c r="SQT33" s="545"/>
      <c r="SQU33" s="545"/>
      <c r="SQV33" s="545"/>
      <c r="SQW33" s="545"/>
      <c r="SQX33" s="545"/>
      <c r="SQY33" s="545"/>
      <c r="SQZ33" s="545"/>
      <c r="SRA33" s="545"/>
      <c r="SRB33" s="545"/>
      <c r="SRC33" s="545"/>
      <c r="SRD33" s="545"/>
      <c r="SRE33" s="545"/>
      <c r="SRF33" s="545"/>
      <c r="SRG33" s="545"/>
      <c r="SRH33" s="545"/>
      <c r="SRI33" s="545"/>
      <c r="SRJ33" s="545"/>
      <c r="SRK33" s="545"/>
      <c r="SRL33" s="545"/>
      <c r="SRM33" s="545"/>
      <c r="SRN33" s="545"/>
      <c r="SRO33" s="545"/>
      <c r="SRP33" s="545"/>
      <c r="SRQ33" s="545"/>
      <c r="SRR33" s="545"/>
      <c r="SRS33" s="545"/>
      <c r="SRT33" s="545"/>
      <c r="SRU33" s="545"/>
      <c r="SRV33" s="545"/>
      <c r="SRW33" s="545"/>
      <c r="SRX33" s="545"/>
      <c r="SRY33" s="545"/>
      <c r="SRZ33" s="545"/>
      <c r="SSA33" s="545"/>
      <c r="SSB33" s="545"/>
      <c r="SSC33" s="545"/>
      <c r="SSD33" s="545"/>
      <c r="SSE33" s="545"/>
      <c r="SSF33" s="545"/>
      <c r="SSG33" s="545"/>
      <c r="SSH33" s="545"/>
      <c r="SSI33" s="545"/>
      <c r="SSJ33" s="545"/>
      <c r="SSK33" s="545"/>
      <c r="SSL33" s="545"/>
      <c r="SSM33" s="545"/>
      <c r="SSN33" s="545"/>
      <c r="SSO33" s="545"/>
      <c r="SSP33" s="545"/>
      <c r="SSQ33" s="545"/>
      <c r="SSR33" s="545"/>
      <c r="SSS33" s="545"/>
      <c r="SST33" s="545"/>
      <c r="SSU33" s="545"/>
      <c r="SSV33" s="545"/>
      <c r="SSW33" s="545"/>
      <c r="SSX33" s="545"/>
      <c r="SSY33" s="545"/>
      <c r="SSZ33" s="545"/>
      <c r="STA33" s="545"/>
      <c r="STB33" s="545"/>
      <c r="STC33" s="545"/>
      <c r="STD33" s="545"/>
      <c r="STE33" s="545"/>
      <c r="STF33" s="545"/>
      <c r="STG33" s="545"/>
      <c r="STH33" s="545"/>
      <c r="STI33" s="545"/>
      <c r="STJ33" s="545"/>
      <c r="STK33" s="545"/>
      <c r="STL33" s="545"/>
      <c r="STM33" s="545"/>
      <c r="STN33" s="545"/>
      <c r="STO33" s="545"/>
      <c r="STP33" s="545"/>
      <c r="STQ33" s="545"/>
      <c r="STR33" s="545"/>
      <c r="STS33" s="545"/>
      <c r="STT33" s="545"/>
      <c r="STU33" s="545"/>
      <c r="STV33" s="545"/>
      <c r="STW33" s="545"/>
      <c r="STX33" s="545"/>
      <c r="STY33" s="545"/>
      <c r="STZ33" s="545"/>
      <c r="SUA33" s="545"/>
      <c r="SUB33" s="545"/>
      <c r="SUC33" s="545"/>
      <c r="SUD33" s="545"/>
      <c r="SUE33" s="545"/>
      <c r="SUF33" s="545"/>
      <c r="SUG33" s="545"/>
      <c r="SUH33" s="545"/>
      <c r="SUI33" s="545"/>
      <c r="SUJ33" s="545"/>
      <c r="SUK33" s="545"/>
      <c r="SUL33" s="545"/>
      <c r="SUM33" s="545"/>
      <c r="SUN33" s="545"/>
      <c r="SUO33" s="545"/>
      <c r="SUP33" s="545"/>
      <c r="SUQ33" s="545"/>
      <c r="SUR33" s="545"/>
      <c r="SUS33" s="545"/>
      <c r="SUT33" s="545"/>
      <c r="SUU33" s="545"/>
      <c r="SUV33" s="545"/>
      <c r="SUW33" s="545"/>
      <c r="SUX33" s="545"/>
      <c r="SUY33" s="545"/>
      <c r="SUZ33" s="545"/>
      <c r="SVA33" s="545"/>
      <c r="SVB33" s="545"/>
      <c r="SVC33" s="545"/>
      <c r="SVD33" s="545"/>
      <c r="SVE33" s="545"/>
      <c r="SVF33" s="545"/>
      <c r="SVG33" s="545"/>
      <c r="SVH33" s="545"/>
      <c r="SVI33" s="545"/>
      <c r="SVJ33" s="545"/>
      <c r="SVK33" s="545"/>
      <c r="SVL33" s="545"/>
      <c r="SVM33" s="545"/>
      <c r="SVN33" s="545"/>
      <c r="SVO33" s="545"/>
      <c r="SVP33" s="545"/>
      <c r="SVQ33" s="545"/>
      <c r="SVR33" s="545"/>
      <c r="SVS33" s="545"/>
      <c r="SVT33" s="545"/>
      <c r="SVU33" s="545"/>
      <c r="SVV33" s="545"/>
      <c r="SVW33" s="545"/>
      <c r="SVX33" s="545"/>
      <c r="SVY33" s="545"/>
      <c r="SVZ33" s="545"/>
      <c r="SWA33" s="545"/>
      <c r="SWB33" s="545"/>
      <c r="SWC33" s="545"/>
      <c r="SWD33" s="545"/>
      <c r="SWE33" s="545"/>
      <c r="SWF33" s="545"/>
      <c r="SWG33" s="545"/>
      <c r="SWH33" s="545"/>
      <c r="SWI33" s="545"/>
      <c r="SWJ33" s="545"/>
      <c r="SWK33" s="545"/>
      <c r="SWL33" s="545"/>
      <c r="SWM33" s="545"/>
      <c r="SWN33" s="545"/>
      <c r="SWO33" s="545"/>
      <c r="SWP33" s="545"/>
      <c r="SWQ33" s="545"/>
      <c r="SWR33" s="545"/>
      <c r="SWS33" s="545"/>
      <c r="SWT33" s="545"/>
      <c r="SWU33" s="545"/>
      <c r="SWV33" s="545"/>
      <c r="SWW33" s="545"/>
      <c r="SWX33" s="545"/>
      <c r="SWY33" s="545"/>
      <c r="SWZ33" s="545"/>
      <c r="SXA33" s="545"/>
      <c r="SXB33" s="545"/>
      <c r="SXC33" s="545"/>
      <c r="SXD33" s="545"/>
      <c r="SXE33" s="545"/>
      <c r="SXF33" s="545"/>
      <c r="SXG33" s="545"/>
      <c r="SXH33" s="545"/>
      <c r="SXI33" s="545"/>
      <c r="SXJ33" s="545"/>
      <c r="SXK33" s="545"/>
      <c r="SXL33" s="545"/>
      <c r="SXM33" s="545"/>
      <c r="SXN33" s="545"/>
      <c r="SXO33" s="545"/>
      <c r="SXP33" s="545"/>
      <c r="SXQ33" s="545"/>
      <c r="SXR33" s="545"/>
      <c r="SXS33" s="545"/>
      <c r="SXT33" s="545"/>
      <c r="SXU33" s="545"/>
      <c r="SXV33" s="545"/>
      <c r="SXW33" s="545"/>
      <c r="SXX33" s="545"/>
      <c r="SXY33" s="545"/>
      <c r="SXZ33" s="545"/>
      <c r="SYA33" s="545"/>
      <c r="SYB33" s="545"/>
      <c r="SYC33" s="545"/>
      <c r="SYD33" s="545"/>
      <c r="SYE33" s="545"/>
      <c r="SYF33" s="545"/>
      <c r="SYG33" s="545"/>
      <c r="SYH33" s="545"/>
      <c r="SYI33" s="545"/>
      <c r="SYJ33" s="545"/>
      <c r="SYK33" s="545"/>
      <c r="SYL33" s="545"/>
      <c r="SYM33" s="545"/>
      <c r="SYN33" s="545"/>
      <c r="SYO33" s="545"/>
      <c r="SYP33" s="545"/>
      <c r="SYQ33" s="545"/>
      <c r="SYR33" s="545"/>
      <c r="SYS33" s="545"/>
      <c r="SYT33" s="545"/>
      <c r="SYU33" s="545"/>
      <c r="SYV33" s="545"/>
      <c r="SYW33" s="545"/>
      <c r="SYX33" s="545"/>
      <c r="SYY33" s="545"/>
      <c r="SYZ33" s="545"/>
      <c r="SZA33" s="545"/>
      <c r="SZB33" s="545"/>
      <c r="SZC33" s="545"/>
      <c r="SZD33" s="545"/>
      <c r="SZE33" s="545"/>
      <c r="SZF33" s="545"/>
      <c r="SZG33" s="545"/>
      <c r="SZH33" s="545"/>
      <c r="SZI33" s="545"/>
      <c r="SZJ33" s="545"/>
      <c r="SZK33" s="545"/>
      <c r="SZL33" s="545"/>
      <c r="SZM33" s="545"/>
      <c r="SZN33" s="545"/>
      <c r="SZO33" s="545"/>
      <c r="SZP33" s="545"/>
      <c r="SZQ33" s="545"/>
      <c r="SZR33" s="545"/>
      <c r="SZS33" s="545"/>
      <c r="SZT33" s="545"/>
      <c r="SZU33" s="545"/>
      <c r="SZV33" s="545"/>
      <c r="SZW33" s="545"/>
      <c r="SZX33" s="545"/>
      <c r="SZY33" s="545"/>
      <c r="SZZ33" s="545"/>
      <c r="TAA33" s="545"/>
      <c r="TAB33" s="545"/>
      <c r="TAC33" s="545"/>
      <c r="TAD33" s="545"/>
      <c r="TAE33" s="545"/>
      <c r="TAF33" s="545"/>
      <c r="TAG33" s="545"/>
      <c r="TAH33" s="545"/>
      <c r="TAI33" s="545"/>
      <c r="TAJ33" s="545"/>
      <c r="TAK33" s="545"/>
      <c r="TAL33" s="545"/>
      <c r="TAM33" s="545"/>
      <c r="TAN33" s="545"/>
      <c r="TAO33" s="545"/>
      <c r="TAP33" s="545"/>
      <c r="TAQ33" s="545"/>
      <c r="TAR33" s="545"/>
      <c r="TAS33" s="545"/>
      <c r="TAT33" s="545"/>
      <c r="TAU33" s="545"/>
      <c r="TAV33" s="545"/>
      <c r="TAW33" s="545"/>
      <c r="TAX33" s="545"/>
      <c r="TAY33" s="545"/>
      <c r="TAZ33" s="545"/>
      <c r="TBA33" s="545"/>
      <c r="TBB33" s="545"/>
      <c r="TBC33" s="545"/>
      <c r="TBD33" s="545"/>
      <c r="TBE33" s="545"/>
      <c r="TBF33" s="545"/>
      <c r="TBG33" s="545"/>
      <c r="TBH33" s="545"/>
      <c r="TBI33" s="545"/>
      <c r="TBJ33" s="545"/>
      <c r="TBK33" s="545"/>
      <c r="TBL33" s="545"/>
      <c r="TBM33" s="545"/>
      <c r="TBN33" s="545"/>
      <c r="TBO33" s="545"/>
      <c r="TBP33" s="545"/>
      <c r="TBQ33" s="545"/>
      <c r="TBR33" s="545"/>
      <c r="TBS33" s="545"/>
      <c r="TBT33" s="545"/>
      <c r="TBU33" s="545"/>
      <c r="TBV33" s="545"/>
      <c r="TBW33" s="545"/>
      <c r="TBX33" s="545"/>
      <c r="TBY33" s="545"/>
      <c r="TBZ33" s="545"/>
      <c r="TCA33" s="545"/>
      <c r="TCB33" s="545"/>
      <c r="TCC33" s="545"/>
      <c r="TCD33" s="545"/>
      <c r="TCE33" s="545"/>
      <c r="TCF33" s="545"/>
      <c r="TCG33" s="545"/>
      <c r="TCH33" s="545"/>
      <c r="TCI33" s="545"/>
      <c r="TCJ33" s="545"/>
      <c r="TCK33" s="545"/>
      <c r="TCL33" s="545"/>
      <c r="TCM33" s="545"/>
      <c r="TCN33" s="545"/>
      <c r="TCO33" s="545"/>
      <c r="TCP33" s="545"/>
      <c r="TCQ33" s="545"/>
      <c r="TCR33" s="545"/>
      <c r="TCS33" s="545"/>
      <c r="TCT33" s="545"/>
      <c r="TCU33" s="545"/>
      <c r="TCV33" s="545"/>
      <c r="TCW33" s="545"/>
      <c r="TCX33" s="545"/>
      <c r="TCY33" s="545"/>
      <c r="TCZ33" s="545"/>
      <c r="TDA33" s="545"/>
      <c r="TDB33" s="545"/>
      <c r="TDC33" s="545"/>
      <c r="TDD33" s="545"/>
      <c r="TDE33" s="545"/>
      <c r="TDF33" s="545"/>
      <c r="TDG33" s="545"/>
      <c r="TDH33" s="545"/>
      <c r="TDI33" s="545"/>
      <c r="TDJ33" s="545"/>
      <c r="TDK33" s="545"/>
      <c r="TDL33" s="545"/>
      <c r="TDM33" s="545"/>
      <c r="TDN33" s="545"/>
      <c r="TDO33" s="545"/>
      <c r="TDP33" s="545"/>
      <c r="TDQ33" s="545"/>
      <c r="TDR33" s="545"/>
      <c r="TDS33" s="545"/>
      <c r="TDT33" s="545"/>
      <c r="TDU33" s="545"/>
      <c r="TDV33" s="545"/>
      <c r="TDW33" s="545"/>
      <c r="TDX33" s="545"/>
      <c r="TDY33" s="545"/>
      <c r="TDZ33" s="545"/>
      <c r="TEA33" s="545"/>
      <c r="TEB33" s="545"/>
      <c r="TEC33" s="545"/>
      <c r="TED33" s="545"/>
      <c r="TEE33" s="545"/>
      <c r="TEF33" s="545"/>
      <c r="TEG33" s="545"/>
      <c r="TEH33" s="545"/>
      <c r="TEI33" s="545"/>
      <c r="TEJ33" s="545"/>
      <c r="TEK33" s="545"/>
      <c r="TEL33" s="545"/>
      <c r="TEM33" s="545"/>
      <c r="TEN33" s="545"/>
      <c r="TEO33" s="545"/>
      <c r="TEP33" s="545"/>
      <c r="TEQ33" s="545"/>
      <c r="TER33" s="545"/>
      <c r="TES33" s="545"/>
      <c r="TET33" s="545"/>
      <c r="TEU33" s="545"/>
      <c r="TEV33" s="545"/>
      <c r="TEW33" s="545"/>
      <c r="TEX33" s="545"/>
      <c r="TEY33" s="545"/>
      <c r="TEZ33" s="545"/>
      <c r="TFA33" s="545"/>
      <c r="TFB33" s="545"/>
      <c r="TFC33" s="545"/>
      <c r="TFD33" s="545"/>
      <c r="TFE33" s="545"/>
      <c r="TFF33" s="545"/>
      <c r="TFG33" s="545"/>
      <c r="TFH33" s="545"/>
      <c r="TFI33" s="545"/>
      <c r="TFJ33" s="545"/>
      <c r="TFK33" s="545"/>
      <c r="TFL33" s="545"/>
      <c r="TFM33" s="545"/>
      <c r="TFN33" s="545"/>
      <c r="TFO33" s="545"/>
      <c r="TFP33" s="545"/>
      <c r="TFQ33" s="545"/>
      <c r="TFR33" s="545"/>
      <c r="TFS33" s="545"/>
      <c r="TFT33" s="545"/>
      <c r="TFU33" s="545"/>
      <c r="TFV33" s="545"/>
      <c r="TFW33" s="545"/>
      <c r="TFX33" s="545"/>
      <c r="TFY33" s="545"/>
      <c r="TFZ33" s="545"/>
      <c r="TGA33" s="545"/>
      <c r="TGB33" s="545"/>
      <c r="TGC33" s="545"/>
      <c r="TGD33" s="545"/>
      <c r="TGE33" s="545"/>
      <c r="TGF33" s="545"/>
      <c r="TGG33" s="545"/>
      <c r="TGH33" s="545"/>
      <c r="TGI33" s="545"/>
      <c r="TGJ33" s="545"/>
      <c r="TGK33" s="545"/>
      <c r="TGL33" s="545"/>
      <c r="TGM33" s="545"/>
      <c r="TGN33" s="545"/>
      <c r="TGO33" s="545"/>
      <c r="TGP33" s="545"/>
      <c r="TGQ33" s="545"/>
      <c r="TGR33" s="545"/>
      <c r="TGS33" s="545"/>
      <c r="TGT33" s="545"/>
      <c r="TGU33" s="545"/>
      <c r="TGV33" s="545"/>
      <c r="TGW33" s="545"/>
      <c r="TGX33" s="545"/>
      <c r="TGY33" s="545"/>
      <c r="TGZ33" s="545"/>
      <c r="THA33" s="545"/>
      <c r="THB33" s="545"/>
      <c r="THC33" s="545"/>
      <c r="THD33" s="545"/>
      <c r="THE33" s="545"/>
      <c r="THF33" s="545"/>
      <c r="THG33" s="545"/>
      <c r="THH33" s="545"/>
      <c r="THI33" s="545"/>
      <c r="THJ33" s="545"/>
      <c r="THK33" s="545"/>
      <c r="THL33" s="545"/>
      <c r="THM33" s="545"/>
      <c r="THN33" s="545"/>
      <c r="THO33" s="545"/>
      <c r="THP33" s="545"/>
      <c r="THQ33" s="545"/>
      <c r="THR33" s="545"/>
      <c r="THS33" s="545"/>
      <c r="THT33" s="545"/>
      <c r="THU33" s="545"/>
      <c r="THV33" s="545"/>
      <c r="THW33" s="545"/>
      <c r="THX33" s="545"/>
      <c r="THY33" s="545"/>
      <c r="THZ33" s="545"/>
      <c r="TIA33" s="545"/>
      <c r="TIB33" s="545"/>
      <c r="TIC33" s="545"/>
      <c r="TID33" s="545"/>
      <c r="TIE33" s="545"/>
      <c r="TIF33" s="545"/>
      <c r="TIG33" s="545"/>
      <c r="TIH33" s="545"/>
      <c r="TII33" s="545"/>
      <c r="TIJ33" s="545"/>
      <c r="TIK33" s="545"/>
      <c r="TIL33" s="545"/>
      <c r="TIM33" s="545"/>
      <c r="TIN33" s="545"/>
      <c r="TIO33" s="545"/>
      <c r="TIP33" s="545"/>
      <c r="TIQ33" s="545"/>
      <c r="TIR33" s="545"/>
      <c r="TIS33" s="545"/>
      <c r="TIT33" s="545"/>
      <c r="TIU33" s="545"/>
      <c r="TIV33" s="545"/>
      <c r="TIW33" s="545"/>
      <c r="TIX33" s="545"/>
      <c r="TIY33" s="545"/>
      <c r="TIZ33" s="545"/>
      <c r="TJA33" s="545"/>
      <c r="TJB33" s="545"/>
      <c r="TJC33" s="545"/>
      <c r="TJD33" s="545"/>
      <c r="TJE33" s="545"/>
      <c r="TJF33" s="545"/>
      <c r="TJG33" s="545"/>
      <c r="TJH33" s="545"/>
      <c r="TJI33" s="545"/>
      <c r="TJJ33" s="545"/>
      <c r="TJK33" s="545"/>
      <c r="TJL33" s="545"/>
      <c r="TJM33" s="545"/>
      <c r="TJN33" s="545"/>
      <c r="TJO33" s="545"/>
      <c r="TJP33" s="545"/>
      <c r="TJQ33" s="545"/>
      <c r="TJR33" s="545"/>
      <c r="TJS33" s="545"/>
      <c r="TJT33" s="545"/>
      <c r="TJU33" s="545"/>
      <c r="TJV33" s="545"/>
      <c r="TJW33" s="545"/>
      <c r="TJX33" s="545"/>
      <c r="TJY33" s="545"/>
      <c r="TJZ33" s="545"/>
      <c r="TKA33" s="545"/>
      <c r="TKB33" s="545"/>
      <c r="TKC33" s="545"/>
      <c r="TKD33" s="545"/>
      <c r="TKE33" s="545"/>
      <c r="TKF33" s="545"/>
      <c r="TKG33" s="545"/>
      <c r="TKH33" s="545"/>
      <c r="TKI33" s="545"/>
      <c r="TKJ33" s="545"/>
      <c r="TKK33" s="545"/>
      <c r="TKL33" s="545"/>
      <c r="TKM33" s="545"/>
      <c r="TKN33" s="545"/>
      <c r="TKO33" s="545"/>
      <c r="TKP33" s="545"/>
      <c r="TKQ33" s="545"/>
      <c r="TKR33" s="545"/>
      <c r="TKS33" s="545"/>
      <c r="TKT33" s="545"/>
      <c r="TKU33" s="545"/>
      <c r="TKV33" s="545"/>
      <c r="TKW33" s="545"/>
      <c r="TKX33" s="545"/>
      <c r="TKY33" s="545"/>
      <c r="TKZ33" s="545"/>
      <c r="TLA33" s="545"/>
      <c r="TLB33" s="545"/>
      <c r="TLC33" s="545"/>
      <c r="TLD33" s="545"/>
      <c r="TLE33" s="545"/>
      <c r="TLF33" s="545"/>
      <c r="TLG33" s="545"/>
      <c r="TLH33" s="545"/>
      <c r="TLI33" s="545"/>
      <c r="TLJ33" s="545"/>
      <c r="TLK33" s="545"/>
      <c r="TLL33" s="545"/>
      <c r="TLM33" s="545"/>
      <c r="TLN33" s="545"/>
      <c r="TLO33" s="545"/>
      <c r="TLP33" s="545"/>
      <c r="TLQ33" s="545"/>
      <c r="TLR33" s="545"/>
      <c r="TLS33" s="545"/>
      <c r="TLT33" s="545"/>
      <c r="TLU33" s="545"/>
      <c r="TLV33" s="545"/>
      <c r="TLW33" s="545"/>
      <c r="TLX33" s="545"/>
      <c r="TLY33" s="545"/>
      <c r="TLZ33" s="545"/>
      <c r="TMA33" s="545"/>
      <c r="TMB33" s="545"/>
      <c r="TMC33" s="545"/>
      <c r="TMD33" s="545"/>
      <c r="TME33" s="545"/>
      <c r="TMF33" s="545"/>
      <c r="TMG33" s="545"/>
      <c r="TMH33" s="545"/>
      <c r="TMI33" s="545"/>
      <c r="TMJ33" s="545"/>
      <c r="TMK33" s="545"/>
      <c r="TML33" s="545"/>
      <c r="TMM33" s="545"/>
      <c r="TMN33" s="545"/>
      <c r="TMO33" s="545"/>
      <c r="TMP33" s="545"/>
      <c r="TMQ33" s="545"/>
      <c r="TMR33" s="545"/>
      <c r="TMS33" s="545"/>
      <c r="TMT33" s="545"/>
      <c r="TMU33" s="545"/>
      <c r="TMV33" s="545"/>
      <c r="TMW33" s="545"/>
      <c r="TMX33" s="545"/>
      <c r="TMY33" s="545"/>
      <c r="TMZ33" s="545"/>
      <c r="TNA33" s="545"/>
      <c r="TNB33" s="545"/>
      <c r="TNC33" s="545"/>
      <c r="TND33" s="545"/>
      <c r="TNE33" s="545"/>
      <c r="TNF33" s="545"/>
      <c r="TNG33" s="545"/>
      <c r="TNH33" s="545"/>
      <c r="TNI33" s="545"/>
      <c r="TNJ33" s="545"/>
      <c r="TNK33" s="545"/>
      <c r="TNL33" s="545"/>
      <c r="TNM33" s="545"/>
      <c r="TNN33" s="545"/>
      <c r="TNO33" s="545"/>
      <c r="TNP33" s="545"/>
      <c r="TNQ33" s="545"/>
      <c r="TNR33" s="545"/>
      <c r="TNS33" s="545"/>
      <c r="TNT33" s="545"/>
      <c r="TNU33" s="545"/>
      <c r="TNV33" s="545"/>
      <c r="TNW33" s="545"/>
      <c r="TNX33" s="545"/>
      <c r="TNY33" s="545"/>
      <c r="TNZ33" s="545"/>
      <c r="TOA33" s="545"/>
      <c r="TOB33" s="545"/>
      <c r="TOC33" s="545"/>
      <c r="TOD33" s="545"/>
      <c r="TOE33" s="545"/>
      <c r="TOF33" s="545"/>
      <c r="TOG33" s="545"/>
      <c r="TOH33" s="545"/>
      <c r="TOI33" s="545"/>
      <c r="TOJ33" s="545"/>
      <c r="TOK33" s="545"/>
      <c r="TOL33" s="545"/>
      <c r="TOM33" s="545"/>
      <c r="TON33" s="545"/>
      <c r="TOO33" s="545"/>
      <c r="TOP33" s="545"/>
      <c r="TOQ33" s="545"/>
      <c r="TOR33" s="545"/>
      <c r="TOS33" s="545"/>
      <c r="TOT33" s="545"/>
      <c r="TOU33" s="545"/>
      <c r="TOV33" s="545"/>
      <c r="TOW33" s="545"/>
      <c r="TOX33" s="545"/>
      <c r="TOY33" s="545"/>
      <c r="TOZ33" s="545"/>
      <c r="TPA33" s="545"/>
      <c r="TPB33" s="545"/>
      <c r="TPC33" s="545"/>
      <c r="TPD33" s="545"/>
      <c r="TPE33" s="545"/>
      <c r="TPF33" s="545"/>
      <c r="TPG33" s="545"/>
      <c r="TPH33" s="545"/>
      <c r="TPI33" s="545"/>
      <c r="TPJ33" s="545"/>
      <c r="TPK33" s="545"/>
      <c r="TPL33" s="545"/>
      <c r="TPM33" s="545"/>
      <c r="TPN33" s="545"/>
      <c r="TPO33" s="545"/>
      <c r="TPP33" s="545"/>
      <c r="TPQ33" s="545"/>
      <c r="TPR33" s="545"/>
      <c r="TPS33" s="545"/>
      <c r="TPT33" s="545"/>
      <c r="TPU33" s="545"/>
      <c r="TPV33" s="545"/>
      <c r="TPW33" s="545"/>
      <c r="TPX33" s="545"/>
      <c r="TPY33" s="545"/>
      <c r="TPZ33" s="545"/>
      <c r="TQA33" s="545"/>
      <c r="TQB33" s="545"/>
      <c r="TQC33" s="545"/>
      <c r="TQD33" s="545"/>
      <c r="TQE33" s="545"/>
      <c r="TQF33" s="545"/>
      <c r="TQG33" s="545"/>
      <c r="TQH33" s="545"/>
      <c r="TQI33" s="545"/>
      <c r="TQJ33" s="545"/>
      <c r="TQK33" s="545"/>
      <c r="TQL33" s="545"/>
      <c r="TQM33" s="545"/>
      <c r="TQN33" s="545"/>
      <c r="TQO33" s="545"/>
      <c r="TQP33" s="545"/>
      <c r="TQQ33" s="545"/>
      <c r="TQR33" s="545"/>
      <c r="TQS33" s="545"/>
      <c r="TQT33" s="545"/>
      <c r="TQU33" s="545"/>
      <c r="TQV33" s="545"/>
      <c r="TQW33" s="545"/>
      <c r="TQX33" s="545"/>
      <c r="TQY33" s="545"/>
      <c r="TQZ33" s="545"/>
      <c r="TRA33" s="545"/>
      <c r="TRB33" s="545"/>
      <c r="TRC33" s="545"/>
      <c r="TRD33" s="545"/>
      <c r="TRE33" s="545"/>
      <c r="TRF33" s="545"/>
      <c r="TRG33" s="545"/>
      <c r="TRH33" s="545"/>
      <c r="TRI33" s="545"/>
      <c r="TRJ33" s="545"/>
      <c r="TRK33" s="545"/>
      <c r="TRL33" s="545"/>
      <c r="TRM33" s="545"/>
      <c r="TRN33" s="545"/>
      <c r="TRO33" s="545"/>
      <c r="TRP33" s="545"/>
      <c r="TRQ33" s="545"/>
      <c r="TRR33" s="545"/>
      <c r="TRS33" s="545"/>
      <c r="TRT33" s="545"/>
      <c r="TRU33" s="545"/>
      <c r="TRV33" s="545"/>
      <c r="TRW33" s="545"/>
      <c r="TRX33" s="545"/>
      <c r="TRY33" s="545"/>
      <c r="TRZ33" s="545"/>
      <c r="TSA33" s="545"/>
      <c r="TSB33" s="545"/>
      <c r="TSC33" s="545"/>
      <c r="TSD33" s="545"/>
      <c r="TSE33" s="545"/>
      <c r="TSF33" s="545"/>
      <c r="TSG33" s="545"/>
      <c r="TSH33" s="545"/>
      <c r="TSI33" s="545"/>
      <c r="TSJ33" s="545"/>
      <c r="TSK33" s="545"/>
      <c r="TSL33" s="545"/>
      <c r="TSM33" s="545"/>
      <c r="TSN33" s="545"/>
      <c r="TSO33" s="545"/>
      <c r="TSP33" s="545"/>
      <c r="TSQ33" s="545"/>
      <c r="TSR33" s="545"/>
      <c r="TSS33" s="545"/>
      <c r="TST33" s="545"/>
      <c r="TSU33" s="545"/>
      <c r="TSV33" s="545"/>
      <c r="TSW33" s="545"/>
      <c r="TSX33" s="545"/>
      <c r="TSY33" s="545"/>
      <c r="TSZ33" s="545"/>
      <c r="TTA33" s="545"/>
      <c r="TTB33" s="545"/>
      <c r="TTC33" s="545"/>
      <c r="TTD33" s="545"/>
      <c r="TTE33" s="545"/>
      <c r="TTF33" s="545"/>
      <c r="TTG33" s="545"/>
      <c r="TTH33" s="545"/>
      <c r="TTI33" s="545"/>
      <c r="TTJ33" s="545"/>
      <c r="TTK33" s="545"/>
      <c r="TTL33" s="545"/>
      <c r="TTM33" s="545"/>
      <c r="TTN33" s="545"/>
      <c r="TTO33" s="545"/>
      <c r="TTP33" s="545"/>
      <c r="TTQ33" s="545"/>
      <c r="TTR33" s="545"/>
      <c r="TTS33" s="545"/>
      <c r="TTT33" s="545"/>
      <c r="TTU33" s="545"/>
      <c r="TTV33" s="545"/>
      <c r="TTW33" s="545"/>
      <c r="TTX33" s="545"/>
      <c r="TTY33" s="545"/>
      <c r="TTZ33" s="545"/>
      <c r="TUA33" s="545"/>
      <c r="TUB33" s="545"/>
      <c r="TUC33" s="545"/>
      <c r="TUD33" s="545"/>
      <c r="TUE33" s="545"/>
      <c r="TUF33" s="545"/>
      <c r="TUG33" s="545"/>
      <c r="TUH33" s="545"/>
      <c r="TUI33" s="545"/>
      <c r="TUJ33" s="545"/>
      <c r="TUK33" s="545"/>
      <c r="TUL33" s="545"/>
      <c r="TUM33" s="545"/>
      <c r="TUN33" s="545"/>
      <c r="TUO33" s="545"/>
      <c r="TUP33" s="545"/>
      <c r="TUQ33" s="545"/>
      <c r="TUR33" s="545"/>
      <c r="TUS33" s="545"/>
      <c r="TUT33" s="545"/>
      <c r="TUU33" s="545"/>
      <c r="TUV33" s="545"/>
      <c r="TUW33" s="545"/>
      <c r="TUX33" s="545"/>
      <c r="TUY33" s="545"/>
      <c r="TUZ33" s="545"/>
      <c r="TVA33" s="545"/>
      <c r="TVB33" s="545"/>
      <c r="TVC33" s="545"/>
      <c r="TVD33" s="545"/>
      <c r="TVE33" s="545"/>
      <c r="TVF33" s="545"/>
      <c r="TVG33" s="545"/>
      <c r="TVH33" s="545"/>
      <c r="TVI33" s="545"/>
      <c r="TVJ33" s="545"/>
      <c r="TVK33" s="545"/>
      <c r="TVL33" s="545"/>
      <c r="TVM33" s="545"/>
      <c r="TVN33" s="545"/>
      <c r="TVO33" s="545"/>
      <c r="TVP33" s="545"/>
      <c r="TVQ33" s="545"/>
      <c r="TVR33" s="545"/>
      <c r="TVS33" s="545"/>
      <c r="TVT33" s="545"/>
      <c r="TVU33" s="545"/>
      <c r="TVV33" s="545"/>
      <c r="TVW33" s="545"/>
      <c r="TVX33" s="545"/>
      <c r="TVY33" s="545"/>
      <c r="TVZ33" s="545"/>
      <c r="TWA33" s="545"/>
      <c r="TWB33" s="545"/>
      <c r="TWC33" s="545"/>
      <c r="TWD33" s="545"/>
      <c r="TWE33" s="545"/>
      <c r="TWF33" s="545"/>
      <c r="TWG33" s="545"/>
      <c r="TWH33" s="545"/>
      <c r="TWI33" s="545"/>
      <c r="TWJ33" s="545"/>
      <c r="TWK33" s="545"/>
      <c r="TWL33" s="545"/>
      <c r="TWM33" s="545"/>
      <c r="TWN33" s="545"/>
      <c r="TWO33" s="545"/>
      <c r="TWP33" s="545"/>
      <c r="TWQ33" s="545"/>
      <c r="TWR33" s="545"/>
      <c r="TWS33" s="545"/>
      <c r="TWT33" s="545"/>
      <c r="TWU33" s="545"/>
      <c r="TWV33" s="545"/>
      <c r="TWW33" s="545"/>
      <c r="TWX33" s="545"/>
      <c r="TWY33" s="545"/>
      <c r="TWZ33" s="545"/>
      <c r="TXA33" s="545"/>
      <c r="TXB33" s="545"/>
      <c r="TXC33" s="545"/>
      <c r="TXD33" s="545"/>
      <c r="TXE33" s="545"/>
      <c r="TXF33" s="545"/>
      <c r="TXG33" s="545"/>
      <c r="TXH33" s="545"/>
      <c r="TXI33" s="545"/>
      <c r="TXJ33" s="545"/>
      <c r="TXK33" s="545"/>
      <c r="TXL33" s="545"/>
      <c r="TXM33" s="545"/>
      <c r="TXN33" s="545"/>
      <c r="TXO33" s="545"/>
      <c r="TXP33" s="545"/>
      <c r="TXQ33" s="545"/>
      <c r="TXR33" s="545"/>
      <c r="TXS33" s="545"/>
      <c r="TXT33" s="545"/>
      <c r="TXU33" s="545"/>
      <c r="TXV33" s="545"/>
      <c r="TXW33" s="545"/>
      <c r="TXX33" s="545"/>
      <c r="TXY33" s="545"/>
      <c r="TXZ33" s="545"/>
      <c r="TYA33" s="545"/>
      <c r="TYB33" s="545"/>
      <c r="TYC33" s="545"/>
      <c r="TYD33" s="545"/>
      <c r="TYE33" s="545"/>
      <c r="TYF33" s="545"/>
      <c r="TYG33" s="545"/>
      <c r="TYH33" s="545"/>
      <c r="TYI33" s="545"/>
      <c r="TYJ33" s="545"/>
      <c r="TYK33" s="545"/>
      <c r="TYL33" s="545"/>
      <c r="TYM33" s="545"/>
      <c r="TYN33" s="545"/>
      <c r="TYO33" s="545"/>
      <c r="TYP33" s="545"/>
      <c r="TYQ33" s="545"/>
      <c r="TYR33" s="545"/>
      <c r="TYS33" s="545"/>
      <c r="TYT33" s="545"/>
      <c r="TYU33" s="545"/>
      <c r="TYV33" s="545"/>
      <c r="TYW33" s="545"/>
      <c r="TYX33" s="545"/>
      <c r="TYY33" s="545"/>
      <c r="TYZ33" s="545"/>
      <c r="TZA33" s="545"/>
      <c r="TZB33" s="545"/>
      <c r="TZC33" s="545"/>
      <c r="TZD33" s="545"/>
      <c r="TZE33" s="545"/>
      <c r="TZF33" s="545"/>
      <c r="TZG33" s="545"/>
      <c r="TZH33" s="545"/>
      <c r="TZI33" s="545"/>
      <c r="TZJ33" s="545"/>
      <c r="TZK33" s="545"/>
      <c r="TZL33" s="545"/>
      <c r="TZM33" s="545"/>
      <c r="TZN33" s="545"/>
      <c r="TZO33" s="545"/>
      <c r="TZP33" s="545"/>
      <c r="TZQ33" s="545"/>
      <c r="TZR33" s="545"/>
      <c r="TZS33" s="545"/>
      <c r="TZT33" s="545"/>
      <c r="TZU33" s="545"/>
      <c r="TZV33" s="545"/>
      <c r="TZW33" s="545"/>
      <c r="TZX33" s="545"/>
      <c r="TZY33" s="545"/>
      <c r="TZZ33" s="545"/>
      <c r="UAA33" s="545"/>
      <c r="UAB33" s="545"/>
      <c r="UAC33" s="545"/>
      <c r="UAD33" s="545"/>
      <c r="UAE33" s="545"/>
      <c r="UAF33" s="545"/>
      <c r="UAG33" s="545"/>
      <c r="UAH33" s="545"/>
      <c r="UAI33" s="545"/>
      <c r="UAJ33" s="545"/>
      <c r="UAK33" s="545"/>
      <c r="UAL33" s="545"/>
      <c r="UAM33" s="545"/>
      <c r="UAN33" s="545"/>
      <c r="UAO33" s="545"/>
      <c r="UAP33" s="545"/>
      <c r="UAQ33" s="545"/>
      <c r="UAR33" s="545"/>
      <c r="UAS33" s="545"/>
      <c r="UAT33" s="545"/>
      <c r="UAU33" s="545"/>
      <c r="UAV33" s="545"/>
      <c r="UAW33" s="545"/>
      <c r="UAX33" s="545"/>
      <c r="UAY33" s="545"/>
      <c r="UAZ33" s="545"/>
      <c r="UBA33" s="545"/>
      <c r="UBB33" s="545"/>
      <c r="UBC33" s="545"/>
      <c r="UBD33" s="545"/>
      <c r="UBE33" s="545"/>
      <c r="UBF33" s="545"/>
      <c r="UBG33" s="545"/>
      <c r="UBH33" s="545"/>
      <c r="UBI33" s="545"/>
      <c r="UBJ33" s="545"/>
      <c r="UBK33" s="545"/>
      <c r="UBL33" s="545"/>
      <c r="UBM33" s="545"/>
      <c r="UBN33" s="545"/>
      <c r="UBO33" s="545"/>
      <c r="UBP33" s="545"/>
      <c r="UBQ33" s="545"/>
      <c r="UBR33" s="545"/>
      <c r="UBS33" s="545"/>
      <c r="UBT33" s="545"/>
      <c r="UBU33" s="545"/>
      <c r="UBV33" s="545"/>
      <c r="UBW33" s="545"/>
      <c r="UBX33" s="545"/>
      <c r="UBY33" s="545"/>
      <c r="UBZ33" s="545"/>
      <c r="UCA33" s="545"/>
      <c r="UCB33" s="545"/>
      <c r="UCC33" s="545"/>
      <c r="UCD33" s="545"/>
      <c r="UCE33" s="545"/>
      <c r="UCF33" s="545"/>
      <c r="UCG33" s="545"/>
      <c r="UCH33" s="545"/>
      <c r="UCI33" s="545"/>
      <c r="UCJ33" s="545"/>
      <c r="UCK33" s="545"/>
      <c r="UCL33" s="545"/>
      <c r="UCM33" s="545"/>
      <c r="UCN33" s="545"/>
      <c r="UCO33" s="545"/>
      <c r="UCP33" s="545"/>
      <c r="UCQ33" s="545"/>
      <c r="UCR33" s="545"/>
      <c r="UCS33" s="545"/>
      <c r="UCT33" s="545"/>
      <c r="UCU33" s="545"/>
      <c r="UCV33" s="545"/>
      <c r="UCW33" s="545"/>
      <c r="UCX33" s="545"/>
      <c r="UCY33" s="545"/>
      <c r="UCZ33" s="545"/>
      <c r="UDA33" s="545"/>
      <c r="UDB33" s="545"/>
      <c r="UDC33" s="545"/>
      <c r="UDD33" s="545"/>
      <c r="UDE33" s="545"/>
      <c r="UDF33" s="545"/>
      <c r="UDG33" s="545"/>
      <c r="UDH33" s="545"/>
      <c r="UDI33" s="545"/>
      <c r="UDJ33" s="545"/>
      <c r="UDK33" s="545"/>
      <c r="UDL33" s="545"/>
      <c r="UDM33" s="545"/>
      <c r="UDN33" s="545"/>
      <c r="UDO33" s="545"/>
      <c r="UDP33" s="545"/>
      <c r="UDQ33" s="545"/>
      <c r="UDR33" s="545"/>
      <c r="UDS33" s="545"/>
      <c r="UDT33" s="545"/>
      <c r="UDU33" s="545"/>
      <c r="UDV33" s="545"/>
      <c r="UDW33" s="545"/>
      <c r="UDX33" s="545"/>
      <c r="UDY33" s="545"/>
      <c r="UDZ33" s="545"/>
      <c r="UEA33" s="545"/>
      <c r="UEB33" s="545"/>
      <c r="UEC33" s="545"/>
      <c r="UED33" s="545"/>
      <c r="UEE33" s="545"/>
      <c r="UEF33" s="545"/>
      <c r="UEG33" s="545"/>
      <c r="UEH33" s="545"/>
      <c r="UEI33" s="545"/>
      <c r="UEJ33" s="545"/>
      <c r="UEK33" s="545"/>
      <c r="UEL33" s="545"/>
      <c r="UEM33" s="545"/>
      <c r="UEN33" s="545"/>
      <c r="UEO33" s="545"/>
      <c r="UEP33" s="545"/>
      <c r="UEQ33" s="545"/>
      <c r="UER33" s="545"/>
      <c r="UES33" s="545"/>
      <c r="UET33" s="545"/>
      <c r="UEU33" s="545"/>
      <c r="UEV33" s="545"/>
      <c r="UEW33" s="545"/>
      <c r="UEX33" s="545"/>
      <c r="UEY33" s="545"/>
      <c r="UEZ33" s="545"/>
      <c r="UFA33" s="545"/>
      <c r="UFB33" s="545"/>
      <c r="UFC33" s="545"/>
      <c r="UFD33" s="545"/>
      <c r="UFE33" s="545"/>
      <c r="UFF33" s="545"/>
      <c r="UFG33" s="545"/>
      <c r="UFH33" s="545"/>
      <c r="UFI33" s="545"/>
      <c r="UFJ33" s="545"/>
      <c r="UFK33" s="545"/>
      <c r="UFL33" s="545"/>
      <c r="UFM33" s="545"/>
      <c r="UFN33" s="545"/>
      <c r="UFO33" s="545"/>
      <c r="UFP33" s="545"/>
      <c r="UFQ33" s="545"/>
      <c r="UFR33" s="545"/>
      <c r="UFS33" s="545"/>
      <c r="UFT33" s="545"/>
      <c r="UFU33" s="545"/>
      <c r="UFV33" s="545"/>
      <c r="UFW33" s="545"/>
      <c r="UFX33" s="545"/>
      <c r="UFY33" s="545"/>
      <c r="UFZ33" s="545"/>
      <c r="UGA33" s="545"/>
      <c r="UGB33" s="545"/>
      <c r="UGC33" s="545"/>
      <c r="UGD33" s="545"/>
      <c r="UGE33" s="545"/>
      <c r="UGF33" s="545"/>
      <c r="UGG33" s="545"/>
      <c r="UGH33" s="545"/>
      <c r="UGI33" s="545"/>
      <c r="UGJ33" s="545"/>
      <c r="UGK33" s="545"/>
      <c r="UGL33" s="545"/>
      <c r="UGM33" s="545"/>
      <c r="UGN33" s="545"/>
      <c r="UGO33" s="545"/>
      <c r="UGP33" s="545"/>
      <c r="UGQ33" s="545"/>
      <c r="UGR33" s="545"/>
      <c r="UGS33" s="545"/>
      <c r="UGT33" s="545"/>
      <c r="UGU33" s="545"/>
      <c r="UGV33" s="545"/>
      <c r="UGW33" s="545"/>
      <c r="UGX33" s="545"/>
      <c r="UGY33" s="545"/>
      <c r="UGZ33" s="545"/>
      <c r="UHA33" s="545"/>
      <c r="UHB33" s="545"/>
      <c r="UHC33" s="545"/>
      <c r="UHD33" s="545"/>
      <c r="UHE33" s="545"/>
      <c r="UHF33" s="545"/>
      <c r="UHG33" s="545"/>
      <c r="UHH33" s="545"/>
      <c r="UHI33" s="545"/>
      <c r="UHJ33" s="545"/>
      <c r="UHK33" s="545"/>
      <c r="UHL33" s="545"/>
      <c r="UHM33" s="545"/>
      <c r="UHN33" s="545"/>
      <c r="UHO33" s="545"/>
      <c r="UHP33" s="545"/>
      <c r="UHQ33" s="545"/>
      <c r="UHR33" s="545"/>
      <c r="UHS33" s="545"/>
      <c r="UHT33" s="545"/>
      <c r="UHU33" s="545"/>
      <c r="UHV33" s="545"/>
      <c r="UHW33" s="545"/>
      <c r="UHX33" s="545"/>
      <c r="UHY33" s="545"/>
      <c r="UHZ33" s="545"/>
      <c r="UIA33" s="545"/>
      <c r="UIB33" s="545"/>
      <c r="UIC33" s="545"/>
      <c r="UID33" s="545"/>
      <c r="UIE33" s="545"/>
      <c r="UIF33" s="545"/>
      <c r="UIG33" s="545"/>
      <c r="UIH33" s="545"/>
      <c r="UII33" s="545"/>
      <c r="UIJ33" s="545"/>
      <c r="UIK33" s="545"/>
      <c r="UIL33" s="545"/>
      <c r="UIM33" s="545"/>
      <c r="UIN33" s="545"/>
      <c r="UIO33" s="545"/>
      <c r="UIP33" s="545"/>
      <c r="UIQ33" s="545"/>
      <c r="UIR33" s="545"/>
      <c r="UIS33" s="545"/>
      <c r="UIT33" s="545"/>
      <c r="UIU33" s="545"/>
      <c r="UIV33" s="545"/>
      <c r="UIW33" s="545"/>
      <c r="UIX33" s="545"/>
      <c r="UIY33" s="545"/>
      <c r="UIZ33" s="545"/>
      <c r="UJA33" s="545"/>
      <c r="UJB33" s="545"/>
      <c r="UJC33" s="545"/>
      <c r="UJD33" s="545"/>
      <c r="UJE33" s="545"/>
      <c r="UJF33" s="545"/>
      <c r="UJG33" s="545"/>
      <c r="UJH33" s="545"/>
      <c r="UJI33" s="545"/>
      <c r="UJJ33" s="545"/>
      <c r="UJK33" s="545"/>
      <c r="UJL33" s="545"/>
      <c r="UJM33" s="545"/>
      <c r="UJN33" s="545"/>
      <c r="UJO33" s="545"/>
      <c r="UJP33" s="545"/>
      <c r="UJQ33" s="545"/>
      <c r="UJR33" s="545"/>
      <c r="UJS33" s="545"/>
      <c r="UJT33" s="545"/>
      <c r="UJU33" s="545"/>
      <c r="UJV33" s="545"/>
      <c r="UJW33" s="545"/>
      <c r="UJX33" s="545"/>
      <c r="UJY33" s="545"/>
      <c r="UJZ33" s="545"/>
      <c r="UKA33" s="545"/>
      <c r="UKB33" s="545"/>
      <c r="UKC33" s="545"/>
      <c r="UKD33" s="545"/>
      <c r="UKE33" s="545"/>
      <c r="UKF33" s="545"/>
      <c r="UKG33" s="545"/>
      <c r="UKH33" s="545"/>
      <c r="UKI33" s="545"/>
      <c r="UKJ33" s="545"/>
      <c r="UKK33" s="545"/>
      <c r="UKL33" s="545"/>
      <c r="UKM33" s="545"/>
      <c r="UKN33" s="545"/>
      <c r="UKO33" s="545"/>
      <c r="UKP33" s="545"/>
      <c r="UKQ33" s="545"/>
      <c r="UKR33" s="545"/>
      <c r="UKS33" s="545"/>
      <c r="UKT33" s="545"/>
      <c r="UKU33" s="545"/>
      <c r="UKV33" s="545"/>
      <c r="UKW33" s="545"/>
      <c r="UKX33" s="545"/>
      <c r="UKY33" s="545"/>
      <c r="UKZ33" s="545"/>
      <c r="ULA33" s="545"/>
      <c r="ULB33" s="545"/>
      <c r="ULC33" s="545"/>
      <c r="ULD33" s="545"/>
      <c r="ULE33" s="545"/>
      <c r="ULF33" s="545"/>
      <c r="ULG33" s="545"/>
      <c r="ULH33" s="545"/>
      <c r="ULI33" s="545"/>
      <c r="ULJ33" s="545"/>
      <c r="ULK33" s="545"/>
      <c r="ULL33" s="545"/>
      <c r="ULM33" s="545"/>
      <c r="ULN33" s="545"/>
      <c r="ULO33" s="545"/>
      <c r="ULP33" s="545"/>
      <c r="ULQ33" s="545"/>
      <c r="ULR33" s="545"/>
      <c r="ULS33" s="545"/>
      <c r="ULT33" s="545"/>
      <c r="ULU33" s="545"/>
      <c r="ULV33" s="545"/>
      <c r="ULW33" s="545"/>
      <c r="ULX33" s="545"/>
      <c r="ULY33" s="545"/>
      <c r="ULZ33" s="545"/>
      <c r="UMA33" s="545"/>
      <c r="UMB33" s="545"/>
      <c r="UMC33" s="545"/>
      <c r="UMD33" s="545"/>
      <c r="UME33" s="545"/>
      <c r="UMF33" s="545"/>
      <c r="UMG33" s="545"/>
      <c r="UMH33" s="545"/>
      <c r="UMI33" s="545"/>
      <c r="UMJ33" s="545"/>
      <c r="UMK33" s="545"/>
      <c r="UML33" s="545"/>
      <c r="UMM33" s="545"/>
      <c r="UMN33" s="545"/>
      <c r="UMO33" s="545"/>
      <c r="UMP33" s="545"/>
      <c r="UMQ33" s="545"/>
      <c r="UMR33" s="545"/>
      <c r="UMS33" s="545"/>
      <c r="UMT33" s="545"/>
      <c r="UMU33" s="545"/>
      <c r="UMV33" s="545"/>
      <c r="UMW33" s="545"/>
      <c r="UMX33" s="545"/>
      <c r="UMY33" s="545"/>
      <c r="UMZ33" s="545"/>
      <c r="UNA33" s="545"/>
      <c r="UNB33" s="545"/>
      <c r="UNC33" s="545"/>
      <c r="UND33" s="545"/>
      <c r="UNE33" s="545"/>
      <c r="UNF33" s="545"/>
      <c r="UNG33" s="545"/>
      <c r="UNH33" s="545"/>
      <c r="UNI33" s="545"/>
      <c r="UNJ33" s="545"/>
      <c r="UNK33" s="545"/>
      <c r="UNL33" s="545"/>
      <c r="UNM33" s="545"/>
      <c r="UNN33" s="545"/>
      <c r="UNO33" s="545"/>
      <c r="UNP33" s="545"/>
      <c r="UNQ33" s="545"/>
      <c r="UNR33" s="545"/>
      <c r="UNS33" s="545"/>
      <c r="UNT33" s="545"/>
      <c r="UNU33" s="545"/>
      <c r="UNV33" s="545"/>
      <c r="UNW33" s="545"/>
      <c r="UNX33" s="545"/>
      <c r="UNY33" s="545"/>
      <c r="UNZ33" s="545"/>
      <c r="UOA33" s="545"/>
      <c r="UOB33" s="545"/>
      <c r="UOC33" s="545"/>
      <c r="UOD33" s="545"/>
      <c r="UOE33" s="545"/>
      <c r="UOF33" s="545"/>
      <c r="UOG33" s="545"/>
      <c r="UOH33" s="545"/>
      <c r="UOI33" s="545"/>
      <c r="UOJ33" s="545"/>
      <c r="UOK33" s="545"/>
      <c r="UOL33" s="545"/>
      <c r="UOM33" s="545"/>
      <c r="UON33" s="545"/>
      <c r="UOO33" s="545"/>
      <c r="UOP33" s="545"/>
      <c r="UOQ33" s="545"/>
      <c r="UOR33" s="545"/>
      <c r="UOS33" s="545"/>
      <c r="UOT33" s="545"/>
      <c r="UOU33" s="545"/>
      <c r="UOV33" s="545"/>
      <c r="UOW33" s="545"/>
      <c r="UOX33" s="545"/>
      <c r="UOY33" s="545"/>
      <c r="UOZ33" s="545"/>
      <c r="UPA33" s="545"/>
      <c r="UPB33" s="545"/>
      <c r="UPC33" s="545"/>
      <c r="UPD33" s="545"/>
      <c r="UPE33" s="545"/>
      <c r="UPF33" s="545"/>
      <c r="UPG33" s="545"/>
      <c r="UPH33" s="545"/>
      <c r="UPI33" s="545"/>
      <c r="UPJ33" s="545"/>
      <c r="UPK33" s="545"/>
      <c r="UPL33" s="545"/>
      <c r="UPM33" s="545"/>
      <c r="UPN33" s="545"/>
      <c r="UPO33" s="545"/>
      <c r="UPP33" s="545"/>
      <c r="UPQ33" s="545"/>
      <c r="UPR33" s="545"/>
      <c r="UPS33" s="545"/>
      <c r="UPT33" s="545"/>
      <c r="UPU33" s="545"/>
      <c r="UPV33" s="545"/>
      <c r="UPW33" s="545"/>
      <c r="UPX33" s="545"/>
      <c r="UPY33" s="545"/>
      <c r="UPZ33" s="545"/>
      <c r="UQA33" s="545"/>
      <c r="UQB33" s="545"/>
      <c r="UQC33" s="545"/>
      <c r="UQD33" s="545"/>
      <c r="UQE33" s="545"/>
      <c r="UQF33" s="545"/>
      <c r="UQG33" s="545"/>
      <c r="UQH33" s="545"/>
      <c r="UQI33" s="545"/>
      <c r="UQJ33" s="545"/>
      <c r="UQK33" s="545"/>
      <c r="UQL33" s="545"/>
      <c r="UQM33" s="545"/>
      <c r="UQN33" s="545"/>
      <c r="UQO33" s="545"/>
      <c r="UQP33" s="545"/>
      <c r="UQQ33" s="545"/>
      <c r="UQR33" s="545"/>
      <c r="UQS33" s="545"/>
      <c r="UQT33" s="545"/>
      <c r="UQU33" s="545"/>
      <c r="UQV33" s="545"/>
      <c r="UQW33" s="545"/>
      <c r="UQX33" s="545"/>
      <c r="UQY33" s="545"/>
      <c r="UQZ33" s="545"/>
      <c r="URA33" s="545"/>
      <c r="URB33" s="545"/>
      <c r="URC33" s="545"/>
      <c r="URD33" s="545"/>
      <c r="URE33" s="545"/>
      <c r="URF33" s="545"/>
      <c r="URG33" s="545"/>
      <c r="URH33" s="545"/>
      <c r="URI33" s="545"/>
      <c r="URJ33" s="545"/>
      <c r="URK33" s="545"/>
      <c r="URL33" s="545"/>
      <c r="URM33" s="545"/>
      <c r="URN33" s="545"/>
      <c r="URO33" s="545"/>
      <c r="URP33" s="545"/>
      <c r="URQ33" s="545"/>
      <c r="URR33" s="545"/>
      <c r="URS33" s="545"/>
      <c r="URT33" s="545"/>
      <c r="URU33" s="545"/>
      <c r="URV33" s="545"/>
      <c r="URW33" s="545"/>
      <c r="URX33" s="545"/>
      <c r="URY33" s="545"/>
      <c r="URZ33" s="545"/>
      <c r="USA33" s="545"/>
      <c r="USB33" s="545"/>
      <c r="USC33" s="545"/>
      <c r="USD33" s="545"/>
      <c r="USE33" s="545"/>
      <c r="USF33" s="545"/>
      <c r="USG33" s="545"/>
      <c r="USH33" s="545"/>
      <c r="USI33" s="545"/>
      <c r="USJ33" s="545"/>
      <c r="USK33" s="545"/>
      <c r="USL33" s="545"/>
      <c r="USM33" s="545"/>
      <c r="USN33" s="545"/>
      <c r="USO33" s="545"/>
      <c r="USP33" s="545"/>
      <c r="USQ33" s="545"/>
      <c r="USR33" s="545"/>
      <c r="USS33" s="545"/>
      <c r="UST33" s="545"/>
      <c r="USU33" s="545"/>
      <c r="USV33" s="545"/>
      <c r="USW33" s="545"/>
      <c r="USX33" s="545"/>
      <c r="USY33" s="545"/>
      <c r="USZ33" s="545"/>
      <c r="UTA33" s="545"/>
      <c r="UTB33" s="545"/>
      <c r="UTC33" s="545"/>
      <c r="UTD33" s="545"/>
      <c r="UTE33" s="545"/>
      <c r="UTF33" s="545"/>
      <c r="UTG33" s="545"/>
      <c r="UTH33" s="545"/>
      <c r="UTI33" s="545"/>
      <c r="UTJ33" s="545"/>
      <c r="UTK33" s="545"/>
      <c r="UTL33" s="545"/>
      <c r="UTM33" s="545"/>
      <c r="UTN33" s="545"/>
      <c r="UTO33" s="545"/>
      <c r="UTP33" s="545"/>
      <c r="UTQ33" s="545"/>
      <c r="UTR33" s="545"/>
      <c r="UTS33" s="545"/>
      <c r="UTT33" s="545"/>
      <c r="UTU33" s="545"/>
      <c r="UTV33" s="545"/>
      <c r="UTW33" s="545"/>
      <c r="UTX33" s="545"/>
      <c r="UTY33" s="545"/>
      <c r="UTZ33" s="545"/>
      <c r="UUA33" s="545"/>
      <c r="UUB33" s="545"/>
      <c r="UUC33" s="545"/>
      <c r="UUD33" s="545"/>
      <c r="UUE33" s="545"/>
      <c r="UUF33" s="545"/>
      <c r="UUG33" s="545"/>
      <c r="UUH33" s="545"/>
      <c r="UUI33" s="545"/>
      <c r="UUJ33" s="545"/>
      <c r="UUK33" s="545"/>
      <c r="UUL33" s="545"/>
      <c r="UUM33" s="545"/>
      <c r="UUN33" s="545"/>
      <c r="UUO33" s="545"/>
      <c r="UUP33" s="545"/>
      <c r="UUQ33" s="545"/>
      <c r="UUR33" s="545"/>
      <c r="UUS33" s="545"/>
      <c r="UUT33" s="545"/>
      <c r="UUU33" s="545"/>
      <c r="UUV33" s="545"/>
      <c r="UUW33" s="545"/>
      <c r="UUX33" s="545"/>
      <c r="UUY33" s="545"/>
      <c r="UUZ33" s="545"/>
      <c r="UVA33" s="545"/>
      <c r="UVB33" s="545"/>
      <c r="UVC33" s="545"/>
      <c r="UVD33" s="545"/>
      <c r="UVE33" s="545"/>
      <c r="UVF33" s="545"/>
      <c r="UVG33" s="545"/>
      <c r="UVH33" s="545"/>
      <c r="UVI33" s="545"/>
      <c r="UVJ33" s="545"/>
      <c r="UVK33" s="545"/>
      <c r="UVL33" s="545"/>
      <c r="UVM33" s="545"/>
      <c r="UVN33" s="545"/>
      <c r="UVO33" s="545"/>
      <c r="UVP33" s="545"/>
      <c r="UVQ33" s="545"/>
      <c r="UVR33" s="545"/>
      <c r="UVS33" s="545"/>
      <c r="UVT33" s="545"/>
      <c r="UVU33" s="545"/>
      <c r="UVV33" s="545"/>
      <c r="UVW33" s="545"/>
      <c r="UVX33" s="545"/>
      <c r="UVY33" s="545"/>
      <c r="UVZ33" s="545"/>
      <c r="UWA33" s="545"/>
      <c r="UWB33" s="545"/>
      <c r="UWC33" s="545"/>
      <c r="UWD33" s="545"/>
      <c r="UWE33" s="545"/>
      <c r="UWF33" s="545"/>
      <c r="UWG33" s="545"/>
      <c r="UWH33" s="545"/>
      <c r="UWI33" s="545"/>
      <c r="UWJ33" s="545"/>
      <c r="UWK33" s="545"/>
      <c r="UWL33" s="545"/>
      <c r="UWM33" s="545"/>
      <c r="UWN33" s="545"/>
      <c r="UWO33" s="545"/>
      <c r="UWP33" s="545"/>
      <c r="UWQ33" s="545"/>
      <c r="UWR33" s="545"/>
      <c r="UWS33" s="545"/>
      <c r="UWT33" s="545"/>
      <c r="UWU33" s="545"/>
      <c r="UWV33" s="545"/>
      <c r="UWW33" s="545"/>
      <c r="UWX33" s="545"/>
      <c r="UWY33" s="545"/>
      <c r="UWZ33" s="545"/>
      <c r="UXA33" s="545"/>
      <c r="UXB33" s="545"/>
      <c r="UXC33" s="545"/>
      <c r="UXD33" s="545"/>
      <c r="UXE33" s="545"/>
      <c r="UXF33" s="545"/>
      <c r="UXG33" s="545"/>
      <c r="UXH33" s="545"/>
      <c r="UXI33" s="545"/>
      <c r="UXJ33" s="545"/>
      <c r="UXK33" s="545"/>
      <c r="UXL33" s="545"/>
      <c r="UXM33" s="545"/>
      <c r="UXN33" s="545"/>
      <c r="UXO33" s="545"/>
      <c r="UXP33" s="545"/>
      <c r="UXQ33" s="545"/>
      <c r="UXR33" s="545"/>
      <c r="UXS33" s="545"/>
      <c r="UXT33" s="545"/>
      <c r="UXU33" s="545"/>
      <c r="UXV33" s="545"/>
      <c r="UXW33" s="545"/>
      <c r="UXX33" s="545"/>
      <c r="UXY33" s="545"/>
      <c r="UXZ33" s="545"/>
      <c r="UYA33" s="545"/>
      <c r="UYB33" s="545"/>
      <c r="UYC33" s="545"/>
      <c r="UYD33" s="545"/>
      <c r="UYE33" s="545"/>
      <c r="UYF33" s="545"/>
      <c r="UYG33" s="545"/>
      <c r="UYH33" s="545"/>
      <c r="UYI33" s="545"/>
      <c r="UYJ33" s="545"/>
      <c r="UYK33" s="545"/>
      <c r="UYL33" s="545"/>
      <c r="UYM33" s="545"/>
      <c r="UYN33" s="545"/>
      <c r="UYO33" s="545"/>
      <c r="UYP33" s="545"/>
      <c r="UYQ33" s="545"/>
      <c r="UYR33" s="545"/>
      <c r="UYS33" s="545"/>
      <c r="UYT33" s="545"/>
      <c r="UYU33" s="545"/>
      <c r="UYV33" s="545"/>
      <c r="UYW33" s="545"/>
      <c r="UYX33" s="545"/>
      <c r="UYY33" s="545"/>
      <c r="UYZ33" s="545"/>
      <c r="UZA33" s="545"/>
      <c r="UZB33" s="545"/>
      <c r="UZC33" s="545"/>
      <c r="UZD33" s="545"/>
      <c r="UZE33" s="545"/>
      <c r="UZF33" s="545"/>
      <c r="UZG33" s="545"/>
      <c r="UZH33" s="545"/>
      <c r="UZI33" s="545"/>
      <c r="UZJ33" s="545"/>
      <c r="UZK33" s="545"/>
      <c r="UZL33" s="545"/>
      <c r="UZM33" s="545"/>
      <c r="UZN33" s="545"/>
      <c r="UZO33" s="545"/>
      <c r="UZP33" s="545"/>
      <c r="UZQ33" s="545"/>
      <c r="UZR33" s="545"/>
      <c r="UZS33" s="545"/>
      <c r="UZT33" s="545"/>
      <c r="UZU33" s="545"/>
      <c r="UZV33" s="545"/>
      <c r="UZW33" s="545"/>
      <c r="UZX33" s="545"/>
      <c r="UZY33" s="545"/>
      <c r="UZZ33" s="545"/>
      <c r="VAA33" s="545"/>
      <c r="VAB33" s="545"/>
      <c r="VAC33" s="545"/>
      <c r="VAD33" s="545"/>
      <c r="VAE33" s="545"/>
      <c r="VAF33" s="545"/>
      <c r="VAG33" s="545"/>
      <c r="VAH33" s="545"/>
      <c r="VAI33" s="545"/>
      <c r="VAJ33" s="545"/>
      <c r="VAK33" s="545"/>
      <c r="VAL33" s="545"/>
      <c r="VAM33" s="545"/>
      <c r="VAN33" s="545"/>
      <c r="VAO33" s="545"/>
      <c r="VAP33" s="545"/>
      <c r="VAQ33" s="545"/>
      <c r="VAR33" s="545"/>
      <c r="VAS33" s="545"/>
      <c r="VAT33" s="545"/>
      <c r="VAU33" s="545"/>
      <c r="VAV33" s="545"/>
      <c r="VAW33" s="545"/>
      <c r="VAX33" s="545"/>
      <c r="VAY33" s="545"/>
      <c r="VAZ33" s="545"/>
      <c r="VBA33" s="545"/>
      <c r="VBB33" s="545"/>
      <c r="VBC33" s="545"/>
      <c r="VBD33" s="545"/>
      <c r="VBE33" s="545"/>
      <c r="VBF33" s="545"/>
      <c r="VBG33" s="545"/>
      <c r="VBH33" s="545"/>
      <c r="VBI33" s="545"/>
      <c r="VBJ33" s="545"/>
      <c r="VBK33" s="545"/>
      <c r="VBL33" s="545"/>
      <c r="VBM33" s="545"/>
      <c r="VBN33" s="545"/>
      <c r="VBO33" s="545"/>
      <c r="VBP33" s="545"/>
      <c r="VBQ33" s="545"/>
      <c r="VBR33" s="545"/>
      <c r="VBS33" s="545"/>
      <c r="VBT33" s="545"/>
      <c r="VBU33" s="545"/>
      <c r="VBV33" s="545"/>
      <c r="VBW33" s="545"/>
      <c r="VBX33" s="545"/>
      <c r="VBY33" s="545"/>
      <c r="VBZ33" s="545"/>
      <c r="VCA33" s="545"/>
      <c r="VCB33" s="545"/>
      <c r="VCC33" s="545"/>
      <c r="VCD33" s="545"/>
      <c r="VCE33" s="545"/>
      <c r="VCF33" s="545"/>
      <c r="VCG33" s="545"/>
      <c r="VCH33" s="545"/>
      <c r="VCI33" s="545"/>
      <c r="VCJ33" s="545"/>
      <c r="VCK33" s="545"/>
      <c r="VCL33" s="545"/>
      <c r="VCM33" s="545"/>
      <c r="VCN33" s="545"/>
      <c r="VCO33" s="545"/>
      <c r="VCP33" s="545"/>
      <c r="VCQ33" s="545"/>
      <c r="VCR33" s="545"/>
      <c r="VCS33" s="545"/>
      <c r="VCT33" s="545"/>
      <c r="VCU33" s="545"/>
      <c r="VCV33" s="545"/>
      <c r="VCW33" s="545"/>
      <c r="VCX33" s="545"/>
      <c r="VCY33" s="545"/>
      <c r="VCZ33" s="545"/>
      <c r="VDA33" s="545"/>
      <c r="VDB33" s="545"/>
      <c r="VDC33" s="545"/>
      <c r="VDD33" s="545"/>
      <c r="VDE33" s="545"/>
      <c r="VDF33" s="545"/>
      <c r="VDG33" s="545"/>
      <c r="VDH33" s="545"/>
      <c r="VDI33" s="545"/>
      <c r="VDJ33" s="545"/>
      <c r="VDK33" s="545"/>
      <c r="VDL33" s="545"/>
      <c r="VDM33" s="545"/>
      <c r="VDN33" s="545"/>
      <c r="VDO33" s="545"/>
      <c r="VDP33" s="545"/>
      <c r="VDQ33" s="545"/>
      <c r="VDR33" s="545"/>
      <c r="VDS33" s="545"/>
      <c r="VDT33" s="545"/>
      <c r="VDU33" s="545"/>
      <c r="VDV33" s="545"/>
      <c r="VDW33" s="545"/>
      <c r="VDX33" s="545"/>
      <c r="VDY33" s="545"/>
      <c r="VDZ33" s="545"/>
      <c r="VEA33" s="545"/>
      <c r="VEB33" s="545"/>
      <c r="VEC33" s="545"/>
      <c r="VED33" s="545"/>
      <c r="VEE33" s="545"/>
      <c r="VEF33" s="545"/>
      <c r="VEG33" s="545"/>
      <c r="VEH33" s="545"/>
      <c r="VEI33" s="545"/>
      <c r="VEJ33" s="545"/>
      <c r="VEK33" s="545"/>
      <c r="VEL33" s="545"/>
      <c r="VEM33" s="545"/>
      <c r="VEN33" s="545"/>
      <c r="VEO33" s="545"/>
      <c r="VEP33" s="545"/>
      <c r="VEQ33" s="545"/>
      <c r="VER33" s="545"/>
      <c r="VES33" s="545"/>
      <c r="VET33" s="545"/>
      <c r="VEU33" s="545"/>
      <c r="VEV33" s="545"/>
      <c r="VEW33" s="545"/>
      <c r="VEX33" s="545"/>
      <c r="VEY33" s="545"/>
      <c r="VEZ33" s="545"/>
      <c r="VFA33" s="545"/>
      <c r="VFB33" s="545"/>
      <c r="VFC33" s="545"/>
      <c r="VFD33" s="545"/>
      <c r="VFE33" s="545"/>
      <c r="VFF33" s="545"/>
      <c r="VFG33" s="545"/>
      <c r="VFH33" s="545"/>
      <c r="VFI33" s="545"/>
      <c r="VFJ33" s="545"/>
      <c r="VFK33" s="545"/>
      <c r="VFL33" s="545"/>
      <c r="VFM33" s="545"/>
      <c r="VFN33" s="545"/>
      <c r="VFO33" s="545"/>
      <c r="VFP33" s="545"/>
      <c r="VFQ33" s="545"/>
      <c r="VFR33" s="545"/>
      <c r="VFS33" s="545"/>
      <c r="VFT33" s="545"/>
      <c r="VFU33" s="545"/>
      <c r="VFV33" s="545"/>
      <c r="VFW33" s="545"/>
      <c r="VFX33" s="545"/>
      <c r="VFY33" s="545"/>
      <c r="VFZ33" s="545"/>
      <c r="VGA33" s="545"/>
      <c r="VGB33" s="545"/>
      <c r="VGC33" s="545"/>
      <c r="VGD33" s="545"/>
      <c r="VGE33" s="545"/>
      <c r="VGF33" s="545"/>
      <c r="VGG33" s="545"/>
      <c r="VGH33" s="545"/>
      <c r="VGI33" s="545"/>
      <c r="VGJ33" s="545"/>
      <c r="VGK33" s="545"/>
      <c r="VGL33" s="545"/>
      <c r="VGM33" s="545"/>
      <c r="VGN33" s="545"/>
      <c r="VGO33" s="545"/>
      <c r="VGP33" s="545"/>
      <c r="VGQ33" s="545"/>
      <c r="VGR33" s="545"/>
      <c r="VGS33" s="545"/>
      <c r="VGT33" s="545"/>
      <c r="VGU33" s="545"/>
      <c r="VGV33" s="545"/>
      <c r="VGW33" s="545"/>
      <c r="VGX33" s="545"/>
      <c r="VGY33" s="545"/>
      <c r="VGZ33" s="545"/>
      <c r="VHA33" s="545"/>
      <c r="VHB33" s="545"/>
      <c r="VHC33" s="545"/>
      <c r="VHD33" s="545"/>
      <c r="VHE33" s="545"/>
      <c r="VHF33" s="545"/>
      <c r="VHG33" s="545"/>
      <c r="VHH33" s="545"/>
      <c r="VHI33" s="545"/>
      <c r="VHJ33" s="545"/>
      <c r="VHK33" s="545"/>
      <c r="VHL33" s="545"/>
      <c r="VHM33" s="545"/>
      <c r="VHN33" s="545"/>
      <c r="VHO33" s="545"/>
      <c r="VHP33" s="545"/>
      <c r="VHQ33" s="545"/>
      <c r="VHR33" s="545"/>
      <c r="VHS33" s="545"/>
      <c r="VHT33" s="545"/>
      <c r="VHU33" s="545"/>
      <c r="VHV33" s="545"/>
      <c r="VHW33" s="545"/>
      <c r="VHX33" s="545"/>
      <c r="VHY33" s="545"/>
      <c r="VHZ33" s="545"/>
      <c r="VIA33" s="545"/>
      <c r="VIB33" s="545"/>
      <c r="VIC33" s="545"/>
      <c r="VID33" s="545"/>
      <c r="VIE33" s="545"/>
      <c r="VIF33" s="545"/>
      <c r="VIG33" s="545"/>
      <c r="VIH33" s="545"/>
      <c r="VII33" s="545"/>
      <c r="VIJ33" s="545"/>
      <c r="VIK33" s="545"/>
      <c r="VIL33" s="545"/>
      <c r="VIM33" s="545"/>
      <c r="VIN33" s="545"/>
      <c r="VIO33" s="545"/>
      <c r="VIP33" s="545"/>
      <c r="VIQ33" s="545"/>
      <c r="VIR33" s="545"/>
      <c r="VIS33" s="545"/>
      <c r="VIT33" s="545"/>
      <c r="VIU33" s="545"/>
      <c r="VIV33" s="545"/>
      <c r="VIW33" s="545"/>
      <c r="VIX33" s="545"/>
      <c r="VIY33" s="545"/>
      <c r="VIZ33" s="545"/>
      <c r="VJA33" s="545"/>
      <c r="VJB33" s="545"/>
      <c r="VJC33" s="545"/>
      <c r="VJD33" s="545"/>
      <c r="VJE33" s="545"/>
      <c r="VJF33" s="545"/>
      <c r="VJG33" s="545"/>
      <c r="VJH33" s="545"/>
      <c r="VJI33" s="545"/>
      <c r="VJJ33" s="545"/>
      <c r="VJK33" s="545"/>
      <c r="VJL33" s="545"/>
      <c r="VJM33" s="545"/>
      <c r="VJN33" s="545"/>
      <c r="VJO33" s="545"/>
      <c r="VJP33" s="545"/>
      <c r="VJQ33" s="545"/>
      <c r="VJR33" s="545"/>
      <c r="VJS33" s="545"/>
      <c r="VJT33" s="545"/>
      <c r="VJU33" s="545"/>
      <c r="VJV33" s="545"/>
      <c r="VJW33" s="545"/>
      <c r="VJX33" s="545"/>
      <c r="VJY33" s="545"/>
      <c r="VJZ33" s="545"/>
      <c r="VKA33" s="545"/>
      <c r="VKB33" s="545"/>
      <c r="VKC33" s="545"/>
      <c r="VKD33" s="545"/>
      <c r="VKE33" s="545"/>
      <c r="VKF33" s="545"/>
      <c r="VKG33" s="545"/>
      <c r="VKH33" s="545"/>
      <c r="VKI33" s="545"/>
      <c r="VKJ33" s="545"/>
      <c r="VKK33" s="545"/>
      <c r="VKL33" s="545"/>
      <c r="VKM33" s="545"/>
      <c r="VKN33" s="545"/>
      <c r="VKO33" s="545"/>
      <c r="VKP33" s="545"/>
      <c r="VKQ33" s="545"/>
      <c r="VKR33" s="545"/>
      <c r="VKS33" s="545"/>
      <c r="VKT33" s="545"/>
      <c r="VKU33" s="545"/>
      <c r="VKV33" s="545"/>
      <c r="VKW33" s="545"/>
      <c r="VKX33" s="545"/>
      <c r="VKY33" s="545"/>
      <c r="VKZ33" s="545"/>
      <c r="VLA33" s="545"/>
      <c r="VLB33" s="545"/>
      <c r="VLC33" s="545"/>
      <c r="VLD33" s="545"/>
      <c r="VLE33" s="545"/>
      <c r="VLF33" s="545"/>
      <c r="VLG33" s="545"/>
      <c r="VLH33" s="545"/>
      <c r="VLI33" s="545"/>
      <c r="VLJ33" s="545"/>
      <c r="VLK33" s="545"/>
      <c r="VLL33" s="545"/>
      <c r="VLM33" s="545"/>
      <c r="VLN33" s="545"/>
      <c r="VLO33" s="545"/>
      <c r="VLP33" s="545"/>
      <c r="VLQ33" s="545"/>
      <c r="VLR33" s="545"/>
      <c r="VLS33" s="545"/>
      <c r="VLT33" s="545"/>
      <c r="VLU33" s="545"/>
      <c r="VLV33" s="545"/>
      <c r="VLW33" s="545"/>
      <c r="VLX33" s="545"/>
      <c r="VLY33" s="545"/>
      <c r="VLZ33" s="545"/>
      <c r="VMA33" s="545"/>
      <c r="VMB33" s="545"/>
      <c r="VMC33" s="545"/>
      <c r="VMD33" s="545"/>
      <c r="VME33" s="545"/>
      <c r="VMF33" s="545"/>
      <c r="VMG33" s="545"/>
      <c r="VMH33" s="545"/>
      <c r="VMI33" s="545"/>
      <c r="VMJ33" s="545"/>
      <c r="VMK33" s="545"/>
      <c r="VML33" s="545"/>
      <c r="VMM33" s="545"/>
      <c r="VMN33" s="545"/>
      <c r="VMO33" s="545"/>
      <c r="VMP33" s="545"/>
      <c r="VMQ33" s="545"/>
      <c r="VMR33" s="545"/>
      <c r="VMS33" s="545"/>
      <c r="VMT33" s="545"/>
      <c r="VMU33" s="545"/>
      <c r="VMV33" s="545"/>
      <c r="VMW33" s="545"/>
      <c r="VMX33" s="545"/>
      <c r="VMY33" s="545"/>
      <c r="VMZ33" s="545"/>
      <c r="VNA33" s="545"/>
      <c r="VNB33" s="545"/>
      <c r="VNC33" s="545"/>
      <c r="VND33" s="545"/>
      <c r="VNE33" s="545"/>
      <c r="VNF33" s="545"/>
      <c r="VNG33" s="545"/>
      <c r="VNH33" s="545"/>
      <c r="VNI33" s="545"/>
      <c r="VNJ33" s="545"/>
      <c r="VNK33" s="545"/>
      <c r="VNL33" s="545"/>
      <c r="VNM33" s="545"/>
      <c r="VNN33" s="545"/>
      <c r="VNO33" s="545"/>
      <c r="VNP33" s="545"/>
      <c r="VNQ33" s="545"/>
      <c r="VNR33" s="545"/>
      <c r="VNS33" s="545"/>
      <c r="VNT33" s="545"/>
      <c r="VNU33" s="545"/>
      <c r="VNV33" s="545"/>
      <c r="VNW33" s="545"/>
      <c r="VNX33" s="545"/>
      <c r="VNY33" s="545"/>
      <c r="VNZ33" s="545"/>
      <c r="VOA33" s="545"/>
      <c r="VOB33" s="545"/>
      <c r="VOC33" s="545"/>
      <c r="VOD33" s="545"/>
      <c r="VOE33" s="545"/>
      <c r="VOF33" s="545"/>
      <c r="VOG33" s="545"/>
      <c r="VOH33" s="545"/>
      <c r="VOI33" s="545"/>
      <c r="VOJ33" s="545"/>
      <c r="VOK33" s="545"/>
      <c r="VOL33" s="545"/>
      <c r="VOM33" s="545"/>
      <c r="VON33" s="545"/>
      <c r="VOO33" s="545"/>
      <c r="VOP33" s="545"/>
      <c r="VOQ33" s="545"/>
      <c r="VOR33" s="545"/>
      <c r="VOS33" s="545"/>
      <c r="VOT33" s="545"/>
      <c r="VOU33" s="545"/>
      <c r="VOV33" s="545"/>
      <c r="VOW33" s="545"/>
      <c r="VOX33" s="545"/>
      <c r="VOY33" s="545"/>
      <c r="VOZ33" s="545"/>
      <c r="VPA33" s="545"/>
      <c r="VPB33" s="545"/>
      <c r="VPC33" s="545"/>
      <c r="VPD33" s="545"/>
      <c r="VPE33" s="545"/>
      <c r="VPF33" s="545"/>
      <c r="VPG33" s="545"/>
      <c r="VPH33" s="545"/>
      <c r="VPI33" s="545"/>
      <c r="VPJ33" s="545"/>
      <c r="VPK33" s="545"/>
      <c r="VPL33" s="545"/>
      <c r="VPM33" s="545"/>
      <c r="VPN33" s="545"/>
      <c r="VPO33" s="545"/>
      <c r="VPP33" s="545"/>
      <c r="VPQ33" s="545"/>
      <c r="VPR33" s="545"/>
      <c r="VPS33" s="545"/>
      <c r="VPT33" s="545"/>
      <c r="VPU33" s="545"/>
      <c r="VPV33" s="545"/>
      <c r="VPW33" s="545"/>
      <c r="VPX33" s="545"/>
      <c r="VPY33" s="545"/>
      <c r="VPZ33" s="545"/>
      <c r="VQA33" s="545"/>
      <c r="VQB33" s="545"/>
      <c r="VQC33" s="545"/>
      <c r="VQD33" s="545"/>
      <c r="VQE33" s="545"/>
      <c r="VQF33" s="545"/>
      <c r="VQG33" s="545"/>
      <c r="VQH33" s="545"/>
      <c r="VQI33" s="545"/>
      <c r="VQJ33" s="545"/>
      <c r="VQK33" s="545"/>
      <c r="VQL33" s="545"/>
      <c r="VQM33" s="545"/>
      <c r="VQN33" s="545"/>
      <c r="VQO33" s="545"/>
      <c r="VQP33" s="545"/>
      <c r="VQQ33" s="545"/>
      <c r="VQR33" s="545"/>
      <c r="VQS33" s="545"/>
      <c r="VQT33" s="545"/>
      <c r="VQU33" s="545"/>
      <c r="VQV33" s="545"/>
      <c r="VQW33" s="545"/>
      <c r="VQX33" s="545"/>
      <c r="VQY33" s="545"/>
      <c r="VQZ33" s="545"/>
      <c r="VRA33" s="545"/>
      <c r="VRB33" s="545"/>
      <c r="VRC33" s="545"/>
      <c r="VRD33" s="545"/>
      <c r="VRE33" s="545"/>
      <c r="VRF33" s="545"/>
      <c r="VRG33" s="545"/>
      <c r="VRH33" s="545"/>
      <c r="VRI33" s="545"/>
      <c r="VRJ33" s="545"/>
      <c r="VRK33" s="545"/>
      <c r="VRL33" s="545"/>
      <c r="VRM33" s="545"/>
      <c r="VRN33" s="545"/>
      <c r="VRO33" s="545"/>
      <c r="VRP33" s="545"/>
      <c r="VRQ33" s="545"/>
      <c r="VRR33" s="545"/>
      <c r="VRS33" s="545"/>
      <c r="VRT33" s="545"/>
      <c r="VRU33" s="545"/>
      <c r="VRV33" s="545"/>
      <c r="VRW33" s="545"/>
      <c r="VRX33" s="545"/>
      <c r="VRY33" s="545"/>
      <c r="VRZ33" s="545"/>
      <c r="VSA33" s="545"/>
      <c r="VSB33" s="545"/>
      <c r="VSC33" s="545"/>
      <c r="VSD33" s="545"/>
      <c r="VSE33" s="545"/>
      <c r="VSF33" s="545"/>
      <c r="VSG33" s="545"/>
      <c r="VSH33" s="545"/>
      <c r="VSI33" s="545"/>
      <c r="VSJ33" s="545"/>
      <c r="VSK33" s="545"/>
      <c r="VSL33" s="545"/>
      <c r="VSM33" s="545"/>
      <c r="VSN33" s="545"/>
      <c r="VSO33" s="545"/>
      <c r="VSP33" s="545"/>
      <c r="VSQ33" s="545"/>
      <c r="VSR33" s="545"/>
      <c r="VSS33" s="545"/>
      <c r="VST33" s="545"/>
      <c r="VSU33" s="545"/>
      <c r="VSV33" s="545"/>
      <c r="VSW33" s="545"/>
      <c r="VSX33" s="545"/>
      <c r="VSY33" s="545"/>
      <c r="VSZ33" s="545"/>
      <c r="VTA33" s="545"/>
      <c r="VTB33" s="545"/>
      <c r="VTC33" s="545"/>
      <c r="VTD33" s="545"/>
      <c r="VTE33" s="545"/>
      <c r="VTF33" s="545"/>
      <c r="VTG33" s="545"/>
      <c r="VTH33" s="545"/>
      <c r="VTI33" s="545"/>
      <c r="VTJ33" s="545"/>
      <c r="VTK33" s="545"/>
      <c r="VTL33" s="545"/>
      <c r="VTM33" s="545"/>
      <c r="VTN33" s="545"/>
      <c r="VTO33" s="545"/>
      <c r="VTP33" s="545"/>
      <c r="VTQ33" s="545"/>
      <c r="VTR33" s="545"/>
      <c r="VTS33" s="545"/>
      <c r="VTT33" s="545"/>
      <c r="VTU33" s="545"/>
      <c r="VTV33" s="545"/>
      <c r="VTW33" s="545"/>
      <c r="VTX33" s="545"/>
      <c r="VTY33" s="545"/>
      <c r="VTZ33" s="545"/>
      <c r="VUA33" s="545"/>
      <c r="VUB33" s="545"/>
      <c r="VUC33" s="545"/>
      <c r="VUD33" s="545"/>
      <c r="VUE33" s="545"/>
      <c r="VUF33" s="545"/>
      <c r="VUG33" s="545"/>
      <c r="VUH33" s="545"/>
      <c r="VUI33" s="545"/>
      <c r="VUJ33" s="545"/>
      <c r="VUK33" s="545"/>
      <c r="VUL33" s="545"/>
      <c r="VUM33" s="545"/>
      <c r="VUN33" s="545"/>
      <c r="VUO33" s="545"/>
      <c r="VUP33" s="545"/>
      <c r="VUQ33" s="545"/>
      <c r="VUR33" s="545"/>
      <c r="VUS33" s="545"/>
      <c r="VUT33" s="545"/>
      <c r="VUU33" s="545"/>
      <c r="VUV33" s="545"/>
      <c r="VUW33" s="545"/>
      <c r="VUX33" s="545"/>
      <c r="VUY33" s="545"/>
      <c r="VUZ33" s="545"/>
      <c r="VVA33" s="545"/>
      <c r="VVB33" s="545"/>
      <c r="VVC33" s="545"/>
      <c r="VVD33" s="545"/>
      <c r="VVE33" s="545"/>
      <c r="VVF33" s="545"/>
      <c r="VVG33" s="545"/>
      <c r="VVH33" s="545"/>
      <c r="VVI33" s="545"/>
      <c r="VVJ33" s="545"/>
      <c r="VVK33" s="545"/>
      <c r="VVL33" s="545"/>
      <c r="VVM33" s="545"/>
      <c r="VVN33" s="545"/>
      <c r="VVO33" s="545"/>
      <c r="VVP33" s="545"/>
      <c r="VVQ33" s="545"/>
      <c r="VVR33" s="545"/>
      <c r="VVS33" s="545"/>
      <c r="VVT33" s="545"/>
      <c r="VVU33" s="545"/>
      <c r="VVV33" s="545"/>
      <c r="VVW33" s="545"/>
      <c r="VVX33" s="545"/>
      <c r="VVY33" s="545"/>
      <c r="VVZ33" s="545"/>
      <c r="VWA33" s="545"/>
      <c r="VWB33" s="545"/>
      <c r="VWC33" s="545"/>
      <c r="VWD33" s="545"/>
      <c r="VWE33" s="545"/>
      <c r="VWF33" s="545"/>
      <c r="VWG33" s="545"/>
      <c r="VWH33" s="545"/>
      <c r="VWI33" s="545"/>
      <c r="VWJ33" s="545"/>
      <c r="VWK33" s="545"/>
      <c r="VWL33" s="545"/>
      <c r="VWM33" s="545"/>
      <c r="VWN33" s="545"/>
      <c r="VWO33" s="545"/>
      <c r="VWP33" s="545"/>
      <c r="VWQ33" s="545"/>
      <c r="VWR33" s="545"/>
      <c r="VWS33" s="545"/>
      <c r="VWT33" s="545"/>
      <c r="VWU33" s="545"/>
      <c r="VWV33" s="545"/>
      <c r="VWW33" s="545"/>
      <c r="VWX33" s="545"/>
      <c r="VWY33" s="545"/>
      <c r="VWZ33" s="545"/>
      <c r="VXA33" s="545"/>
      <c r="VXB33" s="545"/>
      <c r="VXC33" s="545"/>
      <c r="VXD33" s="545"/>
      <c r="VXE33" s="545"/>
      <c r="VXF33" s="545"/>
      <c r="VXG33" s="545"/>
      <c r="VXH33" s="545"/>
      <c r="VXI33" s="545"/>
      <c r="VXJ33" s="545"/>
      <c r="VXK33" s="545"/>
      <c r="VXL33" s="545"/>
      <c r="VXM33" s="545"/>
      <c r="VXN33" s="545"/>
      <c r="VXO33" s="545"/>
      <c r="VXP33" s="545"/>
      <c r="VXQ33" s="545"/>
      <c r="VXR33" s="545"/>
      <c r="VXS33" s="545"/>
      <c r="VXT33" s="545"/>
      <c r="VXU33" s="545"/>
      <c r="VXV33" s="545"/>
      <c r="VXW33" s="545"/>
      <c r="VXX33" s="545"/>
      <c r="VXY33" s="545"/>
      <c r="VXZ33" s="545"/>
      <c r="VYA33" s="545"/>
      <c r="VYB33" s="545"/>
      <c r="VYC33" s="545"/>
      <c r="VYD33" s="545"/>
      <c r="VYE33" s="545"/>
      <c r="VYF33" s="545"/>
      <c r="VYG33" s="545"/>
      <c r="VYH33" s="545"/>
      <c r="VYI33" s="545"/>
      <c r="VYJ33" s="545"/>
      <c r="VYK33" s="545"/>
      <c r="VYL33" s="545"/>
      <c r="VYM33" s="545"/>
      <c r="VYN33" s="545"/>
      <c r="VYO33" s="545"/>
      <c r="VYP33" s="545"/>
      <c r="VYQ33" s="545"/>
      <c r="VYR33" s="545"/>
      <c r="VYS33" s="545"/>
      <c r="VYT33" s="545"/>
      <c r="VYU33" s="545"/>
      <c r="VYV33" s="545"/>
      <c r="VYW33" s="545"/>
      <c r="VYX33" s="545"/>
      <c r="VYY33" s="545"/>
      <c r="VYZ33" s="545"/>
      <c r="VZA33" s="545"/>
      <c r="VZB33" s="545"/>
      <c r="VZC33" s="545"/>
      <c r="VZD33" s="545"/>
      <c r="VZE33" s="545"/>
      <c r="VZF33" s="545"/>
      <c r="VZG33" s="545"/>
      <c r="VZH33" s="545"/>
      <c r="VZI33" s="545"/>
      <c r="VZJ33" s="545"/>
      <c r="VZK33" s="545"/>
      <c r="VZL33" s="545"/>
      <c r="VZM33" s="545"/>
      <c r="VZN33" s="545"/>
      <c r="VZO33" s="545"/>
      <c r="VZP33" s="545"/>
      <c r="VZQ33" s="545"/>
      <c r="VZR33" s="545"/>
      <c r="VZS33" s="545"/>
      <c r="VZT33" s="545"/>
      <c r="VZU33" s="545"/>
      <c r="VZV33" s="545"/>
      <c r="VZW33" s="545"/>
      <c r="VZX33" s="545"/>
      <c r="VZY33" s="545"/>
      <c r="VZZ33" s="545"/>
      <c r="WAA33" s="545"/>
      <c r="WAB33" s="545"/>
      <c r="WAC33" s="545"/>
      <c r="WAD33" s="545"/>
      <c r="WAE33" s="545"/>
      <c r="WAF33" s="545"/>
      <c r="WAG33" s="545"/>
      <c r="WAH33" s="545"/>
      <c r="WAI33" s="545"/>
      <c r="WAJ33" s="545"/>
      <c r="WAK33" s="545"/>
      <c r="WAL33" s="545"/>
      <c r="WAM33" s="545"/>
      <c r="WAN33" s="545"/>
      <c r="WAO33" s="545"/>
      <c r="WAP33" s="545"/>
      <c r="WAQ33" s="545"/>
      <c r="WAR33" s="545"/>
      <c r="WAS33" s="545"/>
      <c r="WAT33" s="545"/>
      <c r="WAU33" s="545"/>
      <c r="WAV33" s="545"/>
      <c r="WAW33" s="545"/>
      <c r="WAX33" s="545"/>
      <c r="WAY33" s="545"/>
      <c r="WAZ33" s="545"/>
      <c r="WBA33" s="545"/>
      <c r="WBB33" s="545"/>
      <c r="WBC33" s="545"/>
      <c r="WBD33" s="545"/>
      <c r="WBE33" s="545"/>
      <c r="WBF33" s="545"/>
      <c r="WBG33" s="545"/>
      <c r="WBH33" s="545"/>
      <c r="WBI33" s="545"/>
      <c r="WBJ33" s="545"/>
      <c r="WBK33" s="545"/>
      <c r="WBL33" s="545"/>
      <c r="WBM33" s="545"/>
      <c r="WBN33" s="545"/>
      <c r="WBO33" s="545"/>
      <c r="WBP33" s="545"/>
      <c r="WBQ33" s="545"/>
      <c r="WBR33" s="545"/>
      <c r="WBS33" s="545"/>
      <c r="WBT33" s="545"/>
      <c r="WBU33" s="545"/>
      <c r="WBV33" s="545"/>
      <c r="WBW33" s="545"/>
      <c r="WBX33" s="545"/>
      <c r="WBY33" s="545"/>
      <c r="WBZ33" s="545"/>
      <c r="WCA33" s="545"/>
      <c r="WCB33" s="545"/>
      <c r="WCC33" s="545"/>
      <c r="WCD33" s="545"/>
      <c r="WCE33" s="545"/>
      <c r="WCF33" s="545"/>
      <c r="WCG33" s="545"/>
      <c r="WCH33" s="545"/>
      <c r="WCI33" s="545"/>
      <c r="WCJ33" s="545"/>
      <c r="WCK33" s="545"/>
      <c r="WCL33" s="545"/>
      <c r="WCM33" s="545"/>
      <c r="WCN33" s="545"/>
      <c r="WCO33" s="545"/>
      <c r="WCP33" s="545"/>
      <c r="WCQ33" s="545"/>
      <c r="WCR33" s="545"/>
      <c r="WCS33" s="545"/>
      <c r="WCT33" s="545"/>
      <c r="WCU33" s="545"/>
      <c r="WCV33" s="545"/>
      <c r="WCW33" s="545"/>
      <c r="WCX33" s="545"/>
      <c r="WCY33" s="545"/>
      <c r="WCZ33" s="545"/>
      <c r="WDA33" s="545"/>
      <c r="WDB33" s="545"/>
      <c r="WDC33" s="545"/>
      <c r="WDD33" s="545"/>
      <c r="WDE33" s="545"/>
      <c r="WDF33" s="545"/>
      <c r="WDG33" s="545"/>
      <c r="WDH33" s="545"/>
      <c r="WDI33" s="545"/>
      <c r="WDJ33" s="545"/>
      <c r="WDK33" s="545"/>
      <c r="WDL33" s="545"/>
      <c r="WDM33" s="545"/>
      <c r="WDN33" s="545"/>
      <c r="WDO33" s="545"/>
      <c r="WDP33" s="545"/>
      <c r="WDQ33" s="545"/>
      <c r="WDR33" s="545"/>
      <c r="WDS33" s="545"/>
      <c r="WDT33" s="545"/>
      <c r="WDU33" s="545"/>
      <c r="WDV33" s="545"/>
      <c r="WDW33" s="545"/>
      <c r="WDX33" s="545"/>
      <c r="WDY33" s="545"/>
      <c r="WDZ33" s="545"/>
      <c r="WEA33" s="545"/>
      <c r="WEB33" s="545"/>
      <c r="WEC33" s="545"/>
      <c r="WED33" s="545"/>
      <c r="WEE33" s="545"/>
      <c r="WEF33" s="545"/>
      <c r="WEG33" s="545"/>
      <c r="WEH33" s="545"/>
      <c r="WEI33" s="545"/>
      <c r="WEJ33" s="545"/>
      <c r="WEK33" s="545"/>
      <c r="WEL33" s="545"/>
      <c r="WEM33" s="545"/>
      <c r="WEN33" s="545"/>
      <c r="WEO33" s="545"/>
      <c r="WEP33" s="545"/>
      <c r="WEQ33" s="545"/>
      <c r="WER33" s="545"/>
      <c r="WES33" s="545"/>
      <c r="WET33" s="545"/>
      <c r="WEU33" s="545"/>
      <c r="WEV33" s="545"/>
      <c r="WEW33" s="545"/>
      <c r="WEX33" s="545"/>
      <c r="WEY33" s="545"/>
      <c r="WEZ33" s="545"/>
      <c r="WFA33" s="545"/>
      <c r="WFB33" s="545"/>
      <c r="WFC33" s="545"/>
      <c r="WFD33" s="545"/>
      <c r="WFE33" s="545"/>
      <c r="WFF33" s="545"/>
      <c r="WFG33" s="545"/>
      <c r="WFH33" s="545"/>
      <c r="WFI33" s="545"/>
      <c r="WFJ33" s="545"/>
      <c r="WFK33" s="545"/>
      <c r="WFL33" s="545"/>
      <c r="WFM33" s="545"/>
      <c r="WFN33" s="545"/>
      <c r="WFO33" s="545"/>
      <c r="WFP33" s="545"/>
      <c r="WFQ33" s="545"/>
      <c r="WFR33" s="545"/>
      <c r="WFS33" s="545"/>
      <c r="WFT33" s="545"/>
      <c r="WFU33" s="545"/>
      <c r="WFV33" s="545"/>
      <c r="WFW33" s="545"/>
      <c r="WFX33" s="545"/>
      <c r="WFY33" s="545"/>
      <c r="WFZ33" s="545"/>
      <c r="WGA33" s="545"/>
      <c r="WGB33" s="545"/>
      <c r="WGC33" s="545"/>
      <c r="WGD33" s="545"/>
      <c r="WGE33" s="545"/>
      <c r="WGF33" s="545"/>
      <c r="WGG33" s="545"/>
      <c r="WGH33" s="545"/>
      <c r="WGI33" s="545"/>
      <c r="WGJ33" s="545"/>
      <c r="WGK33" s="545"/>
      <c r="WGL33" s="545"/>
      <c r="WGM33" s="545"/>
      <c r="WGN33" s="545"/>
      <c r="WGO33" s="545"/>
      <c r="WGP33" s="545"/>
      <c r="WGQ33" s="545"/>
      <c r="WGR33" s="545"/>
      <c r="WGS33" s="545"/>
      <c r="WGT33" s="545"/>
      <c r="WGU33" s="545"/>
      <c r="WGV33" s="545"/>
      <c r="WGW33" s="545"/>
      <c r="WGX33" s="545"/>
      <c r="WGY33" s="545"/>
      <c r="WGZ33" s="545"/>
      <c r="WHA33" s="545"/>
      <c r="WHB33" s="545"/>
      <c r="WHC33" s="545"/>
      <c r="WHD33" s="545"/>
      <c r="WHE33" s="545"/>
      <c r="WHF33" s="545"/>
      <c r="WHG33" s="545"/>
      <c r="WHH33" s="545"/>
      <c r="WHI33" s="545"/>
      <c r="WHJ33" s="545"/>
      <c r="WHK33" s="545"/>
      <c r="WHL33" s="545"/>
      <c r="WHM33" s="545"/>
      <c r="WHN33" s="545"/>
      <c r="WHO33" s="545"/>
      <c r="WHP33" s="545"/>
      <c r="WHQ33" s="545"/>
      <c r="WHR33" s="545"/>
      <c r="WHS33" s="545"/>
      <c r="WHT33" s="545"/>
      <c r="WHU33" s="545"/>
      <c r="WHV33" s="545"/>
      <c r="WHW33" s="545"/>
      <c r="WHX33" s="545"/>
      <c r="WHY33" s="545"/>
      <c r="WHZ33" s="545"/>
      <c r="WIA33" s="545"/>
      <c r="WIB33" s="545"/>
      <c r="WIC33" s="545"/>
      <c r="WID33" s="545"/>
      <c r="WIE33" s="545"/>
      <c r="WIF33" s="545"/>
      <c r="WIG33" s="545"/>
      <c r="WIH33" s="545"/>
      <c r="WII33" s="545"/>
      <c r="WIJ33" s="545"/>
      <c r="WIK33" s="545"/>
      <c r="WIL33" s="545"/>
      <c r="WIM33" s="545"/>
      <c r="WIN33" s="545"/>
      <c r="WIO33" s="545"/>
      <c r="WIP33" s="545"/>
      <c r="WIQ33" s="545"/>
      <c r="WIR33" s="545"/>
      <c r="WIS33" s="545"/>
      <c r="WIT33" s="545"/>
      <c r="WIU33" s="545"/>
      <c r="WIV33" s="545"/>
      <c r="WIW33" s="545"/>
      <c r="WIX33" s="545"/>
      <c r="WIY33" s="545"/>
      <c r="WIZ33" s="545"/>
      <c r="WJA33" s="545"/>
      <c r="WJB33" s="545"/>
      <c r="WJC33" s="545"/>
      <c r="WJD33" s="545"/>
      <c r="WJE33" s="545"/>
      <c r="WJF33" s="545"/>
      <c r="WJG33" s="545"/>
      <c r="WJH33" s="545"/>
      <c r="WJI33" s="545"/>
      <c r="WJJ33" s="545"/>
      <c r="WJK33" s="545"/>
      <c r="WJL33" s="545"/>
      <c r="WJM33" s="545"/>
      <c r="WJN33" s="545"/>
      <c r="WJO33" s="545"/>
      <c r="WJP33" s="545"/>
      <c r="WJQ33" s="545"/>
      <c r="WJR33" s="545"/>
      <c r="WJS33" s="545"/>
      <c r="WJT33" s="545"/>
      <c r="WJU33" s="545"/>
      <c r="WJV33" s="545"/>
      <c r="WJW33" s="545"/>
      <c r="WJX33" s="545"/>
      <c r="WJY33" s="545"/>
      <c r="WJZ33" s="545"/>
      <c r="WKA33" s="545"/>
      <c r="WKB33" s="545"/>
      <c r="WKC33" s="545"/>
      <c r="WKD33" s="545"/>
      <c r="WKE33" s="545"/>
      <c r="WKF33" s="545"/>
      <c r="WKG33" s="545"/>
      <c r="WKH33" s="545"/>
      <c r="WKI33" s="545"/>
      <c r="WKJ33" s="545"/>
      <c r="WKK33" s="545"/>
      <c r="WKL33" s="545"/>
      <c r="WKM33" s="545"/>
      <c r="WKN33" s="545"/>
      <c r="WKO33" s="545"/>
      <c r="WKP33" s="545"/>
      <c r="WKQ33" s="545"/>
      <c r="WKR33" s="545"/>
      <c r="WKS33" s="545"/>
      <c r="WKT33" s="545"/>
      <c r="WKU33" s="545"/>
      <c r="WKV33" s="545"/>
      <c r="WKW33" s="545"/>
      <c r="WKX33" s="545"/>
      <c r="WKY33" s="545"/>
      <c r="WKZ33" s="545"/>
      <c r="WLA33" s="545"/>
      <c r="WLB33" s="545"/>
      <c r="WLC33" s="545"/>
      <c r="WLD33" s="545"/>
      <c r="WLE33" s="545"/>
      <c r="WLF33" s="545"/>
      <c r="WLG33" s="545"/>
      <c r="WLH33" s="545"/>
      <c r="WLI33" s="545"/>
      <c r="WLJ33" s="545"/>
      <c r="WLK33" s="545"/>
      <c r="WLL33" s="545"/>
      <c r="WLM33" s="545"/>
      <c r="WLN33" s="545"/>
      <c r="WLO33" s="545"/>
      <c r="WLP33" s="545"/>
      <c r="WLQ33" s="545"/>
      <c r="WLR33" s="545"/>
      <c r="WLS33" s="545"/>
      <c r="WLT33" s="545"/>
      <c r="WLU33" s="545"/>
      <c r="WLV33" s="545"/>
      <c r="WLW33" s="545"/>
      <c r="WLX33" s="545"/>
      <c r="WLY33" s="545"/>
      <c r="WLZ33" s="545"/>
      <c r="WMA33" s="545"/>
      <c r="WMB33" s="545"/>
      <c r="WMC33" s="545"/>
      <c r="WMD33" s="545"/>
      <c r="WME33" s="545"/>
      <c r="WMF33" s="545"/>
      <c r="WMG33" s="545"/>
      <c r="WMH33" s="545"/>
      <c r="WMI33" s="545"/>
      <c r="WMJ33" s="545"/>
      <c r="WMK33" s="545"/>
      <c r="WML33" s="545"/>
      <c r="WMM33" s="545"/>
      <c r="WMN33" s="545"/>
      <c r="WMO33" s="545"/>
      <c r="WMP33" s="545"/>
      <c r="WMQ33" s="545"/>
      <c r="WMR33" s="545"/>
      <c r="WMS33" s="545"/>
      <c r="WMT33" s="545"/>
      <c r="WMU33" s="545"/>
      <c r="WMV33" s="545"/>
      <c r="WMW33" s="545"/>
      <c r="WMX33" s="545"/>
      <c r="WMY33" s="545"/>
      <c r="WMZ33" s="545"/>
      <c r="WNA33" s="545"/>
      <c r="WNB33" s="545"/>
      <c r="WNC33" s="545"/>
      <c r="WND33" s="545"/>
      <c r="WNE33" s="545"/>
      <c r="WNF33" s="545"/>
      <c r="WNG33" s="545"/>
      <c r="WNH33" s="545"/>
      <c r="WNI33" s="545"/>
      <c r="WNJ33" s="545"/>
      <c r="WNK33" s="545"/>
      <c r="WNL33" s="545"/>
      <c r="WNM33" s="545"/>
      <c r="WNN33" s="545"/>
      <c r="WNO33" s="545"/>
      <c r="WNP33" s="545"/>
      <c r="WNQ33" s="545"/>
      <c r="WNR33" s="545"/>
      <c r="WNS33" s="545"/>
      <c r="WNT33" s="545"/>
      <c r="WNU33" s="545"/>
      <c r="WNV33" s="545"/>
      <c r="WNW33" s="545"/>
      <c r="WNX33" s="545"/>
      <c r="WNY33" s="545"/>
      <c r="WNZ33" s="545"/>
      <c r="WOA33" s="545"/>
      <c r="WOB33" s="545"/>
      <c r="WOC33" s="545"/>
      <c r="WOD33" s="545"/>
      <c r="WOE33" s="545"/>
      <c r="WOF33" s="545"/>
      <c r="WOG33" s="545"/>
      <c r="WOH33" s="545"/>
      <c r="WOI33" s="545"/>
      <c r="WOJ33" s="545"/>
      <c r="WOK33" s="545"/>
      <c r="WOL33" s="545"/>
      <c r="WOM33" s="545"/>
      <c r="WON33" s="545"/>
      <c r="WOO33" s="545"/>
      <c r="WOP33" s="545"/>
      <c r="WOQ33" s="545"/>
      <c r="WOR33" s="545"/>
      <c r="WOS33" s="545"/>
      <c r="WOT33" s="545"/>
      <c r="WOU33" s="545"/>
      <c r="WOV33" s="545"/>
      <c r="WOW33" s="545"/>
      <c r="WOX33" s="545"/>
      <c r="WOY33" s="545"/>
      <c r="WOZ33" s="545"/>
      <c r="WPA33" s="545"/>
      <c r="WPB33" s="545"/>
      <c r="WPC33" s="545"/>
      <c r="WPD33" s="545"/>
      <c r="WPE33" s="545"/>
      <c r="WPF33" s="545"/>
      <c r="WPG33" s="545"/>
      <c r="WPH33" s="545"/>
      <c r="WPI33" s="545"/>
      <c r="WPJ33" s="545"/>
      <c r="WPK33" s="545"/>
      <c r="WPL33" s="545"/>
      <c r="WPM33" s="545"/>
      <c r="WPN33" s="545"/>
      <c r="WPO33" s="545"/>
      <c r="WPP33" s="545"/>
      <c r="WPQ33" s="545"/>
      <c r="WPR33" s="545"/>
      <c r="WPS33" s="545"/>
      <c r="WPT33" s="545"/>
      <c r="WPU33" s="545"/>
      <c r="WPV33" s="545"/>
      <c r="WPW33" s="545"/>
      <c r="WPX33" s="545"/>
      <c r="WPY33" s="545"/>
      <c r="WPZ33" s="545"/>
      <c r="WQA33" s="545"/>
      <c r="WQB33" s="545"/>
      <c r="WQC33" s="545"/>
      <c r="WQD33" s="545"/>
      <c r="WQE33" s="545"/>
      <c r="WQF33" s="545"/>
      <c r="WQG33" s="545"/>
      <c r="WQH33" s="545"/>
      <c r="WQI33" s="545"/>
      <c r="WQJ33" s="545"/>
      <c r="WQK33" s="545"/>
      <c r="WQL33" s="545"/>
      <c r="WQM33" s="545"/>
      <c r="WQN33" s="545"/>
      <c r="WQO33" s="545"/>
      <c r="WQP33" s="545"/>
      <c r="WQQ33" s="545"/>
      <c r="WQR33" s="545"/>
      <c r="WQS33" s="545"/>
      <c r="WQT33" s="545"/>
      <c r="WQU33" s="545"/>
      <c r="WQV33" s="545"/>
      <c r="WQW33" s="545"/>
      <c r="WQX33" s="545"/>
      <c r="WQY33" s="545"/>
      <c r="WQZ33" s="545"/>
      <c r="WRA33" s="545"/>
      <c r="WRB33" s="545"/>
      <c r="WRC33" s="545"/>
      <c r="WRD33" s="545"/>
      <c r="WRE33" s="545"/>
      <c r="WRF33" s="545"/>
      <c r="WRG33" s="545"/>
      <c r="WRH33" s="545"/>
      <c r="WRI33" s="545"/>
      <c r="WRJ33" s="545"/>
      <c r="WRK33" s="545"/>
      <c r="WRL33" s="545"/>
      <c r="WRM33" s="545"/>
      <c r="WRN33" s="545"/>
      <c r="WRO33" s="545"/>
      <c r="WRP33" s="545"/>
      <c r="WRQ33" s="545"/>
      <c r="WRR33" s="545"/>
      <c r="WRS33" s="545"/>
      <c r="WRT33" s="545"/>
      <c r="WRU33" s="545"/>
      <c r="WRV33" s="545"/>
      <c r="WRW33" s="545"/>
      <c r="WRX33" s="545"/>
      <c r="WRY33" s="545"/>
      <c r="WRZ33" s="545"/>
      <c r="WSA33" s="545"/>
      <c r="WSB33" s="545"/>
      <c r="WSC33" s="545"/>
      <c r="WSD33" s="545"/>
      <c r="WSE33" s="545"/>
      <c r="WSF33" s="545"/>
      <c r="WSG33" s="545"/>
      <c r="WSH33" s="545"/>
      <c r="WSI33" s="545"/>
      <c r="WSJ33" s="545"/>
      <c r="WSK33" s="545"/>
      <c r="WSL33" s="545"/>
      <c r="WSM33" s="545"/>
      <c r="WSN33" s="545"/>
      <c r="WSO33" s="545"/>
      <c r="WSP33" s="545"/>
      <c r="WSQ33" s="545"/>
      <c r="WSR33" s="545"/>
      <c r="WSS33" s="545"/>
      <c r="WST33" s="545"/>
      <c r="WSU33" s="545"/>
      <c r="WSV33" s="545"/>
      <c r="WSW33" s="545"/>
      <c r="WSX33" s="545"/>
      <c r="WSY33" s="545"/>
      <c r="WSZ33" s="545"/>
      <c r="WTA33" s="545"/>
      <c r="WTB33" s="545"/>
      <c r="WTC33" s="545"/>
      <c r="WTD33" s="545"/>
      <c r="WTE33" s="545"/>
      <c r="WTF33" s="545"/>
      <c r="WTG33" s="545"/>
      <c r="WTH33" s="545"/>
      <c r="WTI33" s="545"/>
      <c r="WTJ33" s="545"/>
      <c r="WTK33" s="545"/>
      <c r="WTL33" s="545"/>
      <c r="WTM33" s="545"/>
      <c r="WTN33" s="545"/>
      <c r="WTO33" s="545"/>
      <c r="WTP33" s="545"/>
      <c r="WTQ33" s="545"/>
      <c r="WTR33" s="545"/>
      <c r="WTS33" s="545"/>
      <c r="WTT33" s="545"/>
      <c r="WTU33" s="545"/>
      <c r="WTV33" s="545"/>
      <c r="WTW33" s="545"/>
      <c r="WTX33" s="545"/>
      <c r="WTY33" s="545"/>
      <c r="WTZ33" s="545"/>
      <c r="WUA33" s="545"/>
      <c r="WUB33" s="545"/>
      <c r="WUC33" s="545"/>
      <c r="WUD33" s="545"/>
      <c r="WUE33" s="545"/>
      <c r="WUF33" s="545"/>
      <c r="WUG33" s="545"/>
      <c r="WUH33" s="545"/>
      <c r="WUI33" s="545"/>
      <c r="WUJ33" s="545"/>
      <c r="WUK33" s="545"/>
      <c r="WUL33" s="545"/>
      <c r="WUM33" s="545"/>
      <c r="WUN33" s="545"/>
      <c r="WUO33" s="545"/>
      <c r="WUP33" s="545"/>
      <c r="WUQ33" s="545"/>
      <c r="WUR33" s="545"/>
      <c r="WUS33" s="545"/>
      <c r="WUT33" s="545"/>
      <c r="WUU33" s="545"/>
      <c r="WUV33" s="545"/>
      <c r="WUW33" s="545"/>
      <c r="WUX33" s="545"/>
      <c r="WUY33" s="545"/>
      <c r="WUZ33" s="545"/>
      <c r="WVA33" s="545"/>
      <c r="WVB33" s="545"/>
      <c r="WVC33" s="545"/>
      <c r="WVD33" s="545"/>
      <c r="WVE33" s="545"/>
      <c r="WVF33" s="545"/>
      <c r="WVG33" s="545"/>
      <c r="WVH33" s="545"/>
      <c r="WVI33" s="545"/>
      <c r="WVJ33" s="545"/>
      <c r="WVK33" s="545"/>
      <c r="WVL33" s="545"/>
      <c r="WVM33" s="545"/>
      <c r="WVN33" s="545"/>
      <c r="WVO33" s="545"/>
      <c r="WVP33" s="545"/>
      <c r="WVQ33" s="545"/>
      <c r="WVR33" s="545"/>
      <c r="WVS33" s="545"/>
    </row>
    <row r="34" spans="1:16139" s="546" customFormat="1" ht="33.75" hidden="1" customHeight="1" outlineLevel="1">
      <c r="A34" s="547"/>
      <c r="B34" s="550" t="s">
        <v>1575</v>
      </c>
      <c r="C34" s="549">
        <f t="shared" si="15"/>
        <v>19904.735402999999</v>
      </c>
      <c r="D34" s="549">
        <v>4113.0300000000007</v>
      </c>
      <c r="E34" s="549">
        <v>6350</v>
      </c>
      <c r="F34" s="1447">
        <v>2000</v>
      </c>
      <c r="G34" s="549"/>
      <c r="H34" s="549"/>
      <c r="I34" s="549"/>
      <c r="J34" s="549"/>
      <c r="K34" s="549"/>
      <c r="L34" s="549">
        <v>4413.7054029999999</v>
      </c>
      <c r="M34" s="549">
        <v>3028</v>
      </c>
      <c r="N34" s="1600"/>
      <c r="O34" s="667"/>
      <c r="P34" s="545"/>
      <c r="Q34" s="545"/>
      <c r="R34" s="579"/>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c r="IT34" s="545"/>
      <c r="IU34" s="545"/>
      <c r="IV34" s="545"/>
      <c r="IW34" s="545"/>
      <c r="IX34" s="545"/>
      <c r="IY34" s="545"/>
      <c r="IZ34" s="545"/>
      <c r="JA34" s="545"/>
      <c r="JB34" s="545"/>
      <c r="JC34" s="545"/>
      <c r="JD34" s="545"/>
      <c r="JE34" s="545"/>
      <c r="JF34" s="545"/>
      <c r="JG34" s="545"/>
      <c r="JH34" s="545"/>
      <c r="JI34" s="545"/>
      <c r="JJ34" s="545"/>
      <c r="JK34" s="545"/>
      <c r="JL34" s="545"/>
      <c r="JM34" s="545"/>
      <c r="JN34" s="545"/>
      <c r="JO34" s="545"/>
      <c r="JP34" s="545"/>
      <c r="JQ34" s="545"/>
      <c r="JR34" s="545"/>
      <c r="JS34" s="545"/>
      <c r="JT34" s="545"/>
      <c r="JU34" s="545"/>
      <c r="JV34" s="545"/>
      <c r="JW34" s="545"/>
      <c r="JX34" s="545"/>
      <c r="JY34" s="545"/>
      <c r="JZ34" s="545"/>
      <c r="KA34" s="545"/>
      <c r="KB34" s="545"/>
      <c r="KC34" s="545"/>
      <c r="KD34" s="545"/>
      <c r="KE34" s="545"/>
      <c r="KF34" s="545"/>
      <c r="KG34" s="545"/>
      <c r="KH34" s="545"/>
      <c r="KI34" s="545"/>
      <c r="KJ34" s="545"/>
      <c r="KK34" s="545"/>
      <c r="KL34" s="545"/>
      <c r="KM34" s="545"/>
      <c r="KN34" s="545"/>
      <c r="KO34" s="545"/>
      <c r="KP34" s="545"/>
      <c r="KQ34" s="545"/>
      <c r="KR34" s="545"/>
      <c r="KS34" s="545"/>
      <c r="KT34" s="545"/>
      <c r="KU34" s="545"/>
      <c r="KV34" s="545"/>
      <c r="KW34" s="545"/>
      <c r="KX34" s="545"/>
      <c r="KY34" s="545"/>
      <c r="KZ34" s="545"/>
      <c r="LA34" s="545"/>
      <c r="LB34" s="545"/>
      <c r="LC34" s="545"/>
      <c r="LD34" s="545"/>
      <c r="LE34" s="545"/>
      <c r="LF34" s="545"/>
      <c r="LG34" s="545"/>
      <c r="LH34" s="545"/>
      <c r="LI34" s="545"/>
      <c r="LJ34" s="545"/>
      <c r="LK34" s="545"/>
      <c r="LL34" s="545"/>
      <c r="LM34" s="545"/>
      <c r="LN34" s="545"/>
      <c r="LO34" s="545"/>
      <c r="LP34" s="545"/>
      <c r="LQ34" s="545"/>
      <c r="LR34" s="545"/>
      <c r="LS34" s="545"/>
      <c r="LT34" s="545"/>
      <c r="LU34" s="545"/>
      <c r="LV34" s="545"/>
      <c r="LW34" s="545"/>
      <c r="LX34" s="545"/>
      <c r="LY34" s="545"/>
      <c r="LZ34" s="545"/>
      <c r="MA34" s="545"/>
      <c r="MB34" s="545"/>
      <c r="MC34" s="545"/>
      <c r="MD34" s="545"/>
      <c r="ME34" s="545"/>
      <c r="MF34" s="545"/>
      <c r="MG34" s="545"/>
      <c r="MH34" s="545"/>
      <c r="MI34" s="545"/>
      <c r="MJ34" s="545"/>
      <c r="MK34" s="545"/>
      <c r="ML34" s="545"/>
      <c r="MM34" s="545"/>
      <c r="MN34" s="545"/>
      <c r="MO34" s="545"/>
      <c r="MP34" s="545"/>
      <c r="MQ34" s="545"/>
      <c r="MR34" s="545"/>
      <c r="MS34" s="545"/>
      <c r="MT34" s="545"/>
      <c r="MU34" s="545"/>
      <c r="MV34" s="545"/>
      <c r="MW34" s="545"/>
      <c r="MX34" s="545"/>
      <c r="MY34" s="545"/>
      <c r="MZ34" s="545"/>
      <c r="NA34" s="545"/>
      <c r="NB34" s="545"/>
      <c r="NC34" s="545"/>
      <c r="ND34" s="545"/>
      <c r="NE34" s="545"/>
      <c r="NF34" s="545"/>
      <c r="NG34" s="545"/>
      <c r="NH34" s="545"/>
      <c r="NI34" s="545"/>
      <c r="NJ34" s="545"/>
      <c r="NK34" s="545"/>
      <c r="NL34" s="545"/>
      <c r="NM34" s="545"/>
      <c r="NN34" s="545"/>
      <c r="NO34" s="545"/>
      <c r="NP34" s="545"/>
      <c r="NQ34" s="545"/>
      <c r="NR34" s="545"/>
      <c r="NS34" s="545"/>
      <c r="NT34" s="545"/>
      <c r="NU34" s="545"/>
      <c r="NV34" s="545"/>
      <c r="NW34" s="545"/>
      <c r="NX34" s="545"/>
      <c r="NY34" s="545"/>
      <c r="NZ34" s="545"/>
      <c r="OA34" s="545"/>
      <c r="OB34" s="545"/>
      <c r="OC34" s="545"/>
      <c r="OD34" s="545"/>
      <c r="OE34" s="545"/>
      <c r="OF34" s="545"/>
      <c r="OG34" s="545"/>
      <c r="OH34" s="545"/>
      <c r="OI34" s="545"/>
      <c r="OJ34" s="545"/>
      <c r="OK34" s="545"/>
      <c r="OL34" s="545"/>
      <c r="OM34" s="545"/>
      <c r="ON34" s="545"/>
      <c r="OO34" s="545"/>
      <c r="OP34" s="545"/>
      <c r="OQ34" s="545"/>
      <c r="OR34" s="545"/>
      <c r="OS34" s="545"/>
      <c r="OT34" s="545"/>
      <c r="OU34" s="545"/>
      <c r="OV34" s="545"/>
      <c r="OW34" s="545"/>
      <c r="OX34" s="545"/>
      <c r="OY34" s="545"/>
      <c r="OZ34" s="545"/>
      <c r="PA34" s="545"/>
      <c r="PB34" s="545"/>
      <c r="PC34" s="545"/>
      <c r="PD34" s="545"/>
      <c r="PE34" s="545"/>
      <c r="PF34" s="545"/>
      <c r="PG34" s="545"/>
      <c r="PH34" s="545"/>
      <c r="PI34" s="545"/>
      <c r="PJ34" s="545"/>
      <c r="PK34" s="545"/>
      <c r="PL34" s="545"/>
      <c r="PM34" s="545"/>
      <c r="PN34" s="545"/>
      <c r="PO34" s="545"/>
      <c r="PP34" s="545"/>
      <c r="PQ34" s="545"/>
      <c r="PR34" s="545"/>
      <c r="PS34" s="545"/>
      <c r="PT34" s="545"/>
      <c r="PU34" s="545"/>
      <c r="PV34" s="545"/>
      <c r="PW34" s="545"/>
      <c r="PX34" s="545"/>
      <c r="PY34" s="545"/>
      <c r="PZ34" s="545"/>
      <c r="QA34" s="545"/>
      <c r="QB34" s="545"/>
      <c r="QC34" s="545"/>
      <c r="QD34" s="545"/>
      <c r="QE34" s="545"/>
      <c r="QF34" s="545"/>
      <c r="QG34" s="545"/>
      <c r="QH34" s="545"/>
      <c r="QI34" s="545"/>
      <c r="QJ34" s="545"/>
      <c r="QK34" s="545"/>
      <c r="QL34" s="545"/>
      <c r="QM34" s="545"/>
      <c r="QN34" s="545"/>
      <c r="QO34" s="545"/>
      <c r="QP34" s="545"/>
      <c r="QQ34" s="545"/>
      <c r="QR34" s="545"/>
      <c r="QS34" s="545"/>
      <c r="QT34" s="545"/>
      <c r="QU34" s="545"/>
      <c r="QV34" s="545"/>
      <c r="QW34" s="545"/>
      <c r="QX34" s="545"/>
      <c r="QY34" s="545"/>
      <c r="QZ34" s="545"/>
      <c r="RA34" s="545"/>
      <c r="RB34" s="545"/>
      <c r="RC34" s="545"/>
      <c r="RD34" s="545"/>
      <c r="RE34" s="545"/>
      <c r="RF34" s="545"/>
      <c r="RG34" s="545"/>
      <c r="RH34" s="545"/>
      <c r="RI34" s="545"/>
      <c r="RJ34" s="545"/>
      <c r="RK34" s="545"/>
      <c r="RL34" s="545"/>
      <c r="RM34" s="545"/>
      <c r="RN34" s="545"/>
      <c r="RO34" s="545"/>
      <c r="RP34" s="545"/>
      <c r="RQ34" s="545"/>
      <c r="RR34" s="545"/>
      <c r="RS34" s="545"/>
      <c r="RT34" s="545"/>
      <c r="RU34" s="545"/>
      <c r="RV34" s="545"/>
      <c r="RW34" s="545"/>
      <c r="RX34" s="545"/>
      <c r="RY34" s="545"/>
      <c r="RZ34" s="545"/>
      <c r="SA34" s="545"/>
      <c r="SB34" s="545"/>
      <c r="SC34" s="545"/>
      <c r="SD34" s="545"/>
      <c r="SE34" s="545"/>
      <c r="SF34" s="545"/>
      <c r="SG34" s="545"/>
      <c r="SH34" s="545"/>
      <c r="SI34" s="545"/>
      <c r="SJ34" s="545"/>
      <c r="SK34" s="545"/>
      <c r="SL34" s="545"/>
      <c r="SM34" s="545"/>
      <c r="SN34" s="545"/>
      <c r="SO34" s="545"/>
      <c r="SP34" s="545"/>
      <c r="SQ34" s="545"/>
      <c r="SR34" s="545"/>
      <c r="SS34" s="545"/>
      <c r="ST34" s="545"/>
      <c r="SU34" s="545"/>
      <c r="SV34" s="545"/>
      <c r="SW34" s="545"/>
      <c r="SX34" s="545"/>
      <c r="SY34" s="545"/>
      <c r="SZ34" s="545"/>
      <c r="TA34" s="545"/>
      <c r="TB34" s="545"/>
      <c r="TC34" s="545"/>
      <c r="TD34" s="545"/>
      <c r="TE34" s="545"/>
      <c r="TF34" s="545"/>
      <c r="TG34" s="545"/>
      <c r="TH34" s="545"/>
      <c r="TI34" s="545"/>
      <c r="TJ34" s="545"/>
      <c r="TK34" s="545"/>
      <c r="TL34" s="545"/>
      <c r="TM34" s="545"/>
      <c r="TN34" s="545"/>
      <c r="TO34" s="545"/>
      <c r="TP34" s="545"/>
      <c r="TQ34" s="545"/>
      <c r="TR34" s="545"/>
      <c r="TS34" s="545"/>
      <c r="TT34" s="545"/>
      <c r="TU34" s="545"/>
      <c r="TV34" s="545"/>
      <c r="TW34" s="545"/>
      <c r="TX34" s="545"/>
      <c r="TY34" s="545"/>
      <c r="TZ34" s="545"/>
      <c r="UA34" s="545"/>
      <c r="UB34" s="545"/>
      <c r="UC34" s="545"/>
      <c r="UD34" s="545"/>
      <c r="UE34" s="545"/>
      <c r="UF34" s="545"/>
      <c r="UG34" s="545"/>
      <c r="UH34" s="545"/>
      <c r="UI34" s="545"/>
      <c r="UJ34" s="545"/>
      <c r="UK34" s="545"/>
      <c r="UL34" s="545"/>
      <c r="UM34" s="545"/>
      <c r="UN34" s="545"/>
      <c r="UO34" s="545"/>
      <c r="UP34" s="545"/>
      <c r="UQ34" s="545"/>
      <c r="UR34" s="545"/>
      <c r="US34" s="545"/>
      <c r="UT34" s="545"/>
      <c r="UU34" s="545"/>
      <c r="UV34" s="545"/>
      <c r="UW34" s="545"/>
      <c r="UX34" s="545"/>
      <c r="UY34" s="545"/>
      <c r="UZ34" s="545"/>
      <c r="VA34" s="545"/>
      <c r="VB34" s="545"/>
      <c r="VC34" s="545"/>
      <c r="VD34" s="545"/>
      <c r="VE34" s="545"/>
      <c r="VF34" s="545"/>
      <c r="VG34" s="545"/>
      <c r="VH34" s="545"/>
      <c r="VI34" s="545"/>
      <c r="VJ34" s="545"/>
      <c r="VK34" s="545"/>
      <c r="VL34" s="545"/>
      <c r="VM34" s="545"/>
      <c r="VN34" s="545"/>
      <c r="VO34" s="545"/>
      <c r="VP34" s="545"/>
      <c r="VQ34" s="545"/>
      <c r="VR34" s="545"/>
      <c r="VS34" s="545"/>
      <c r="VT34" s="545"/>
      <c r="VU34" s="545"/>
      <c r="VV34" s="545"/>
      <c r="VW34" s="545"/>
      <c r="VX34" s="545"/>
      <c r="VY34" s="545"/>
      <c r="VZ34" s="545"/>
      <c r="WA34" s="545"/>
      <c r="WB34" s="545"/>
      <c r="WC34" s="545"/>
      <c r="WD34" s="545"/>
      <c r="WE34" s="545"/>
      <c r="WF34" s="545"/>
      <c r="WG34" s="545"/>
      <c r="WH34" s="545"/>
      <c r="WI34" s="545"/>
      <c r="WJ34" s="545"/>
      <c r="WK34" s="545"/>
      <c r="WL34" s="545"/>
      <c r="WM34" s="545"/>
      <c r="WN34" s="545"/>
      <c r="WO34" s="545"/>
      <c r="WP34" s="545"/>
      <c r="WQ34" s="545"/>
      <c r="WR34" s="545"/>
      <c r="WS34" s="545"/>
      <c r="WT34" s="545"/>
      <c r="WU34" s="545"/>
      <c r="WV34" s="545"/>
      <c r="WW34" s="545"/>
      <c r="WX34" s="545"/>
      <c r="WY34" s="545"/>
      <c r="WZ34" s="545"/>
      <c r="XA34" s="545"/>
      <c r="XB34" s="545"/>
      <c r="XC34" s="545"/>
      <c r="XD34" s="545"/>
      <c r="XE34" s="545"/>
      <c r="XF34" s="545"/>
      <c r="XG34" s="545"/>
      <c r="XH34" s="545"/>
      <c r="XI34" s="545"/>
      <c r="XJ34" s="545"/>
      <c r="XK34" s="545"/>
      <c r="XL34" s="545"/>
      <c r="XM34" s="545"/>
      <c r="XN34" s="545"/>
      <c r="XO34" s="545"/>
      <c r="XP34" s="545"/>
      <c r="XQ34" s="545"/>
      <c r="XR34" s="545"/>
      <c r="XS34" s="545"/>
      <c r="XT34" s="545"/>
      <c r="XU34" s="545"/>
      <c r="XV34" s="545"/>
      <c r="XW34" s="545"/>
      <c r="XX34" s="545"/>
      <c r="XY34" s="545"/>
      <c r="XZ34" s="545"/>
      <c r="YA34" s="545"/>
      <c r="YB34" s="545"/>
      <c r="YC34" s="545"/>
      <c r="YD34" s="545"/>
      <c r="YE34" s="545"/>
      <c r="YF34" s="545"/>
      <c r="YG34" s="545"/>
      <c r="YH34" s="545"/>
      <c r="YI34" s="545"/>
      <c r="YJ34" s="545"/>
      <c r="YK34" s="545"/>
      <c r="YL34" s="545"/>
      <c r="YM34" s="545"/>
      <c r="YN34" s="545"/>
      <c r="YO34" s="545"/>
      <c r="YP34" s="545"/>
      <c r="YQ34" s="545"/>
      <c r="YR34" s="545"/>
      <c r="YS34" s="545"/>
      <c r="YT34" s="545"/>
      <c r="YU34" s="545"/>
      <c r="YV34" s="545"/>
      <c r="YW34" s="545"/>
      <c r="YX34" s="545"/>
      <c r="YY34" s="545"/>
      <c r="YZ34" s="545"/>
      <c r="ZA34" s="545"/>
      <c r="ZB34" s="545"/>
      <c r="ZC34" s="545"/>
      <c r="ZD34" s="545"/>
      <c r="ZE34" s="545"/>
      <c r="ZF34" s="545"/>
      <c r="ZG34" s="545"/>
      <c r="ZH34" s="545"/>
      <c r="ZI34" s="545"/>
      <c r="ZJ34" s="545"/>
      <c r="ZK34" s="545"/>
      <c r="ZL34" s="545"/>
      <c r="ZM34" s="545"/>
      <c r="ZN34" s="545"/>
      <c r="ZO34" s="545"/>
      <c r="ZP34" s="545"/>
      <c r="ZQ34" s="545"/>
      <c r="ZR34" s="545"/>
      <c r="ZS34" s="545"/>
      <c r="ZT34" s="545"/>
      <c r="ZU34" s="545"/>
      <c r="ZV34" s="545"/>
      <c r="ZW34" s="545"/>
      <c r="ZX34" s="545"/>
      <c r="ZY34" s="545"/>
      <c r="ZZ34" s="545"/>
      <c r="AAA34" s="545"/>
      <c r="AAB34" s="545"/>
      <c r="AAC34" s="545"/>
      <c r="AAD34" s="545"/>
      <c r="AAE34" s="545"/>
      <c r="AAF34" s="545"/>
      <c r="AAG34" s="545"/>
      <c r="AAH34" s="545"/>
      <c r="AAI34" s="545"/>
      <c r="AAJ34" s="545"/>
      <c r="AAK34" s="545"/>
      <c r="AAL34" s="545"/>
      <c r="AAM34" s="545"/>
      <c r="AAN34" s="545"/>
      <c r="AAO34" s="545"/>
      <c r="AAP34" s="545"/>
      <c r="AAQ34" s="545"/>
      <c r="AAR34" s="545"/>
      <c r="AAS34" s="545"/>
      <c r="AAT34" s="545"/>
      <c r="AAU34" s="545"/>
      <c r="AAV34" s="545"/>
      <c r="AAW34" s="545"/>
      <c r="AAX34" s="545"/>
      <c r="AAY34" s="545"/>
      <c r="AAZ34" s="545"/>
      <c r="ABA34" s="545"/>
      <c r="ABB34" s="545"/>
      <c r="ABC34" s="545"/>
      <c r="ABD34" s="545"/>
      <c r="ABE34" s="545"/>
      <c r="ABF34" s="545"/>
      <c r="ABG34" s="545"/>
      <c r="ABH34" s="545"/>
      <c r="ABI34" s="545"/>
      <c r="ABJ34" s="545"/>
      <c r="ABK34" s="545"/>
      <c r="ABL34" s="545"/>
      <c r="ABM34" s="545"/>
      <c r="ABN34" s="545"/>
      <c r="ABO34" s="545"/>
      <c r="ABP34" s="545"/>
      <c r="ABQ34" s="545"/>
      <c r="ABR34" s="545"/>
      <c r="ABS34" s="545"/>
      <c r="ABT34" s="545"/>
      <c r="ABU34" s="545"/>
      <c r="ABV34" s="545"/>
      <c r="ABW34" s="545"/>
      <c r="ABX34" s="545"/>
      <c r="ABY34" s="545"/>
      <c r="ABZ34" s="545"/>
      <c r="ACA34" s="545"/>
      <c r="ACB34" s="545"/>
      <c r="ACC34" s="545"/>
      <c r="ACD34" s="545"/>
      <c r="ACE34" s="545"/>
      <c r="ACF34" s="545"/>
      <c r="ACG34" s="545"/>
      <c r="ACH34" s="545"/>
      <c r="ACI34" s="545"/>
      <c r="ACJ34" s="545"/>
      <c r="ACK34" s="545"/>
      <c r="ACL34" s="545"/>
      <c r="ACM34" s="545"/>
      <c r="ACN34" s="545"/>
      <c r="ACO34" s="545"/>
      <c r="ACP34" s="545"/>
      <c r="ACQ34" s="545"/>
      <c r="ACR34" s="545"/>
      <c r="ACS34" s="545"/>
      <c r="ACT34" s="545"/>
      <c r="ACU34" s="545"/>
      <c r="ACV34" s="545"/>
      <c r="ACW34" s="545"/>
      <c r="ACX34" s="545"/>
      <c r="ACY34" s="545"/>
      <c r="ACZ34" s="545"/>
      <c r="ADA34" s="545"/>
      <c r="ADB34" s="545"/>
      <c r="ADC34" s="545"/>
      <c r="ADD34" s="545"/>
      <c r="ADE34" s="545"/>
      <c r="ADF34" s="545"/>
      <c r="ADG34" s="545"/>
      <c r="ADH34" s="545"/>
      <c r="ADI34" s="545"/>
      <c r="ADJ34" s="545"/>
      <c r="ADK34" s="545"/>
      <c r="ADL34" s="545"/>
      <c r="ADM34" s="545"/>
      <c r="ADN34" s="545"/>
      <c r="ADO34" s="545"/>
      <c r="ADP34" s="545"/>
      <c r="ADQ34" s="545"/>
      <c r="ADR34" s="545"/>
      <c r="ADS34" s="545"/>
      <c r="ADT34" s="545"/>
      <c r="ADU34" s="545"/>
      <c r="ADV34" s="545"/>
      <c r="ADW34" s="545"/>
      <c r="ADX34" s="545"/>
      <c r="ADY34" s="545"/>
      <c r="ADZ34" s="545"/>
      <c r="AEA34" s="545"/>
      <c r="AEB34" s="545"/>
      <c r="AEC34" s="545"/>
      <c r="AED34" s="545"/>
      <c r="AEE34" s="545"/>
      <c r="AEF34" s="545"/>
      <c r="AEG34" s="545"/>
      <c r="AEH34" s="545"/>
      <c r="AEI34" s="545"/>
      <c r="AEJ34" s="545"/>
      <c r="AEK34" s="545"/>
      <c r="AEL34" s="545"/>
      <c r="AEM34" s="545"/>
      <c r="AEN34" s="545"/>
      <c r="AEO34" s="545"/>
      <c r="AEP34" s="545"/>
      <c r="AEQ34" s="545"/>
      <c r="AER34" s="545"/>
      <c r="AES34" s="545"/>
      <c r="AET34" s="545"/>
      <c r="AEU34" s="545"/>
      <c r="AEV34" s="545"/>
      <c r="AEW34" s="545"/>
      <c r="AEX34" s="545"/>
      <c r="AEY34" s="545"/>
      <c r="AEZ34" s="545"/>
      <c r="AFA34" s="545"/>
      <c r="AFB34" s="545"/>
      <c r="AFC34" s="545"/>
      <c r="AFD34" s="545"/>
      <c r="AFE34" s="545"/>
      <c r="AFF34" s="545"/>
      <c r="AFG34" s="545"/>
      <c r="AFH34" s="545"/>
      <c r="AFI34" s="545"/>
      <c r="AFJ34" s="545"/>
      <c r="AFK34" s="545"/>
      <c r="AFL34" s="545"/>
      <c r="AFM34" s="545"/>
      <c r="AFN34" s="545"/>
      <c r="AFO34" s="545"/>
      <c r="AFP34" s="545"/>
      <c r="AFQ34" s="545"/>
      <c r="AFR34" s="545"/>
      <c r="AFS34" s="545"/>
      <c r="AFT34" s="545"/>
      <c r="AFU34" s="545"/>
      <c r="AFV34" s="545"/>
      <c r="AFW34" s="545"/>
      <c r="AFX34" s="545"/>
      <c r="AFY34" s="545"/>
      <c r="AFZ34" s="545"/>
      <c r="AGA34" s="545"/>
      <c r="AGB34" s="545"/>
      <c r="AGC34" s="545"/>
      <c r="AGD34" s="545"/>
      <c r="AGE34" s="545"/>
      <c r="AGF34" s="545"/>
      <c r="AGG34" s="545"/>
      <c r="AGH34" s="545"/>
      <c r="AGI34" s="545"/>
      <c r="AGJ34" s="545"/>
      <c r="AGK34" s="545"/>
      <c r="AGL34" s="545"/>
      <c r="AGM34" s="545"/>
      <c r="AGN34" s="545"/>
      <c r="AGO34" s="545"/>
      <c r="AGP34" s="545"/>
      <c r="AGQ34" s="545"/>
      <c r="AGR34" s="545"/>
      <c r="AGS34" s="545"/>
      <c r="AGT34" s="545"/>
      <c r="AGU34" s="545"/>
      <c r="AGV34" s="545"/>
      <c r="AGW34" s="545"/>
      <c r="AGX34" s="545"/>
      <c r="AGY34" s="545"/>
      <c r="AGZ34" s="545"/>
      <c r="AHA34" s="545"/>
      <c r="AHB34" s="545"/>
      <c r="AHC34" s="545"/>
      <c r="AHD34" s="545"/>
      <c r="AHE34" s="545"/>
      <c r="AHF34" s="545"/>
      <c r="AHG34" s="545"/>
      <c r="AHH34" s="545"/>
      <c r="AHI34" s="545"/>
      <c r="AHJ34" s="545"/>
      <c r="AHK34" s="545"/>
      <c r="AHL34" s="545"/>
      <c r="AHM34" s="545"/>
      <c r="AHN34" s="545"/>
      <c r="AHO34" s="545"/>
      <c r="AHP34" s="545"/>
      <c r="AHQ34" s="545"/>
      <c r="AHR34" s="545"/>
      <c r="AHS34" s="545"/>
      <c r="AHT34" s="545"/>
      <c r="AHU34" s="545"/>
      <c r="AHV34" s="545"/>
      <c r="AHW34" s="545"/>
      <c r="AHX34" s="545"/>
      <c r="AHY34" s="545"/>
      <c r="AHZ34" s="545"/>
      <c r="AIA34" s="545"/>
      <c r="AIB34" s="545"/>
      <c r="AIC34" s="545"/>
      <c r="AID34" s="545"/>
      <c r="AIE34" s="545"/>
      <c r="AIF34" s="545"/>
      <c r="AIG34" s="545"/>
      <c r="AIH34" s="545"/>
      <c r="AII34" s="545"/>
      <c r="AIJ34" s="545"/>
      <c r="AIK34" s="545"/>
      <c r="AIL34" s="545"/>
      <c r="AIM34" s="545"/>
      <c r="AIN34" s="545"/>
      <c r="AIO34" s="545"/>
      <c r="AIP34" s="545"/>
      <c r="AIQ34" s="545"/>
      <c r="AIR34" s="545"/>
      <c r="AIS34" s="545"/>
      <c r="AIT34" s="545"/>
      <c r="AIU34" s="545"/>
      <c r="AIV34" s="545"/>
      <c r="AIW34" s="545"/>
      <c r="AIX34" s="545"/>
      <c r="AIY34" s="545"/>
      <c r="AIZ34" s="545"/>
      <c r="AJA34" s="545"/>
      <c r="AJB34" s="545"/>
      <c r="AJC34" s="545"/>
      <c r="AJD34" s="545"/>
      <c r="AJE34" s="545"/>
      <c r="AJF34" s="545"/>
      <c r="AJG34" s="545"/>
      <c r="AJH34" s="545"/>
      <c r="AJI34" s="545"/>
      <c r="AJJ34" s="545"/>
      <c r="AJK34" s="545"/>
      <c r="AJL34" s="545"/>
      <c r="AJM34" s="545"/>
      <c r="AJN34" s="545"/>
      <c r="AJO34" s="545"/>
      <c r="AJP34" s="545"/>
      <c r="AJQ34" s="545"/>
      <c r="AJR34" s="545"/>
      <c r="AJS34" s="545"/>
      <c r="AJT34" s="545"/>
      <c r="AJU34" s="545"/>
      <c r="AJV34" s="545"/>
      <c r="AJW34" s="545"/>
      <c r="AJX34" s="545"/>
      <c r="AJY34" s="545"/>
      <c r="AJZ34" s="545"/>
      <c r="AKA34" s="545"/>
      <c r="AKB34" s="545"/>
      <c r="AKC34" s="545"/>
      <c r="AKD34" s="545"/>
      <c r="AKE34" s="545"/>
      <c r="AKF34" s="545"/>
      <c r="AKG34" s="545"/>
      <c r="AKH34" s="545"/>
      <c r="AKI34" s="545"/>
      <c r="AKJ34" s="545"/>
      <c r="AKK34" s="545"/>
      <c r="AKL34" s="545"/>
      <c r="AKM34" s="545"/>
      <c r="AKN34" s="545"/>
      <c r="AKO34" s="545"/>
      <c r="AKP34" s="545"/>
      <c r="AKQ34" s="545"/>
      <c r="AKR34" s="545"/>
      <c r="AKS34" s="545"/>
      <c r="AKT34" s="545"/>
      <c r="AKU34" s="545"/>
      <c r="AKV34" s="545"/>
      <c r="AKW34" s="545"/>
      <c r="AKX34" s="545"/>
      <c r="AKY34" s="545"/>
      <c r="AKZ34" s="545"/>
      <c r="ALA34" s="545"/>
      <c r="ALB34" s="545"/>
      <c r="ALC34" s="545"/>
      <c r="ALD34" s="545"/>
      <c r="ALE34" s="545"/>
      <c r="ALF34" s="545"/>
      <c r="ALG34" s="545"/>
      <c r="ALH34" s="545"/>
      <c r="ALI34" s="545"/>
      <c r="ALJ34" s="545"/>
      <c r="ALK34" s="545"/>
      <c r="ALL34" s="545"/>
      <c r="ALM34" s="545"/>
      <c r="ALN34" s="545"/>
      <c r="ALO34" s="545"/>
      <c r="ALP34" s="545"/>
      <c r="ALQ34" s="545"/>
      <c r="ALR34" s="545"/>
      <c r="ALS34" s="545"/>
      <c r="ALT34" s="545"/>
      <c r="ALU34" s="545"/>
      <c r="ALV34" s="545"/>
      <c r="ALW34" s="545"/>
      <c r="ALX34" s="545"/>
      <c r="ALY34" s="545"/>
      <c r="ALZ34" s="545"/>
      <c r="AMA34" s="545"/>
      <c r="AMB34" s="545"/>
      <c r="AMC34" s="545"/>
      <c r="AMD34" s="545"/>
      <c r="AME34" s="545"/>
      <c r="AMF34" s="545"/>
      <c r="AMG34" s="545"/>
      <c r="AMH34" s="545"/>
      <c r="AMI34" s="545"/>
      <c r="AMJ34" s="545"/>
      <c r="AMK34" s="545"/>
      <c r="AML34" s="545"/>
      <c r="AMM34" s="545"/>
      <c r="AMN34" s="545"/>
      <c r="AMO34" s="545"/>
      <c r="AMP34" s="545"/>
      <c r="AMQ34" s="545"/>
      <c r="AMR34" s="545"/>
      <c r="AMS34" s="545"/>
      <c r="AMT34" s="545"/>
      <c r="AMU34" s="545"/>
      <c r="AMV34" s="545"/>
      <c r="AMW34" s="545"/>
      <c r="AMX34" s="545"/>
      <c r="AMY34" s="545"/>
      <c r="AMZ34" s="545"/>
      <c r="ANA34" s="545"/>
      <c r="ANB34" s="545"/>
      <c r="ANC34" s="545"/>
      <c r="AND34" s="545"/>
      <c r="ANE34" s="545"/>
      <c r="ANF34" s="545"/>
      <c r="ANG34" s="545"/>
      <c r="ANH34" s="545"/>
      <c r="ANI34" s="545"/>
      <c r="ANJ34" s="545"/>
      <c r="ANK34" s="545"/>
      <c r="ANL34" s="545"/>
      <c r="ANM34" s="545"/>
      <c r="ANN34" s="545"/>
      <c r="ANO34" s="545"/>
      <c r="ANP34" s="545"/>
      <c r="ANQ34" s="545"/>
      <c r="ANR34" s="545"/>
      <c r="ANS34" s="545"/>
      <c r="ANT34" s="545"/>
      <c r="ANU34" s="545"/>
      <c r="ANV34" s="545"/>
      <c r="ANW34" s="545"/>
      <c r="ANX34" s="545"/>
      <c r="ANY34" s="545"/>
      <c r="ANZ34" s="545"/>
      <c r="AOA34" s="545"/>
      <c r="AOB34" s="545"/>
      <c r="AOC34" s="545"/>
      <c r="AOD34" s="545"/>
      <c r="AOE34" s="545"/>
      <c r="AOF34" s="545"/>
      <c r="AOG34" s="545"/>
      <c r="AOH34" s="545"/>
      <c r="AOI34" s="545"/>
      <c r="AOJ34" s="545"/>
      <c r="AOK34" s="545"/>
      <c r="AOL34" s="545"/>
      <c r="AOM34" s="545"/>
      <c r="AON34" s="545"/>
      <c r="AOO34" s="545"/>
      <c r="AOP34" s="545"/>
      <c r="AOQ34" s="545"/>
      <c r="AOR34" s="545"/>
      <c r="AOS34" s="545"/>
      <c r="AOT34" s="545"/>
      <c r="AOU34" s="545"/>
      <c r="AOV34" s="545"/>
      <c r="AOW34" s="545"/>
      <c r="AOX34" s="545"/>
      <c r="AOY34" s="545"/>
      <c r="AOZ34" s="545"/>
      <c r="APA34" s="545"/>
      <c r="APB34" s="545"/>
      <c r="APC34" s="545"/>
      <c r="APD34" s="545"/>
      <c r="APE34" s="545"/>
      <c r="APF34" s="545"/>
      <c r="APG34" s="545"/>
      <c r="APH34" s="545"/>
      <c r="API34" s="545"/>
      <c r="APJ34" s="545"/>
      <c r="APK34" s="545"/>
      <c r="APL34" s="545"/>
      <c r="APM34" s="545"/>
      <c r="APN34" s="545"/>
      <c r="APO34" s="545"/>
      <c r="APP34" s="545"/>
      <c r="APQ34" s="545"/>
      <c r="APR34" s="545"/>
      <c r="APS34" s="545"/>
      <c r="APT34" s="545"/>
      <c r="APU34" s="545"/>
      <c r="APV34" s="545"/>
      <c r="APW34" s="545"/>
      <c r="APX34" s="545"/>
      <c r="APY34" s="545"/>
      <c r="APZ34" s="545"/>
      <c r="AQA34" s="545"/>
      <c r="AQB34" s="545"/>
      <c r="AQC34" s="545"/>
      <c r="AQD34" s="545"/>
      <c r="AQE34" s="545"/>
      <c r="AQF34" s="545"/>
      <c r="AQG34" s="545"/>
      <c r="AQH34" s="545"/>
      <c r="AQI34" s="545"/>
      <c r="AQJ34" s="545"/>
      <c r="AQK34" s="545"/>
      <c r="AQL34" s="545"/>
      <c r="AQM34" s="545"/>
      <c r="AQN34" s="545"/>
      <c r="AQO34" s="545"/>
      <c r="AQP34" s="545"/>
      <c r="AQQ34" s="545"/>
      <c r="AQR34" s="545"/>
      <c r="AQS34" s="545"/>
      <c r="AQT34" s="545"/>
      <c r="AQU34" s="545"/>
      <c r="AQV34" s="545"/>
      <c r="AQW34" s="545"/>
      <c r="AQX34" s="545"/>
      <c r="AQY34" s="545"/>
      <c r="AQZ34" s="545"/>
      <c r="ARA34" s="545"/>
      <c r="ARB34" s="545"/>
      <c r="ARC34" s="545"/>
      <c r="ARD34" s="545"/>
      <c r="ARE34" s="545"/>
      <c r="ARF34" s="545"/>
      <c r="ARG34" s="545"/>
      <c r="ARH34" s="545"/>
      <c r="ARI34" s="545"/>
      <c r="ARJ34" s="545"/>
      <c r="ARK34" s="545"/>
      <c r="ARL34" s="545"/>
      <c r="ARM34" s="545"/>
      <c r="ARN34" s="545"/>
      <c r="ARO34" s="545"/>
      <c r="ARP34" s="545"/>
      <c r="ARQ34" s="545"/>
      <c r="ARR34" s="545"/>
      <c r="ARS34" s="545"/>
      <c r="ART34" s="545"/>
      <c r="ARU34" s="545"/>
      <c r="ARV34" s="545"/>
      <c r="ARW34" s="545"/>
      <c r="ARX34" s="545"/>
      <c r="ARY34" s="545"/>
      <c r="ARZ34" s="545"/>
      <c r="ASA34" s="545"/>
      <c r="ASB34" s="545"/>
      <c r="ASC34" s="545"/>
      <c r="ASD34" s="545"/>
      <c r="ASE34" s="545"/>
      <c r="ASF34" s="545"/>
      <c r="ASG34" s="545"/>
      <c r="ASH34" s="545"/>
      <c r="ASI34" s="545"/>
      <c r="ASJ34" s="545"/>
      <c r="ASK34" s="545"/>
      <c r="ASL34" s="545"/>
      <c r="ASM34" s="545"/>
      <c r="ASN34" s="545"/>
      <c r="ASO34" s="545"/>
      <c r="ASP34" s="545"/>
      <c r="ASQ34" s="545"/>
      <c r="ASR34" s="545"/>
      <c r="ASS34" s="545"/>
      <c r="AST34" s="545"/>
      <c r="ASU34" s="545"/>
      <c r="ASV34" s="545"/>
      <c r="ASW34" s="545"/>
      <c r="ASX34" s="545"/>
      <c r="ASY34" s="545"/>
      <c r="ASZ34" s="545"/>
      <c r="ATA34" s="545"/>
      <c r="ATB34" s="545"/>
      <c r="ATC34" s="545"/>
      <c r="ATD34" s="545"/>
      <c r="ATE34" s="545"/>
      <c r="ATF34" s="545"/>
      <c r="ATG34" s="545"/>
      <c r="ATH34" s="545"/>
      <c r="ATI34" s="545"/>
      <c r="ATJ34" s="545"/>
      <c r="ATK34" s="545"/>
      <c r="ATL34" s="545"/>
      <c r="ATM34" s="545"/>
      <c r="ATN34" s="545"/>
      <c r="ATO34" s="545"/>
      <c r="ATP34" s="545"/>
      <c r="ATQ34" s="545"/>
      <c r="ATR34" s="545"/>
      <c r="ATS34" s="545"/>
      <c r="ATT34" s="545"/>
      <c r="ATU34" s="545"/>
      <c r="ATV34" s="545"/>
      <c r="ATW34" s="545"/>
      <c r="ATX34" s="545"/>
      <c r="ATY34" s="545"/>
      <c r="ATZ34" s="545"/>
      <c r="AUA34" s="545"/>
      <c r="AUB34" s="545"/>
      <c r="AUC34" s="545"/>
      <c r="AUD34" s="545"/>
      <c r="AUE34" s="545"/>
      <c r="AUF34" s="545"/>
      <c r="AUG34" s="545"/>
      <c r="AUH34" s="545"/>
      <c r="AUI34" s="545"/>
      <c r="AUJ34" s="545"/>
      <c r="AUK34" s="545"/>
      <c r="AUL34" s="545"/>
      <c r="AUM34" s="545"/>
      <c r="AUN34" s="545"/>
      <c r="AUO34" s="545"/>
      <c r="AUP34" s="545"/>
      <c r="AUQ34" s="545"/>
      <c r="AUR34" s="545"/>
      <c r="AUS34" s="545"/>
      <c r="AUT34" s="545"/>
      <c r="AUU34" s="545"/>
      <c r="AUV34" s="545"/>
      <c r="AUW34" s="545"/>
      <c r="AUX34" s="545"/>
      <c r="AUY34" s="545"/>
      <c r="AUZ34" s="545"/>
      <c r="AVA34" s="545"/>
      <c r="AVB34" s="545"/>
      <c r="AVC34" s="545"/>
      <c r="AVD34" s="545"/>
      <c r="AVE34" s="545"/>
      <c r="AVF34" s="545"/>
      <c r="AVG34" s="545"/>
      <c r="AVH34" s="545"/>
      <c r="AVI34" s="545"/>
      <c r="AVJ34" s="545"/>
      <c r="AVK34" s="545"/>
      <c r="AVL34" s="545"/>
      <c r="AVM34" s="545"/>
      <c r="AVN34" s="545"/>
      <c r="AVO34" s="545"/>
      <c r="AVP34" s="545"/>
      <c r="AVQ34" s="545"/>
      <c r="AVR34" s="545"/>
      <c r="AVS34" s="545"/>
      <c r="AVT34" s="545"/>
      <c r="AVU34" s="545"/>
      <c r="AVV34" s="545"/>
      <c r="AVW34" s="545"/>
      <c r="AVX34" s="545"/>
      <c r="AVY34" s="545"/>
      <c r="AVZ34" s="545"/>
      <c r="AWA34" s="545"/>
      <c r="AWB34" s="545"/>
      <c r="AWC34" s="545"/>
      <c r="AWD34" s="545"/>
      <c r="AWE34" s="545"/>
      <c r="AWF34" s="545"/>
      <c r="AWG34" s="545"/>
      <c r="AWH34" s="545"/>
      <c r="AWI34" s="545"/>
      <c r="AWJ34" s="545"/>
      <c r="AWK34" s="545"/>
      <c r="AWL34" s="545"/>
      <c r="AWM34" s="545"/>
      <c r="AWN34" s="545"/>
      <c r="AWO34" s="545"/>
      <c r="AWP34" s="545"/>
      <c r="AWQ34" s="545"/>
      <c r="AWR34" s="545"/>
      <c r="AWS34" s="545"/>
      <c r="AWT34" s="545"/>
      <c r="AWU34" s="545"/>
      <c r="AWV34" s="545"/>
      <c r="AWW34" s="545"/>
      <c r="AWX34" s="545"/>
      <c r="AWY34" s="545"/>
      <c r="AWZ34" s="545"/>
      <c r="AXA34" s="545"/>
      <c r="AXB34" s="545"/>
      <c r="AXC34" s="545"/>
      <c r="AXD34" s="545"/>
      <c r="AXE34" s="545"/>
      <c r="AXF34" s="545"/>
      <c r="AXG34" s="545"/>
      <c r="AXH34" s="545"/>
      <c r="AXI34" s="545"/>
      <c r="AXJ34" s="545"/>
      <c r="AXK34" s="545"/>
      <c r="AXL34" s="545"/>
      <c r="AXM34" s="545"/>
      <c r="AXN34" s="545"/>
      <c r="AXO34" s="545"/>
      <c r="AXP34" s="545"/>
      <c r="AXQ34" s="545"/>
      <c r="AXR34" s="545"/>
      <c r="AXS34" s="545"/>
      <c r="AXT34" s="545"/>
      <c r="AXU34" s="545"/>
      <c r="AXV34" s="545"/>
      <c r="AXW34" s="545"/>
      <c r="AXX34" s="545"/>
      <c r="AXY34" s="545"/>
      <c r="AXZ34" s="545"/>
      <c r="AYA34" s="545"/>
      <c r="AYB34" s="545"/>
      <c r="AYC34" s="545"/>
      <c r="AYD34" s="545"/>
      <c r="AYE34" s="545"/>
      <c r="AYF34" s="545"/>
      <c r="AYG34" s="545"/>
      <c r="AYH34" s="545"/>
      <c r="AYI34" s="545"/>
      <c r="AYJ34" s="545"/>
      <c r="AYK34" s="545"/>
      <c r="AYL34" s="545"/>
      <c r="AYM34" s="545"/>
      <c r="AYN34" s="545"/>
      <c r="AYO34" s="545"/>
      <c r="AYP34" s="545"/>
      <c r="AYQ34" s="545"/>
      <c r="AYR34" s="545"/>
      <c r="AYS34" s="545"/>
      <c r="AYT34" s="545"/>
      <c r="AYU34" s="545"/>
      <c r="AYV34" s="545"/>
      <c r="AYW34" s="545"/>
      <c r="AYX34" s="545"/>
      <c r="AYY34" s="545"/>
      <c r="AYZ34" s="545"/>
      <c r="AZA34" s="545"/>
      <c r="AZB34" s="545"/>
      <c r="AZC34" s="545"/>
      <c r="AZD34" s="545"/>
      <c r="AZE34" s="545"/>
      <c r="AZF34" s="545"/>
      <c r="AZG34" s="545"/>
      <c r="AZH34" s="545"/>
      <c r="AZI34" s="545"/>
      <c r="AZJ34" s="545"/>
      <c r="AZK34" s="545"/>
      <c r="AZL34" s="545"/>
      <c r="AZM34" s="545"/>
      <c r="AZN34" s="545"/>
      <c r="AZO34" s="545"/>
      <c r="AZP34" s="545"/>
      <c r="AZQ34" s="545"/>
      <c r="AZR34" s="545"/>
      <c r="AZS34" s="545"/>
      <c r="AZT34" s="545"/>
      <c r="AZU34" s="545"/>
      <c r="AZV34" s="545"/>
      <c r="AZW34" s="545"/>
      <c r="AZX34" s="545"/>
      <c r="AZY34" s="545"/>
      <c r="AZZ34" s="545"/>
      <c r="BAA34" s="545"/>
      <c r="BAB34" s="545"/>
      <c r="BAC34" s="545"/>
      <c r="BAD34" s="545"/>
      <c r="BAE34" s="545"/>
      <c r="BAF34" s="545"/>
      <c r="BAG34" s="545"/>
      <c r="BAH34" s="545"/>
      <c r="BAI34" s="545"/>
      <c r="BAJ34" s="545"/>
      <c r="BAK34" s="545"/>
      <c r="BAL34" s="545"/>
      <c r="BAM34" s="545"/>
      <c r="BAN34" s="545"/>
      <c r="BAO34" s="545"/>
      <c r="BAP34" s="545"/>
      <c r="BAQ34" s="545"/>
      <c r="BAR34" s="545"/>
      <c r="BAS34" s="545"/>
      <c r="BAT34" s="545"/>
      <c r="BAU34" s="545"/>
      <c r="BAV34" s="545"/>
      <c r="BAW34" s="545"/>
      <c r="BAX34" s="545"/>
      <c r="BAY34" s="545"/>
      <c r="BAZ34" s="545"/>
      <c r="BBA34" s="545"/>
      <c r="BBB34" s="545"/>
      <c r="BBC34" s="545"/>
      <c r="BBD34" s="545"/>
      <c r="BBE34" s="545"/>
      <c r="BBF34" s="545"/>
      <c r="BBG34" s="545"/>
      <c r="BBH34" s="545"/>
      <c r="BBI34" s="545"/>
      <c r="BBJ34" s="545"/>
      <c r="BBK34" s="545"/>
      <c r="BBL34" s="545"/>
      <c r="BBM34" s="545"/>
      <c r="BBN34" s="545"/>
      <c r="BBO34" s="545"/>
      <c r="BBP34" s="545"/>
      <c r="BBQ34" s="545"/>
      <c r="BBR34" s="545"/>
      <c r="BBS34" s="545"/>
      <c r="BBT34" s="545"/>
      <c r="BBU34" s="545"/>
      <c r="BBV34" s="545"/>
      <c r="BBW34" s="545"/>
      <c r="BBX34" s="545"/>
      <c r="BBY34" s="545"/>
      <c r="BBZ34" s="545"/>
      <c r="BCA34" s="545"/>
      <c r="BCB34" s="545"/>
      <c r="BCC34" s="545"/>
      <c r="BCD34" s="545"/>
      <c r="BCE34" s="545"/>
      <c r="BCF34" s="545"/>
      <c r="BCG34" s="545"/>
      <c r="BCH34" s="545"/>
      <c r="BCI34" s="545"/>
      <c r="BCJ34" s="545"/>
      <c r="BCK34" s="545"/>
      <c r="BCL34" s="545"/>
      <c r="BCM34" s="545"/>
      <c r="BCN34" s="545"/>
      <c r="BCO34" s="545"/>
      <c r="BCP34" s="545"/>
      <c r="BCQ34" s="545"/>
      <c r="BCR34" s="545"/>
      <c r="BCS34" s="545"/>
      <c r="BCT34" s="545"/>
      <c r="BCU34" s="545"/>
      <c r="BCV34" s="545"/>
      <c r="BCW34" s="545"/>
      <c r="BCX34" s="545"/>
      <c r="BCY34" s="545"/>
      <c r="BCZ34" s="545"/>
      <c r="BDA34" s="545"/>
      <c r="BDB34" s="545"/>
      <c r="BDC34" s="545"/>
      <c r="BDD34" s="545"/>
      <c r="BDE34" s="545"/>
      <c r="BDF34" s="545"/>
      <c r="BDG34" s="545"/>
      <c r="BDH34" s="545"/>
      <c r="BDI34" s="545"/>
      <c r="BDJ34" s="545"/>
      <c r="BDK34" s="545"/>
      <c r="BDL34" s="545"/>
      <c r="BDM34" s="545"/>
      <c r="BDN34" s="545"/>
      <c r="BDO34" s="545"/>
      <c r="BDP34" s="545"/>
      <c r="BDQ34" s="545"/>
      <c r="BDR34" s="545"/>
      <c r="BDS34" s="545"/>
      <c r="BDT34" s="545"/>
      <c r="BDU34" s="545"/>
      <c r="BDV34" s="545"/>
      <c r="BDW34" s="545"/>
      <c r="BDX34" s="545"/>
      <c r="BDY34" s="545"/>
      <c r="BDZ34" s="545"/>
      <c r="BEA34" s="545"/>
      <c r="BEB34" s="545"/>
      <c r="BEC34" s="545"/>
      <c r="BED34" s="545"/>
      <c r="BEE34" s="545"/>
      <c r="BEF34" s="545"/>
      <c r="BEG34" s="545"/>
      <c r="BEH34" s="545"/>
      <c r="BEI34" s="545"/>
      <c r="BEJ34" s="545"/>
      <c r="BEK34" s="545"/>
      <c r="BEL34" s="545"/>
      <c r="BEM34" s="545"/>
      <c r="BEN34" s="545"/>
      <c r="BEO34" s="545"/>
      <c r="BEP34" s="545"/>
      <c r="BEQ34" s="545"/>
      <c r="BER34" s="545"/>
      <c r="BES34" s="545"/>
      <c r="BET34" s="545"/>
      <c r="BEU34" s="545"/>
      <c r="BEV34" s="545"/>
      <c r="BEW34" s="545"/>
      <c r="BEX34" s="545"/>
      <c r="BEY34" s="545"/>
      <c r="BEZ34" s="545"/>
      <c r="BFA34" s="545"/>
      <c r="BFB34" s="545"/>
      <c r="BFC34" s="545"/>
      <c r="BFD34" s="545"/>
      <c r="BFE34" s="545"/>
      <c r="BFF34" s="545"/>
      <c r="BFG34" s="545"/>
      <c r="BFH34" s="545"/>
      <c r="BFI34" s="545"/>
      <c r="BFJ34" s="545"/>
      <c r="BFK34" s="545"/>
      <c r="BFL34" s="545"/>
      <c r="BFM34" s="545"/>
      <c r="BFN34" s="545"/>
      <c r="BFO34" s="545"/>
      <c r="BFP34" s="545"/>
      <c r="BFQ34" s="545"/>
      <c r="BFR34" s="545"/>
      <c r="BFS34" s="545"/>
      <c r="BFT34" s="545"/>
      <c r="BFU34" s="545"/>
      <c r="BFV34" s="545"/>
      <c r="BFW34" s="545"/>
      <c r="BFX34" s="545"/>
      <c r="BFY34" s="545"/>
      <c r="BFZ34" s="545"/>
      <c r="BGA34" s="545"/>
      <c r="BGB34" s="545"/>
      <c r="BGC34" s="545"/>
      <c r="BGD34" s="545"/>
      <c r="BGE34" s="545"/>
      <c r="BGF34" s="545"/>
      <c r="BGG34" s="545"/>
      <c r="BGH34" s="545"/>
      <c r="BGI34" s="545"/>
      <c r="BGJ34" s="545"/>
      <c r="BGK34" s="545"/>
      <c r="BGL34" s="545"/>
      <c r="BGM34" s="545"/>
      <c r="BGN34" s="545"/>
      <c r="BGO34" s="545"/>
      <c r="BGP34" s="545"/>
      <c r="BGQ34" s="545"/>
      <c r="BGR34" s="545"/>
      <c r="BGS34" s="545"/>
      <c r="BGT34" s="545"/>
      <c r="BGU34" s="545"/>
      <c r="BGV34" s="545"/>
      <c r="BGW34" s="545"/>
      <c r="BGX34" s="545"/>
      <c r="BGY34" s="545"/>
      <c r="BGZ34" s="545"/>
      <c r="BHA34" s="545"/>
      <c r="BHB34" s="545"/>
      <c r="BHC34" s="545"/>
      <c r="BHD34" s="545"/>
      <c r="BHE34" s="545"/>
      <c r="BHF34" s="545"/>
      <c r="BHG34" s="545"/>
      <c r="BHH34" s="545"/>
      <c r="BHI34" s="545"/>
      <c r="BHJ34" s="545"/>
      <c r="BHK34" s="545"/>
      <c r="BHL34" s="545"/>
      <c r="BHM34" s="545"/>
      <c r="BHN34" s="545"/>
      <c r="BHO34" s="545"/>
      <c r="BHP34" s="545"/>
      <c r="BHQ34" s="545"/>
      <c r="BHR34" s="545"/>
      <c r="BHS34" s="545"/>
      <c r="BHT34" s="545"/>
      <c r="BHU34" s="545"/>
      <c r="BHV34" s="545"/>
      <c r="BHW34" s="545"/>
      <c r="BHX34" s="545"/>
      <c r="BHY34" s="545"/>
      <c r="BHZ34" s="545"/>
      <c r="BIA34" s="545"/>
      <c r="BIB34" s="545"/>
      <c r="BIC34" s="545"/>
      <c r="BID34" s="545"/>
      <c r="BIE34" s="545"/>
      <c r="BIF34" s="545"/>
      <c r="BIG34" s="545"/>
      <c r="BIH34" s="545"/>
      <c r="BII34" s="545"/>
      <c r="BIJ34" s="545"/>
      <c r="BIK34" s="545"/>
      <c r="BIL34" s="545"/>
      <c r="BIM34" s="545"/>
      <c r="BIN34" s="545"/>
      <c r="BIO34" s="545"/>
      <c r="BIP34" s="545"/>
      <c r="BIQ34" s="545"/>
      <c r="BIR34" s="545"/>
      <c r="BIS34" s="545"/>
      <c r="BIT34" s="545"/>
      <c r="BIU34" s="545"/>
      <c r="BIV34" s="545"/>
      <c r="BIW34" s="545"/>
      <c r="BIX34" s="545"/>
      <c r="BIY34" s="545"/>
      <c r="BIZ34" s="545"/>
      <c r="BJA34" s="545"/>
      <c r="BJB34" s="545"/>
      <c r="BJC34" s="545"/>
      <c r="BJD34" s="545"/>
      <c r="BJE34" s="545"/>
      <c r="BJF34" s="545"/>
      <c r="BJG34" s="545"/>
      <c r="BJH34" s="545"/>
      <c r="BJI34" s="545"/>
      <c r="BJJ34" s="545"/>
      <c r="BJK34" s="545"/>
      <c r="BJL34" s="545"/>
      <c r="BJM34" s="545"/>
      <c r="BJN34" s="545"/>
      <c r="BJO34" s="545"/>
      <c r="BJP34" s="545"/>
      <c r="BJQ34" s="545"/>
      <c r="BJR34" s="545"/>
      <c r="BJS34" s="545"/>
      <c r="BJT34" s="545"/>
      <c r="BJU34" s="545"/>
      <c r="BJV34" s="545"/>
      <c r="BJW34" s="545"/>
      <c r="BJX34" s="545"/>
      <c r="BJY34" s="545"/>
      <c r="BJZ34" s="545"/>
      <c r="BKA34" s="545"/>
      <c r="BKB34" s="545"/>
      <c r="BKC34" s="545"/>
      <c r="BKD34" s="545"/>
      <c r="BKE34" s="545"/>
      <c r="BKF34" s="545"/>
      <c r="BKG34" s="545"/>
      <c r="BKH34" s="545"/>
      <c r="BKI34" s="545"/>
      <c r="BKJ34" s="545"/>
      <c r="BKK34" s="545"/>
      <c r="BKL34" s="545"/>
      <c r="BKM34" s="545"/>
      <c r="BKN34" s="545"/>
      <c r="BKO34" s="545"/>
      <c r="BKP34" s="545"/>
      <c r="BKQ34" s="545"/>
      <c r="BKR34" s="545"/>
      <c r="BKS34" s="545"/>
      <c r="BKT34" s="545"/>
      <c r="BKU34" s="545"/>
      <c r="BKV34" s="545"/>
      <c r="BKW34" s="545"/>
      <c r="BKX34" s="545"/>
      <c r="BKY34" s="545"/>
      <c r="BKZ34" s="545"/>
      <c r="BLA34" s="545"/>
      <c r="BLB34" s="545"/>
      <c r="BLC34" s="545"/>
      <c r="BLD34" s="545"/>
      <c r="BLE34" s="545"/>
      <c r="BLF34" s="545"/>
      <c r="BLG34" s="545"/>
      <c r="BLH34" s="545"/>
      <c r="BLI34" s="545"/>
      <c r="BLJ34" s="545"/>
      <c r="BLK34" s="545"/>
      <c r="BLL34" s="545"/>
      <c r="BLM34" s="545"/>
      <c r="BLN34" s="545"/>
      <c r="BLO34" s="545"/>
      <c r="BLP34" s="545"/>
      <c r="BLQ34" s="545"/>
      <c r="BLR34" s="545"/>
      <c r="BLS34" s="545"/>
      <c r="BLT34" s="545"/>
      <c r="BLU34" s="545"/>
      <c r="BLV34" s="545"/>
      <c r="BLW34" s="545"/>
      <c r="BLX34" s="545"/>
      <c r="BLY34" s="545"/>
      <c r="BLZ34" s="545"/>
      <c r="BMA34" s="545"/>
      <c r="BMB34" s="545"/>
      <c r="BMC34" s="545"/>
      <c r="BMD34" s="545"/>
      <c r="BME34" s="545"/>
      <c r="BMF34" s="545"/>
      <c r="BMG34" s="545"/>
      <c r="BMH34" s="545"/>
      <c r="BMI34" s="545"/>
      <c r="BMJ34" s="545"/>
      <c r="BMK34" s="545"/>
      <c r="BML34" s="545"/>
      <c r="BMM34" s="545"/>
      <c r="BMN34" s="545"/>
      <c r="BMO34" s="545"/>
      <c r="BMP34" s="545"/>
      <c r="BMQ34" s="545"/>
      <c r="BMR34" s="545"/>
      <c r="BMS34" s="545"/>
      <c r="BMT34" s="545"/>
      <c r="BMU34" s="545"/>
      <c r="BMV34" s="545"/>
      <c r="BMW34" s="545"/>
      <c r="BMX34" s="545"/>
      <c r="BMY34" s="545"/>
      <c r="BMZ34" s="545"/>
      <c r="BNA34" s="545"/>
      <c r="BNB34" s="545"/>
      <c r="BNC34" s="545"/>
      <c r="BND34" s="545"/>
      <c r="BNE34" s="545"/>
      <c r="BNF34" s="545"/>
      <c r="BNG34" s="545"/>
      <c r="BNH34" s="545"/>
      <c r="BNI34" s="545"/>
      <c r="BNJ34" s="545"/>
      <c r="BNK34" s="545"/>
      <c r="BNL34" s="545"/>
      <c r="BNM34" s="545"/>
      <c r="BNN34" s="545"/>
      <c r="BNO34" s="545"/>
      <c r="BNP34" s="545"/>
      <c r="BNQ34" s="545"/>
      <c r="BNR34" s="545"/>
      <c r="BNS34" s="545"/>
      <c r="BNT34" s="545"/>
      <c r="BNU34" s="545"/>
      <c r="BNV34" s="545"/>
      <c r="BNW34" s="545"/>
      <c r="BNX34" s="545"/>
      <c r="BNY34" s="545"/>
      <c r="BNZ34" s="545"/>
      <c r="BOA34" s="545"/>
      <c r="BOB34" s="545"/>
      <c r="BOC34" s="545"/>
      <c r="BOD34" s="545"/>
      <c r="BOE34" s="545"/>
      <c r="BOF34" s="545"/>
      <c r="BOG34" s="545"/>
      <c r="BOH34" s="545"/>
      <c r="BOI34" s="545"/>
      <c r="BOJ34" s="545"/>
      <c r="BOK34" s="545"/>
      <c r="BOL34" s="545"/>
      <c r="BOM34" s="545"/>
      <c r="BON34" s="545"/>
      <c r="BOO34" s="545"/>
      <c r="BOP34" s="545"/>
      <c r="BOQ34" s="545"/>
      <c r="BOR34" s="545"/>
      <c r="BOS34" s="545"/>
      <c r="BOT34" s="545"/>
      <c r="BOU34" s="545"/>
      <c r="BOV34" s="545"/>
      <c r="BOW34" s="545"/>
      <c r="BOX34" s="545"/>
      <c r="BOY34" s="545"/>
      <c r="BOZ34" s="545"/>
      <c r="BPA34" s="545"/>
      <c r="BPB34" s="545"/>
      <c r="BPC34" s="545"/>
      <c r="BPD34" s="545"/>
      <c r="BPE34" s="545"/>
      <c r="BPF34" s="545"/>
      <c r="BPG34" s="545"/>
      <c r="BPH34" s="545"/>
      <c r="BPI34" s="545"/>
      <c r="BPJ34" s="545"/>
      <c r="BPK34" s="545"/>
      <c r="BPL34" s="545"/>
      <c r="BPM34" s="545"/>
      <c r="BPN34" s="545"/>
      <c r="BPO34" s="545"/>
      <c r="BPP34" s="545"/>
      <c r="BPQ34" s="545"/>
      <c r="BPR34" s="545"/>
      <c r="BPS34" s="545"/>
      <c r="BPT34" s="545"/>
      <c r="BPU34" s="545"/>
      <c r="BPV34" s="545"/>
      <c r="BPW34" s="545"/>
      <c r="BPX34" s="545"/>
      <c r="BPY34" s="545"/>
      <c r="BPZ34" s="545"/>
      <c r="BQA34" s="545"/>
      <c r="BQB34" s="545"/>
      <c r="BQC34" s="545"/>
      <c r="BQD34" s="545"/>
      <c r="BQE34" s="545"/>
      <c r="BQF34" s="545"/>
      <c r="BQG34" s="545"/>
      <c r="BQH34" s="545"/>
      <c r="BQI34" s="545"/>
      <c r="BQJ34" s="545"/>
      <c r="BQK34" s="545"/>
      <c r="BQL34" s="545"/>
      <c r="BQM34" s="545"/>
      <c r="BQN34" s="545"/>
      <c r="BQO34" s="545"/>
      <c r="BQP34" s="545"/>
      <c r="BQQ34" s="545"/>
      <c r="BQR34" s="545"/>
      <c r="BQS34" s="545"/>
      <c r="BQT34" s="545"/>
      <c r="BQU34" s="545"/>
      <c r="BQV34" s="545"/>
      <c r="BQW34" s="545"/>
      <c r="BQX34" s="545"/>
      <c r="BQY34" s="545"/>
      <c r="BQZ34" s="545"/>
      <c r="BRA34" s="545"/>
      <c r="BRB34" s="545"/>
      <c r="BRC34" s="545"/>
      <c r="BRD34" s="545"/>
      <c r="BRE34" s="545"/>
      <c r="BRF34" s="545"/>
      <c r="BRG34" s="545"/>
      <c r="BRH34" s="545"/>
      <c r="BRI34" s="545"/>
      <c r="BRJ34" s="545"/>
      <c r="BRK34" s="545"/>
      <c r="BRL34" s="545"/>
      <c r="BRM34" s="545"/>
      <c r="BRN34" s="545"/>
      <c r="BRO34" s="545"/>
      <c r="BRP34" s="545"/>
      <c r="BRQ34" s="545"/>
      <c r="BRR34" s="545"/>
      <c r="BRS34" s="545"/>
      <c r="BRT34" s="545"/>
      <c r="BRU34" s="545"/>
      <c r="BRV34" s="545"/>
      <c r="BRW34" s="545"/>
      <c r="BRX34" s="545"/>
      <c r="BRY34" s="545"/>
      <c r="BRZ34" s="545"/>
      <c r="BSA34" s="545"/>
      <c r="BSB34" s="545"/>
      <c r="BSC34" s="545"/>
      <c r="BSD34" s="545"/>
      <c r="BSE34" s="545"/>
      <c r="BSF34" s="545"/>
      <c r="BSG34" s="545"/>
      <c r="BSH34" s="545"/>
      <c r="BSI34" s="545"/>
      <c r="BSJ34" s="545"/>
      <c r="BSK34" s="545"/>
      <c r="BSL34" s="545"/>
      <c r="BSM34" s="545"/>
      <c r="BSN34" s="545"/>
      <c r="BSO34" s="545"/>
      <c r="BSP34" s="545"/>
      <c r="BSQ34" s="545"/>
      <c r="BSR34" s="545"/>
      <c r="BSS34" s="545"/>
      <c r="BST34" s="545"/>
      <c r="BSU34" s="545"/>
      <c r="BSV34" s="545"/>
      <c r="BSW34" s="545"/>
      <c r="BSX34" s="545"/>
      <c r="BSY34" s="545"/>
      <c r="BSZ34" s="545"/>
      <c r="BTA34" s="545"/>
      <c r="BTB34" s="545"/>
      <c r="BTC34" s="545"/>
      <c r="BTD34" s="545"/>
      <c r="BTE34" s="545"/>
      <c r="BTF34" s="545"/>
      <c r="BTG34" s="545"/>
      <c r="BTH34" s="545"/>
      <c r="BTI34" s="545"/>
      <c r="BTJ34" s="545"/>
      <c r="BTK34" s="545"/>
      <c r="BTL34" s="545"/>
      <c r="BTM34" s="545"/>
      <c r="BTN34" s="545"/>
      <c r="BTO34" s="545"/>
      <c r="BTP34" s="545"/>
      <c r="BTQ34" s="545"/>
      <c r="BTR34" s="545"/>
      <c r="BTS34" s="545"/>
      <c r="BTT34" s="545"/>
      <c r="BTU34" s="545"/>
      <c r="BTV34" s="545"/>
      <c r="BTW34" s="545"/>
      <c r="BTX34" s="545"/>
      <c r="BTY34" s="545"/>
      <c r="BTZ34" s="545"/>
      <c r="BUA34" s="545"/>
      <c r="BUB34" s="545"/>
      <c r="BUC34" s="545"/>
      <c r="BUD34" s="545"/>
      <c r="BUE34" s="545"/>
      <c r="BUF34" s="545"/>
      <c r="BUG34" s="545"/>
      <c r="BUH34" s="545"/>
      <c r="BUI34" s="545"/>
      <c r="BUJ34" s="545"/>
      <c r="BUK34" s="545"/>
      <c r="BUL34" s="545"/>
      <c r="BUM34" s="545"/>
      <c r="BUN34" s="545"/>
      <c r="BUO34" s="545"/>
      <c r="BUP34" s="545"/>
      <c r="BUQ34" s="545"/>
      <c r="BUR34" s="545"/>
      <c r="BUS34" s="545"/>
      <c r="BUT34" s="545"/>
      <c r="BUU34" s="545"/>
      <c r="BUV34" s="545"/>
      <c r="BUW34" s="545"/>
      <c r="BUX34" s="545"/>
      <c r="BUY34" s="545"/>
      <c r="BUZ34" s="545"/>
      <c r="BVA34" s="545"/>
      <c r="BVB34" s="545"/>
      <c r="BVC34" s="545"/>
      <c r="BVD34" s="545"/>
      <c r="BVE34" s="545"/>
      <c r="BVF34" s="545"/>
      <c r="BVG34" s="545"/>
      <c r="BVH34" s="545"/>
      <c r="BVI34" s="545"/>
      <c r="BVJ34" s="545"/>
      <c r="BVK34" s="545"/>
      <c r="BVL34" s="545"/>
      <c r="BVM34" s="545"/>
      <c r="BVN34" s="545"/>
      <c r="BVO34" s="545"/>
      <c r="BVP34" s="545"/>
      <c r="BVQ34" s="545"/>
      <c r="BVR34" s="545"/>
      <c r="BVS34" s="545"/>
      <c r="BVT34" s="545"/>
      <c r="BVU34" s="545"/>
      <c r="BVV34" s="545"/>
      <c r="BVW34" s="545"/>
      <c r="BVX34" s="545"/>
      <c r="BVY34" s="545"/>
      <c r="BVZ34" s="545"/>
      <c r="BWA34" s="545"/>
      <c r="BWB34" s="545"/>
      <c r="BWC34" s="545"/>
      <c r="BWD34" s="545"/>
      <c r="BWE34" s="545"/>
      <c r="BWF34" s="545"/>
      <c r="BWG34" s="545"/>
      <c r="BWH34" s="545"/>
      <c r="BWI34" s="545"/>
      <c r="BWJ34" s="545"/>
      <c r="BWK34" s="545"/>
      <c r="BWL34" s="545"/>
      <c r="BWM34" s="545"/>
      <c r="BWN34" s="545"/>
      <c r="BWO34" s="545"/>
      <c r="BWP34" s="545"/>
      <c r="BWQ34" s="545"/>
      <c r="BWR34" s="545"/>
      <c r="BWS34" s="545"/>
      <c r="BWT34" s="545"/>
      <c r="BWU34" s="545"/>
      <c r="BWV34" s="545"/>
      <c r="BWW34" s="545"/>
      <c r="BWX34" s="545"/>
      <c r="BWY34" s="545"/>
      <c r="BWZ34" s="545"/>
      <c r="BXA34" s="545"/>
      <c r="BXB34" s="545"/>
      <c r="BXC34" s="545"/>
      <c r="BXD34" s="545"/>
      <c r="BXE34" s="545"/>
      <c r="BXF34" s="545"/>
      <c r="BXG34" s="545"/>
      <c r="BXH34" s="545"/>
      <c r="BXI34" s="545"/>
      <c r="BXJ34" s="545"/>
      <c r="BXK34" s="545"/>
      <c r="BXL34" s="545"/>
      <c r="BXM34" s="545"/>
      <c r="BXN34" s="545"/>
      <c r="BXO34" s="545"/>
      <c r="BXP34" s="545"/>
      <c r="BXQ34" s="545"/>
      <c r="BXR34" s="545"/>
      <c r="BXS34" s="545"/>
      <c r="BXT34" s="545"/>
      <c r="BXU34" s="545"/>
      <c r="BXV34" s="545"/>
      <c r="BXW34" s="545"/>
      <c r="BXX34" s="545"/>
      <c r="BXY34" s="545"/>
      <c r="BXZ34" s="545"/>
      <c r="BYA34" s="545"/>
      <c r="BYB34" s="545"/>
      <c r="BYC34" s="545"/>
      <c r="BYD34" s="545"/>
      <c r="BYE34" s="545"/>
      <c r="BYF34" s="545"/>
      <c r="BYG34" s="545"/>
      <c r="BYH34" s="545"/>
      <c r="BYI34" s="545"/>
      <c r="BYJ34" s="545"/>
      <c r="BYK34" s="545"/>
      <c r="BYL34" s="545"/>
      <c r="BYM34" s="545"/>
      <c r="BYN34" s="545"/>
      <c r="BYO34" s="545"/>
      <c r="BYP34" s="545"/>
      <c r="BYQ34" s="545"/>
      <c r="BYR34" s="545"/>
      <c r="BYS34" s="545"/>
      <c r="BYT34" s="545"/>
      <c r="BYU34" s="545"/>
      <c r="BYV34" s="545"/>
      <c r="BYW34" s="545"/>
      <c r="BYX34" s="545"/>
      <c r="BYY34" s="545"/>
      <c r="BYZ34" s="545"/>
      <c r="BZA34" s="545"/>
      <c r="BZB34" s="545"/>
      <c r="BZC34" s="545"/>
      <c r="BZD34" s="545"/>
      <c r="BZE34" s="545"/>
      <c r="BZF34" s="545"/>
      <c r="BZG34" s="545"/>
      <c r="BZH34" s="545"/>
      <c r="BZI34" s="545"/>
      <c r="BZJ34" s="545"/>
      <c r="BZK34" s="545"/>
      <c r="BZL34" s="545"/>
      <c r="BZM34" s="545"/>
      <c r="BZN34" s="545"/>
      <c r="BZO34" s="545"/>
      <c r="BZP34" s="545"/>
      <c r="BZQ34" s="545"/>
      <c r="BZR34" s="545"/>
      <c r="BZS34" s="545"/>
      <c r="BZT34" s="545"/>
      <c r="BZU34" s="545"/>
      <c r="BZV34" s="545"/>
      <c r="BZW34" s="545"/>
      <c r="BZX34" s="545"/>
      <c r="BZY34" s="545"/>
      <c r="BZZ34" s="545"/>
      <c r="CAA34" s="545"/>
      <c r="CAB34" s="545"/>
      <c r="CAC34" s="545"/>
      <c r="CAD34" s="545"/>
      <c r="CAE34" s="545"/>
      <c r="CAF34" s="545"/>
      <c r="CAG34" s="545"/>
      <c r="CAH34" s="545"/>
      <c r="CAI34" s="545"/>
      <c r="CAJ34" s="545"/>
      <c r="CAK34" s="545"/>
      <c r="CAL34" s="545"/>
      <c r="CAM34" s="545"/>
      <c r="CAN34" s="545"/>
      <c r="CAO34" s="545"/>
      <c r="CAP34" s="545"/>
      <c r="CAQ34" s="545"/>
      <c r="CAR34" s="545"/>
      <c r="CAS34" s="545"/>
      <c r="CAT34" s="545"/>
      <c r="CAU34" s="545"/>
      <c r="CAV34" s="545"/>
      <c r="CAW34" s="545"/>
      <c r="CAX34" s="545"/>
      <c r="CAY34" s="545"/>
      <c r="CAZ34" s="545"/>
      <c r="CBA34" s="545"/>
      <c r="CBB34" s="545"/>
      <c r="CBC34" s="545"/>
      <c r="CBD34" s="545"/>
      <c r="CBE34" s="545"/>
      <c r="CBF34" s="545"/>
      <c r="CBG34" s="545"/>
      <c r="CBH34" s="545"/>
      <c r="CBI34" s="545"/>
      <c r="CBJ34" s="545"/>
      <c r="CBK34" s="545"/>
      <c r="CBL34" s="545"/>
      <c r="CBM34" s="545"/>
      <c r="CBN34" s="545"/>
      <c r="CBO34" s="545"/>
      <c r="CBP34" s="545"/>
      <c r="CBQ34" s="545"/>
      <c r="CBR34" s="545"/>
      <c r="CBS34" s="545"/>
      <c r="CBT34" s="545"/>
      <c r="CBU34" s="545"/>
      <c r="CBV34" s="545"/>
      <c r="CBW34" s="545"/>
      <c r="CBX34" s="545"/>
      <c r="CBY34" s="545"/>
      <c r="CBZ34" s="545"/>
      <c r="CCA34" s="545"/>
      <c r="CCB34" s="545"/>
      <c r="CCC34" s="545"/>
      <c r="CCD34" s="545"/>
      <c r="CCE34" s="545"/>
      <c r="CCF34" s="545"/>
      <c r="CCG34" s="545"/>
      <c r="CCH34" s="545"/>
      <c r="CCI34" s="545"/>
      <c r="CCJ34" s="545"/>
      <c r="CCK34" s="545"/>
      <c r="CCL34" s="545"/>
      <c r="CCM34" s="545"/>
      <c r="CCN34" s="545"/>
      <c r="CCO34" s="545"/>
      <c r="CCP34" s="545"/>
      <c r="CCQ34" s="545"/>
      <c r="CCR34" s="545"/>
      <c r="CCS34" s="545"/>
      <c r="CCT34" s="545"/>
      <c r="CCU34" s="545"/>
      <c r="CCV34" s="545"/>
      <c r="CCW34" s="545"/>
      <c r="CCX34" s="545"/>
      <c r="CCY34" s="545"/>
      <c r="CCZ34" s="545"/>
      <c r="CDA34" s="545"/>
      <c r="CDB34" s="545"/>
      <c r="CDC34" s="545"/>
      <c r="CDD34" s="545"/>
      <c r="CDE34" s="545"/>
      <c r="CDF34" s="545"/>
      <c r="CDG34" s="545"/>
      <c r="CDH34" s="545"/>
      <c r="CDI34" s="545"/>
      <c r="CDJ34" s="545"/>
      <c r="CDK34" s="545"/>
      <c r="CDL34" s="545"/>
      <c r="CDM34" s="545"/>
      <c r="CDN34" s="545"/>
      <c r="CDO34" s="545"/>
      <c r="CDP34" s="545"/>
      <c r="CDQ34" s="545"/>
      <c r="CDR34" s="545"/>
      <c r="CDS34" s="545"/>
      <c r="CDT34" s="545"/>
      <c r="CDU34" s="545"/>
      <c r="CDV34" s="545"/>
      <c r="CDW34" s="545"/>
      <c r="CDX34" s="545"/>
      <c r="CDY34" s="545"/>
      <c r="CDZ34" s="545"/>
      <c r="CEA34" s="545"/>
      <c r="CEB34" s="545"/>
      <c r="CEC34" s="545"/>
      <c r="CED34" s="545"/>
      <c r="CEE34" s="545"/>
      <c r="CEF34" s="545"/>
      <c r="CEG34" s="545"/>
      <c r="CEH34" s="545"/>
      <c r="CEI34" s="545"/>
      <c r="CEJ34" s="545"/>
      <c r="CEK34" s="545"/>
      <c r="CEL34" s="545"/>
      <c r="CEM34" s="545"/>
      <c r="CEN34" s="545"/>
      <c r="CEO34" s="545"/>
      <c r="CEP34" s="545"/>
      <c r="CEQ34" s="545"/>
      <c r="CER34" s="545"/>
      <c r="CES34" s="545"/>
      <c r="CET34" s="545"/>
      <c r="CEU34" s="545"/>
      <c r="CEV34" s="545"/>
      <c r="CEW34" s="545"/>
      <c r="CEX34" s="545"/>
      <c r="CEY34" s="545"/>
      <c r="CEZ34" s="545"/>
      <c r="CFA34" s="545"/>
      <c r="CFB34" s="545"/>
      <c r="CFC34" s="545"/>
      <c r="CFD34" s="545"/>
      <c r="CFE34" s="545"/>
      <c r="CFF34" s="545"/>
      <c r="CFG34" s="545"/>
      <c r="CFH34" s="545"/>
      <c r="CFI34" s="545"/>
      <c r="CFJ34" s="545"/>
      <c r="CFK34" s="545"/>
      <c r="CFL34" s="545"/>
      <c r="CFM34" s="545"/>
      <c r="CFN34" s="545"/>
      <c r="CFO34" s="545"/>
      <c r="CFP34" s="545"/>
      <c r="CFQ34" s="545"/>
      <c r="CFR34" s="545"/>
      <c r="CFS34" s="545"/>
      <c r="CFT34" s="545"/>
      <c r="CFU34" s="545"/>
      <c r="CFV34" s="545"/>
      <c r="CFW34" s="545"/>
      <c r="CFX34" s="545"/>
      <c r="CFY34" s="545"/>
      <c r="CFZ34" s="545"/>
      <c r="CGA34" s="545"/>
      <c r="CGB34" s="545"/>
      <c r="CGC34" s="545"/>
      <c r="CGD34" s="545"/>
      <c r="CGE34" s="545"/>
      <c r="CGF34" s="545"/>
      <c r="CGG34" s="545"/>
      <c r="CGH34" s="545"/>
      <c r="CGI34" s="545"/>
      <c r="CGJ34" s="545"/>
      <c r="CGK34" s="545"/>
      <c r="CGL34" s="545"/>
      <c r="CGM34" s="545"/>
      <c r="CGN34" s="545"/>
      <c r="CGO34" s="545"/>
      <c r="CGP34" s="545"/>
      <c r="CGQ34" s="545"/>
      <c r="CGR34" s="545"/>
      <c r="CGS34" s="545"/>
      <c r="CGT34" s="545"/>
      <c r="CGU34" s="545"/>
      <c r="CGV34" s="545"/>
      <c r="CGW34" s="545"/>
      <c r="CGX34" s="545"/>
      <c r="CGY34" s="545"/>
      <c r="CGZ34" s="545"/>
      <c r="CHA34" s="545"/>
      <c r="CHB34" s="545"/>
      <c r="CHC34" s="545"/>
      <c r="CHD34" s="545"/>
      <c r="CHE34" s="545"/>
      <c r="CHF34" s="545"/>
      <c r="CHG34" s="545"/>
      <c r="CHH34" s="545"/>
      <c r="CHI34" s="545"/>
      <c r="CHJ34" s="545"/>
      <c r="CHK34" s="545"/>
      <c r="CHL34" s="545"/>
      <c r="CHM34" s="545"/>
      <c r="CHN34" s="545"/>
      <c r="CHO34" s="545"/>
      <c r="CHP34" s="545"/>
      <c r="CHQ34" s="545"/>
      <c r="CHR34" s="545"/>
      <c r="CHS34" s="545"/>
      <c r="CHT34" s="545"/>
      <c r="CHU34" s="545"/>
      <c r="CHV34" s="545"/>
      <c r="CHW34" s="545"/>
      <c r="CHX34" s="545"/>
      <c r="CHY34" s="545"/>
      <c r="CHZ34" s="545"/>
      <c r="CIA34" s="545"/>
      <c r="CIB34" s="545"/>
      <c r="CIC34" s="545"/>
      <c r="CID34" s="545"/>
      <c r="CIE34" s="545"/>
      <c r="CIF34" s="545"/>
      <c r="CIG34" s="545"/>
      <c r="CIH34" s="545"/>
      <c r="CII34" s="545"/>
      <c r="CIJ34" s="545"/>
      <c r="CIK34" s="545"/>
      <c r="CIL34" s="545"/>
      <c r="CIM34" s="545"/>
      <c r="CIN34" s="545"/>
      <c r="CIO34" s="545"/>
      <c r="CIP34" s="545"/>
      <c r="CIQ34" s="545"/>
      <c r="CIR34" s="545"/>
      <c r="CIS34" s="545"/>
      <c r="CIT34" s="545"/>
      <c r="CIU34" s="545"/>
      <c r="CIV34" s="545"/>
      <c r="CIW34" s="545"/>
      <c r="CIX34" s="545"/>
      <c r="CIY34" s="545"/>
      <c r="CIZ34" s="545"/>
      <c r="CJA34" s="545"/>
      <c r="CJB34" s="545"/>
      <c r="CJC34" s="545"/>
      <c r="CJD34" s="545"/>
      <c r="CJE34" s="545"/>
      <c r="CJF34" s="545"/>
      <c r="CJG34" s="545"/>
      <c r="CJH34" s="545"/>
      <c r="CJI34" s="545"/>
      <c r="CJJ34" s="545"/>
      <c r="CJK34" s="545"/>
      <c r="CJL34" s="545"/>
      <c r="CJM34" s="545"/>
      <c r="CJN34" s="545"/>
      <c r="CJO34" s="545"/>
      <c r="CJP34" s="545"/>
      <c r="CJQ34" s="545"/>
      <c r="CJR34" s="545"/>
      <c r="CJS34" s="545"/>
      <c r="CJT34" s="545"/>
      <c r="CJU34" s="545"/>
      <c r="CJV34" s="545"/>
      <c r="CJW34" s="545"/>
      <c r="CJX34" s="545"/>
      <c r="CJY34" s="545"/>
      <c r="CJZ34" s="545"/>
      <c r="CKA34" s="545"/>
      <c r="CKB34" s="545"/>
      <c r="CKC34" s="545"/>
      <c r="CKD34" s="545"/>
      <c r="CKE34" s="545"/>
      <c r="CKF34" s="545"/>
      <c r="CKG34" s="545"/>
      <c r="CKH34" s="545"/>
      <c r="CKI34" s="545"/>
      <c r="CKJ34" s="545"/>
      <c r="CKK34" s="545"/>
      <c r="CKL34" s="545"/>
      <c r="CKM34" s="545"/>
      <c r="CKN34" s="545"/>
      <c r="CKO34" s="545"/>
      <c r="CKP34" s="545"/>
      <c r="CKQ34" s="545"/>
      <c r="CKR34" s="545"/>
      <c r="CKS34" s="545"/>
      <c r="CKT34" s="545"/>
      <c r="CKU34" s="545"/>
      <c r="CKV34" s="545"/>
      <c r="CKW34" s="545"/>
      <c r="CKX34" s="545"/>
      <c r="CKY34" s="545"/>
      <c r="CKZ34" s="545"/>
      <c r="CLA34" s="545"/>
      <c r="CLB34" s="545"/>
      <c r="CLC34" s="545"/>
      <c r="CLD34" s="545"/>
      <c r="CLE34" s="545"/>
      <c r="CLF34" s="545"/>
      <c r="CLG34" s="545"/>
      <c r="CLH34" s="545"/>
      <c r="CLI34" s="545"/>
      <c r="CLJ34" s="545"/>
      <c r="CLK34" s="545"/>
      <c r="CLL34" s="545"/>
      <c r="CLM34" s="545"/>
      <c r="CLN34" s="545"/>
      <c r="CLO34" s="545"/>
      <c r="CLP34" s="545"/>
      <c r="CLQ34" s="545"/>
      <c r="CLR34" s="545"/>
      <c r="CLS34" s="545"/>
      <c r="CLT34" s="545"/>
      <c r="CLU34" s="545"/>
      <c r="CLV34" s="545"/>
      <c r="CLW34" s="545"/>
      <c r="CLX34" s="545"/>
      <c r="CLY34" s="545"/>
      <c r="CLZ34" s="545"/>
      <c r="CMA34" s="545"/>
      <c r="CMB34" s="545"/>
      <c r="CMC34" s="545"/>
      <c r="CMD34" s="545"/>
      <c r="CME34" s="545"/>
      <c r="CMF34" s="545"/>
      <c r="CMG34" s="545"/>
      <c r="CMH34" s="545"/>
      <c r="CMI34" s="545"/>
      <c r="CMJ34" s="545"/>
      <c r="CMK34" s="545"/>
      <c r="CML34" s="545"/>
      <c r="CMM34" s="545"/>
      <c r="CMN34" s="545"/>
      <c r="CMO34" s="545"/>
      <c r="CMP34" s="545"/>
      <c r="CMQ34" s="545"/>
      <c r="CMR34" s="545"/>
      <c r="CMS34" s="545"/>
      <c r="CMT34" s="545"/>
      <c r="CMU34" s="545"/>
      <c r="CMV34" s="545"/>
      <c r="CMW34" s="545"/>
      <c r="CMX34" s="545"/>
      <c r="CMY34" s="545"/>
      <c r="CMZ34" s="545"/>
      <c r="CNA34" s="545"/>
      <c r="CNB34" s="545"/>
      <c r="CNC34" s="545"/>
      <c r="CND34" s="545"/>
      <c r="CNE34" s="545"/>
      <c r="CNF34" s="545"/>
      <c r="CNG34" s="545"/>
      <c r="CNH34" s="545"/>
      <c r="CNI34" s="545"/>
      <c r="CNJ34" s="545"/>
      <c r="CNK34" s="545"/>
      <c r="CNL34" s="545"/>
      <c r="CNM34" s="545"/>
      <c r="CNN34" s="545"/>
      <c r="CNO34" s="545"/>
      <c r="CNP34" s="545"/>
      <c r="CNQ34" s="545"/>
      <c r="CNR34" s="545"/>
      <c r="CNS34" s="545"/>
      <c r="CNT34" s="545"/>
      <c r="CNU34" s="545"/>
      <c r="CNV34" s="545"/>
      <c r="CNW34" s="545"/>
      <c r="CNX34" s="545"/>
      <c r="CNY34" s="545"/>
      <c r="CNZ34" s="545"/>
      <c r="COA34" s="545"/>
      <c r="COB34" s="545"/>
      <c r="COC34" s="545"/>
      <c r="COD34" s="545"/>
      <c r="COE34" s="545"/>
      <c r="COF34" s="545"/>
      <c r="COG34" s="545"/>
      <c r="COH34" s="545"/>
      <c r="COI34" s="545"/>
      <c r="COJ34" s="545"/>
      <c r="COK34" s="545"/>
      <c r="COL34" s="545"/>
      <c r="COM34" s="545"/>
      <c r="CON34" s="545"/>
      <c r="COO34" s="545"/>
      <c r="COP34" s="545"/>
      <c r="COQ34" s="545"/>
      <c r="COR34" s="545"/>
      <c r="COS34" s="545"/>
      <c r="COT34" s="545"/>
      <c r="COU34" s="545"/>
      <c r="COV34" s="545"/>
      <c r="COW34" s="545"/>
      <c r="COX34" s="545"/>
      <c r="COY34" s="545"/>
      <c r="COZ34" s="545"/>
      <c r="CPA34" s="545"/>
      <c r="CPB34" s="545"/>
      <c r="CPC34" s="545"/>
      <c r="CPD34" s="545"/>
      <c r="CPE34" s="545"/>
      <c r="CPF34" s="545"/>
      <c r="CPG34" s="545"/>
      <c r="CPH34" s="545"/>
      <c r="CPI34" s="545"/>
      <c r="CPJ34" s="545"/>
      <c r="CPK34" s="545"/>
      <c r="CPL34" s="545"/>
      <c r="CPM34" s="545"/>
      <c r="CPN34" s="545"/>
      <c r="CPO34" s="545"/>
      <c r="CPP34" s="545"/>
      <c r="CPQ34" s="545"/>
      <c r="CPR34" s="545"/>
      <c r="CPS34" s="545"/>
      <c r="CPT34" s="545"/>
      <c r="CPU34" s="545"/>
      <c r="CPV34" s="545"/>
      <c r="CPW34" s="545"/>
      <c r="CPX34" s="545"/>
      <c r="CPY34" s="545"/>
      <c r="CPZ34" s="545"/>
      <c r="CQA34" s="545"/>
      <c r="CQB34" s="545"/>
      <c r="CQC34" s="545"/>
      <c r="CQD34" s="545"/>
      <c r="CQE34" s="545"/>
      <c r="CQF34" s="545"/>
      <c r="CQG34" s="545"/>
      <c r="CQH34" s="545"/>
      <c r="CQI34" s="545"/>
      <c r="CQJ34" s="545"/>
      <c r="CQK34" s="545"/>
      <c r="CQL34" s="545"/>
      <c r="CQM34" s="545"/>
      <c r="CQN34" s="545"/>
      <c r="CQO34" s="545"/>
      <c r="CQP34" s="545"/>
      <c r="CQQ34" s="545"/>
      <c r="CQR34" s="545"/>
      <c r="CQS34" s="545"/>
      <c r="CQT34" s="545"/>
      <c r="CQU34" s="545"/>
      <c r="CQV34" s="545"/>
      <c r="CQW34" s="545"/>
      <c r="CQX34" s="545"/>
      <c r="CQY34" s="545"/>
      <c r="CQZ34" s="545"/>
      <c r="CRA34" s="545"/>
      <c r="CRB34" s="545"/>
      <c r="CRC34" s="545"/>
      <c r="CRD34" s="545"/>
      <c r="CRE34" s="545"/>
      <c r="CRF34" s="545"/>
      <c r="CRG34" s="545"/>
      <c r="CRH34" s="545"/>
      <c r="CRI34" s="545"/>
      <c r="CRJ34" s="545"/>
      <c r="CRK34" s="545"/>
      <c r="CRL34" s="545"/>
      <c r="CRM34" s="545"/>
      <c r="CRN34" s="545"/>
      <c r="CRO34" s="545"/>
      <c r="CRP34" s="545"/>
      <c r="CRQ34" s="545"/>
      <c r="CRR34" s="545"/>
      <c r="CRS34" s="545"/>
      <c r="CRT34" s="545"/>
      <c r="CRU34" s="545"/>
      <c r="CRV34" s="545"/>
      <c r="CRW34" s="545"/>
      <c r="CRX34" s="545"/>
      <c r="CRY34" s="545"/>
      <c r="CRZ34" s="545"/>
      <c r="CSA34" s="545"/>
      <c r="CSB34" s="545"/>
      <c r="CSC34" s="545"/>
      <c r="CSD34" s="545"/>
      <c r="CSE34" s="545"/>
      <c r="CSF34" s="545"/>
      <c r="CSG34" s="545"/>
      <c r="CSH34" s="545"/>
      <c r="CSI34" s="545"/>
      <c r="CSJ34" s="545"/>
      <c r="CSK34" s="545"/>
      <c r="CSL34" s="545"/>
      <c r="CSM34" s="545"/>
      <c r="CSN34" s="545"/>
      <c r="CSO34" s="545"/>
      <c r="CSP34" s="545"/>
      <c r="CSQ34" s="545"/>
      <c r="CSR34" s="545"/>
      <c r="CSS34" s="545"/>
      <c r="CST34" s="545"/>
      <c r="CSU34" s="545"/>
      <c r="CSV34" s="545"/>
      <c r="CSW34" s="545"/>
      <c r="CSX34" s="545"/>
      <c r="CSY34" s="545"/>
      <c r="CSZ34" s="545"/>
      <c r="CTA34" s="545"/>
      <c r="CTB34" s="545"/>
      <c r="CTC34" s="545"/>
      <c r="CTD34" s="545"/>
      <c r="CTE34" s="545"/>
      <c r="CTF34" s="545"/>
      <c r="CTG34" s="545"/>
      <c r="CTH34" s="545"/>
      <c r="CTI34" s="545"/>
      <c r="CTJ34" s="545"/>
      <c r="CTK34" s="545"/>
      <c r="CTL34" s="545"/>
      <c r="CTM34" s="545"/>
      <c r="CTN34" s="545"/>
      <c r="CTO34" s="545"/>
      <c r="CTP34" s="545"/>
      <c r="CTQ34" s="545"/>
      <c r="CTR34" s="545"/>
      <c r="CTS34" s="545"/>
      <c r="CTT34" s="545"/>
      <c r="CTU34" s="545"/>
      <c r="CTV34" s="545"/>
      <c r="CTW34" s="545"/>
      <c r="CTX34" s="545"/>
      <c r="CTY34" s="545"/>
      <c r="CTZ34" s="545"/>
      <c r="CUA34" s="545"/>
      <c r="CUB34" s="545"/>
      <c r="CUC34" s="545"/>
      <c r="CUD34" s="545"/>
      <c r="CUE34" s="545"/>
      <c r="CUF34" s="545"/>
      <c r="CUG34" s="545"/>
      <c r="CUH34" s="545"/>
      <c r="CUI34" s="545"/>
      <c r="CUJ34" s="545"/>
      <c r="CUK34" s="545"/>
      <c r="CUL34" s="545"/>
      <c r="CUM34" s="545"/>
      <c r="CUN34" s="545"/>
      <c r="CUO34" s="545"/>
      <c r="CUP34" s="545"/>
      <c r="CUQ34" s="545"/>
      <c r="CUR34" s="545"/>
      <c r="CUS34" s="545"/>
      <c r="CUT34" s="545"/>
      <c r="CUU34" s="545"/>
      <c r="CUV34" s="545"/>
      <c r="CUW34" s="545"/>
      <c r="CUX34" s="545"/>
      <c r="CUY34" s="545"/>
      <c r="CUZ34" s="545"/>
      <c r="CVA34" s="545"/>
      <c r="CVB34" s="545"/>
      <c r="CVC34" s="545"/>
      <c r="CVD34" s="545"/>
      <c r="CVE34" s="545"/>
      <c r="CVF34" s="545"/>
      <c r="CVG34" s="545"/>
      <c r="CVH34" s="545"/>
      <c r="CVI34" s="545"/>
      <c r="CVJ34" s="545"/>
      <c r="CVK34" s="545"/>
      <c r="CVL34" s="545"/>
      <c r="CVM34" s="545"/>
      <c r="CVN34" s="545"/>
      <c r="CVO34" s="545"/>
      <c r="CVP34" s="545"/>
      <c r="CVQ34" s="545"/>
      <c r="CVR34" s="545"/>
      <c r="CVS34" s="545"/>
      <c r="CVT34" s="545"/>
      <c r="CVU34" s="545"/>
      <c r="CVV34" s="545"/>
      <c r="CVW34" s="545"/>
      <c r="CVX34" s="545"/>
      <c r="CVY34" s="545"/>
      <c r="CVZ34" s="545"/>
      <c r="CWA34" s="545"/>
      <c r="CWB34" s="545"/>
      <c r="CWC34" s="545"/>
      <c r="CWD34" s="545"/>
      <c r="CWE34" s="545"/>
      <c r="CWF34" s="545"/>
      <c r="CWG34" s="545"/>
      <c r="CWH34" s="545"/>
      <c r="CWI34" s="545"/>
      <c r="CWJ34" s="545"/>
      <c r="CWK34" s="545"/>
      <c r="CWL34" s="545"/>
      <c r="CWM34" s="545"/>
      <c r="CWN34" s="545"/>
      <c r="CWO34" s="545"/>
      <c r="CWP34" s="545"/>
      <c r="CWQ34" s="545"/>
      <c r="CWR34" s="545"/>
      <c r="CWS34" s="545"/>
      <c r="CWT34" s="545"/>
      <c r="CWU34" s="545"/>
      <c r="CWV34" s="545"/>
      <c r="CWW34" s="545"/>
      <c r="CWX34" s="545"/>
      <c r="CWY34" s="545"/>
      <c r="CWZ34" s="545"/>
      <c r="CXA34" s="545"/>
      <c r="CXB34" s="545"/>
      <c r="CXC34" s="545"/>
      <c r="CXD34" s="545"/>
      <c r="CXE34" s="545"/>
      <c r="CXF34" s="545"/>
      <c r="CXG34" s="545"/>
      <c r="CXH34" s="545"/>
      <c r="CXI34" s="545"/>
      <c r="CXJ34" s="545"/>
      <c r="CXK34" s="545"/>
      <c r="CXL34" s="545"/>
      <c r="CXM34" s="545"/>
      <c r="CXN34" s="545"/>
      <c r="CXO34" s="545"/>
      <c r="CXP34" s="545"/>
      <c r="CXQ34" s="545"/>
      <c r="CXR34" s="545"/>
      <c r="CXS34" s="545"/>
      <c r="CXT34" s="545"/>
      <c r="CXU34" s="545"/>
      <c r="CXV34" s="545"/>
      <c r="CXW34" s="545"/>
      <c r="CXX34" s="545"/>
      <c r="CXY34" s="545"/>
      <c r="CXZ34" s="545"/>
      <c r="CYA34" s="545"/>
      <c r="CYB34" s="545"/>
      <c r="CYC34" s="545"/>
      <c r="CYD34" s="545"/>
      <c r="CYE34" s="545"/>
      <c r="CYF34" s="545"/>
      <c r="CYG34" s="545"/>
      <c r="CYH34" s="545"/>
      <c r="CYI34" s="545"/>
      <c r="CYJ34" s="545"/>
      <c r="CYK34" s="545"/>
      <c r="CYL34" s="545"/>
      <c r="CYM34" s="545"/>
      <c r="CYN34" s="545"/>
      <c r="CYO34" s="545"/>
      <c r="CYP34" s="545"/>
      <c r="CYQ34" s="545"/>
      <c r="CYR34" s="545"/>
      <c r="CYS34" s="545"/>
      <c r="CYT34" s="545"/>
      <c r="CYU34" s="545"/>
      <c r="CYV34" s="545"/>
      <c r="CYW34" s="545"/>
      <c r="CYX34" s="545"/>
      <c r="CYY34" s="545"/>
      <c r="CYZ34" s="545"/>
      <c r="CZA34" s="545"/>
      <c r="CZB34" s="545"/>
      <c r="CZC34" s="545"/>
      <c r="CZD34" s="545"/>
      <c r="CZE34" s="545"/>
      <c r="CZF34" s="545"/>
      <c r="CZG34" s="545"/>
      <c r="CZH34" s="545"/>
      <c r="CZI34" s="545"/>
      <c r="CZJ34" s="545"/>
      <c r="CZK34" s="545"/>
      <c r="CZL34" s="545"/>
      <c r="CZM34" s="545"/>
      <c r="CZN34" s="545"/>
      <c r="CZO34" s="545"/>
      <c r="CZP34" s="545"/>
      <c r="CZQ34" s="545"/>
      <c r="CZR34" s="545"/>
      <c r="CZS34" s="545"/>
      <c r="CZT34" s="545"/>
      <c r="CZU34" s="545"/>
      <c r="CZV34" s="545"/>
      <c r="CZW34" s="545"/>
      <c r="CZX34" s="545"/>
      <c r="CZY34" s="545"/>
      <c r="CZZ34" s="545"/>
      <c r="DAA34" s="545"/>
      <c r="DAB34" s="545"/>
      <c r="DAC34" s="545"/>
      <c r="DAD34" s="545"/>
      <c r="DAE34" s="545"/>
      <c r="DAF34" s="545"/>
      <c r="DAG34" s="545"/>
      <c r="DAH34" s="545"/>
      <c r="DAI34" s="545"/>
      <c r="DAJ34" s="545"/>
      <c r="DAK34" s="545"/>
      <c r="DAL34" s="545"/>
      <c r="DAM34" s="545"/>
      <c r="DAN34" s="545"/>
      <c r="DAO34" s="545"/>
      <c r="DAP34" s="545"/>
      <c r="DAQ34" s="545"/>
      <c r="DAR34" s="545"/>
      <c r="DAS34" s="545"/>
      <c r="DAT34" s="545"/>
      <c r="DAU34" s="545"/>
      <c r="DAV34" s="545"/>
      <c r="DAW34" s="545"/>
      <c r="DAX34" s="545"/>
      <c r="DAY34" s="545"/>
      <c r="DAZ34" s="545"/>
      <c r="DBA34" s="545"/>
      <c r="DBB34" s="545"/>
      <c r="DBC34" s="545"/>
      <c r="DBD34" s="545"/>
      <c r="DBE34" s="545"/>
      <c r="DBF34" s="545"/>
      <c r="DBG34" s="545"/>
      <c r="DBH34" s="545"/>
      <c r="DBI34" s="545"/>
      <c r="DBJ34" s="545"/>
      <c r="DBK34" s="545"/>
      <c r="DBL34" s="545"/>
      <c r="DBM34" s="545"/>
      <c r="DBN34" s="545"/>
      <c r="DBO34" s="545"/>
      <c r="DBP34" s="545"/>
      <c r="DBQ34" s="545"/>
      <c r="DBR34" s="545"/>
      <c r="DBS34" s="545"/>
      <c r="DBT34" s="545"/>
      <c r="DBU34" s="545"/>
      <c r="DBV34" s="545"/>
      <c r="DBW34" s="545"/>
      <c r="DBX34" s="545"/>
      <c r="DBY34" s="545"/>
      <c r="DBZ34" s="545"/>
      <c r="DCA34" s="545"/>
      <c r="DCB34" s="545"/>
      <c r="DCC34" s="545"/>
      <c r="DCD34" s="545"/>
      <c r="DCE34" s="545"/>
      <c r="DCF34" s="545"/>
      <c r="DCG34" s="545"/>
      <c r="DCH34" s="545"/>
      <c r="DCI34" s="545"/>
      <c r="DCJ34" s="545"/>
      <c r="DCK34" s="545"/>
      <c r="DCL34" s="545"/>
      <c r="DCM34" s="545"/>
      <c r="DCN34" s="545"/>
      <c r="DCO34" s="545"/>
      <c r="DCP34" s="545"/>
      <c r="DCQ34" s="545"/>
      <c r="DCR34" s="545"/>
      <c r="DCS34" s="545"/>
      <c r="DCT34" s="545"/>
      <c r="DCU34" s="545"/>
      <c r="DCV34" s="545"/>
      <c r="DCW34" s="545"/>
      <c r="DCX34" s="545"/>
      <c r="DCY34" s="545"/>
      <c r="DCZ34" s="545"/>
      <c r="DDA34" s="545"/>
      <c r="DDB34" s="545"/>
      <c r="DDC34" s="545"/>
      <c r="DDD34" s="545"/>
      <c r="DDE34" s="545"/>
      <c r="DDF34" s="545"/>
      <c r="DDG34" s="545"/>
      <c r="DDH34" s="545"/>
      <c r="DDI34" s="545"/>
      <c r="DDJ34" s="545"/>
      <c r="DDK34" s="545"/>
      <c r="DDL34" s="545"/>
      <c r="DDM34" s="545"/>
      <c r="DDN34" s="545"/>
      <c r="DDO34" s="545"/>
      <c r="DDP34" s="545"/>
      <c r="DDQ34" s="545"/>
      <c r="DDR34" s="545"/>
      <c r="DDS34" s="545"/>
      <c r="DDT34" s="545"/>
      <c r="DDU34" s="545"/>
      <c r="DDV34" s="545"/>
      <c r="DDW34" s="545"/>
      <c r="DDX34" s="545"/>
      <c r="DDY34" s="545"/>
      <c r="DDZ34" s="545"/>
      <c r="DEA34" s="545"/>
      <c r="DEB34" s="545"/>
      <c r="DEC34" s="545"/>
      <c r="DED34" s="545"/>
      <c r="DEE34" s="545"/>
      <c r="DEF34" s="545"/>
      <c r="DEG34" s="545"/>
      <c r="DEH34" s="545"/>
      <c r="DEI34" s="545"/>
      <c r="DEJ34" s="545"/>
      <c r="DEK34" s="545"/>
      <c r="DEL34" s="545"/>
      <c r="DEM34" s="545"/>
      <c r="DEN34" s="545"/>
      <c r="DEO34" s="545"/>
      <c r="DEP34" s="545"/>
      <c r="DEQ34" s="545"/>
      <c r="DER34" s="545"/>
      <c r="DES34" s="545"/>
      <c r="DET34" s="545"/>
      <c r="DEU34" s="545"/>
      <c r="DEV34" s="545"/>
      <c r="DEW34" s="545"/>
      <c r="DEX34" s="545"/>
      <c r="DEY34" s="545"/>
      <c r="DEZ34" s="545"/>
      <c r="DFA34" s="545"/>
      <c r="DFB34" s="545"/>
      <c r="DFC34" s="545"/>
      <c r="DFD34" s="545"/>
      <c r="DFE34" s="545"/>
      <c r="DFF34" s="545"/>
      <c r="DFG34" s="545"/>
      <c r="DFH34" s="545"/>
      <c r="DFI34" s="545"/>
      <c r="DFJ34" s="545"/>
      <c r="DFK34" s="545"/>
      <c r="DFL34" s="545"/>
      <c r="DFM34" s="545"/>
      <c r="DFN34" s="545"/>
      <c r="DFO34" s="545"/>
      <c r="DFP34" s="545"/>
      <c r="DFQ34" s="545"/>
      <c r="DFR34" s="545"/>
      <c r="DFS34" s="545"/>
      <c r="DFT34" s="545"/>
      <c r="DFU34" s="545"/>
      <c r="DFV34" s="545"/>
      <c r="DFW34" s="545"/>
      <c r="DFX34" s="545"/>
      <c r="DFY34" s="545"/>
      <c r="DFZ34" s="545"/>
      <c r="DGA34" s="545"/>
      <c r="DGB34" s="545"/>
      <c r="DGC34" s="545"/>
      <c r="DGD34" s="545"/>
      <c r="DGE34" s="545"/>
      <c r="DGF34" s="545"/>
      <c r="DGG34" s="545"/>
      <c r="DGH34" s="545"/>
      <c r="DGI34" s="545"/>
      <c r="DGJ34" s="545"/>
      <c r="DGK34" s="545"/>
      <c r="DGL34" s="545"/>
      <c r="DGM34" s="545"/>
      <c r="DGN34" s="545"/>
      <c r="DGO34" s="545"/>
      <c r="DGP34" s="545"/>
      <c r="DGQ34" s="545"/>
      <c r="DGR34" s="545"/>
      <c r="DGS34" s="545"/>
      <c r="DGT34" s="545"/>
      <c r="DGU34" s="545"/>
      <c r="DGV34" s="545"/>
      <c r="DGW34" s="545"/>
      <c r="DGX34" s="545"/>
      <c r="DGY34" s="545"/>
      <c r="DGZ34" s="545"/>
      <c r="DHA34" s="545"/>
      <c r="DHB34" s="545"/>
      <c r="DHC34" s="545"/>
      <c r="DHD34" s="545"/>
      <c r="DHE34" s="545"/>
      <c r="DHF34" s="545"/>
      <c r="DHG34" s="545"/>
      <c r="DHH34" s="545"/>
      <c r="DHI34" s="545"/>
      <c r="DHJ34" s="545"/>
      <c r="DHK34" s="545"/>
      <c r="DHL34" s="545"/>
      <c r="DHM34" s="545"/>
      <c r="DHN34" s="545"/>
      <c r="DHO34" s="545"/>
      <c r="DHP34" s="545"/>
      <c r="DHQ34" s="545"/>
      <c r="DHR34" s="545"/>
      <c r="DHS34" s="545"/>
      <c r="DHT34" s="545"/>
      <c r="DHU34" s="545"/>
      <c r="DHV34" s="545"/>
      <c r="DHW34" s="545"/>
      <c r="DHX34" s="545"/>
      <c r="DHY34" s="545"/>
      <c r="DHZ34" s="545"/>
      <c r="DIA34" s="545"/>
      <c r="DIB34" s="545"/>
      <c r="DIC34" s="545"/>
      <c r="DID34" s="545"/>
      <c r="DIE34" s="545"/>
      <c r="DIF34" s="545"/>
      <c r="DIG34" s="545"/>
      <c r="DIH34" s="545"/>
      <c r="DII34" s="545"/>
      <c r="DIJ34" s="545"/>
      <c r="DIK34" s="545"/>
      <c r="DIL34" s="545"/>
      <c r="DIM34" s="545"/>
      <c r="DIN34" s="545"/>
      <c r="DIO34" s="545"/>
      <c r="DIP34" s="545"/>
      <c r="DIQ34" s="545"/>
      <c r="DIR34" s="545"/>
      <c r="DIS34" s="545"/>
      <c r="DIT34" s="545"/>
      <c r="DIU34" s="545"/>
      <c r="DIV34" s="545"/>
      <c r="DIW34" s="545"/>
      <c r="DIX34" s="545"/>
      <c r="DIY34" s="545"/>
      <c r="DIZ34" s="545"/>
      <c r="DJA34" s="545"/>
      <c r="DJB34" s="545"/>
      <c r="DJC34" s="545"/>
      <c r="DJD34" s="545"/>
      <c r="DJE34" s="545"/>
      <c r="DJF34" s="545"/>
      <c r="DJG34" s="545"/>
      <c r="DJH34" s="545"/>
      <c r="DJI34" s="545"/>
      <c r="DJJ34" s="545"/>
      <c r="DJK34" s="545"/>
      <c r="DJL34" s="545"/>
      <c r="DJM34" s="545"/>
      <c r="DJN34" s="545"/>
      <c r="DJO34" s="545"/>
      <c r="DJP34" s="545"/>
      <c r="DJQ34" s="545"/>
      <c r="DJR34" s="545"/>
      <c r="DJS34" s="545"/>
      <c r="DJT34" s="545"/>
      <c r="DJU34" s="545"/>
      <c r="DJV34" s="545"/>
      <c r="DJW34" s="545"/>
      <c r="DJX34" s="545"/>
      <c r="DJY34" s="545"/>
      <c r="DJZ34" s="545"/>
      <c r="DKA34" s="545"/>
      <c r="DKB34" s="545"/>
      <c r="DKC34" s="545"/>
      <c r="DKD34" s="545"/>
      <c r="DKE34" s="545"/>
      <c r="DKF34" s="545"/>
      <c r="DKG34" s="545"/>
      <c r="DKH34" s="545"/>
      <c r="DKI34" s="545"/>
      <c r="DKJ34" s="545"/>
      <c r="DKK34" s="545"/>
      <c r="DKL34" s="545"/>
      <c r="DKM34" s="545"/>
      <c r="DKN34" s="545"/>
      <c r="DKO34" s="545"/>
      <c r="DKP34" s="545"/>
      <c r="DKQ34" s="545"/>
      <c r="DKR34" s="545"/>
      <c r="DKS34" s="545"/>
      <c r="DKT34" s="545"/>
      <c r="DKU34" s="545"/>
      <c r="DKV34" s="545"/>
      <c r="DKW34" s="545"/>
      <c r="DKX34" s="545"/>
      <c r="DKY34" s="545"/>
      <c r="DKZ34" s="545"/>
      <c r="DLA34" s="545"/>
      <c r="DLB34" s="545"/>
      <c r="DLC34" s="545"/>
      <c r="DLD34" s="545"/>
      <c r="DLE34" s="545"/>
      <c r="DLF34" s="545"/>
      <c r="DLG34" s="545"/>
      <c r="DLH34" s="545"/>
      <c r="DLI34" s="545"/>
      <c r="DLJ34" s="545"/>
      <c r="DLK34" s="545"/>
      <c r="DLL34" s="545"/>
      <c r="DLM34" s="545"/>
      <c r="DLN34" s="545"/>
      <c r="DLO34" s="545"/>
      <c r="DLP34" s="545"/>
      <c r="DLQ34" s="545"/>
      <c r="DLR34" s="545"/>
      <c r="DLS34" s="545"/>
      <c r="DLT34" s="545"/>
      <c r="DLU34" s="545"/>
      <c r="DLV34" s="545"/>
      <c r="DLW34" s="545"/>
      <c r="DLX34" s="545"/>
      <c r="DLY34" s="545"/>
      <c r="DLZ34" s="545"/>
      <c r="DMA34" s="545"/>
      <c r="DMB34" s="545"/>
      <c r="DMC34" s="545"/>
      <c r="DMD34" s="545"/>
      <c r="DME34" s="545"/>
      <c r="DMF34" s="545"/>
      <c r="DMG34" s="545"/>
      <c r="DMH34" s="545"/>
      <c r="DMI34" s="545"/>
      <c r="DMJ34" s="545"/>
      <c r="DMK34" s="545"/>
      <c r="DML34" s="545"/>
      <c r="DMM34" s="545"/>
      <c r="DMN34" s="545"/>
      <c r="DMO34" s="545"/>
      <c r="DMP34" s="545"/>
      <c r="DMQ34" s="545"/>
      <c r="DMR34" s="545"/>
      <c r="DMS34" s="545"/>
      <c r="DMT34" s="545"/>
      <c r="DMU34" s="545"/>
      <c r="DMV34" s="545"/>
      <c r="DMW34" s="545"/>
      <c r="DMX34" s="545"/>
      <c r="DMY34" s="545"/>
      <c r="DMZ34" s="545"/>
      <c r="DNA34" s="545"/>
      <c r="DNB34" s="545"/>
      <c r="DNC34" s="545"/>
      <c r="DND34" s="545"/>
      <c r="DNE34" s="545"/>
      <c r="DNF34" s="545"/>
      <c r="DNG34" s="545"/>
      <c r="DNH34" s="545"/>
      <c r="DNI34" s="545"/>
      <c r="DNJ34" s="545"/>
      <c r="DNK34" s="545"/>
      <c r="DNL34" s="545"/>
      <c r="DNM34" s="545"/>
      <c r="DNN34" s="545"/>
      <c r="DNO34" s="545"/>
      <c r="DNP34" s="545"/>
      <c r="DNQ34" s="545"/>
      <c r="DNR34" s="545"/>
      <c r="DNS34" s="545"/>
      <c r="DNT34" s="545"/>
      <c r="DNU34" s="545"/>
      <c r="DNV34" s="545"/>
      <c r="DNW34" s="545"/>
      <c r="DNX34" s="545"/>
      <c r="DNY34" s="545"/>
      <c r="DNZ34" s="545"/>
      <c r="DOA34" s="545"/>
      <c r="DOB34" s="545"/>
      <c r="DOC34" s="545"/>
      <c r="DOD34" s="545"/>
      <c r="DOE34" s="545"/>
      <c r="DOF34" s="545"/>
      <c r="DOG34" s="545"/>
      <c r="DOH34" s="545"/>
      <c r="DOI34" s="545"/>
      <c r="DOJ34" s="545"/>
      <c r="DOK34" s="545"/>
      <c r="DOL34" s="545"/>
      <c r="DOM34" s="545"/>
      <c r="DON34" s="545"/>
      <c r="DOO34" s="545"/>
      <c r="DOP34" s="545"/>
      <c r="DOQ34" s="545"/>
      <c r="DOR34" s="545"/>
      <c r="DOS34" s="545"/>
      <c r="DOT34" s="545"/>
      <c r="DOU34" s="545"/>
      <c r="DOV34" s="545"/>
      <c r="DOW34" s="545"/>
      <c r="DOX34" s="545"/>
      <c r="DOY34" s="545"/>
      <c r="DOZ34" s="545"/>
      <c r="DPA34" s="545"/>
      <c r="DPB34" s="545"/>
      <c r="DPC34" s="545"/>
      <c r="DPD34" s="545"/>
      <c r="DPE34" s="545"/>
      <c r="DPF34" s="545"/>
      <c r="DPG34" s="545"/>
      <c r="DPH34" s="545"/>
      <c r="DPI34" s="545"/>
      <c r="DPJ34" s="545"/>
      <c r="DPK34" s="545"/>
      <c r="DPL34" s="545"/>
      <c r="DPM34" s="545"/>
      <c r="DPN34" s="545"/>
      <c r="DPO34" s="545"/>
      <c r="DPP34" s="545"/>
      <c r="DPQ34" s="545"/>
      <c r="DPR34" s="545"/>
      <c r="DPS34" s="545"/>
      <c r="DPT34" s="545"/>
      <c r="DPU34" s="545"/>
      <c r="DPV34" s="545"/>
      <c r="DPW34" s="545"/>
      <c r="DPX34" s="545"/>
      <c r="DPY34" s="545"/>
      <c r="DPZ34" s="545"/>
      <c r="DQA34" s="545"/>
      <c r="DQB34" s="545"/>
      <c r="DQC34" s="545"/>
      <c r="DQD34" s="545"/>
      <c r="DQE34" s="545"/>
      <c r="DQF34" s="545"/>
      <c r="DQG34" s="545"/>
      <c r="DQH34" s="545"/>
      <c r="DQI34" s="545"/>
      <c r="DQJ34" s="545"/>
      <c r="DQK34" s="545"/>
      <c r="DQL34" s="545"/>
      <c r="DQM34" s="545"/>
      <c r="DQN34" s="545"/>
      <c r="DQO34" s="545"/>
      <c r="DQP34" s="545"/>
      <c r="DQQ34" s="545"/>
      <c r="DQR34" s="545"/>
      <c r="DQS34" s="545"/>
      <c r="DQT34" s="545"/>
      <c r="DQU34" s="545"/>
      <c r="DQV34" s="545"/>
      <c r="DQW34" s="545"/>
      <c r="DQX34" s="545"/>
      <c r="DQY34" s="545"/>
      <c r="DQZ34" s="545"/>
      <c r="DRA34" s="545"/>
      <c r="DRB34" s="545"/>
      <c r="DRC34" s="545"/>
      <c r="DRD34" s="545"/>
      <c r="DRE34" s="545"/>
      <c r="DRF34" s="545"/>
      <c r="DRG34" s="545"/>
      <c r="DRH34" s="545"/>
      <c r="DRI34" s="545"/>
      <c r="DRJ34" s="545"/>
      <c r="DRK34" s="545"/>
      <c r="DRL34" s="545"/>
      <c r="DRM34" s="545"/>
      <c r="DRN34" s="545"/>
      <c r="DRO34" s="545"/>
      <c r="DRP34" s="545"/>
      <c r="DRQ34" s="545"/>
      <c r="DRR34" s="545"/>
      <c r="DRS34" s="545"/>
      <c r="DRT34" s="545"/>
      <c r="DRU34" s="545"/>
      <c r="DRV34" s="545"/>
      <c r="DRW34" s="545"/>
      <c r="DRX34" s="545"/>
      <c r="DRY34" s="545"/>
      <c r="DRZ34" s="545"/>
      <c r="DSA34" s="545"/>
      <c r="DSB34" s="545"/>
      <c r="DSC34" s="545"/>
      <c r="DSD34" s="545"/>
      <c r="DSE34" s="545"/>
      <c r="DSF34" s="545"/>
      <c r="DSG34" s="545"/>
      <c r="DSH34" s="545"/>
      <c r="DSI34" s="545"/>
      <c r="DSJ34" s="545"/>
      <c r="DSK34" s="545"/>
      <c r="DSL34" s="545"/>
      <c r="DSM34" s="545"/>
      <c r="DSN34" s="545"/>
      <c r="DSO34" s="545"/>
      <c r="DSP34" s="545"/>
      <c r="DSQ34" s="545"/>
      <c r="DSR34" s="545"/>
      <c r="DSS34" s="545"/>
      <c r="DST34" s="545"/>
      <c r="DSU34" s="545"/>
      <c r="DSV34" s="545"/>
      <c r="DSW34" s="545"/>
      <c r="DSX34" s="545"/>
      <c r="DSY34" s="545"/>
      <c r="DSZ34" s="545"/>
      <c r="DTA34" s="545"/>
      <c r="DTB34" s="545"/>
      <c r="DTC34" s="545"/>
      <c r="DTD34" s="545"/>
      <c r="DTE34" s="545"/>
      <c r="DTF34" s="545"/>
      <c r="DTG34" s="545"/>
      <c r="DTH34" s="545"/>
      <c r="DTI34" s="545"/>
      <c r="DTJ34" s="545"/>
      <c r="DTK34" s="545"/>
      <c r="DTL34" s="545"/>
      <c r="DTM34" s="545"/>
      <c r="DTN34" s="545"/>
      <c r="DTO34" s="545"/>
      <c r="DTP34" s="545"/>
      <c r="DTQ34" s="545"/>
      <c r="DTR34" s="545"/>
      <c r="DTS34" s="545"/>
      <c r="DTT34" s="545"/>
      <c r="DTU34" s="545"/>
      <c r="DTV34" s="545"/>
      <c r="DTW34" s="545"/>
      <c r="DTX34" s="545"/>
      <c r="DTY34" s="545"/>
      <c r="DTZ34" s="545"/>
      <c r="DUA34" s="545"/>
      <c r="DUB34" s="545"/>
      <c r="DUC34" s="545"/>
      <c r="DUD34" s="545"/>
      <c r="DUE34" s="545"/>
      <c r="DUF34" s="545"/>
      <c r="DUG34" s="545"/>
      <c r="DUH34" s="545"/>
      <c r="DUI34" s="545"/>
      <c r="DUJ34" s="545"/>
      <c r="DUK34" s="545"/>
      <c r="DUL34" s="545"/>
      <c r="DUM34" s="545"/>
      <c r="DUN34" s="545"/>
      <c r="DUO34" s="545"/>
      <c r="DUP34" s="545"/>
      <c r="DUQ34" s="545"/>
      <c r="DUR34" s="545"/>
      <c r="DUS34" s="545"/>
      <c r="DUT34" s="545"/>
      <c r="DUU34" s="545"/>
      <c r="DUV34" s="545"/>
      <c r="DUW34" s="545"/>
      <c r="DUX34" s="545"/>
      <c r="DUY34" s="545"/>
      <c r="DUZ34" s="545"/>
      <c r="DVA34" s="545"/>
      <c r="DVB34" s="545"/>
      <c r="DVC34" s="545"/>
      <c r="DVD34" s="545"/>
      <c r="DVE34" s="545"/>
      <c r="DVF34" s="545"/>
      <c r="DVG34" s="545"/>
      <c r="DVH34" s="545"/>
      <c r="DVI34" s="545"/>
      <c r="DVJ34" s="545"/>
      <c r="DVK34" s="545"/>
      <c r="DVL34" s="545"/>
      <c r="DVM34" s="545"/>
      <c r="DVN34" s="545"/>
      <c r="DVO34" s="545"/>
      <c r="DVP34" s="545"/>
      <c r="DVQ34" s="545"/>
      <c r="DVR34" s="545"/>
      <c r="DVS34" s="545"/>
      <c r="DVT34" s="545"/>
      <c r="DVU34" s="545"/>
      <c r="DVV34" s="545"/>
      <c r="DVW34" s="545"/>
      <c r="DVX34" s="545"/>
      <c r="DVY34" s="545"/>
      <c r="DVZ34" s="545"/>
      <c r="DWA34" s="545"/>
      <c r="DWB34" s="545"/>
      <c r="DWC34" s="545"/>
      <c r="DWD34" s="545"/>
      <c r="DWE34" s="545"/>
      <c r="DWF34" s="545"/>
      <c r="DWG34" s="545"/>
      <c r="DWH34" s="545"/>
      <c r="DWI34" s="545"/>
      <c r="DWJ34" s="545"/>
      <c r="DWK34" s="545"/>
      <c r="DWL34" s="545"/>
      <c r="DWM34" s="545"/>
      <c r="DWN34" s="545"/>
      <c r="DWO34" s="545"/>
      <c r="DWP34" s="545"/>
      <c r="DWQ34" s="545"/>
      <c r="DWR34" s="545"/>
      <c r="DWS34" s="545"/>
      <c r="DWT34" s="545"/>
      <c r="DWU34" s="545"/>
      <c r="DWV34" s="545"/>
      <c r="DWW34" s="545"/>
      <c r="DWX34" s="545"/>
      <c r="DWY34" s="545"/>
      <c r="DWZ34" s="545"/>
      <c r="DXA34" s="545"/>
      <c r="DXB34" s="545"/>
      <c r="DXC34" s="545"/>
      <c r="DXD34" s="545"/>
      <c r="DXE34" s="545"/>
      <c r="DXF34" s="545"/>
      <c r="DXG34" s="545"/>
      <c r="DXH34" s="545"/>
      <c r="DXI34" s="545"/>
      <c r="DXJ34" s="545"/>
      <c r="DXK34" s="545"/>
      <c r="DXL34" s="545"/>
      <c r="DXM34" s="545"/>
      <c r="DXN34" s="545"/>
      <c r="DXO34" s="545"/>
      <c r="DXP34" s="545"/>
      <c r="DXQ34" s="545"/>
      <c r="DXR34" s="545"/>
      <c r="DXS34" s="545"/>
      <c r="DXT34" s="545"/>
      <c r="DXU34" s="545"/>
      <c r="DXV34" s="545"/>
      <c r="DXW34" s="545"/>
      <c r="DXX34" s="545"/>
      <c r="DXY34" s="545"/>
      <c r="DXZ34" s="545"/>
      <c r="DYA34" s="545"/>
      <c r="DYB34" s="545"/>
      <c r="DYC34" s="545"/>
      <c r="DYD34" s="545"/>
      <c r="DYE34" s="545"/>
      <c r="DYF34" s="545"/>
      <c r="DYG34" s="545"/>
      <c r="DYH34" s="545"/>
      <c r="DYI34" s="545"/>
      <c r="DYJ34" s="545"/>
      <c r="DYK34" s="545"/>
      <c r="DYL34" s="545"/>
      <c r="DYM34" s="545"/>
      <c r="DYN34" s="545"/>
      <c r="DYO34" s="545"/>
      <c r="DYP34" s="545"/>
      <c r="DYQ34" s="545"/>
      <c r="DYR34" s="545"/>
      <c r="DYS34" s="545"/>
      <c r="DYT34" s="545"/>
      <c r="DYU34" s="545"/>
      <c r="DYV34" s="545"/>
      <c r="DYW34" s="545"/>
      <c r="DYX34" s="545"/>
      <c r="DYY34" s="545"/>
      <c r="DYZ34" s="545"/>
      <c r="DZA34" s="545"/>
      <c r="DZB34" s="545"/>
      <c r="DZC34" s="545"/>
      <c r="DZD34" s="545"/>
      <c r="DZE34" s="545"/>
      <c r="DZF34" s="545"/>
      <c r="DZG34" s="545"/>
      <c r="DZH34" s="545"/>
      <c r="DZI34" s="545"/>
      <c r="DZJ34" s="545"/>
      <c r="DZK34" s="545"/>
      <c r="DZL34" s="545"/>
      <c r="DZM34" s="545"/>
      <c r="DZN34" s="545"/>
      <c r="DZO34" s="545"/>
      <c r="DZP34" s="545"/>
      <c r="DZQ34" s="545"/>
      <c r="DZR34" s="545"/>
      <c r="DZS34" s="545"/>
      <c r="DZT34" s="545"/>
      <c r="DZU34" s="545"/>
      <c r="DZV34" s="545"/>
      <c r="DZW34" s="545"/>
      <c r="DZX34" s="545"/>
      <c r="DZY34" s="545"/>
      <c r="DZZ34" s="545"/>
      <c r="EAA34" s="545"/>
      <c r="EAB34" s="545"/>
      <c r="EAC34" s="545"/>
      <c r="EAD34" s="545"/>
      <c r="EAE34" s="545"/>
      <c r="EAF34" s="545"/>
      <c r="EAG34" s="545"/>
      <c r="EAH34" s="545"/>
      <c r="EAI34" s="545"/>
      <c r="EAJ34" s="545"/>
      <c r="EAK34" s="545"/>
      <c r="EAL34" s="545"/>
      <c r="EAM34" s="545"/>
      <c r="EAN34" s="545"/>
      <c r="EAO34" s="545"/>
      <c r="EAP34" s="545"/>
      <c r="EAQ34" s="545"/>
      <c r="EAR34" s="545"/>
      <c r="EAS34" s="545"/>
      <c r="EAT34" s="545"/>
      <c r="EAU34" s="545"/>
      <c r="EAV34" s="545"/>
      <c r="EAW34" s="545"/>
      <c r="EAX34" s="545"/>
      <c r="EAY34" s="545"/>
      <c r="EAZ34" s="545"/>
      <c r="EBA34" s="545"/>
      <c r="EBB34" s="545"/>
      <c r="EBC34" s="545"/>
      <c r="EBD34" s="545"/>
      <c r="EBE34" s="545"/>
      <c r="EBF34" s="545"/>
      <c r="EBG34" s="545"/>
      <c r="EBH34" s="545"/>
      <c r="EBI34" s="545"/>
      <c r="EBJ34" s="545"/>
      <c r="EBK34" s="545"/>
      <c r="EBL34" s="545"/>
      <c r="EBM34" s="545"/>
      <c r="EBN34" s="545"/>
      <c r="EBO34" s="545"/>
      <c r="EBP34" s="545"/>
      <c r="EBQ34" s="545"/>
      <c r="EBR34" s="545"/>
      <c r="EBS34" s="545"/>
      <c r="EBT34" s="545"/>
      <c r="EBU34" s="545"/>
      <c r="EBV34" s="545"/>
      <c r="EBW34" s="545"/>
      <c r="EBX34" s="545"/>
      <c r="EBY34" s="545"/>
      <c r="EBZ34" s="545"/>
      <c r="ECA34" s="545"/>
      <c r="ECB34" s="545"/>
      <c r="ECC34" s="545"/>
      <c r="ECD34" s="545"/>
      <c r="ECE34" s="545"/>
      <c r="ECF34" s="545"/>
      <c r="ECG34" s="545"/>
      <c r="ECH34" s="545"/>
      <c r="ECI34" s="545"/>
      <c r="ECJ34" s="545"/>
      <c r="ECK34" s="545"/>
      <c r="ECL34" s="545"/>
      <c r="ECM34" s="545"/>
      <c r="ECN34" s="545"/>
      <c r="ECO34" s="545"/>
      <c r="ECP34" s="545"/>
      <c r="ECQ34" s="545"/>
      <c r="ECR34" s="545"/>
      <c r="ECS34" s="545"/>
      <c r="ECT34" s="545"/>
      <c r="ECU34" s="545"/>
      <c r="ECV34" s="545"/>
      <c r="ECW34" s="545"/>
      <c r="ECX34" s="545"/>
      <c r="ECY34" s="545"/>
      <c r="ECZ34" s="545"/>
      <c r="EDA34" s="545"/>
      <c r="EDB34" s="545"/>
      <c r="EDC34" s="545"/>
      <c r="EDD34" s="545"/>
      <c r="EDE34" s="545"/>
      <c r="EDF34" s="545"/>
      <c r="EDG34" s="545"/>
      <c r="EDH34" s="545"/>
      <c r="EDI34" s="545"/>
      <c r="EDJ34" s="545"/>
      <c r="EDK34" s="545"/>
      <c r="EDL34" s="545"/>
      <c r="EDM34" s="545"/>
      <c r="EDN34" s="545"/>
      <c r="EDO34" s="545"/>
      <c r="EDP34" s="545"/>
      <c r="EDQ34" s="545"/>
      <c r="EDR34" s="545"/>
      <c r="EDS34" s="545"/>
      <c r="EDT34" s="545"/>
      <c r="EDU34" s="545"/>
      <c r="EDV34" s="545"/>
      <c r="EDW34" s="545"/>
      <c r="EDX34" s="545"/>
      <c r="EDY34" s="545"/>
      <c r="EDZ34" s="545"/>
      <c r="EEA34" s="545"/>
      <c r="EEB34" s="545"/>
      <c r="EEC34" s="545"/>
      <c r="EED34" s="545"/>
      <c r="EEE34" s="545"/>
      <c r="EEF34" s="545"/>
      <c r="EEG34" s="545"/>
      <c r="EEH34" s="545"/>
      <c r="EEI34" s="545"/>
      <c r="EEJ34" s="545"/>
      <c r="EEK34" s="545"/>
      <c r="EEL34" s="545"/>
      <c r="EEM34" s="545"/>
      <c r="EEN34" s="545"/>
      <c r="EEO34" s="545"/>
      <c r="EEP34" s="545"/>
      <c r="EEQ34" s="545"/>
      <c r="EER34" s="545"/>
      <c r="EES34" s="545"/>
      <c r="EET34" s="545"/>
      <c r="EEU34" s="545"/>
      <c r="EEV34" s="545"/>
      <c r="EEW34" s="545"/>
      <c r="EEX34" s="545"/>
      <c r="EEY34" s="545"/>
      <c r="EEZ34" s="545"/>
      <c r="EFA34" s="545"/>
      <c r="EFB34" s="545"/>
      <c r="EFC34" s="545"/>
      <c r="EFD34" s="545"/>
      <c r="EFE34" s="545"/>
      <c r="EFF34" s="545"/>
      <c r="EFG34" s="545"/>
      <c r="EFH34" s="545"/>
      <c r="EFI34" s="545"/>
      <c r="EFJ34" s="545"/>
      <c r="EFK34" s="545"/>
      <c r="EFL34" s="545"/>
      <c r="EFM34" s="545"/>
      <c r="EFN34" s="545"/>
      <c r="EFO34" s="545"/>
      <c r="EFP34" s="545"/>
      <c r="EFQ34" s="545"/>
      <c r="EFR34" s="545"/>
      <c r="EFS34" s="545"/>
      <c r="EFT34" s="545"/>
      <c r="EFU34" s="545"/>
      <c r="EFV34" s="545"/>
      <c r="EFW34" s="545"/>
      <c r="EFX34" s="545"/>
      <c r="EFY34" s="545"/>
      <c r="EFZ34" s="545"/>
      <c r="EGA34" s="545"/>
      <c r="EGB34" s="545"/>
      <c r="EGC34" s="545"/>
      <c r="EGD34" s="545"/>
      <c r="EGE34" s="545"/>
      <c r="EGF34" s="545"/>
      <c r="EGG34" s="545"/>
      <c r="EGH34" s="545"/>
      <c r="EGI34" s="545"/>
      <c r="EGJ34" s="545"/>
      <c r="EGK34" s="545"/>
      <c r="EGL34" s="545"/>
      <c r="EGM34" s="545"/>
      <c r="EGN34" s="545"/>
      <c r="EGO34" s="545"/>
      <c r="EGP34" s="545"/>
      <c r="EGQ34" s="545"/>
      <c r="EGR34" s="545"/>
      <c r="EGS34" s="545"/>
      <c r="EGT34" s="545"/>
      <c r="EGU34" s="545"/>
      <c r="EGV34" s="545"/>
      <c r="EGW34" s="545"/>
      <c r="EGX34" s="545"/>
      <c r="EGY34" s="545"/>
      <c r="EGZ34" s="545"/>
      <c r="EHA34" s="545"/>
      <c r="EHB34" s="545"/>
      <c r="EHC34" s="545"/>
      <c r="EHD34" s="545"/>
      <c r="EHE34" s="545"/>
      <c r="EHF34" s="545"/>
      <c r="EHG34" s="545"/>
      <c r="EHH34" s="545"/>
      <c r="EHI34" s="545"/>
      <c r="EHJ34" s="545"/>
      <c r="EHK34" s="545"/>
      <c r="EHL34" s="545"/>
      <c r="EHM34" s="545"/>
      <c r="EHN34" s="545"/>
      <c r="EHO34" s="545"/>
      <c r="EHP34" s="545"/>
      <c r="EHQ34" s="545"/>
      <c r="EHR34" s="545"/>
      <c r="EHS34" s="545"/>
      <c r="EHT34" s="545"/>
      <c r="EHU34" s="545"/>
      <c r="EHV34" s="545"/>
      <c r="EHW34" s="545"/>
      <c r="EHX34" s="545"/>
      <c r="EHY34" s="545"/>
      <c r="EHZ34" s="545"/>
      <c r="EIA34" s="545"/>
      <c r="EIB34" s="545"/>
      <c r="EIC34" s="545"/>
      <c r="EID34" s="545"/>
      <c r="EIE34" s="545"/>
      <c r="EIF34" s="545"/>
      <c r="EIG34" s="545"/>
      <c r="EIH34" s="545"/>
      <c r="EII34" s="545"/>
      <c r="EIJ34" s="545"/>
      <c r="EIK34" s="545"/>
      <c r="EIL34" s="545"/>
      <c r="EIM34" s="545"/>
      <c r="EIN34" s="545"/>
      <c r="EIO34" s="545"/>
      <c r="EIP34" s="545"/>
      <c r="EIQ34" s="545"/>
      <c r="EIR34" s="545"/>
      <c r="EIS34" s="545"/>
      <c r="EIT34" s="545"/>
      <c r="EIU34" s="545"/>
      <c r="EIV34" s="545"/>
      <c r="EIW34" s="545"/>
      <c r="EIX34" s="545"/>
      <c r="EIY34" s="545"/>
      <c r="EIZ34" s="545"/>
      <c r="EJA34" s="545"/>
      <c r="EJB34" s="545"/>
      <c r="EJC34" s="545"/>
      <c r="EJD34" s="545"/>
      <c r="EJE34" s="545"/>
      <c r="EJF34" s="545"/>
      <c r="EJG34" s="545"/>
      <c r="EJH34" s="545"/>
      <c r="EJI34" s="545"/>
      <c r="EJJ34" s="545"/>
      <c r="EJK34" s="545"/>
      <c r="EJL34" s="545"/>
      <c r="EJM34" s="545"/>
      <c r="EJN34" s="545"/>
      <c r="EJO34" s="545"/>
      <c r="EJP34" s="545"/>
      <c r="EJQ34" s="545"/>
      <c r="EJR34" s="545"/>
      <c r="EJS34" s="545"/>
      <c r="EJT34" s="545"/>
      <c r="EJU34" s="545"/>
      <c r="EJV34" s="545"/>
      <c r="EJW34" s="545"/>
      <c r="EJX34" s="545"/>
      <c r="EJY34" s="545"/>
      <c r="EJZ34" s="545"/>
      <c r="EKA34" s="545"/>
      <c r="EKB34" s="545"/>
      <c r="EKC34" s="545"/>
      <c r="EKD34" s="545"/>
      <c r="EKE34" s="545"/>
      <c r="EKF34" s="545"/>
      <c r="EKG34" s="545"/>
      <c r="EKH34" s="545"/>
      <c r="EKI34" s="545"/>
      <c r="EKJ34" s="545"/>
      <c r="EKK34" s="545"/>
      <c r="EKL34" s="545"/>
      <c r="EKM34" s="545"/>
      <c r="EKN34" s="545"/>
      <c r="EKO34" s="545"/>
      <c r="EKP34" s="545"/>
      <c r="EKQ34" s="545"/>
      <c r="EKR34" s="545"/>
      <c r="EKS34" s="545"/>
      <c r="EKT34" s="545"/>
      <c r="EKU34" s="545"/>
      <c r="EKV34" s="545"/>
      <c r="EKW34" s="545"/>
      <c r="EKX34" s="545"/>
      <c r="EKY34" s="545"/>
      <c r="EKZ34" s="545"/>
      <c r="ELA34" s="545"/>
      <c r="ELB34" s="545"/>
      <c r="ELC34" s="545"/>
      <c r="ELD34" s="545"/>
      <c r="ELE34" s="545"/>
      <c r="ELF34" s="545"/>
      <c r="ELG34" s="545"/>
      <c r="ELH34" s="545"/>
      <c r="ELI34" s="545"/>
      <c r="ELJ34" s="545"/>
      <c r="ELK34" s="545"/>
      <c r="ELL34" s="545"/>
      <c r="ELM34" s="545"/>
      <c r="ELN34" s="545"/>
      <c r="ELO34" s="545"/>
      <c r="ELP34" s="545"/>
      <c r="ELQ34" s="545"/>
      <c r="ELR34" s="545"/>
      <c r="ELS34" s="545"/>
      <c r="ELT34" s="545"/>
      <c r="ELU34" s="545"/>
      <c r="ELV34" s="545"/>
      <c r="ELW34" s="545"/>
      <c r="ELX34" s="545"/>
      <c r="ELY34" s="545"/>
      <c r="ELZ34" s="545"/>
      <c r="EMA34" s="545"/>
      <c r="EMB34" s="545"/>
      <c r="EMC34" s="545"/>
      <c r="EMD34" s="545"/>
      <c r="EME34" s="545"/>
      <c r="EMF34" s="545"/>
      <c r="EMG34" s="545"/>
      <c r="EMH34" s="545"/>
      <c r="EMI34" s="545"/>
      <c r="EMJ34" s="545"/>
      <c r="EMK34" s="545"/>
      <c r="EML34" s="545"/>
      <c r="EMM34" s="545"/>
      <c r="EMN34" s="545"/>
      <c r="EMO34" s="545"/>
      <c r="EMP34" s="545"/>
      <c r="EMQ34" s="545"/>
      <c r="EMR34" s="545"/>
      <c r="EMS34" s="545"/>
      <c r="EMT34" s="545"/>
      <c r="EMU34" s="545"/>
      <c r="EMV34" s="545"/>
      <c r="EMW34" s="545"/>
      <c r="EMX34" s="545"/>
      <c r="EMY34" s="545"/>
      <c r="EMZ34" s="545"/>
      <c r="ENA34" s="545"/>
      <c r="ENB34" s="545"/>
      <c r="ENC34" s="545"/>
      <c r="END34" s="545"/>
      <c r="ENE34" s="545"/>
      <c r="ENF34" s="545"/>
      <c r="ENG34" s="545"/>
      <c r="ENH34" s="545"/>
      <c r="ENI34" s="545"/>
      <c r="ENJ34" s="545"/>
      <c r="ENK34" s="545"/>
      <c r="ENL34" s="545"/>
      <c r="ENM34" s="545"/>
      <c r="ENN34" s="545"/>
      <c r="ENO34" s="545"/>
      <c r="ENP34" s="545"/>
      <c r="ENQ34" s="545"/>
      <c r="ENR34" s="545"/>
      <c r="ENS34" s="545"/>
      <c r="ENT34" s="545"/>
      <c r="ENU34" s="545"/>
      <c r="ENV34" s="545"/>
      <c r="ENW34" s="545"/>
      <c r="ENX34" s="545"/>
      <c r="ENY34" s="545"/>
      <c r="ENZ34" s="545"/>
      <c r="EOA34" s="545"/>
      <c r="EOB34" s="545"/>
      <c r="EOC34" s="545"/>
      <c r="EOD34" s="545"/>
      <c r="EOE34" s="545"/>
      <c r="EOF34" s="545"/>
      <c r="EOG34" s="545"/>
      <c r="EOH34" s="545"/>
      <c r="EOI34" s="545"/>
      <c r="EOJ34" s="545"/>
      <c r="EOK34" s="545"/>
      <c r="EOL34" s="545"/>
      <c r="EOM34" s="545"/>
      <c r="EON34" s="545"/>
      <c r="EOO34" s="545"/>
      <c r="EOP34" s="545"/>
      <c r="EOQ34" s="545"/>
      <c r="EOR34" s="545"/>
      <c r="EOS34" s="545"/>
      <c r="EOT34" s="545"/>
      <c r="EOU34" s="545"/>
      <c r="EOV34" s="545"/>
      <c r="EOW34" s="545"/>
      <c r="EOX34" s="545"/>
      <c r="EOY34" s="545"/>
      <c r="EOZ34" s="545"/>
      <c r="EPA34" s="545"/>
      <c r="EPB34" s="545"/>
      <c r="EPC34" s="545"/>
      <c r="EPD34" s="545"/>
      <c r="EPE34" s="545"/>
      <c r="EPF34" s="545"/>
      <c r="EPG34" s="545"/>
      <c r="EPH34" s="545"/>
      <c r="EPI34" s="545"/>
      <c r="EPJ34" s="545"/>
      <c r="EPK34" s="545"/>
      <c r="EPL34" s="545"/>
      <c r="EPM34" s="545"/>
      <c r="EPN34" s="545"/>
      <c r="EPO34" s="545"/>
      <c r="EPP34" s="545"/>
      <c r="EPQ34" s="545"/>
      <c r="EPR34" s="545"/>
      <c r="EPS34" s="545"/>
      <c r="EPT34" s="545"/>
      <c r="EPU34" s="545"/>
      <c r="EPV34" s="545"/>
      <c r="EPW34" s="545"/>
      <c r="EPX34" s="545"/>
      <c r="EPY34" s="545"/>
      <c r="EPZ34" s="545"/>
      <c r="EQA34" s="545"/>
      <c r="EQB34" s="545"/>
      <c r="EQC34" s="545"/>
      <c r="EQD34" s="545"/>
      <c r="EQE34" s="545"/>
      <c r="EQF34" s="545"/>
      <c r="EQG34" s="545"/>
      <c r="EQH34" s="545"/>
      <c r="EQI34" s="545"/>
      <c r="EQJ34" s="545"/>
      <c r="EQK34" s="545"/>
      <c r="EQL34" s="545"/>
      <c r="EQM34" s="545"/>
      <c r="EQN34" s="545"/>
      <c r="EQO34" s="545"/>
      <c r="EQP34" s="545"/>
      <c r="EQQ34" s="545"/>
      <c r="EQR34" s="545"/>
      <c r="EQS34" s="545"/>
      <c r="EQT34" s="545"/>
      <c r="EQU34" s="545"/>
      <c r="EQV34" s="545"/>
      <c r="EQW34" s="545"/>
      <c r="EQX34" s="545"/>
      <c r="EQY34" s="545"/>
      <c r="EQZ34" s="545"/>
      <c r="ERA34" s="545"/>
      <c r="ERB34" s="545"/>
      <c r="ERC34" s="545"/>
      <c r="ERD34" s="545"/>
      <c r="ERE34" s="545"/>
      <c r="ERF34" s="545"/>
      <c r="ERG34" s="545"/>
      <c r="ERH34" s="545"/>
      <c r="ERI34" s="545"/>
      <c r="ERJ34" s="545"/>
      <c r="ERK34" s="545"/>
      <c r="ERL34" s="545"/>
      <c r="ERM34" s="545"/>
      <c r="ERN34" s="545"/>
      <c r="ERO34" s="545"/>
      <c r="ERP34" s="545"/>
      <c r="ERQ34" s="545"/>
      <c r="ERR34" s="545"/>
      <c r="ERS34" s="545"/>
      <c r="ERT34" s="545"/>
      <c r="ERU34" s="545"/>
      <c r="ERV34" s="545"/>
      <c r="ERW34" s="545"/>
      <c r="ERX34" s="545"/>
      <c r="ERY34" s="545"/>
      <c r="ERZ34" s="545"/>
      <c r="ESA34" s="545"/>
      <c r="ESB34" s="545"/>
      <c r="ESC34" s="545"/>
      <c r="ESD34" s="545"/>
      <c r="ESE34" s="545"/>
      <c r="ESF34" s="545"/>
      <c r="ESG34" s="545"/>
      <c r="ESH34" s="545"/>
      <c r="ESI34" s="545"/>
      <c r="ESJ34" s="545"/>
      <c r="ESK34" s="545"/>
      <c r="ESL34" s="545"/>
      <c r="ESM34" s="545"/>
      <c r="ESN34" s="545"/>
      <c r="ESO34" s="545"/>
      <c r="ESP34" s="545"/>
      <c r="ESQ34" s="545"/>
      <c r="ESR34" s="545"/>
      <c r="ESS34" s="545"/>
      <c r="EST34" s="545"/>
      <c r="ESU34" s="545"/>
      <c r="ESV34" s="545"/>
      <c r="ESW34" s="545"/>
      <c r="ESX34" s="545"/>
      <c r="ESY34" s="545"/>
      <c r="ESZ34" s="545"/>
      <c r="ETA34" s="545"/>
      <c r="ETB34" s="545"/>
      <c r="ETC34" s="545"/>
      <c r="ETD34" s="545"/>
      <c r="ETE34" s="545"/>
      <c r="ETF34" s="545"/>
      <c r="ETG34" s="545"/>
      <c r="ETH34" s="545"/>
      <c r="ETI34" s="545"/>
      <c r="ETJ34" s="545"/>
      <c r="ETK34" s="545"/>
      <c r="ETL34" s="545"/>
      <c r="ETM34" s="545"/>
      <c r="ETN34" s="545"/>
      <c r="ETO34" s="545"/>
      <c r="ETP34" s="545"/>
      <c r="ETQ34" s="545"/>
      <c r="ETR34" s="545"/>
      <c r="ETS34" s="545"/>
      <c r="ETT34" s="545"/>
      <c r="ETU34" s="545"/>
      <c r="ETV34" s="545"/>
      <c r="ETW34" s="545"/>
      <c r="ETX34" s="545"/>
      <c r="ETY34" s="545"/>
      <c r="ETZ34" s="545"/>
      <c r="EUA34" s="545"/>
      <c r="EUB34" s="545"/>
      <c r="EUC34" s="545"/>
      <c r="EUD34" s="545"/>
      <c r="EUE34" s="545"/>
      <c r="EUF34" s="545"/>
      <c r="EUG34" s="545"/>
      <c r="EUH34" s="545"/>
      <c r="EUI34" s="545"/>
      <c r="EUJ34" s="545"/>
      <c r="EUK34" s="545"/>
      <c r="EUL34" s="545"/>
      <c r="EUM34" s="545"/>
      <c r="EUN34" s="545"/>
      <c r="EUO34" s="545"/>
      <c r="EUP34" s="545"/>
      <c r="EUQ34" s="545"/>
      <c r="EUR34" s="545"/>
      <c r="EUS34" s="545"/>
      <c r="EUT34" s="545"/>
      <c r="EUU34" s="545"/>
      <c r="EUV34" s="545"/>
      <c r="EUW34" s="545"/>
      <c r="EUX34" s="545"/>
      <c r="EUY34" s="545"/>
      <c r="EUZ34" s="545"/>
      <c r="EVA34" s="545"/>
      <c r="EVB34" s="545"/>
      <c r="EVC34" s="545"/>
      <c r="EVD34" s="545"/>
      <c r="EVE34" s="545"/>
      <c r="EVF34" s="545"/>
      <c r="EVG34" s="545"/>
      <c r="EVH34" s="545"/>
      <c r="EVI34" s="545"/>
      <c r="EVJ34" s="545"/>
      <c r="EVK34" s="545"/>
      <c r="EVL34" s="545"/>
      <c r="EVM34" s="545"/>
      <c r="EVN34" s="545"/>
      <c r="EVO34" s="545"/>
      <c r="EVP34" s="545"/>
      <c r="EVQ34" s="545"/>
      <c r="EVR34" s="545"/>
      <c r="EVS34" s="545"/>
      <c r="EVT34" s="545"/>
      <c r="EVU34" s="545"/>
      <c r="EVV34" s="545"/>
      <c r="EVW34" s="545"/>
      <c r="EVX34" s="545"/>
      <c r="EVY34" s="545"/>
      <c r="EVZ34" s="545"/>
      <c r="EWA34" s="545"/>
      <c r="EWB34" s="545"/>
      <c r="EWC34" s="545"/>
      <c r="EWD34" s="545"/>
      <c r="EWE34" s="545"/>
      <c r="EWF34" s="545"/>
      <c r="EWG34" s="545"/>
      <c r="EWH34" s="545"/>
      <c r="EWI34" s="545"/>
      <c r="EWJ34" s="545"/>
      <c r="EWK34" s="545"/>
      <c r="EWL34" s="545"/>
      <c r="EWM34" s="545"/>
      <c r="EWN34" s="545"/>
      <c r="EWO34" s="545"/>
      <c r="EWP34" s="545"/>
      <c r="EWQ34" s="545"/>
      <c r="EWR34" s="545"/>
      <c r="EWS34" s="545"/>
      <c r="EWT34" s="545"/>
      <c r="EWU34" s="545"/>
      <c r="EWV34" s="545"/>
      <c r="EWW34" s="545"/>
      <c r="EWX34" s="545"/>
      <c r="EWY34" s="545"/>
      <c r="EWZ34" s="545"/>
      <c r="EXA34" s="545"/>
      <c r="EXB34" s="545"/>
      <c r="EXC34" s="545"/>
      <c r="EXD34" s="545"/>
      <c r="EXE34" s="545"/>
      <c r="EXF34" s="545"/>
      <c r="EXG34" s="545"/>
      <c r="EXH34" s="545"/>
      <c r="EXI34" s="545"/>
      <c r="EXJ34" s="545"/>
      <c r="EXK34" s="545"/>
      <c r="EXL34" s="545"/>
      <c r="EXM34" s="545"/>
      <c r="EXN34" s="545"/>
      <c r="EXO34" s="545"/>
      <c r="EXP34" s="545"/>
      <c r="EXQ34" s="545"/>
      <c r="EXR34" s="545"/>
      <c r="EXS34" s="545"/>
      <c r="EXT34" s="545"/>
      <c r="EXU34" s="545"/>
      <c r="EXV34" s="545"/>
      <c r="EXW34" s="545"/>
      <c r="EXX34" s="545"/>
      <c r="EXY34" s="545"/>
      <c r="EXZ34" s="545"/>
      <c r="EYA34" s="545"/>
      <c r="EYB34" s="545"/>
      <c r="EYC34" s="545"/>
      <c r="EYD34" s="545"/>
      <c r="EYE34" s="545"/>
      <c r="EYF34" s="545"/>
      <c r="EYG34" s="545"/>
      <c r="EYH34" s="545"/>
      <c r="EYI34" s="545"/>
      <c r="EYJ34" s="545"/>
      <c r="EYK34" s="545"/>
      <c r="EYL34" s="545"/>
      <c r="EYM34" s="545"/>
      <c r="EYN34" s="545"/>
      <c r="EYO34" s="545"/>
      <c r="EYP34" s="545"/>
      <c r="EYQ34" s="545"/>
      <c r="EYR34" s="545"/>
      <c r="EYS34" s="545"/>
      <c r="EYT34" s="545"/>
      <c r="EYU34" s="545"/>
      <c r="EYV34" s="545"/>
      <c r="EYW34" s="545"/>
      <c r="EYX34" s="545"/>
      <c r="EYY34" s="545"/>
      <c r="EYZ34" s="545"/>
      <c r="EZA34" s="545"/>
      <c r="EZB34" s="545"/>
      <c r="EZC34" s="545"/>
      <c r="EZD34" s="545"/>
      <c r="EZE34" s="545"/>
      <c r="EZF34" s="545"/>
      <c r="EZG34" s="545"/>
      <c r="EZH34" s="545"/>
      <c r="EZI34" s="545"/>
      <c r="EZJ34" s="545"/>
      <c r="EZK34" s="545"/>
      <c r="EZL34" s="545"/>
      <c r="EZM34" s="545"/>
      <c r="EZN34" s="545"/>
      <c r="EZO34" s="545"/>
      <c r="EZP34" s="545"/>
      <c r="EZQ34" s="545"/>
      <c r="EZR34" s="545"/>
      <c r="EZS34" s="545"/>
      <c r="EZT34" s="545"/>
      <c r="EZU34" s="545"/>
      <c r="EZV34" s="545"/>
      <c r="EZW34" s="545"/>
      <c r="EZX34" s="545"/>
      <c r="EZY34" s="545"/>
      <c r="EZZ34" s="545"/>
      <c r="FAA34" s="545"/>
      <c r="FAB34" s="545"/>
      <c r="FAC34" s="545"/>
      <c r="FAD34" s="545"/>
      <c r="FAE34" s="545"/>
      <c r="FAF34" s="545"/>
      <c r="FAG34" s="545"/>
      <c r="FAH34" s="545"/>
      <c r="FAI34" s="545"/>
      <c r="FAJ34" s="545"/>
      <c r="FAK34" s="545"/>
      <c r="FAL34" s="545"/>
      <c r="FAM34" s="545"/>
      <c r="FAN34" s="545"/>
      <c r="FAO34" s="545"/>
      <c r="FAP34" s="545"/>
      <c r="FAQ34" s="545"/>
      <c r="FAR34" s="545"/>
      <c r="FAS34" s="545"/>
      <c r="FAT34" s="545"/>
      <c r="FAU34" s="545"/>
      <c r="FAV34" s="545"/>
      <c r="FAW34" s="545"/>
      <c r="FAX34" s="545"/>
      <c r="FAY34" s="545"/>
      <c r="FAZ34" s="545"/>
      <c r="FBA34" s="545"/>
      <c r="FBB34" s="545"/>
      <c r="FBC34" s="545"/>
      <c r="FBD34" s="545"/>
      <c r="FBE34" s="545"/>
      <c r="FBF34" s="545"/>
      <c r="FBG34" s="545"/>
      <c r="FBH34" s="545"/>
      <c r="FBI34" s="545"/>
      <c r="FBJ34" s="545"/>
      <c r="FBK34" s="545"/>
      <c r="FBL34" s="545"/>
      <c r="FBM34" s="545"/>
      <c r="FBN34" s="545"/>
      <c r="FBO34" s="545"/>
      <c r="FBP34" s="545"/>
      <c r="FBQ34" s="545"/>
      <c r="FBR34" s="545"/>
      <c r="FBS34" s="545"/>
      <c r="FBT34" s="545"/>
      <c r="FBU34" s="545"/>
      <c r="FBV34" s="545"/>
      <c r="FBW34" s="545"/>
      <c r="FBX34" s="545"/>
      <c r="FBY34" s="545"/>
      <c r="FBZ34" s="545"/>
      <c r="FCA34" s="545"/>
      <c r="FCB34" s="545"/>
      <c r="FCC34" s="545"/>
      <c r="FCD34" s="545"/>
      <c r="FCE34" s="545"/>
      <c r="FCF34" s="545"/>
      <c r="FCG34" s="545"/>
      <c r="FCH34" s="545"/>
      <c r="FCI34" s="545"/>
      <c r="FCJ34" s="545"/>
      <c r="FCK34" s="545"/>
      <c r="FCL34" s="545"/>
      <c r="FCM34" s="545"/>
      <c r="FCN34" s="545"/>
      <c r="FCO34" s="545"/>
      <c r="FCP34" s="545"/>
      <c r="FCQ34" s="545"/>
      <c r="FCR34" s="545"/>
      <c r="FCS34" s="545"/>
      <c r="FCT34" s="545"/>
      <c r="FCU34" s="545"/>
      <c r="FCV34" s="545"/>
      <c r="FCW34" s="545"/>
      <c r="FCX34" s="545"/>
      <c r="FCY34" s="545"/>
      <c r="FCZ34" s="545"/>
      <c r="FDA34" s="545"/>
      <c r="FDB34" s="545"/>
      <c r="FDC34" s="545"/>
      <c r="FDD34" s="545"/>
      <c r="FDE34" s="545"/>
      <c r="FDF34" s="545"/>
      <c r="FDG34" s="545"/>
      <c r="FDH34" s="545"/>
      <c r="FDI34" s="545"/>
      <c r="FDJ34" s="545"/>
      <c r="FDK34" s="545"/>
      <c r="FDL34" s="545"/>
      <c r="FDM34" s="545"/>
      <c r="FDN34" s="545"/>
      <c r="FDO34" s="545"/>
      <c r="FDP34" s="545"/>
      <c r="FDQ34" s="545"/>
      <c r="FDR34" s="545"/>
      <c r="FDS34" s="545"/>
      <c r="FDT34" s="545"/>
      <c r="FDU34" s="545"/>
      <c r="FDV34" s="545"/>
      <c r="FDW34" s="545"/>
      <c r="FDX34" s="545"/>
      <c r="FDY34" s="545"/>
      <c r="FDZ34" s="545"/>
      <c r="FEA34" s="545"/>
      <c r="FEB34" s="545"/>
      <c r="FEC34" s="545"/>
      <c r="FED34" s="545"/>
      <c r="FEE34" s="545"/>
      <c r="FEF34" s="545"/>
      <c r="FEG34" s="545"/>
      <c r="FEH34" s="545"/>
      <c r="FEI34" s="545"/>
      <c r="FEJ34" s="545"/>
      <c r="FEK34" s="545"/>
      <c r="FEL34" s="545"/>
      <c r="FEM34" s="545"/>
      <c r="FEN34" s="545"/>
      <c r="FEO34" s="545"/>
      <c r="FEP34" s="545"/>
      <c r="FEQ34" s="545"/>
      <c r="FER34" s="545"/>
      <c r="FES34" s="545"/>
      <c r="FET34" s="545"/>
      <c r="FEU34" s="545"/>
      <c r="FEV34" s="545"/>
      <c r="FEW34" s="545"/>
      <c r="FEX34" s="545"/>
      <c r="FEY34" s="545"/>
      <c r="FEZ34" s="545"/>
      <c r="FFA34" s="545"/>
      <c r="FFB34" s="545"/>
      <c r="FFC34" s="545"/>
      <c r="FFD34" s="545"/>
      <c r="FFE34" s="545"/>
      <c r="FFF34" s="545"/>
      <c r="FFG34" s="545"/>
      <c r="FFH34" s="545"/>
      <c r="FFI34" s="545"/>
      <c r="FFJ34" s="545"/>
      <c r="FFK34" s="545"/>
      <c r="FFL34" s="545"/>
      <c r="FFM34" s="545"/>
      <c r="FFN34" s="545"/>
      <c r="FFO34" s="545"/>
      <c r="FFP34" s="545"/>
      <c r="FFQ34" s="545"/>
      <c r="FFR34" s="545"/>
      <c r="FFS34" s="545"/>
      <c r="FFT34" s="545"/>
      <c r="FFU34" s="545"/>
      <c r="FFV34" s="545"/>
      <c r="FFW34" s="545"/>
      <c r="FFX34" s="545"/>
      <c r="FFY34" s="545"/>
      <c r="FFZ34" s="545"/>
      <c r="FGA34" s="545"/>
      <c r="FGB34" s="545"/>
      <c r="FGC34" s="545"/>
      <c r="FGD34" s="545"/>
      <c r="FGE34" s="545"/>
      <c r="FGF34" s="545"/>
      <c r="FGG34" s="545"/>
      <c r="FGH34" s="545"/>
      <c r="FGI34" s="545"/>
      <c r="FGJ34" s="545"/>
      <c r="FGK34" s="545"/>
      <c r="FGL34" s="545"/>
      <c r="FGM34" s="545"/>
      <c r="FGN34" s="545"/>
      <c r="FGO34" s="545"/>
      <c r="FGP34" s="545"/>
      <c r="FGQ34" s="545"/>
      <c r="FGR34" s="545"/>
      <c r="FGS34" s="545"/>
      <c r="FGT34" s="545"/>
      <c r="FGU34" s="545"/>
      <c r="FGV34" s="545"/>
      <c r="FGW34" s="545"/>
      <c r="FGX34" s="545"/>
      <c r="FGY34" s="545"/>
      <c r="FGZ34" s="545"/>
      <c r="FHA34" s="545"/>
      <c r="FHB34" s="545"/>
      <c r="FHC34" s="545"/>
      <c r="FHD34" s="545"/>
      <c r="FHE34" s="545"/>
      <c r="FHF34" s="545"/>
      <c r="FHG34" s="545"/>
      <c r="FHH34" s="545"/>
      <c r="FHI34" s="545"/>
      <c r="FHJ34" s="545"/>
      <c r="FHK34" s="545"/>
      <c r="FHL34" s="545"/>
      <c r="FHM34" s="545"/>
      <c r="FHN34" s="545"/>
      <c r="FHO34" s="545"/>
      <c r="FHP34" s="545"/>
      <c r="FHQ34" s="545"/>
      <c r="FHR34" s="545"/>
      <c r="FHS34" s="545"/>
      <c r="FHT34" s="545"/>
      <c r="FHU34" s="545"/>
      <c r="FHV34" s="545"/>
      <c r="FHW34" s="545"/>
      <c r="FHX34" s="545"/>
      <c r="FHY34" s="545"/>
      <c r="FHZ34" s="545"/>
      <c r="FIA34" s="545"/>
      <c r="FIB34" s="545"/>
      <c r="FIC34" s="545"/>
      <c r="FID34" s="545"/>
      <c r="FIE34" s="545"/>
      <c r="FIF34" s="545"/>
      <c r="FIG34" s="545"/>
      <c r="FIH34" s="545"/>
      <c r="FII34" s="545"/>
      <c r="FIJ34" s="545"/>
      <c r="FIK34" s="545"/>
      <c r="FIL34" s="545"/>
      <c r="FIM34" s="545"/>
      <c r="FIN34" s="545"/>
      <c r="FIO34" s="545"/>
      <c r="FIP34" s="545"/>
      <c r="FIQ34" s="545"/>
      <c r="FIR34" s="545"/>
      <c r="FIS34" s="545"/>
      <c r="FIT34" s="545"/>
      <c r="FIU34" s="545"/>
      <c r="FIV34" s="545"/>
      <c r="FIW34" s="545"/>
      <c r="FIX34" s="545"/>
      <c r="FIY34" s="545"/>
      <c r="FIZ34" s="545"/>
      <c r="FJA34" s="545"/>
      <c r="FJB34" s="545"/>
      <c r="FJC34" s="545"/>
      <c r="FJD34" s="545"/>
      <c r="FJE34" s="545"/>
      <c r="FJF34" s="545"/>
      <c r="FJG34" s="545"/>
      <c r="FJH34" s="545"/>
      <c r="FJI34" s="545"/>
      <c r="FJJ34" s="545"/>
      <c r="FJK34" s="545"/>
      <c r="FJL34" s="545"/>
      <c r="FJM34" s="545"/>
      <c r="FJN34" s="545"/>
      <c r="FJO34" s="545"/>
      <c r="FJP34" s="545"/>
      <c r="FJQ34" s="545"/>
      <c r="FJR34" s="545"/>
      <c r="FJS34" s="545"/>
      <c r="FJT34" s="545"/>
      <c r="FJU34" s="545"/>
      <c r="FJV34" s="545"/>
      <c r="FJW34" s="545"/>
      <c r="FJX34" s="545"/>
      <c r="FJY34" s="545"/>
      <c r="FJZ34" s="545"/>
      <c r="FKA34" s="545"/>
      <c r="FKB34" s="545"/>
      <c r="FKC34" s="545"/>
      <c r="FKD34" s="545"/>
      <c r="FKE34" s="545"/>
      <c r="FKF34" s="545"/>
      <c r="FKG34" s="545"/>
      <c r="FKH34" s="545"/>
      <c r="FKI34" s="545"/>
      <c r="FKJ34" s="545"/>
      <c r="FKK34" s="545"/>
      <c r="FKL34" s="545"/>
      <c r="FKM34" s="545"/>
      <c r="FKN34" s="545"/>
      <c r="FKO34" s="545"/>
      <c r="FKP34" s="545"/>
      <c r="FKQ34" s="545"/>
      <c r="FKR34" s="545"/>
      <c r="FKS34" s="545"/>
      <c r="FKT34" s="545"/>
      <c r="FKU34" s="545"/>
      <c r="FKV34" s="545"/>
      <c r="FKW34" s="545"/>
      <c r="FKX34" s="545"/>
      <c r="FKY34" s="545"/>
      <c r="FKZ34" s="545"/>
      <c r="FLA34" s="545"/>
      <c r="FLB34" s="545"/>
      <c r="FLC34" s="545"/>
      <c r="FLD34" s="545"/>
      <c r="FLE34" s="545"/>
      <c r="FLF34" s="545"/>
      <c r="FLG34" s="545"/>
      <c r="FLH34" s="545"/>
      <c r="FLI34" s="545"/>
      <c r="FLJ34" s="545"/>
      <c r="FLK34" s="545"/>
      <c r="FLL34" s="545"/>
      <c r="FLM34" s="545"/>
      <c r="FLN34" s="545"/>
      <c r="FLO34" s="545"/>
      <c r="FLP34" s="545"/>
      <c r="FLQ34" s="545"/>
      <c r="FLR34" s="545"/>
      <c r="FLS34" s="545"/>
      <c r="FLT34" s="545"/>
      <c r="FLU34" s="545"/>
      <c r="FLV34" s="545"/>
      <c r="FLW34" s="545"/>
      <c r="FLX34" s="545"/>
      <c r="FLY34" s="545"/>
      <c r="FLZ34" s="545"/>
      <c r="FMA34" s="545"/>
      <c r="FMB34" s="545"/>
      <c r="FMC34" s="545"/>
      <c r="FMD34" s="545"/>
      <c r="FME34" s="545"/>
      <c r="FMF34" s="545"/>
      <c r="FMG34" s="545"/>
      <c r="FMH34" s="545"/>
      <c r="FMI34" s="545"/>
      <c r="FMJ34" s="545"/>
      <c r="FMK34" s="545"/>
      <c r="FML34" s="545"/>
      <c r="FMM34" s="545"/>
      <c r="FMN34" s="545"/>
      <c r="FMO34" s="545"/>
      <c r="FMP34" s="545"/>
      <c r="FMQ34" s="545"/>
      <c r="FMR34" s="545"/>
      <c r="FMS34" s="545"/>
      <c r="FMT34" s="545"/>
      <c r="FMU34" s="545"/>
      <c r="FMV34" s="545"/>
      <c r="FMW34" s="545"/>
      <c r="FMX34" s="545"/>
      <c r="FMY34" s="545"/>
      <c r="FMZ34" s="545"/>
      <c r="FNA34" s="545"/>
      <c r="FNB34" s="545"/>
      <c r="FNC34" s="545"/>
      <c r="FND34" s="545"/>
      <c r="FNE34" s="545"/>
      <c r="FNF34" s="545"/>
      <c r="FNG34" s="545"/>
      <c r="FNH34" s="545"/>
      <c r="FNI34" s="545"/>
      <c r="FNJ34" s="545"/>
      <c r="FNK34" s="545"/>
      <c r="FNL34" s="545"/>
      <c r="FNM34" s="545"/>
      <c r="FNN34" s="545"/>
      <c r="FNO34" s="545"/>
      <c r="FNP34" s="545"/>
      <c r="FNQ34" s="545"/>
      <c r="FNR34" s="545"/>
      <c r="FNS34" s="545"/>
      <c r="FNT34" s="545"/>
      <c r="FNU34" s="545"/>
      <c r="FNV34" s="545"/>
      <c r="FNW34" s="545"/>
      <c r="FNX34" s="545"/>
      <c r="FNY34" s="545"/>
      <c r="FNZ34" s="545"/>
      <c r="FOA34" s="545"/>
      <c r="FOB34" s="545"/>
      <c r="FOC34" s="545"/>
      <c r="FOD34" s="545"/>
      <c r="FOE34" s="545"/>
      <c r="FOF34" s="545"/>
      <c r="FOG34" s="545"/>
      <c r="FOH34" s="545"/>
      <c r="FOI34" s="545"/>
      <c r="FOJ34" s="545"/>
      <c r="FOK34" s="545"/>
      <c r="FOL34" s="545"/>
      <c r="FOM34" s="545"/>
      <c r="FON34" s="545"/>
      <c r="FOO34" s="545"/>
      <c r="FOP34" s="545"/>
      <c r="FOQ34" s="545"/>
      <c r="FOR34" s="545"/>
      <c r="FOS34" s="545"/>
      <c r="FOT34" s="545"/>
      <c r="FOU34" s="545"/>
      <c r="FOV34" s="545"/>
      <c r="FOW34" s="545"/>
      <c r="FOX34" s="545"/>
      <c r="FOY34" s="545"/>
      <c r="FOZ34" s="545"/>
      <c r="FPA34" s="545"/>
      <c r="FPB34" s="545"/>
      <c r="FPC34" s="545"/>
      <c r="FPD34" s="545"/>
      <c r="FPE34" s="545"/>
      <c r="FPF34" s="545"/>
      <c r="FPG34" s="545"/>
      <c r="FPH34" s="545"/>
      <c r="FPI34" s="545"/>
      <c r="FPJ34" s="545"/>
      <c r="FPK34" s="545"/>
      <c r="FPL34" s="545"/>
      <c r="FPM34" s="545"/>
      <c r="FPN34" s="545"/>
      <c r="FPO34" s="545"/>
      <c r="FPP34" s="545"/>
      <c r="FPQ34" s="545"/>
      <c r="FPR34" s="545"/>
      <c r="FPS34" s="545"/>
      <c r="FPT34" s="545"/>
      <c r="FPU34" s="545"/>
      <c r="FPV34" s="545"/>
      <c r="FPW34" s="545"/>
      <c r="FPX34" s="545"/>
      <c r="FPY34" s="545"/>
      <c r="FPZ34" s="545"/>
      <c r="FQA34" s="545"/>
      <c r="FQB34" s="545"/>
      <c r="FQC34" s="545"/>
      <c r="FQD34" s="545"/>
      <c r="FQE34" s="545"/>
      <c r="FQF34" s="545"/>
      <c r="FQG34" s="545"/>
      <c r="FQH34" s="545"/>
      <c r="FQI34" s="545"/>
      <c r="FQJ34" s="545"/>
      <c r="FQK34" s="545"/>
      <c r="FQL34" s="545"/>
      <c r="FQM34" s="545"/>
      <c r="FQN34" s="545"/>
      <c r="FQO34" s="545"/>
      <c r="FQP34" s="545"/>
      <c r="FQQ34" s="545"/>
      <c r="FQR34" s="545"/>
      <c r="FQS34" s="545"/>
      <c r="FQT34" s="545"/>
      <c r="FQU34" s="545"/>
      <c r="FQV34" s="545"/>
      <c r="FQW34" s="545"/>
      <c r="FQX34" s="545"/>
      <c r="FQY34" s="545"/>
      <c r="FQZ34" s="545"/>
      <c r="FRA34" s="545"/>
      <c r="FRB34" s="545"/>
      <c r="FRC34" s="545"/>
      <c r="FRD34" s="545"/>
      <c r="FRE34" s="545"/>
      <c r="FRF34" s="545"/>
      <c r="FRG34" s="545"/>
      <c r="FRH34" s="545"/>
      <c r="FRI34" s="545"/>
      <c r="FRJ34" s="545"/>
      <c r="FRK34" s="545"/>
      <c r="FRL34" s="545"/>
      <c r="FRM34" s="545"/>
      <c r="FRN34" s="545"/>
      <c r="FRO34" s="545"/>
      <c r="FRP34" s="545"/>
      <c r="FRQ34" s="545"/>
      <c r="FRR34" s="545"/>
      <c r="FRS34" s="545"/>
      <c r="FRT34" s="545"/>
      <c r="FRU34" s="545"/>
      <c r="FRV34" s="545"/>
      <c r="FRW34" s="545"/>
      <c r="FRX34" s="545"/>
      <c r="FRY34" s="545"/>
      <c r="FRZ34" s="545"/>
      <c r="FSA34" s="545"/>
      <c r="FSB34" s="545"/>
      <c r="FSC34" s="545"/>
      <c r="FSD34" s="545"/>
      <c r="FSE34" s="545"/>
      <c r="FSF34" s="545"/>
      <c r="FSG34" s="545"/>
      <c r="FSH34" s="545"/>
      <c r="FSI34" s="545"/>
      <c r="FSJ34" s="545"/>
      <c r="FSK34" s="545"/>
      <c r="FSL34" s="545"/>
      <c r="FSM34" s="545"/>
      <c r="FSN34" s="545"/>
      <c r="FSO34" s="545"/>
      <c r="FSP34" s="545"/>
      <c r="FSQ34" s="545"/>
      <c r="FSR34" s="545"/>
      <c r="FSS34" s="545"/>
      <c r="FST34" s="545"/>
      <c r="FSU34" s="545"/>
      <c r="FSV34" s="545"/>
      <c r="FSW34" s="545"/>
      <c r="FSX34" s="545"/>
      <c r="FSY34" s="545"/>
      <c r="FSZ34" s="545"/>
      <c r="FTA34" s="545"/>
      <c r="FTB34" s="545"/>
      <c r="FTC34" s="545"/>
      <c r="FTD34" s="545"/>
      <c r="FTE34" s="545"/>
      <c r="FTF34" s="545"/>
      <c r="FTG34" s="545"/>
      <c r="FTH34" s="545"/>
      <c r="FTI34" s="545"/>
      <c r="FTJ34" s="545"/>
      <c r="FTK34" s="545"/>
      <c r="FTL34" s="545"/>
      <c r="FTM34" s="545"/>
      <c r="FTN34" s="545"/>
      <c r="FTO34" s="545"/>
      <c r="FTP34" s="545"/>
      <c r="FTQ34" s="545"/>
      <c r="FTR34" s="545"/>
      <c r="FTS34" s="545"/>
      <c r="FTT34" s="545"/>
      <c r="FTU34" s="545"/>
      <c r="FTV34" s="545"/>
      <c r="FTW34" s="545"/>
      <c r="FTX34" s="545"/>
      <c r="FTY34" s="545"/>
      <c r="FTZ34" s="545"/>
      <c r="FUA34" s="545"/>
      <c r="FUB34" s="545"/>
      <c r="FUC34" s="545"/>
      <c r="FUD34" s="545"/>
      <c r="FUE34" s="545"/>
      <c r="FUF34" s="545"/>
      <c r="FUG34" s="545"/>
      <c r="FUH34" s="545"/>
      <c r="FUI34" s="545"/>
      <c r="FUJ34" s="545"/>
      <c r="FUK34" s="545"/>
      <c r="FUL34" s="545"/>
      <c r="FUM34" s="545"/>
      <c r="FUN34" s="545"/>
      <c r="FUO34" s="545"/>
      <c r="FUP34" s="545"/>
      <c r="FUQ34" s="545"/>
      <c r="FUR34" s="545"/>
      <c r="FUS34" s="545"/>
      <c r="FUT34" s="545"/>
      <c r="FUU34" s="545"/>
      <c r="FUV34" s="545"/>
      <c r="FUW34" s="545"/>
      <c r="FUX34" s="545"/>
      <c r="FUY34" s="545"/>
      <c r="FUZ34" s="545"/>
      <c r="FVA34" s="545"/>
      <c r="FVB34" s="545"/>
      <c r="FVC34" s="545"/>
      <c r="FVD34" s="545"/>
      <c r="FVE34" s="545"/>
      <c r="FVF34" s="545"/>
      <c r="FVG34" s="545"/>
      <c r="FVH34" s="545"/>
      <c r="FVI34" s="545"/>
      <c r="FVJ34" s="545"/>
      <c r="FVK34" s="545"/>
      <c r="FVL34" s="545"/>
      <c r="FVM34" s="545"/>
      <c r="FVN34" s="545"/>
      <c r="FVO34" s="545"/>
      <c r="FVP34" s="545"/>
      <c r="FVQ34" s="545"/>
      <c r="FVR34" s="545"/>
      <c r="FVS34" s="545"/>
      <c r="FVT34" s="545"/>
      <c r="FVU34" s="545"/>
      <c r="FVV34" s="545"/>
      <c r="FVW34" s="545"/>
      <c r="FVX34" s="545"/>
      <c r="FVY34" s="545"/>
      <c r="FVZ34" s="545"/>
      <c r="FWA34" s="545"/>
      <c r="FWB34" s="545"/>
      <c r="FWC34" s="545"/>
      <c r="FWD34" s="545"/>
      <c r="FWE34" s="545"/>
      <c r="FWF34" s="545"/>
      <c r="FWG34" s="545"/>
      <c r="FWH34" s="545"/>
      <c r="FWI34" s="545"/>
      <c r="FWJ34" s="545"/>
      <c r="FWK34" s="545"/>
      <c r="FWL34" s="545"/>
      <c r="FWM34" s="545"/>
      <c r="FWN34" s="545"/>
      <c r="FWO34" s="545"/>
      <c r="FWP34" s="545"/>
      <c r="FWQ34" s="545"/>
      <c r="FWR34" s="545"/>
      <c r="FWS34" s="545"/>
      <c r="FWT34" s="545"/>
      <c r="FWU34" s="545"/>
      <c r="FWV34" s="545"/>
      <c r="FWW34" s="545"/>
      <c r="FWX34" s="545"/>
      <c r="FWY34" s="545"/>
      <c r="FWZ34" s="545"/>
      <c r="FXA34" s="545"/>
      <c r="FXB34" s="545"/>
      <c r="FXC34" s="545"/>
      <c r="FXD34" s="545"/>
      <c r="FXE34" s="545"/>
      <c r="FXF34" s="545"/>
      <c r="FXG34" s="545"/>
      <c r="FXH34" s="545"/>
      <c r="FXI34" s="545"/>
      <c r="FXJ34" s="545"/>
      <c r="FXK34" s="545"/>
      <c r="FXL34" s="545"/>
      <c r="FXM34" s="545"/>
      <c r="FXN34" s="545"/>
      <c r="FXO34" s="545"/>
      <c r="FXP34" s="545"/>
      <c r="FXQ34" s="545"/>
      <c r="FXR34" s="545"/>
      <c r="FXS34" s="545"/>
      <c r="FXT34" s="545"/>
      <c r="FXU34" s="545"/>
      <c r="FXV34" s="545"/>
      <c r="FXW34" s="545"/>
      <c r="FXX34" s="545"/>
      <c r="FXY34" s="545"/>
      <c r="FXZ34" s="545"/>
      <c r="FYA34" s="545"/>
      <c r="FYB34" s="545"/>
      <c r="FYC34" s="545"/>
      <c r="FYD34" s="545"/>
      <c r="FYE34" s="545"/>
      <c r="FYF34" s="545"/>
      <c r="FYG34" s="545"/>
      <c r="FYH34" s="545"/>
      <c r="FYI34" s="545"/>
      <c r="FYJ34" s="545"/>
      <c r="FYK34" s="545"/>
      <c r="FYL34" s="545"/>
      <c r="FYM34" s="545"/>
      <c r="FYN34" s="545"/>
      <c r="FYO34" s="545"/>
      <c r="FYP34" s="545"/>
      <c r="FYQ34" s="545"/>
      <c r="FYR34" s="545"/>
      <c r="FYS34" s="545"/>
      <c r="FYT34" s="545"/>
      <c r="FYU34" s="545"/>
      <c r="FYV34" s="545"/>
      <c r="FYW34" s="545"/>
      <c r="FYX34" s="545"/>
      <c r="FYY34" s="545"/>
      <c r="FYZ34" s="545"/>
      <c r="FZA34" s="545"/>
      <c r="FZB34" s="545"/>
      <c r="FZC34" s="545"/>
      <c r="FZD34" s="545"/>
      <c r="FZE34" s="545"/>
      <c r="FZF34" s="545"/>
      <c r="FZG34" s="545"/>
      <c r="FZH34" s="545"/>
      <c r="FZI34" s="545"/>
      <c r="FZJ34" s="545"/>
      <c r="FZK34" s="545"/>
      <c r="FZL34" s="545"/>
      <c r="FZM34" s="545"/>
      <c r="FZN34" s="545"/>
      <c r="FZO34" s="545"/>
      <c r="FZP34" s="545"/>
      <c r="FZQ34" s="545"/>
      <c r="FZR34" s="545"/>
      <c r="FZS34" s="545"/>
      <c r="FZT34" s="545"/>
      <c r="FZU34" s="545"/>
      <c r="FZV34" s="545"/>
      <c r="FZW34" s="545"/>
      <c r="FZX34" s="545"/>
      <c r="FZY34" s="545"/>
      <c r="FZZ34" s="545"/>
      <c r="GAA34" s="545"/>
      <c r="GAB34" s="545"/>
      <c r="GAC34" s="545"/>
      <c r="GAD34" s="545"/>
      <c r="GAE34" s="545"/>
      <c r="GAF34" s="545"/>
      <c r="GAG34" s="545"/>
      <c r="GAH34" s="545"/>
      <c r="GAI34" s="545"/>
      <c r="GAJ34" s="545"/>
      <c r="GAK34" s="545"/>
      <c r="GAL34" s="545"/>
      <c r="GAM34" s="545"/>
      <c r="GAN34" s="545"/>
      <c r="GAO34" s="545"/>
      <c r="GAP34" s="545"/>
      <c r="GAQ34" s="545"/>
      <c r="GAR34" s="545"/>
      <c r="GAS34" s="545"/>
      <c r="GAT34" s="545"/>
      <c r="GAU34" s="545"/>
      <c r="GAV34" s="545"/>
      <c r="GAW34" s="545"/>
      <c r="GAX34" s="545"/>
      <c r="GAY34" s="545"/>
      <c r="GAZ34" s="545"/>
      <c r="GBA34" s="545"/>
      <c r="GBB34" s="545"/>
      <c r="GBC34" s="545"/>
      <c r="GBD34" s="545"/>
      <c r="GBE34" s="545"/>
      <c r="GBF34" s="545"/>
      <c r="GBG34" s="545"/>
      <c r="GBH34" s="545"/>
      <c r="GBI34" s="545"/>
      <c r="GBJ34" s="545"/>
      <c r="GBK34" s="545"/>
      <c r="GBL34" s="545"/>
      <c r="GBM34" s="545"/>
      <c r="GBN34" s="545"/>
      <c r="GBO34" s="545"/>
      <c r="GBP34" s="545"/>
      <c r="GBQ34" s="545"/>
      <c r="GBR34" s="545"/>
      <c r="GBS34" s="545"/>
      <c r="GBT34" s="545"/>
      <c r="GBU34" s="545"/>
      <c r="GBV34" s="545"/>
      <c r="GBW34" s="545"/>
      <c r="GBX34" s="545"/>
      <c r="GBY34" s="545"/>
      <c r="GBZ34" s="545"/>
      <c r="GCA34" s="545"/>
      <c r="GCB34" s="545"/>
      <c r="GCC34" s="545"/>
      <c r="GCD34" s="545"/>
      <c r="GCE34" s="545"/>
      <c r="GCF34" s="545"/>
      <c r="GCG34" s="545"/>
      <c r="GCH34" s="545"/>
      <c r="GCI34" s="545"/>
      <c r="GCJ34" s="545"/>
      <c r="GCK34" s="545"/>
      <c r="GCL34" s="545"/>
      <c r="GCM34" s="545"/>
      <c r="GCN34" s="545"/>
      <c r="GCO34" s="545"/>
      <c r="GCP34" s="545"/>
      <c r="GCQ34" s="545"/>
      <c r="GCR34" s="545"/>
      <c r="GCS34" s="545"/>
      <c r="GCT34" s="545"/>
      <c r="GCU34" s="545"/>
      <c r="GCV34" s="545"/>
      <c r="GCW34" s="545"/>
      <c r="GCX34" s="545"/>
      <c r="GCY34" s="545"/>
      <c r="GCZ34" s="545"/>
      <c r="GDA34" s="545"/>
      <c r="GDB34" s="545"/>
      <c r="GDC34" s="545"/>
      <c r="GDD34" s="545"/>
      <c r="GDE34" s="545"/>
      <c r="GDF34" s="545"/>
      <c r="GDG34" s="545"/>
      <c r="GDH34" s="545"/>
      <c r="GDI34" s="545"/>
      <c r="GDJ34" s="545"/>
      <c r="GDK34" s="545"/>
      <c r="GDL34" s="545"/>
      <c r="GDM34" s="545"/>
      <c r="GDN34" s="545"/>
      <c r="GDO34" s="545"/>
      <c r="GDP34" s="545"/>
      <c r="GDQ34" s="545"/>
      <c r="GDR34" s="545"/>
      <c r="GDS34" s="545"/>
      <c r="GDT34" s="545"/>
      <c r="GDU34" s="545"/>
      <c r="GDV34" s="545"/>
      <c r="GDW34" s="545"/>
      <c r="GDX34" s="545"/>
      <c r="GDY34" s="545"/>
      <c r="GDZ34" s="545"/>
      <c r="GEA34" s="545"/>
      <c r="GEB34" s="545"/>
      <c r="GEC34" s="545"/>
      <c r="GED34" s="545"/>
      <c r="GEE34" s="545"/>
      <c r="GEF34" s="545"/>
      <c r="GEG34" s="545"/>
      <c r="GEH34" s="545"/>
      <c r="GEI34" s="545"/>
      <c r="GEJ34" s="545"/>
      <c r="GEK34" s="545"/>
      <c r="GEL34" s="545"/>
      <c r="GEM34" s="545"/>
      <c r="GEN34" s="545"/>
      <c r="GEO34" s="545"/>
      <c r="GEP34" s="545"/>
      <c r="GEQ34" s="545"/>
      <c r="GER34" s="545"/>
      <c r="GES34" s="545"/>
      <c r="GET34" s="545"/>
      <c r="GEU34" s="545"/>
      <c r="GEV34" s="545"/>
      <c r="GEW34" s="545"/>
      <c r="GEX34" s="545"/>
      <c r="GEY34" s="545"/>
      <c r="GEZ34" s="545"/>
      <c r="GFA34" s="545"/>
      <c r="GFB34" s="545"/>
      <c r="GFC34" s="545"/>
      <c r="GFD34" s="545"/>
      <c r="GFE34" s="545"/>
      <c r="GFF34" s="545"/>
      <c r="GFG34" s="545"/>
      <c r="GFH34" s="545"/>
      <c r="GFI34" s="545"/>
      <c r="GFJ34" s="545"/>
      <c r="GFK34" s="545"/>
      <c r="GFL34" s="545"/>
      <c r="GFM34" s="545"/>
      <c r="GFN34" s="545"/>
      <c r="GFO34" s="545"/>
      <c r="GFP34" s="545"/>
      <c r="GFQ34" s="545"/>
      <c r="GFR34" s="545"/>
      <c r="GFS34" s="545"/>
      <c r="GFT34" s="545"/>
      <c r="GFU34" s="545"/>
      <c r="GFV34" s="545"/>
      <c r="GFW34" s="545"/>
      <c r="GFX34" s="545"/>
      <c r="GFY34" s="545"/>
      <c r="GFZ34" s="545"/>
      <c r="GGA34" s="545"/>
      <c r="GGB34" s="545"/>
      <c r="GGC34" s="545"/>
      <c r="GGD34" s="545"/>
      <c r="GGE34" s="545"/>
      <c r="GGF34" s="545"/>
      <c r="GGG34" s="545"/>
      <c r="GGH34" s="545"/>
      <c r="GGI34" s="545"/>
      <c r="GGJ34" s="545"/>
      <c r="GGK34" s="545"/>
      <c r="GGL34" s="545"/>
      <c r="GGM34" s="545"/>
      <c r="GGN34" s="545"/>
      <c r="GGO34" s="545"/>
      <c r="GGP34" s="545"/>
      <c r="GGQ34" s="545"/>
      <c r="GGR34" s="545"/>
      <c r="GGS34" s="545"/>
      <c r="GGT34" s="545"/>
      <c r="GGU34" s="545"/>
      <c r="GGV34" s="545"/>
      <c r="GGW34" s="545"/>
      <c r="GGX34" s="545"/>
      <c r="GGY34" s="545"/>
      <c r="GGZ34" s="545"/>
      <c r="GHA34" s="545"/>
      <c r="GHB34" s="545"/>
      <c r="GHC34" s="545"/>
      <c r="GHD34" s="545"/>
      <c r="GHE34" s="545"/>
      <c r="GHF34" s="545"/>
      <c r="GHG34" s="545"/>
      <c r="GHH34" s="545"/>
      <c r="GHI34" s="545"/>
      <c r="GHJ34" s="545"/>
      <c r="GHK34" s="545"/>
      <c r="GHL34" s="545"/>
      <c r="GHM34" s="545"/>
      <c r="GHN34" s="545"/>
      <c r="GHO34" s="545"/>
      <c r="GHP34" s="545"/>
      <c r="GHQ34" s="545"/>
      <c r="GHR34" s="545"/>
      <c r="GHS34" s="545"/>
      <c r="GHT34" s="545"/>
      <c r="GHU34" s="545"/>
      <c r="GHV34" s="545"/>
      <c r="GHW34" s="545"/>
      <c r="GHX34" s="545"/>
      <c r="GHY34" s="545"/>
      <c r="GHZ34" s="545"/>
      <c r="GIA34" s="545"/>
      <c r="GIB34" s="545"/>
      <c r="GIC34" s="545"/>
      <c r="GID34" s="545"/>
      <c r="GIE34" s="545"/>
      <c r="GIF34" s="545"/>
      <c r="GIG34" s="545"/>
      <c r="GIH34" s="545"/>
      <c r="GII34" s="545"/>
      <c r="GIJ34" s="545"/>
      <c r="GIK34" s="545"/>
      <c r="GIL34" s="545"/>
      <c r="GIM34" s="545"/>
      <c r="GIN34" s="545"/>
      <c r="GIO34" s="545"/>
      <c r="GIP34" s="545"/>
      <c r="GIQ34" s="545"/>
      <c r="GIR34" s="545"/>
      <c r="GIS34" s="545"/>
      <c r="GIT34" s="545"/>
      <c r="GIU34" s="545"/>
      <c r="GIV34" s="545"/>
      <c r="GIW34" s="545"/>
      <c r="GIX34" s="545"/>
      <c r="GIY34" s="545"/>
      <c r="GIZ34" s="545"/>
      <c r="GJA34" s="545"/>
      <c r="GJB34" s="545"/>
      <c r="GJC34" s="545"/>
      <c r="GJD34" s="545"/>
      <c r="GJE34" s="545"/>
      <c r="GJF34" s="545"/>
      <c r="GJG34" s="545"/>
      <c r="GJH34" s="545"/>
      <c r="GJI34" s="545"/>
      <c r="GJJ34" s="545"/>
      <c r="GJK34" s="545"/>
      <c r="GJL34" s="545"/>
      <c r="GJM34" s="545"/>
      <c r="GJN34" s="545"/>
      <c r="GJO34" s="545"/>
      <c r="GJP34" s="545"/>
      <c r="GJQ34" s="545"/>
      <c r="GJR34" s="545"/>
      <c r="GJS34" s="545"/>
      <c r="GJT34" s="545"/>
      <c r="GJU34" s="545"/>
      <c r="GJV34" s="545"/>
      <c r="GJW34" s="545"/>
      <c r="GJX34" s="545"/>
      <c r="GJY34" s="545"/>
      <c r="GJZ34" s="545"/>
      <c r="GKA34" s="545"/>
      <c r="GKB34" s="545"/>
      <c r="GKC34" s="545"/>
      <c r="GKD34" s="545"/>
      <c r="GKE34" s="545"/>
      <c r="GKF34" s="545"/>
      <c r="GKG34" s="545"/>
      <c r="GKH34" s="545"/>
      <c r="GKI34" s="545"/>
      <c r="GKJ34" s="545"/>
      <c r="GKK34" s="545"/>
      <c r="GKL34" s="545"/>
      <c r="GKM34" s="545"/>
      <c r="GKN34" s="545"/>
      <c r="GKO34" s="545"/>
      <c r="GKP34" s="545"/>
      <c r="GKQ34" s="545"/>
      <c r="GKR34" s="545"/>
      <c r="GKS34" s="545"/>
      <c r="GKT34" s="545"/>
      <c r="GKU34" s="545"/>
      <c r="GKV34" s="545"/>
      <c r="GKW34" s="545"/>
      <c r="GKX34" s="545"/>
      <c r="GKY34" s="545"/>
      <c r="GKZ34" s="545"/>
      <c r="GLA34" s="545"/>
      <c r="GLB34" s="545"/>
      <c r="GLC34" s="545"/>
      <c r="GLD34" s="545"/>
      <c r="GLE34" s="545"/>
      <c r="GLF34" s="545"/>
      <c r="GLG34" s="545"/>
      <c r="GLH34" s="545"/>
      <c r="GLI34" s="545"/>
      <c r="GLJ34" s="545"/>
      <c r="GLK34" s="545"/>
      <c r="GLL34" s="545"/>
      <c r="GLM34" s="545"/>
      <c r="GLN34" s="545"/>
      <c r="GLO34" s="545"/>
      <c r="GLP34" s="545"/>
      <c r="GLQ34" s="545"/>
      <c r="GLR34" s="545"/>
      <c r="GLS34" s="545"/>
      <c r="GLT34" s="545"/>
      <c r="GLU34" s="545"/>
      <c r="GLV34" s="545"/>
      <c r="GLW34" s="545"/>
      <c r="GLX34" s="545"/>
      <c r="GLY34" s="545"/>
      <c r="GLZ34" s="545"/>
      <c r="GMA34" s="545"/>
      <c r="GMB34" s="545"/>
      <c r="GMC34" s="545"/>
      <c r="GMD34" s="545"/>
      <c r="GME34" s="545"/>
      <c r="GMF34" s="545"/>
      <c r="GMG34" s="545"/>
      <c r="GMH34" s="545"/>
      <c r="GMI34" s="545"/>
      <c r="GMJ34" s="545"/>
      <c r="GMK34" s="545"/>
      <c r="GML34" s="545"/>
      <c r="GMM34" s="545"/>
      <c r="GMN34" s="545"/>
      <c r="GMO34" s="545"/>
      <c r="GMP34" s="545"/>
      <c r="GMQ34" s="545"/>
      <c r="GMR34" s="545"/>
      <c r="GMS34" s="545"/>
      <c r="GMT34" s="545"/>
      <c r="GMU34" s="545"/>
      <c r="GMV34" s="545"/>
      <c r="GMW34" s="545"/>
      <c r="GMX34" s="545"/>
      <c r="GMY34" s="545"/>
      <c r="GMZ34" s="545"/>
      <c r="GNA34" s="545"/>
      <c r="GNB34" s="545"/>
      <c r="GNC34" s="545"/>
      <c r="GND34" s="545"/>
      <c r="GNE34" s="545"/>
      <c r="GNF34" s="545"/>
      <c r="GNG34" s="545"/>
      <c r="GNH34" s="545"/>
      <c r="GNI34" s="545"/>
      <c r="GNJ34" s="545"/>
      <c r="GNK34" s="545"/>
      <c r="GNL34" s="545"/>
      <c r="GNM34" s="545"/>
      <c r="GNN34" s="545"/>
      <c r="GNO34" s="545"/>
      <c r="GNP34" s="545"/>
      <c r="GNQ34" s="545"/>
      <c r="GNR34" s="545"/>
      <c r="GNS34" s="545"/>
      <c r="GNT34" s="545"/>
      <c r="GNU34" s="545"/>
      <c r="GNV34" s="545"/>
      <c r="GNW34" s="545"/>
      <c r="GNX34" s="545"/>
      <c r="GNY34" s="545"/>
      <c r="GNZ34" s="545"/>
      <c r="GOA34" s="545"/>
      <c r="GOB34" s="545"/>
      <c r="GOC34" s="545"/>
      <c r="GOD34" s="545"/>
      <c r="GOE34" s="545"/>
      <c r="GOF34" s="545"/>
      <c r="GOG34" s="545"/>
      <c r="GOH34" s="545"/>
      <c r="GOI34" s="545"/>
      <c r="GOJ34" s="545"/>
      <c r="GOK34" s="545"/>
      <c r="GOL34" s="545"/>
      <c r="GOM34" s="545"/>
      <c r="GON34" s="545"/>
      <c r="GOO34" s="545"/>
      <c r="GOP34" s="545"/>
      <c r="GOQ34" s="545"/>
      <c r="GOR34" s="545"/>
      <c r="GOS34" s="545"/>
      <c r="GOT34" s="545"/>
      <c r="GOU34" s="545"/>
      <c r="GOV34" s="545"/>
      <c r="GOW34" s="545"/>
      <c r="GOX34" s="545"/>
      <c r="GOY34" s="545"/>
      <c r="GOZ34" s="545"/>
      <c r="GPA34" s="545"/>
      <c r="GPB34" s="545"/>
      <c r="GPC34" s="545"/>
      <c r="GPD34" s="545"/>
      <c r="GPE34" s="545"/>
      <c r="GPF34" s="545"/>
      <c r="GPG34" s="545"/>
      <c r="GPH34" s="545"/>
      <c r="GPI34" s="545"/>
      <c r="GPJ34" s="545"/>
      <c r="GPK34" s="545"/>
      <c r="GPL34" s="545"/>
      <c r="GPM34" s="545"/>
      <c r="GPN34" s="545"/>
      <c r="GPO34" s="545"/>
      <c r="GPP34" s="545"/>
      <c r="GPQ34" s="545"/>
      <c r="GPR34" s="545"/>
      <c r="GPS34" s="545"/>
      <c r="GPT34" s="545"/>
      <c r="GPU34" s="545"/>
      <c r="GPV34" s="545"/>
      <c r="GPW34" s="545"/>
      <c r="GPX34" s="545"/>
      <c r="GPY34" s="545"/>
      <c r="GPZ34" s="545"/>
      <c r="GQA34" s="545"/>
      <c r="GQB34" s="545"/>
      <c r="GQC34" s="545"/>
      <c r="GQD34" s="545"/>
      <c r="GQE34" s="545"/>
      <c r="GQF34" s="545"/>
      <c r="GQG34" s="545"/>
      <c r="GQH34" s="545"/>
      <c r="GQI34" s="545"/>
      <c r="GQJ34" s="545"/>
      <c r="GQK34" s="545"/>
      <c r="GQL34" s="545"/>
      <c r="GQM34" s="545"/>
      <c r="GQN34" s="545"/>
      <c r="GQO34" s="545"/>
      <c r="GQP34" s="545"/>
      <c r="GQQ34" s="545"/>
      <c r="GQR34" s="545"/>
      <c r="GQS34" s="545"/>
      <c r="GQT34" s="545"/>
      <c r="GQU34" s="545"/>
      <c r="GQV34" s="545"/>
      <c r="GQW34" s="545"/>
      <c r="GQX34" s="545"/>
      <c r="GQY34" s="545"/>
      <c r="GQZ34" s="545"/>
      <c r="GRA34" s="545"/>
      <c r="GRB34" s="545"/>
      <c r="GRC34" s="545"/>
      <c r="GRD34" s="545"/>
      <c r="GRE34" s="545"/>
      <c r="GRF34" s="545"/>
      <c r="GRG34" s="545"/>
      <c r="GRH34" s="545"/>
      <c r="GRI34" s="545"/>
      <c r="GRJ34" s="545"/>
      <c r="GRK34" s="545"/>
      <c r="GRL34" s="545"/>
      <c r="GRM34" s="545"/>
      <c r="GRN34" s="545"/>
      <c r="GRO34" s="545"/>
      <c r="GRP34" s="545"/>
      <c r="GRQ34" s="545"/>
      <c r="GRR34" s="545"/>
      <c r="GRS34" s="545"/>
      <c r="GRT34" s="545"/>
      <c r="GRU34" s="545"/>
      <c r="GRV34" s="545"/>
      <c r="GRW34" s="545"/>
      <c r="GRX34" s="545"/>
      <c r="GRY34" s="545"/>
      <c r="GRZ34" s="545"/>
      <c r="GSA34" s="545"/>
      <c r="GSB34" s="545"/>
      <c r="GSC34" s="545"/>
      <c r="GSD34" s="545"/>
      <c r="GSE34" s="545"/>
      <c r="GSF34" s="545"/>
      <c r="GSG34" s="545"/>
      <c r="GSH34" s="545"/>
      <c r="GSI34" s="545"/>
      <c r="GSJ34" s="545"/>
      <c r="GSK34" s="545"/>
      <c r="GSL34" s="545"/>
      <c r="GSM34" s="545"/>
      <c r="GSN34" s="545"/>
      <c r="GSO34" s="545"/>
      <c r="GSP34" s="545"/>
      <c r="GSQ34" s="545"/>
      <c r="GSR34" s="545"/>
      <c r="GSS34" s="545"/>
      <c r="GST34" s="545"/>
      <c r="GSU34" s="545"/>
      <c r="GSV34" s="545"/>
      <c r="GSW34" s="545"/>
      <c r="GSX34" s="545"/>
      <c r="GSY34" s="545"/>
      <c r="GSZ34" s="545"/>
      <c r="GTA34" s="545"/>
      <c r="GTB34" s="545"/>
      <c r="GTC34" s="545"/>
      <c r="GTD34" s="545"/>
      <c r="GTE34" s="545"/>
      <c r="GTF34" s="545"/>
      <c r="GTG34" s="545"/>
      <c r="GTH34" s="545"/>
      <c r="GTI34" s="545"/>
      <c r="GTJ34" s="545"/>
      <c r="GTK34" s="545"/>
      <c r="GTL34" s="545"/>
      <c r="GTM34" s="545"/>
      <c r="GTN34" s="545"/>
      <c r="GTO34" s="545"/>
      <c r="GTP34" s="545"/>
      <c r="GTQ34" s="545"/>
      <c r="GTR34" s="545"/>
      <c r="GTS34" s="545"/>
      <c r="GTT34" s="545"/>
      <c r="GTU34" s="545"/>
      <c r="GTV34" s="545"/>
      <c r="GTW34" s="545"/>
      <c r="GTX34" s="545"/>
      <c r="GTY34" s="545"/>
      <c r="GTZ34" s="545"/>
      <c r="GUA34" s="545"/>
      <c r="GUB34" s="545"/>
      <c r="GUC34" s="545"/>
      <c r="GUD34" s="545"/>
      <c r="GUE34" s="545"/>
      <c r="GUF34" s="545"/>
      <c r="GUG34" s="545"/>
      <c r="GUH34" s="545"/>
      <c r="GUI34" s="545"/>
      <c r="GUJ34" s="545"/>
      <c r="GUK34" s="545"/>
      <c r="GUL34" s="545"/>
      <c r="GUM34" s="545"/>
      <c r="GUN34" s="545"/>
      <c r="GUO34" s="545"/>
      <c r="GUP34" s="545"/>
      <c r="GUQ34" s="545"/>
      <c r="GUR34" s="545"/>
      <c r="GUS34" s="545"/>
      <c r="GUT34" s="545"/>
      <c r="GUU34" s="545"/>
      <c r="GUV34" s="545"/>
      <c r="GUW34" s="545"/>
      <c r="GUX34" s="545"/>
      <c r="GUY34" s="545"/>
      <c r="GUZ34" s="545"/>
      <c r="GVA34" s="545"/>
      <c r="GVB34" s="545"/>
      <c r="GVC34" s="545"/>
      <c r="GVD34" s="545"/>
      <c r="GVE34" s="545"/>
      <c r="GVF34" s="545"/>
      <c r="GVG34" s="545"/>
      <c r="GVH34" s="545"/>
      <c r="GVI34" s="545"/>
      <c r="GVJ34" s="545"/>
      <c r="GVK34" s="545"/>
      <c r="GVL34" s="545"/>
      <c r="GVM34" s="545"/>
      <c r="GVN34" s="545"/>
      <c r="GVO34" s="545"/>
      <c r="GVP34" s="545"/>
      <c r="GVQ34" s="545"/>
      <c r="GVR34" s="545"/>
      <c r="GVS34" s="545"/>
      <c r="GVT34" s="545"/>
      <c r="GVU34" s="545"/>
      <c r="GVV34" s="545"/>
      <c r="GVW34" s="545"/>
      <c r="GVX34" s="545"/>
      <c r="GVY34" s="545"/>
      <c r="GVZ34" s="545"/>
      <c r="GWA34" s="545"/>
      <c r="GWB34" s="545"/>
      <c r="GWC34" s="545"/>
      <c r="GWD34" s="545"/>
      <c r="GWE34" s="545"/>
      <c r="GWF34" s="545"/>
      <c r="GWG34" s="545"/>
      <c r="GWH34" s="545"/>
      <c r="GWI34" s="545"/>
      <c r="GWJ34" s="545"/>
      <c r="GWK34" s="545"/>
      <c r="GWL34" s="545"/>
      <c r="GWM34" s="545"/>
      <c r="GWN34" s="545"/>
      <c r="GWO34" s="545"/>
      <c r="GWP34" s="545"/>
      <c r="GWQ34" s="545"/>
      <c r="GWR34" s="545"/>
      <c r="GWS34" s="545"/>
      <c r="GWT34" s="545"/>
      <c r="GWU34" s="545"/>
      <c r="GWV34" s="545"/>
      <c r="GWW34" s="545"/>
      <c r="GWX34" s="545"/>
      <c r="GWY34" s="545"/>
      <c r="GWZ34" s="545"/>
      <c r="GXA34" s="545"/>
      <c r="GXB34" s="545"/>
      <c r="GXC34" s="545"/>
      <c r="GXD34" s="545"/>
      <c r="GXE34" s="545"/>
      <c r="GXF34" s="545"/>
      <c r="GXG34" s="545"/>
      <c r="GXH34" s="545"/>
      <c r="GXI34" s="545"/>
      <c r="GXJ34" s="545"/>
      <c r="GXK34" s="545"/>
      <c r="GXL34" s="545"/>
      <c r="GXM34" s="545"/>
      <c r="GXN34" s="545"/>
      <c r="GXO34" s="545"/>
      <c r="GXP34" s="545"/>
      <c r="GXQ34" s="545"/>
      <c r="GXR34" s="545"/>
      <c r="GXS34" s="545"/>
      <c r="GXT34" s="545"/>
      <c r="GXU34" s="545"/>
      <c r="GXV34" s="545"/>
      <c r="GXW34" s="545"/>
      <c r="GXX34" s="545"/>
      <c r="GXY34" s="545"/>
      <c r="GXZ34" s="545"/>
      <c r="GYA34" s="545"/>
      <c r="GYB34" s="545"/>
      <c r="GYC34" s="545"/>
      <c r="GYD34" s="545"/>
      <c r="GYE34" s="545"/>
      <c r="GYF34" s="545"/>
      <c r="GYG34" s="545"/>
      <c r="GYH34" s="545"/>
      <c r="GYI34" s="545"/>
      <c r="GYJ34" s="545"/>
      <c r="GYK34" s="545"/>
      <c r="GYL34" s="545"/>
      <c r="GYM34" s="545"/>
      <c r="GYN34" s="545"/>
      <c r="GYO34" s="545"/>
      <c r="GYP34" s="545"/>
      <c r="GYQ34" s="545"/>
      <c r="GYR34" s="545"/>
      <c r="GYS34" s="545"/>
      <c r="GYT34" s="545"/>
      <c r="GYU34" s="545"/>
      <c r="GYV34" s="545"/>
      <c r="GYW34" s="545"/>
      <c r="GYX34" s="545"/>
      <c r="GYY34" s="545"/>
      <c r="GYZ34" s="545"/>
      <c r="GZA34" s="545"/>
      <c r="GZB34" s="545"/>
      <c r="GZC34" s="545"/>
      <c r="GZD34" s="545"/>
      <c r="GZE34" s="545"/>
      <c r="GZF34" s="545"/>
      <c r="GZG34" s="545"/>
      <c r="GZH34" s="545"/>
      <c r="GZI34" s="545"/>
      <c r="GZJ34" s="545"/>
      <c r="GZK34" s="545"/>
      <c r="GZL34" s="545"/>
      <c r="GZM34" s="545"/>
      <c r="GZN34" s="545"/>
      <c r="GZO34" s="545"/>
      <c r="GZP34" s="545"/>
      <c r="GZQ34" s="545"/>
      <c r="GZR34" s="545"/>
      <c r="GZS34" s="545"/>
      <c r="GZT34" s="545"/>
      <c r="GZU34" s="545"/>
      <c r="GZV34" s="545"/>
      <c r="GZW34" s="545"/>
      <c r="GZX34" s="545"/>
      <c r="GZY34" s="545"/>
      <c r="GZZ34" s="545"/>
      <c r="HAA34" s="545"/>
      <c r="HAB34" s="545"/>
      <c r="HAC34" s="545"/>
      <c r="HAD34" s="545"/>
      <c r="HAE34" s="545"/>
      <c r="HAF34" s="545"/>
      <c r="HAG34" s="545"/>
      <c r="HAH34" s="545"/>
      <c r="HAI34" s="545"/>
      <c r="HAJ34" s="545"/>
      <c r="HAK34" s="545"/>
      <c r="HAL34" s="545"/>
      <c r="HAM34" s="545"/>
      <c r="HAN34" s="545"/>
      <c r="HAO34" s="545"/>
      <c r="HAP34" s="545"/>
      <c r="HAQ34" s="545"/>
      <c r="HAR34" s="545"/>
      <c r="HAS34" s="545"/>
      <c r="HAT34" s="545"/>
      <c r="HAU34" s="545"/>
      <c r="HAV34" s="545"/>
      <c r="HAW34" s="545"/>
      <c r="HAX34" s="545"/>
      <c r="HAY34" s="545"/>
      <c r="HAZ34" s="545"/>
      <c r="HBA34" s="545"/>
      <c r="HBB34" s="545"/>
      <c r="HBC34" s="545"/>
      <c r="HBD34" s="545"/>
      <c r="HBE34" s="545"/>
      <c r="HBF34" s="545"/>
      <c r="HBG34" s="545"/>
      <c r="HBH34" s="545"/>
      <c r="HBI34" s="545"/>
      <c r="HBJ34" s="545"/>
      <c r="HBK34" s="545"/>
      <c r="HBL34" s="545"/>
      <c r="HBM34" s="545"/>
      <c r="HBN34" s="545"/>
      <c r="HBO34" s="545"/>
      <c r="HBP34" s="545"/>
      <c r="HBQ34" s="545"/>
      <c r="HBR34" s="545"/>
      <c r="HBS34" s="545"/>
      <c r="HBT34" s="545"/>
      <c r="HBU34" s="545"/>
      <c r="HBV34" s="545"/>
      <c r="HBW34" s="545"/>
      <c r="HBX34" s="545"/>
      <c r="HBY34" s="545"/>
      <c r="HBZ34" s="545"/>
      <c r="HCA34" s="545"/>
      <c r="HCB34" s="545"/>
      <c r="HCC34" s="545"/>
      <c r="HCD34" s="545"/>
      <c r="HCE34" s="545"/>
      <c r="HCF34" s="545"/>
      <c r="HCG34" s="545"/>
      <c r="HCH34" s="545"/>
      <c r="HCI34" s="545"/>
      <c r="HCJ34" s="545"/>
      <c r="HCK34" s="545"/>
      <c r="HCL34" s="545"/>
      <c r="HCM34" s="545"/>
      <c r="HCN34" s="545"/>
      <c r="HCO34" s="545"/>
      <c r="HCP34" s="545"/>
      <c r="HCQ34" s="545"/>
      <c r="HCR34" s="545"/>
      <c r="HCS34" s="545"/>
      <c r="HCT34" s="545"/>
      <c r="HCU34" s="545"/>
      <c r="HCV34" s="545"/>
      <c r="HCW34" s="545"/>
      <c r="HCX34" s="545"/>
      <c r="HCY34" s="545"/>
      <c r="HCZ34" s="545"/>
      <c r="HDA34" s="545"/>
      <c r="HDB34" s="545"/>
      <c r="HDC34" s="545"/>
      <c r="HDD34" s="545"/>
      <c r="HDE34" s="545"/>
      <c r="HDF34" s="545"/>
      <c r="HDG34" s="545"/>
      <c r="HDH34" s="545"/>
      <c r="HDI34" s="545"/>
      <c r="HDJ34" s="545"/>
      <c r="HDK34" s="545"/>
      <c r="HDL34" s="545"/>
      <c r="HDM34" s="545"/>
      <c r="HDN34" s="545"/>
      <c r="HDO34" s="545"/>
      <c r="HDP34" s="545"/>
      <c r="HDQ34" s="545"/>
      <c r="HDR34" s="545"/>
      <c r="HDS34" s="545"/>
      <c r="HDT34" s="545"/>
      <c r="HDU34" s="545"/>
      <c r="HDV34" s="545"/>
      <c r="HDW34" s="545"/>
      <c r="HDX34" s="545"/>
      <c r="HDY34" s="545"/>
      <c r="HDZ34" s="545"/>
      <c r="HEA34" s="545"/>
      <c r="HEB34" s="545"/>
      <c r="HEC34" s="545"/>
      <c r="HED34" s="545"/>
      <c r="HEE34" s="545"/>
      <c r="HEF34" s="545"/>
      <c r="HEG34" s="545"/>
      <c r="HEH34" s="545"/>
      <c r="HEI34" s="545"/>
      <c r="HEJ34" s="545"/>
      <c r="HEK34" s="545"/>
      <c r="HEL34" s="545"/>
      <c r="HEM34" s="545"/>
      <c r="HEN34" s="545"/>
      <c r="HEO34" s="545"/>
      <c r="HEP34" s="545"/>
      <c r="HEQ34" s="545"/>
      <c r="HER34" s="545"/>
      <c r="HES34" s="545"/>
      <c r="HET34" s="545"/>
      <c r="HEU34" s="545"/>
      <c r="HEV34" s="545"/>
      <c r="HEW34" s="545"/>
      <c r="HEX34" s="545"/>
      <c r="HEY34" s="545"/>
      <c r="HEZ34" s="545"/>
      <c r="HFA34" s="545"/>
      <c r="HFB34" s="545"/>
      <c r="HFC34" s="545"/>
      <c r="HFD34" s="545"/>
      <c r="HFE34" s="545"/>
      <c r="HFF34" s="545"/>
      <c r="HFG34" s="545"/>
      <c r="HFH34" s="545"/>
      <c r="HFI34" s="545"/>
      <c r="HFJ34" s="545"/>
      <c r="HFK34" s="545"/>
      <c r="HFL34" s="545"/>
      <c r="HFM34" s="545"/>
      <c r="HFN34" s="545"/>
      <c r="HFO34" s="545"/>
      <c r="HFP34" s="545"/>
      <c r="HFQ34" s="545"/>
      <c r="HFR34" s="545"/>
      <c r="HFS34" s="545"/>
      <c r="HFT34" s="545"/>
      <c r="HFU34" s="545"/>
      <c r="HFV34" s="545"/>
      <c r="HFW34" s="545"/>
      <c r="HFX34" s="545"/>
      <c r="HFY34" s="545"/>
      <c r="HFZ34" s="545"/>
      <c r="HGA34" s="545"/>
      <c r="HGB34" s="545"/>
      <c r="HGC34" s="545"/>
      <c r="HGD34" s="545"/>
      <c r="HGE34" s="545"/>
      <c r="HGF34" s="545"/>
      <c r="HGG34" s="545"/>
      <c r="HGH34" s="545"/>
      <c r="HGI34" s="545"/>
      <c r="HGJ34" s="545"/>
      <c r="HGK34" s="545"/>
      <c r="HGL34" s="545"/>
      <c r="HGM34" s="545"/>
      <c r="HGN34" s="545"/>
      <c r="HGO34" s="545"/>
      <c r="HGP34" s="545"/>
      <c r="HGQ34" s="545"/>
      <c r="HGR34" s="545"/>
      <c r="HGS34" s="545"/>
      <c r="HGT34" s="545"/>
      <c r="HGU34" s="545"/>
      <c r="HGV34" s="545"/>
      <c r="HGW34" s="545"/>
      <c r="HGX34" s="545"/>
      <c r="HGY34" s="545"/>
      <c r="HGZ34" s="545"/>
      <c r="HHA34" s="545"/>
      <c r="HHB34" s="545"/>
      <c r="HHC34" s="545"/>
      <c r="HHD34" s="545"/>
      <c r="HHE34" s="545"/>
      <c r="HHF34" s="545"/>
      <c r="HHG34" s="545"/>
      <c r="HHH34" s="545"/>
      <c r="HHI34" s="545"/>
      <c r="HHJ34" s="545"/>
      <c r="HHK34" s="545"/>
      <c r="HHL34" s="545"/>
      <c r="HHM34" s="545"/>
      <c r="HHN34" s="545"/>
      <c r="HHO34" s="545"/>
      <c r="HHP34" s="545"/>
      <c r="HHQ34" s="545"/>
      <c r="HHR34" s="545"/>
      <c r="HHS34" s="545"/>
      <c r="HHT34" s="545"/>
      <c r="HHU34" s="545"/>
      <c r="HHV34" s="545"/>
      <c r="HHW34" s="545"/>
      <c r="HHX34" s="545"/>
      <c r="HHY34" s="545"/>
      <c r="HHZ34" s="545"/>
      <c r="HIA34" s="545"/>
      <c r="HIB34" s="545"/>
      <c r="HIC34" s="545"/>
      <c r="HID34" s="545"/>
      <c r="HIE34" s="545"/>
      <c r="HIF34" s="545"/>
      <c r="HIG34" s="545"/>
      <c r="HIH34" s="545"/>
      <c r="HII34" s="545"/>
      <c r="HIJ34" s="545"/>
      <c r="HIK34" s="545"/>
      <c r="HIL34" s="545"/>
      <c r="HIM34" s="545"/>
      <c r="HIN34" s="545"/>
      <c r="HIO34" s="545"/>
      <c r="HIP34" s="545"/>
      <c r="HIQ34" s="545"/>
      <c r="HIR34" s="545"/>
      <c r="HIS34" s="545"/>
      <c r="HIT34" s="545"/>
      <c r="HIU34" s="545"/>
      <c r="HIV34" s="545"/>
      <c r="HIW34" s="545"/>
      <c r="HIX34" s="545"/>
      <c r="HIY34" s="545"/>
      <c r="HIZ34" s="545"/>
      <c r="HJA34" s="545"/>
      <c r="HJB34" s="545"/>
      <c r="HJC34" s="545"/>
      <c r="HJD34" s="545"/>
      <c r="HJE34" s="545"/>
      <c r="HJF34" s="545"/>
      <c r="HJG34" s="545"/>
      <c r="HJH34" s="545"/>
      <c r="HJI34" s="545"/>
      <c r="HJJ34" s="545"/>
      <c r="HJK34" s="545"/>
      <c r="HJL34" s="545"/>
      <c r="HJM34" s="545"/>
      <c r="HJN34" s="545"/>
      <c r="HJO34" s="545"/>
      <c r="HJP34" s="545"/>
      <c r="HJQ34" s="545"/>
      <c r="HJR34" s="545"/>
      <c r="HJS34" s="545"/>
      <c r="HJT34" s="545"/>
      <c r="HJU34" s="545"/>
      <c r="HJV34" s="545"/>
      <c r="HJW34" s="545"/>
      <c r="HJX34" s="545"/>
      <c r="HJY34" s="545"/>
      <c r="HJZ34" s="545"/>
      <c r="HKA34" s="545"/>
      <c r="HKB34" s="545"/>
      <c r="HKC34" s="545"/>
      <c r="HKD34" s="545"/>
      <c r="HKE34" s="545"/>
      <c r="HKF34" s="545"/>
      <c r="HKG34" s="545"/>
      <c r="HKH34" s="545"/>
      <c r="HKI34" s="545"/>
      <c r="HKJ34" s="545"/>
      <c r="HKK34" s="545"/>
      <c r="HKL34" s="545"/>
      <c r="HKM34" s="545"/>
      <c r="HKN34" s="545"/>
      <c r="HKO34" s="545"/>
      <c r="HKP34" s="545"/>
      <c r="HKQ34" s="545"/>
      <c r="HKR34" s="545"/>
      <c r="HKS34" s="545"/>
      <c r="HKT34" s="545"/>
      <c r="HKU34" s="545"/>
      <c r="HKV34" s="545"/>
      <c r="HKW34" s="545"/>
      <c r="HKX34" s="545"/>
      <c r="HKY34" s="545"/>
      <c r="HKZ34" s="545"/>
      <c r="HLA34" s="545"/>
      <c r="HLB34" s="545"/>
      <c r="HLC34" s="545"/>
      <c r="HLD34" s="545"/>
      <c r="HLE34" s="545"/>
      <c r="HLF34" s="545"/>
      <c r="HLG34" s="545"/>
      <c r="HLH34" s="545"/>
      <c r="HLI34" s="545"/>
      <c r="HLJ34" s="545"/>
      <c r="HLK34" s="545"/>
      <c r="HLL34" s="545"/>
      <c r="HLM34" s="545"/>
      <c r="HLN34" s="545"/>
      <c r="HLO34" s="545"/>
      <c r="HLP34" s="545"/>
      <c r="HLQ34" s="545"/>
      <c r="HLR34" s="545"/>
      <c r="HLS34" s="545"/>
      <c r="HLT34" s="545"/>
      <c r="HLU34" s="545"/>
      <c r="HLV34" s="545"/>
      <c r="HLW34" s="545"/>
      <c r="HLX34" s="545"/>
      <c r="HLY34" s="545"/>
      <c r="HLZ34" s="545"/>
      <c r="HMA34" s="545"/>
      <c r="HMB34" s="545"/>
      <c r="HMC34" s="545"/>
      <c r="HMD34" s="545"/>
      <c r="HME34" s="545"/>
      <c r="HMF34" s="545"/>
      <c r="HMG34" s="545"/>
      <c r="HMH34" s="545"/>
      <c r="HMI34" s="545"/>
      <c r="HMJ34" s="545"/>
      <c r="HMK34" s="545"/>
      <c r="HML34" s="545"/>
      <c r="HMM34" s="545"/>
      <c r="HMN34" s="545"/>
      <c r="HMO34" s="545"/>
      <c r="HMP34" s="545"/>
      <c r="HMQ34" s="545"/>
      <c r="HMR34" s="545"/>
      <c r="HMS34" s="545"/>
      <c r="HMT34" s="545"/>
      <c r="HMU34" s="545"/>
      <c r="HMV34" s="545"/>
      <c r="HMW34" s="545"/>
      <c r="HMX34" s="545"/>
      <c r="HMY34" s="545"/>
      <c r="HMZ34" s="545"/>
      <c r="HNA34" s="545"/>
      <c r="HNB34" s="545"/>
      <c r="HNC34" s="545"/>
      <c r="HND34" s="545"/>
      <c r="HNE34" s="545"/>
      <c r="HNF34" s="545"/>
      <c r="HNG34" s="545"/>
      <c r="HNH34" s="545"/>
      <c r="HNI34" s="545"/>
      <c r="HNJ34" s="545"/>
      <c r="HNK34" s="545"/>
      <c r="HNL34" s="545"/>
      <c r="HNM34" s="545"/>
      <c r="HNN34" s="545"/>
      <c r="HNO34" s="545"/>
      <c r="HNP34" s="545"/>
      <c r="HNQ34" s="545"/>
      <c r="HNR34" s="545"/>
      <c r="HNS34" s="545"/>
      <c r="HNT34" s="545"/>
      <c r="HNU34" s="545"/>
      <c r="HNV34" s="545"/>
      <c r="HNW34" s="545"/>
      <c r="HNX34" s="545"/>
      <c r="HNY34" s="545"/>
      <c r="HNZ34" s="545"/>
      <c r="HOA34" s="545"/>
      <c r="HOB34" s="545"/>
      <c r="HOC34" s="545"/>
      <c r="HOD34" s="545"/>
      <c r="HOE34" s="545"/>
      <c r="HOF34" s="545"/>
      <c r="HOG34" s="545"/>
      <c r="HOH34" s="545"/>
      <c r="HOI34" s="545"/>
      <c r="HOJ34" s="545"/>
      <c r="HOK34" s="545"/>
      <c r="HOL34" s="545"/>
      <c r="HOM34" s="545"/>
      <c r="HON34" s="545"/>
      <c r="HOO34" s="545"/>
      <c r="HOP34" s="545"/>
      <c r="HOQ34" s="545"/>
      <c r="HOR34" s="545"/>
      <c r="HOS34" s="545"/>
      <c r="HOT34" s="545"/>
      <c r="HOU34" s="545"/>
      <c r="HOV34" s="545"/>
      <c r="HOW34" s="545"/>
      <c r="HOX34" s="545"/>
      <c r="HOY34" s="545"/>
      <c r="HOZ34" s="545"/>
      <c r="HPA34" s="545"/>
      <c r="HPB34" s="545"/>
      <c r="HPC34" s="545"/>
      <c r="HPD34" s="545"/>
      <c r="HPE34" s="545"/>
      <c r="HPF34" s="545"/>
      <c r="HPG34" s="545"/>
      <c r="HPH34" s="545"/>
      <c r="HPI34" s="545"/>
      <c r="HPJ34" s="545"/>
      <c r="HPK34" s="545"/>
      <c r="HPL34" s="545"/>
      <c r="HPM34" s="545"/>
      <c r="HPN34" s="545"/>
      <c r="HPO34" s="545"/>
      <c r="HPP34" s="545"/>
      <c r="HPQ34" s="545"/>
      <c r="HPR34" s="545"/>
      <c r="HPS34" s="545"/>
      <c r="HPT34" s="545"/>
      <c r="HPU34" s="545"/>
      <c r="HPV34" s="545"/>
      <c r="HPW34" s="545"/>
      <c r="HPX34" s="545"/>
      <c r="HPY34" s="545"/>
      <c r="HPZ34" s="545"/>
      <c r="HQA34" s="545"/>
      <c r="HQB34" s="545"/>
      <c r="HQC34" s="545"/>
      <c r="HQD34" s="545"/>
      <c r="HQE34" s="545"/>
      <c r="HQF34" s="545"/>
      <c r="HQG34" s="545"/>
      <c r="HQH34" s="545"/>
      <c r="HQI34" s="545"/>
      <c r="HQJ34" s="545"/>
      <c r="HQK34" s="545"/>
      <c r="HQL34" s="545"/>
      <c r="HQM34" s="545"/>
      <c r="HQN34" s="545"/>
      <c r="HQO34" s="545"/>
      <c r="HQP34" s="545"/>
      <c r="HQQ34" s="545"/>
      <c r="HQR34" s="545"/>
      <c r="HQS34" s="545"/>
      <c r="HQT34" s="545"/>
      <c r="HQU34" s="545"/>
      <c r="HQV34" s="545"/>
      <c r="HQW34" s="545"/>
      <c r="HQX34" s="545"/>
      <c r="HQY34" s="545"/>
      <c r="HQZ34" s="545"/>
      <c r="HRA34" s="545"/>
      <c r="HRB34" s="545"/>
      <c r="HRC34" s="545"/>
      <c r="HRD34" s="545"/>
      <c r="HRE34" s="545"/>
      <c r="HRF34" s="545"/>
      <c r="HRG34" s="545"/>
      <c r="HRH34" s="545"/>
      <c r="HRI34" s="545"/>
      <c r="HRJ34" s="545"/>
      <c r="HRK34" s="545"/>
      <c r="HRL34" s="545"/>
      <c r="HRM34" s="545"/>
      <c r="HRN34" s="545"/>
      <c r="HRO34" s="545"/>
      <c r="HRP34" s="545"/>
      <c r="HRQ34" s="545"/>
      <c r="HRR34" s="545"/>
      <c r="HRS34" s="545"/>
      <c r="HRT34" s="545"/>
      <c r="HRU34" s="545"/>
      <c r="HRV34" s="545"/>
      <c r="HRW34" s="545"/>
      <c r="HRX34" s="545"/>
      <c r="HRY34" s="545"/>
      <c r="HRZ34" s="545"/>
      <c r="HSA34" s="545"/>
      <c r="HSB34" s="545"/>
      <c r="HSC34" s="545"/>
      <c r="HSD34" s="545"/>
      <c r="HSE34" s="545"/>
      <c r="HSF34" s="545"/>
      <c r="HSG34" s="545"/>
      <c r="HSH34" s="545"/>
      <c r="HSI34" s="545"/>
      <c r="HSJ34" s="545"/>
      <c r="HSK34" s="545"/>
      <c r="HSL34" s="545"/>
      <c r="HSM34" s="545"/>
      <c r="HSN34" s="545"/>
      <c r="HSO34" s="545"/>
      <c r="HSP34" s="545"/>
      <c r="HSQ34" s="545"/>
      <c r="HSR34" s="545"/>
      <c r="HSS34" s="545"/>
      <c r="HST34" s="545"/>
      <c r="HSU34" s="545"/>
      <c r="HSV34" s="545"/>
      <c r="HSW34" s="545"/>
      <c r="HSX34" s="545"/>
      <c r="HSY34" s="545"/>
      <c r="HSZ34" s="545"/>
      <c r="HTA34" s="545"/>
      <c r="HTB34" s="545"/>
      <c r="HTC34" s="545"/>
      <c r="HTD34" s="545"/>
      <c r="HTE34" s="545"/>
      <c r="HTF34" s="545"/>
      <c r="HTG34" s="545"/>
      <c r="HTH34" s="545"/>
      <c r="HTI34" s="545"/>
      <c r="HTJ34" s="545"/>
      <c r="HTK34" s="545"/>
      <c r="HTL34" s="545"/>
      <c r="HTM34" s="545"/>
      <c r="HTN34" s="545"/>
      <c r="HTO34" s="545"/>
      <c r="HTP34" s="545"/>
      <c r="HTQ34" s="545"/>
      <c r="HTR34" s="545"/>
      <c r="HTS34" s="545"/>
      <c r="HTT34" s="545"/>
      <c r="HTU34" s="545"/>
      <c r="HTV34" s="545"/>
      <c r="HTW34" s="545"/>
      <c r="HTX34" s="545"/>
      <c r="HTY34" s="545"/>
      <c r="HTZ34" s="545"/>
      <c r="HUA34" s="545"/>
      <c r="HUB34" s="545"/>
      <c r="HUC34" s="545"/>
      <c r="HUD34" s="545"/>
      <c r="HUE34" s="545"/>
      <c r="HUF34" s="545"/>
      <c r="HUG34" s="545"/>
      <c r="HUH34" s="545"/>
      <c r="HUI34" s="545"/>
      <c r="HUJ34" s="545"/>
      <c r="HUK34" s="545"/>
      <c r="HUL34" s="545"/>
      <c r="HUM34" s="545"/>
      <c r="HUN34" s="545"/>
      <c r="HUO34" s="545"/>
      <c r="HUP34" s="545"/>
      <c r="HUQ34" s="545"/>
      <c r="HUR34" s="545"/>
      <c r="HUS34" s="545"/>
      <c r="HUT34" s="545"/>
      <c r="HUU34" s="545"/>
      <c r="HUV34" s="545"/>
      <c r="HUW34" s="545"/>
      <c r="HUX34" s="545"/>
      <c r="HUY34" s="545"/>
      <c r="HUZ34" s="545"/>
      <c r="HVA34" s="545"/>
      <c r="HVB34" s="545"/>
      <c r="HVC34" s="545"/>
      <c r="HVD34" s="545"/>
      <c r="HVE34" s="545"/>
      <c r="HVF34" s="545"/>
      <c r="HVG34" s="545"/>
      <c r="HVH34" s="545"/>
      <c r="HVI34" s="545"/>
      <c r="HVJ34" s="545"/>
      <c r="HVK34" s="545"/>
      <c r="HVL34" s="545"/>
      <c r="HVM34" s="545"/>
      <c r="HVN34" s="545"/>
      <c r="HVO34" s="545"/>
      <c r="HVP34" s="545"/>
      <c r="HVQ34" s="545"/>
      <c r="HVR34" s="545"/>
      <c r="HVS34" s="545"/>
      <c r="HVT34" s="545"/>
      <c r="HVU34" s="545"/>
      <c r="HVV34" s="545"/>
      <c r="HVW34" s="545"/>
      <c r="HVX34" s="545"/>
      <c r="HVY34" s="545"/>
      <c r="HVZ34" s="545"/>
      <c r="HWA34" s="545"/>
      <c r="HWB34" s="545"/>
      <c r="HWC34" s="545"/>
      <c r="HWD34" s="545"/>
      <c r="HWE34" s="545"/>
      <c r="HWF34" s="545"/>
      <c r="HWG34" s="545"/>
      <c r="HWH34" s="545"/>
      <c r="HWI34" s="545"/>
      <c r="HWJ34" s="545"/>
      <c r="HWK34" s="545"/>
      <c r="HWL34" s="545"/>
      <c r="HWM34" s="545"/>
      <c r="HWN34" s="545"/>
      <c r="HWO34" s="545"/>
      <c r="HWP34" s="545"/>
      <c r="HWQ34" s="545"/>
      <c r="HWR34" s="545"/>
      <c r="HWS34" s="545"/>
      <c r="HWT34" s="545"/>
      <c r="HWU34" s="545"/>
      <c r="HWV34" s="545"/>
      <c r="HWW34" s="545"/>
      <c r="HWX34" s="545"/>
      <c r="HWY34" s="545"/>
      <c r="HWZ34" s="545"/>
      <c r="HXA34" s="545"/>
      <c r="HXB34" s="545"/>
      <c r="HXC34" s="545"/>
      <c r="HXD34" s="545"/>
      <c r="HXE34" s="545"/>
      <c r="HXF34" s="545"/>
      <c r="HXG34" s="545"/>
      <c r="HXH34" s="545"/>
      <c r="HXI34" s="545"/>
      <c r="HXJ34" s="545"/>
      <c r="HXK34" s="545"/>
      <c r="HXL34" s="545"/>
      <c r="HXM34" s="545"/>
      <c r="HXN34" s="545"/>
      <c r="HXO34" s="545"/>
      <c r="HXP34" s="545"/>
      <c r="HXQ34" s="545"/>
      <c r="HXR34" s="545"/>
      <c r="HXS34" s="545"/>
      <c r="HXT34" s="545"/>
      <c r="HXU34" s="545"/>
      <c r="HXV34" s="545"/>
      <c r="HXW34" s="545"/>
      <c r="HXX34" s="545"/>
      <c r="HXY34" s="545"/>
      <c r="HXZ34" s="545"/>
      <c r="HYA34" s="545"/>
      <c r="HYB34" s="545"/>
      <c r="HYC34" s="545"/>
      <c r="HYD34" s="545"/>
      <c r="HYE34" s="545"/>
      <c r="HYF34" s="545"/>
      <c r="HYG34" s="545"/>
      <c r="HYH34" s="545"/>
      <c r="HYI34" s="545"/>
      <c r="HYJ34" s="545"/>
      <c r="HYK34" s="545"/>
      <c r="HYL34" s="545"/>
      <c r="HYM34" s="545"/>
      <c r="HYN34" s="545"/>
      <c r="HYO34" s="545"/>
      <c r="HYP34" s="545"/>
      <c r="HYQ34" s="545"/>
      <c r="HYR34" s="545"/>
      <c r="HYS34" s="545"/>
      <c r="HYT34" s="545"/>
      <c r="HYU34" s="545"/>
      <c r="HYV34" s="545"/>
      <c r="HYW34" s="545"/>
      <c r="HYX34" s="545"/>
      <c r="HYY34" s="545"/>
      <c r="HYZ34" s="545"/>
      <c r="HZA34" s="545"/>
      <c r="HZB34" s="545"/>
      <c r="HZC34" s="545"/>
      <c r="HZD34" s="545"/>
      <c r="HZE34" s="545"/>
      <c r="HZF34" s="545"/>
      <c r="HZG34" s="545"/>
      <c r="HZH34" s="545"/>
      <c r="HZI34" s="545"/>
      <c r="HZJ34" s="545"/>
      <c r="HZK34" s="545"/>
      <c r="HZL34" s="545"/>
      <c r="HZM34" s="545"/>
      <c r="HZN34" s="545"/>
      <c r="HZO34" s="545"/>
      <c r="HZP34" s="545"/>
      <c r="HZQ34" s="545"/>
      <c r="HZR34" s="545"/>
      <c r="HZS34" s="545"/>
      <c r="HZT34" s="545"/>
      <c r="HZU34" s="545"/>
      <c r="HZV34" s="545"/>
      <c r="HZW34" s="545"/>
      <c r="HZX34" s="545"/>
      <c r="HZY34" s="545"/>
      <c r="HZZ34" s="545"/>
      <c r="IAA34" s="545"/>
      <c r="IAB34" s="545"/>
      <c r="IAC34" s="545"/>
      <c r="IAD34" s="545"/>
      <c r="IAE34" s="545"/>
      <c r="IAF34" s="545"/>
      <c r="IAG34" s="545"/>
      <c r="IAH34" s="545"/>
      <c r="IAI34" s="545"/>
      <c r="IAJ34" s="545"/>
      <c r="IAK34" s="545"/>
      <c r="IAL34" s="545"/>
      <c r="IAM34" s="545"/>
      <c r="IAN34" s="545"/>
      <c r="IAO34" s="545"/>
      <c r="IAP34" s="545"/>
      <c r="IAQ34" s="545"/>
      <c r="IAR34" s="545"/>
      <c r="IAS34" s="545"/>
      <c r="IAT34" s="545"/>
      <c r="IAU34" s="545"/>
      <c r="IAV34" s="545"/>
      <c r="IAW34" s="545"/>
      <c r="IAX34" s="545"/>
      <c r="IAY34" s="545"/>
      <c r="IAZ34" s="545"/>
      <c r="IBA34" s="545"/>
      <c r="IBB34" s="545"/>
      <c r="IBC34" s="545"/>
      <c r="IBD34" s="545"/>
      <c r="IBE34" s="545"/>
      <c r="IBF34" s="545"/>
      <c r="IBG34" s="545"/>
      <c r="IBH34" s="545"/>
      <c r="IBI34" s="545"/>
      <c r="IBJ34" s="545"/>
      <c r="IBK34" s="545"/>
      <c r="IBL34" s="545"/>
      <c r="IBM34" s="545"/>
      <c r="IBN34" s="545"/>
      <c r="IBO34" s="545"/>
      <c r="IBP34" s="545"/>
      <c r="IBQ34" s="545"/>
      <c r="IBR34" s="545"/>
      <c r="IBS34" s="545"/>
      <c r="IBT34" s="545"/>
      <c r="IBU34" s="545"/>
      <c r="IBV34" s="545"/>
      <c r="IBW34" s="545"/>
      <c r="IBX34" s="545"/>
      <c r="IBY34" s="545"/>
      <c r="IBZ34" s="545"/>
      <c r="ICA34" s="545"/>
      <c r="ICB34" s="545"/>
      <c r="ICC34" s="545"/>
      <c r="ICD34" s="545"/>
      <c r="ICE34" s="545"/>
      <c r="ICF34" s="545"/>
      <c r="ICG34" s="545"/>
      <c r="ICH34" s="545"/>
      <c r="ICI34" s="545"/>
      <c r="ICJ34" s="545"/>
      <c r="ICK34" s="545"/>
      <c r="ICL34" s="545"/>
      <c r="ICM34" s="545"/>
      <c r="ICN34" s="545"/>
      <c r="ICO34" s="545"/>
      <c r="ICP34" s="545"/>
      <c r="ICQ34" s="545"/>
      <c r="ICR34" s="545"/>
      <c r="ICS34" s="545"/>
      <c r="ICT34" s="545"/>
      <c r="ICU34" s="545"/>
      <c r="ICV34" s="545"/>
      <c r="ICW34" s="545"/>
      <c r="ICX34" s="545"/>
      <c r="ICY34" s="545"/>
      <c r="ICZ34" s="545"/>
      <c r="IDA34" s="545"/>
      <c r="IDB34" s="545"/>
      <c r="IDC34" s="545"/>
      <c r="IDD34" s="545"/>
      <c r="IDE34" s="545"/>
      <c r="IDF34" s="545"/>
      <c r="IDG34" s="545"/>
      <c r="IDH34" s="545"/>
      <c r="IDI34" s="545"/>
      <c r="IDJ34" s="545"/>
      <c r="IDK34" s="545"/>
      <c r="IDL34" s="545"/>
      <c r="IDM34" s="545"/>
      <c r="IDN34" s="545"/>
      <c r="IDO34" s="545"/>
      <c r="IDP34" s="545"/>
      <c r="IDQ34" s="545"/>
      <c r="IDR34" s="545"/>
      <c r="IDS34" s="545"/>
      <c r="IDT34" s="545"/>
      <c r="IDU34" s="545"/>
      <c r="IDV34" s="545"/>
      <c r="IDW34" s="545"/>
      <c r="IDX34" s="545"/>
      <c r="IDY34" s="545"/>
      <c r="IDZ34" s="545"/>
      <c r="IEA34" s="545"/>
      <c r="IEB34" s="545"/>
      <c r="IEC34" s="545"/>
      <c r="IED34" s="545"/>
      <c r="IEE34" s="545"/>
      <c r="IEF34" s="545"/>
      <c r="IEG34" s="545"/>
      <c r="IEH34" s="545"/>
      <c r="IEI34" s="545"/>
      <c r="IEJ34" s="545"/>
      <c r="IEK34" s="545"/>
      <c r="IEL34" s="545"/>
      <c r="IEM34" s="545"/>
      <c r="IEN34" s="545"/>
      <c r="IEO34" s="545"/>
      <c r="IEP34" s="545"/>
      <c r="IEQ34" s="545"/>
      <c r="IER34" s="545"/>
      <c r="IES34" s="545"/>
      <c r="IET34" s="545"/>
      <c r="IEU34" s="545"/>
      <c r="IEV34" s="545"/>
      <c r="IEW34" s="545"/>
      <c r="IEX34" s="545"/>
      <c r="IEY34" s="545"/>
      <c r="IEZ34" s="545"/>
      <c r="IFA34" s="545"/>
      <c r="IFB34" s="545"/>
      <c r="IFC34" s="545"/>
      <c r="IFD34" s="545"/>
      <c r="IFE34" s="545"/>
      <c r="IFF34" s="545"/>
      <c r="IFG34" s="545"/>
      <c r="IFH34" s="545"/>
      <c r="IFI34" s="545"/>
      <c r="IFJ34" s="545"/>
      <c r="IFK34" s="545"/>
      <c r="IFL34" s="545"/>
      <c r="IFM34" s="545"/>
      <c r="IFN34" s="545"/>
      <c r="IFO34" s="545"/>
      <c r="IFP34" s="545"/>
      <c r="IFQ34" s="545"/>
      <c r="IFR34" s="545"/>
      <c r="IFS34" s="545"/>
      <c r="IFT34" s="545"/>
      <c r="IFU34" s="545"/>
      <c r="IFV34" s="545"/>
      <c r="IFW34" s="545"/>
      <c r="IFX34" s="545"/>
      <c r="IFY34" s="545"/>
      <c r="IFZ34" s="545"/>
      <c r="IGA34" s="545"/>
      <c r="IGB34" s="545"/>
      <c r="IGC34" s="545"/>
      <c r="IGD34" s="545"/>
      <c r="IGE34" s="545"/>
      <c r="IGF34" s="545"/>
      <c r="IGG34" s="545"/>
      <c r="IGH34" s="545"/>
      <c r="IGI34" s="545"/>
      <c r="IGJ34" s="545"/>
      <c r="IGK34" s="545"/>
      <c r="IGL34" s="545"/>
      <c r="IGM34" s="545"/>
      <c r="IGN34" s="545"/>
      <c r="IGO34" s="545"/>
      <c r="IGP34" s="545"/>
      <c r="IGQ34" s="545"/>
      <c r="IGR34" s="545"/>
      <c r="IGS34" s="545"/>
      <c r="IGT34" s="545"/>
      <c r="IGU34" s="545"/>
      <c r="IGV34" s="545"/>
      <c r="IGW34" s="545"/>
      <c r="IGX34" s="545"/>
      <c r="IGY34" s="545"/>
      <c r="IGZ34" s="545"/>
      <c r="IHA34" s="545"/>
      <c r="IHB34" s="545"/>
      <c r="IHC34" s="545"/>
      <c r="IHD34" s="545"/>
      <c r="IHE34" s="545"/>
      <c r="IHF34" s="545"/>
      <c r="IHG34" s="545"/>
      <c r="IHH34" s="545"/>
      <c r="IHI34" s="545"/>
      <c r="IHJ34" s="545"/>
      <c r="IHK34" s="545"/>
      <c r="IHL34" s="545"/>
      <c r="IHM34" s="545"/>
      <c r="IHN34" s="545"/>
      <c r="IHO34" s="545"/>
      <c r="IHP34" s="545"/>
      <c r="IHQ34" s="545"/>
      <c r="IHR34" s="545"/>
      <c r="IHS34" s="545"/>
      <c r="IHT34" s="545"/>
      <c r="IHU34" s="545"/>
      <c r="IHV34" s="545"/>
      <c r="IHW34" s="545"/>
      <c r="IHX34" s="545"/>
      <c r="IHY34" s="545"/>
      <c r="IHZ34" s="545"/>
      <c r="IIA34" s="545"/>
      <c r="IIB34" s="545"/>
      <c r="IIC34" s="545"/>
      <c r="IID34" s="545"/>
      <c r="IIE34" s="545"/>
      <c r="IIF34" s="545"/>
      <c r="IIG34" s="545"/>
      <c r="IIH34" s="545"/>
      <c r="III34" s="545"/>
      <c r="IIJ34" s="545"/>
      <c r="IIK34" s="545"/>
      <c r="IIL34" s="545"/>
      <c r="IIM34" s="545"/>
      <c r="IIN34" s="545"/>
      <c r="IIO34" s="545"/>
      <c r="IIP34" s="545"/>
      <c r="IIQ34" s="545"/>
      <c r="IIR34" s="545"/>
      <c r="IIS34" s="545"/>
      <c r="IIT34" s="545"/>
      <c r="IIU34" s="545"/>
      <c r="IIV34" s="545"/>
      <c r="IIW34" s="545"/>
      <c r="IIX34" s="545"/>
      <c r="IIY34" s="545"/>
      <c r="IIZ34" s="545"/>
      <c r="IJA34" s="545"/>
      <c r="IJB34" s="545"/>
      <c r="IJC34" s="545"/>
      <c r="IJD34" s="545"/>
      <c r="IJE34" s="545"/>
      <c r="IJF34" s="545"/>
      <c r="IJG34" s="545"/>
      <c r="IJH34" s="545"/>
      <c r="IJI34" s="545"/>
      <c r="IJJ34" s="545"/>
      <c r="IJK34" s="545"/>
      <c r="IJL34" s="545"/>
      <c r="IJM34" s="545"/>
      <c r="IJN34" s="545"/>
      <c r="IJO34" s="545"/>
      <c r="IJP34" s="545"/>
      <c r="IJQ34" s="545"/>
      <c r="IJR34" s="545"/>
      <c r="IJS34" s="545"/>
      <c r="IJT34" s="545"/>
      <c r="IJU34" s="545"/>
      <c r="IJV34" s="545"/>
      <c r="IJW34" s="545"/>
      <c r="IJX34" s="545"/>
      <c r="IJY34" s="545"/>
      <c r="IJZ34" s="545"/>
      <c r="IKA34" s="545"/>
      <c r="IKB34" s="545"/>
      <c r="IKC34" s="545"/>
      <c r="IKD34" s="545"/>
      <c r="IKE34" s="545"/>
      <c r="IKF34" s="545"/>
      <c r="IKG34" s="545"/>
      <c r="IKH34" s="545"/>
      <c r="IKI34" s="545"/>
      <c r="IKJ34" s="545"/>
      <c r="IKK34" s="545"/>
      <c r="IKL34" s="545"/>
      <c r="IKM34" s="545"/>
      <c r="IKN34" s="545"/>
      <c r="IKO34" s="545"/>
      <c r="IKP34" s="545"/>
      <c r="IKQ34" s="545"/>
      <c r="IKR34" s="545"/>
      <c r="IKS34" s="545"/>
      <c r="IKT34" s="545"/>
      <c r="IKU34" s="545"/>
      <c r="IKV34" s="545"/>
      <c r="IKW34" s="545"/>
      <c r="IKX34" s="545"/>
      <c r="IKY34" s="545"/>
      <c r="IKZ34" s="545"/>
      <c r="ILA34" s="545"/>
      <c r="ILB34" s="545"/>
      <c r="ILC34" s="545"/>
      <c r="ILD34" s="545"/>
      <c r="ILE34" s="545"/>
      <c r="ILF34" s="545"/>
      <c r="ILG34" s="545"/>
      <c r="ILH34" s="545"/>
      <c r="ILI34" s="545"/>
      <c r="ILJ34" s="545"/>
      <c r="ILK34" s="545"/>
      <c r="ILL34" s="545"/>
      <c r="ILM34" s="545"/>
      <c r="ILN34" s="545"/>
      <c r="ILO34" s="545"/>
      <c r="ILP34" s="545"/>
      <c r="ILQ34" s="545"/>
      <c r="ILR34" s="545"/>
      <c r="ILS34" s="545"/>
      <c r="ILT34" s="545"/>
      <c r="ILU34" s="545"/>
      <c r="ILV34" s="545"/>
      <c r="ILW34" s="545"/>
      <c r="ILX34" s="545"/>
      <c r="ILY34" s="545"/>
      <c r="ILZ34" s="545"/>
      <c r="IMA34" s="545"/>
      <c r="IMB34" s="545"/>
      <c r="IMC34" s="545"/>
      <c r="IMD34" s="545"/>
      <c r="IME34" s="545"/>
      <c r="IMF34" s="545"/>
      <c r="IMG34" s="545"/>
      <c r="IMH34" s="545"/>
      <c r="IMI34" s="545"/>
      <c r="IMJ34" s="545"/>
      <c r="IMK34" s="545"/>
      <c r="IML34" s="545"/>
      <c r="IMM34" s="545"/>
      <c r="IMN34" s="545"/>
      <c r="IMO34" s="545"/>
      <c r="IMP34" s="545"/>
      <c r="IMQ34" s="545"/>
      <c r="IMR34" s="545"/>
      <c r="IMS34" s="545"/>
      <c r="IMT34" s="545"/>
      <c r="IMU34" s="545"/>
      <c r="IMV34" s="545"/>
      <c r="IMW34" s="545"/>
      <c r="IMX34" s="545"/>
      <c r="IMY34" s="545"/>
      <c r="IMZ34" s="545"/>
      <c r="INA34" s="545"/>
      <c r="INB34" s="545"/>
      <c r="INC34" s="545"/>
      <c r="IND34" s="545"/>
      <c r="INE34" s="545"/>
      <c r="INF34" s="545"/>
      <c r="ING34" s="545"/>
      <c r="INH34" s="545"/>
      <c r="INI34" s="545"/>
      <c r="INJ34" s="545"/>
      <c r="INK34" s="545"/>
      <c r="INL34" s="545"/>
      <c r="INM34" s="545"/>
      <c r="INN34" s="545"/>
      <c r="INO34" s="545"/>
      <c r="INP34" s="545"/>
      <c r="INQ34" s="545"/>
      <c r="INR34" s="545"/>
      <c r="INS34" s="545"/>
      <c r="INT34" s="545"/>
      <c r="INU34" s="545"/>
      <c r="INV34" s="545"/>
      <c r="INW34" s="545"/>
      <c r="INX34" s="545"/>
      <c r="INY34" s="545"/>
      <c r="INZ34" s="545"/>
      <c r="IOA34" s="545"/>
      <c r="IOB34" s="545"/>
      <c r="IOC34" s="545"/>
      <c r="IOD34" s="545"/>
      <c r="IOE34" s="545"/>
      <c r="IOF34" s="545"/>
      <c r="IOG34" s="545"/>
      <c r="IOH34" s="545"/>
      <c r="IOI34" s="545"/>
      <c r="IOJ34" s="545"/>
      <c r="IOK34" s="545"/>
      <c r="IOL34" s="545"/>
      <c r="IOM34" s="545"/>
      <c r="ION34" s="545"/>
      <c r="IOO34" s="545"/>
      <c r="IOP34" s="545"/>
      <c r="IOQ34" s="545"/>
      <c r="IOR34" s="545"/>
      <c r="IOS34" s="545"/>
      <c r="IOT34" s="545"/>
      <c r="IOU34" s="545"/>
      <c r="IOV34" s="545"/>
      <c r="IOW34" s="545"/>
      <c r="IOX34" s="545"/>
      <c r="IOY34" s="545"/>
      <c r="IOZ34" s="545"/>
      <c r="IPA34" s="545"/>
      <c r="IPB34" s="545"/>
      <c r="IPC34" s="545"/>
      <c r="IPD34" s="545"/>
      <c r="IPE34" s="545"/>
      <c r="IPF34" s="545"/>
      <c r="IPG34" s="545"/>
      <c r="IPH34" s="545"/>
      <c r="IPI34" s="545"/>
      <c r="IPJ34" s="545"/>
      <c r="IPK34" s="545"/>
      <c r="IPL34" s="545"/>
      <c r="IPM34" s="545"/>
      <c r="IPN34" s="545"/>
      <c r="IPO34" s="545"/>
      <c r="IPP34" s="545"/>
      <c r="IPQ34" s="545"/>
      <c r="IPR34" s="545"/>
      <c r="IPS34" s="545"/>
      <c r="IPT34" s="545"/>
      <c r="IPU34" s="545"/>
      <c r="IPV34" s="545"/>
      <c r="IPW34" s="545"/>
      <c r="IPX34" s="545"/>
      <c r="IPY34" s="545"/>
      <c r="IPZ34" s="545"/>
      <c r="IQA34" s="545"/>
      <c r="IQB34" s="545"/>
      <c r="IQC34" s="545"/>
      <c r="IQD34" s="545"/>
      <c r="IQE34" s="545"/>
      <c r="IQF34" s="545"/>
      <c r="IQG34" s="545"/>
      <c r="IQH34" s="545"/>
      <c r="IQI34" s="545"/>
      <c r="IQJ34" s="545"/>
      <c r="IQK34" s="545"/>
      <c r="IQL34" s="545"/>
      <c r="IQM34" s="545"/>
      <c r="IQN34" s="545"/>
      <c r="IQO34" s="545"/>
      <c r="IQP34" s="545"/>
      <c r="IQQ34" s="545"/>
      <c r="IQR34" s="545"/>
      <c r="IQS34" s="545"/>
      <c r="IQT34" s="545"/>
      <c r="IQU34" s="545"/>
      <c r="IQV34" s="545"/>
      <c r="IQW34" s="545"/>
      <c r="IQX34" s="545"/>
      <c r="IQY34" s="545"/>
      <c r="IQZ34" s="545"/>
      <c r="IRA34" s="545"/>
      <c r="IRB34" s="545"/>
      <c r="IRC34" s="545"/>
      <c r="IRD34" s="545"/>
      <c r="IRE34" s="545"/>
      <c r="IRF34" s="545"/>
      <c r="IRG34" s="545"/>
      <c r="IRH34" s="545"/>
      <c r="IRI34" s="545"/>
      <c r="IRJ34" s="545"/>
      <c r="IRK34" s="545"/>
      <c r="IRL34" s="545"/>
      <c r="IRM34" s="545"/>
      <c r="IRN34" s="545"/>
      <c r="IRO34" s="545"/>
      <c r="IRP34" s="545"/>
      <c r="IRQ34" s="545"/>
      <c r="IRR34" s="545"/>
      <c r="IRS34" s="545"/>
      <c r="IRT34" s="545"/>
      <c r="IRU34" s="545"/>
      <c r="IRV34" s="545"/>
      <c r="IRW34" s="545"/>
      <c r="IRX34" s="545"/>
      <c r="IRY34" s="545"/>
      <c r="IRZ34" s="545"/>
      <c r="ISA34" s="545"/>
      <c r="ISB34" s="545"/>
      <c r="ISC34" s="545"/>
      <c r="ISD34" s="545"/>
      <c r="ISE34" s="545"/>
      <c r="ISF34" s="545"/>
      <c r="ISG34" s="545"/>
      <c r="ISH34" s="545"/>
      <c r="ISI34" s="545"/>
      <c r="ISJ34" s="545"/>
      <c r="ISK34" s="545"/>
      <c r="ISL34" s="545"/>
      <c r="ISM34" s="545"/>
      <c r="ISN34" s="545"/>
      <c r="ISO34" s="545"/>
      <c r="ISP34" s="545"/>
      <c r="ISQ34" s="545"/>
      <c r="ISR34" s="545"/>
      <c r="ISS34" s="545"/>
      <c r="IST34" s="545"/>
      <c r="ISU34" s="545"/>
      <c r="ISV34" s="545"/>
      <c r="ISW34" s="545"/>
      <c r="ISX34" s="545"/>
      <c r="ISY34" s="545"/>
      <c r="ISZ34" s="545"/>
      <c r="ITA34" s="545"/>
      <c r="ITB34" s="545"/>
      <c r="ITC34" s="545"/>
      <c r="ITD34" s="545"/>
      <c r="ITE34" s="545"/>
      <c r="ITF34" s="545"/>
      <c r="ITG34" s="545"/>
      <c r="ITH34" s="545"/>
      <c r="ITI34" s="545"/>
      <c r="ITJ34" s="545"/>
      <c r="ITK34" s="545"/>
      <c r="ITL34" s="545"/>
      <c r="ITM34" s="545"/>
      <c r="ITN34" s="545"/>
      <c r="ITO34" s="545"/>
      <c r="ITP34" s="545"/>
      <c r="ITQ34" s="545"/>
      <c r="ITR34" s="545"/>
      <c r="ITS34" s="545"/>
      <c r="ITT34" s="545"/>
      <c r="ITU34" s="545"/>
      <c r="ITV34" s="545"/>
      <c r="ITW34" s="545"/>
      <c r="ITX34" s="545"/>
      <c r="ITY34" s="545"/>
      <c r="ITZ34" s="545"/>
      <c r="IUA34" s="545"/>
      <c r="IUB34" s="545"/>
      <c r="IUC34" s="545"/>
      <c r="IUD34" s="545"/>
      <c r="IUE34" s="545"/>
      <c r="IUF34" s="545"/>
      <c r="IUG34" s="545"/>
      <c r="IUH34" s="545"/>
      <c r="IUI34" s="545"/>
      <c r="IUJ34" s="545"/>
      <c r="IUK34" s="545"/>
      <c r="IUL34" s="545"/>
      <c r="IUM34" s="545"/>
      <c r="IUN34" s="545"/>
      <c r="IUO34" s="545"/>
      <c r="IUP34" s="545"/>
      <c r="IUQ34" s="545"/>
      <c r="IUR34" s="545"/>
      <c r="IUS34" s="545"/>
      <c r="IUT34" s="545"/>
      <c r="IUU34" s="545"/>
      <c r="IUV34" s="545"/>
      <c r="IUW34" s="545"/>
      <c r="IUX34" s="545"/>
      <c r="IUY34" s="545"/>
      <c r="IUZ34" s="545"/>
      <c r="IVA34" s="545"/>
      <c r="IVB34" s="545"/>
      <c r="IVC34" s="545"/>
      <c r="IVD34" s="545"/>
      <c r="IVE34" s="545"/>
      <c r="IVF34" s="545"/>
      <c r="IVG34" s="545"/>
      <c r="IVH34" s="545"/>
      <c r="IVI34" s="545"/>
      <c r="IVJ34" s="545"/>
      <c r="IVK34" s="545"/>
      <c r="IVL34" s="545"/>
      <c r="IVM34" s="545"/>
      <c r="IVN34" s="545"/>
      <c r="IVO34" s="545"/>
      <c r="IVP34" s="545"/>
      <c r="IVQ34" s="545"/>
      <c r="IVR34" s="545"/>
      <c r="IVS34" s="545"/>
      <c r="IVT34" s="545"/>
      <c r="IVU34" s="545"/>
      <c r="IVV34" s="545"/>
      <c r="IVW34" s="545"/>
      <c r="IVX34" s="545"/>
      <c r="IVY34" s="545"/>
      <c r="IVZ34" s="545"/>
      <c r="IWA34" s="545"/>
      <c r="IWB34" s="545"/>
      <c r="IWC34" s="545"/>
      <c r="IWD34" s="545"/>
      <c r="IWE34" s="545"/>
      <c r="IWF34" s="545"/>
      <c r="IWG34" s="545"/>
      <c r="IWH34" s="545"/>
      <c r="IWI34" s="545"/>
      <c r="IWJ34" s="545"/>
      <c r="IWK34" s="545"/>
      <c r="IWL34" s="545"/>
      <c r="IWM34" s="545"/>
      <c r="IWN34" s="545"/>
      <c r="IWO34" s="545"/>
      <c r="IWP34" s="545"/>
      <c r="IWQ34" s="545"/>
      <c r="IWR34" s="545"/>
      <c r="IWS34" s="545"/>
      <c r="IWT34" s="545"/>
      <c r="IWU34" s="545"/>
      <c r="IWV34" s="545"/>
      <c r="IWW34" s="545"/>
      <c r="IWX34" s="545"/>
      <c r="IWY34" s="545"/>
      <c r="IWZ34" s="545"/>
      <c r="IXA34" s="545"/>
      <c r="IXB34" s="545"/>
      <c r="IXC34" s="545"/>
      <c r="IXD34" s="545"/>
      <c r="IXE34" s="545"/>
      <c r="IXF34" s="545"/>
      <c r="IXG34" s="545"/>
      <c r="IXH34" s="545"/>
      <c r="IXI34" s="545"/>
      <c r="IXJ34" s="545"/>
      <c r="IXK34" s="545"/>
      <c r="IXL34" s="545"/>
      <c r="IXM34" s="545"/>
      <c r="IXN34" s="545"/>
      <c r="IXO34" s="545"/>
      <c r="IXP34" s="545"/>
      <c r="IXQ34" s="545"/>
      <c r="IXR34" s="545"/>
      <c r="IXS34" s="545"/>
      <c r="IXT34" s="545"/>
      <c r="IXU34" s="545"/>
      <c r="IXV34" s="545"/>
      <c r="IXW34" s="545"/>
      <c r="IXX34" s="545"/>
      <c r="IXY34" s="545"/>
      <c r="IXZ34" s="545"/>
      <c r="IYA34" s="545"/>
      <c r="IYB34" s="545"/>
      <c r="IYC34" s="545"/>
      <c r="IYD34" s="545"/>
      <c r="IYE34" s="545"/>
      <c r="IYF34" s="545"/>
      <c r="IYG34" s="545"/>
      <c r="IYH34" s="545"/>
      <c r="IYI34" s="545"/>
      <c r="IYJ34" s="545"/>
      <c r="IYK34" s="545"/>
      <c r="IYL34" s="545"/>
      <c r="IYM34" s="545"/>
      <c r="IYN34" s="545"/>
      <c r="IYO34" s="545"/>
      <c r="IYP34" s="545"/>
      <c r="IYQ34" s="545"/>
      <c r="IYR34" s="545"/>
      <c r="IYS34" s="545"/>
      <c r="IYT34" s="545"/>
      <c r="IYU34" s="545"/>
      <c r="IYV34" s="545"/>
      <c r="IYW34" s="545"/>
      <c r="IYX34" s="545"/>
      <c r="IYY34" s="545"/>
      <c r="IYZ34" s="545"/>
      <c r="IZA34" s="545"/>
      <c r="IZB34" s="545"/>
      <c r="IZC34" s="545"/>
      <c r="IZD34" s="545"/>
      <c r="IZE34" s="545"/>
      <c r="IZF34" s="545"/>
      <c r="IZG34" s="545"/>
      <c r="IZH34" s="545"/>
      <c r="IZI34" s="545"/>
      <c r="IZJ34" s="545"/>
      <c r="IZK34" s="545"/>
      <c r="IZL34" s="545"/>
      <c r="IZM34" s="545"/>
      <c r="IZN34" s="545"/>
      <c r="IZO34" s="545"/>
      <c r="IZP34" s="545"/>
      <c r="IZQ34" s="545"/>
      <c r="IZR34" s="545"/>
      <c r="IZS34" s="545"/>
      <c r="IZT34" s="545"/>
      <c r="IZU34" s="545"/>
      <c r="IZV34" s="545"/>
      <c r="IZW34" s="545"/>
      <c r="IZX34" s="545"/>
      <c r="IZY34" s="545"/>
      <c r="IZZ34" s="545"/>
      <c r="JAA34" s="545"/>
      <c r="JAB34" s="545"/>
      <c r="JAC34" s="545"/>
      <c r="JAD34" s="545"/>
      <c r="JAE34" s="545"/>
      <c r="JAF34" s="545"/>
      <c r="JAG34" s="545"/>
      <c r="JAH34" s="545"/>
      <c r="JAI34" s="545"/>
      <c r="JAJ34" s="545"/>
      <c r="JAK34" s="545"/>
      <c r="JAL34" s="545"/>
      <c r="JAM34" s="545"/>
      <c r="JAN34" s="545"/>
      <c r="JAO34" s="545"/>
      <c r="JAP34" s="545"/>
      <c r="JAQ34" s="545"/>
      <c r="JAR34" s="545"/>
      <c r="JAS34" s="545"/>
      <c r="JAT34" s="545"/>
      <c r="JAU34" s="545"/>
      <c r="JAV34" s="545"/>
      <c r="JAW34" s="545"/>
      <c r="JAX34" s="545"/>
      <c r="JAY34" s="545"/>
      <c r="JAZ34" s="545"/>
      <c r="JBA34" s="545"/>
      <c r="JBB34" s="545"/>
      <c r="JBC34" s="545"/>
      <c r="JBD34" s="545"/>
      <c r="JBE34" s="545"/>
      <c r="JBF34" s="545"/>
      <c r="JBG34" s="545"/>
      <c r="JBH34" s="545"/>
      <c r="JBI34" s="545"/>
      <c r="JBJ34" s="545"/>
      <c r="JBK34" s="545"/>
      <c r="JBL34" s="545"/>
      <c r="JBM34" s="545"/>
      <c r="JBN34" s="545"/>
      <c r="JBO34" s="545"/>
      <c r="JBP34" s="545"/>
      <c r="JBQ34" s="545"/>
      <c r="JBR34" s="545"/>
      <c r="JBS34" s="545"/>
      <c r="JBT34" s="545"/>
      <c r="JBU34" s="545"/>
      <c r="JBV34" s="545"/>
      <c r="JBW34" s="545"/>
      <c r="JBX34" s="545"/>
      <c r="JBY34" s="545"/>
      <c r="JBZ34" s="545"/>
      <c r="JCA34" s="545"/>
      <c r="JCB34" s="545"/>
      <c r="JCC34" s="545"/>
      <c r="JCD34" s="545"/>
      <c r="JCE34" s="545"/>
      <c r="JCF34" s="545"/>
      <c r="JCG34" s="545"/>
      <c r="JCH34" s="545"/>
      <c r="JCI34" s="545"/>
      <c r="JCJ34" s="545"/>
      <c r="JCK34" s="545"/>
      <c r="JCL34" s="545"/>
      <c r="JCM34" s="545"/>
      <c r="JCN34" s="545"/>
      <c r="JCO34" s="545"/>
      <c r="JCP34" s="545"/>
      <c r="JCQ34" s="545"/>
      <c r="JCR34" s="545"/>
      <c r="JCS34" s="545"/>
      <c r="JCT34" s="545"/>
      <c r="JCU34" s="545"/>
      <c r="JCV34" s="545"/>
      <c r="JCW34" s="545"/>
      <c r="JCX34" s="545"/>
      <c r="JCY34" s="545"/>
      <c r="JCZ34" s="545"/>
      <c r="JDA34" s="545"/>
      <c r="JDB34" s="545"/>
      <c r="JDC34" s="545"/>
      <c r="JDD34" s="545"/>
      <c r="JDE34" s="545"/>
      <c r="JDF34" s="545"/>
      <c r="JDG34" s="545"/>
      <c r="JDH34" s="545"/>
      <c r="JDI34" s="545"/>
      <c r="JDJ34" s="545"/>
      <c r="JDK34" s="545"/>
      <c r="JDL34" s="545"/>
      <c r="JDM34" s="545"/>
      <c r="JDN34" s="545"/>
      <c r="JDO34" s="545"/>
      <c r="JDP34" s="545"/>
      <c r="JDQ34" s="545"/>
      <c r="JDR34" s="545"/>
      <c r="JDS34" s="545"/>
      <c r="JDT34" s="545"/>
      <c r="JDU34" s="545"/>
      <c r="JDV34" s="545"/>
      <c r="JDW34" s="545"/>
      <c r="JDX34" s="545"/>
      <c r="JDY34" s="545"/>
      <c r="JDZ34" s="545"/>
      <c r="JEA34" s="545"/>
      <c r="JEB34" s="545"/>
      <c r="JEC34" s="545"/>
      <c r="JED34" s="545"/>
      <c r="JEE34" s="545"/>
      <c r="JEF34" s="545"/>
      <c r="JEG34" s="545"/>
      <c r="JEH34" s="545"/>
      <c r="JEI34" s="545"/>
      <c r="JEJ34" s="545"/>
      <c r="JEK34" s="545"/>
      <c r="JEL34" s="545"/>
      <c r="JEM34" s="545"/>
      <c r="JEN34" s="545"/>
      <c r="JEO34" s="545"/>
      <c r="JEP34" s="545"/>
      <c r="JEQ34" s="545"/>
      <c r="JER34" s="545"/>
      <c r="JES34" s="545"/>
      <c r="JET34" s="545"/>
      <c r="JEU34" s="545"/>
      <c r="JEV34" s="545"/>
      <c r="JEW34" s="545"/>
      <c r="JEX34" s="545"/>
      <c r="JEY34" s="545"/>
      <c r="JEZ34" s="545"/>
      <c r="JFA34" s="545"/>
      <c r="JFB34" s="545"/>
      <c r="JFC34" s="545"/>
      <c r="JFD34" s="545"/>
      <c r="JFE34" s="545"/>
      <c r="JFF34" s="545"/>
      <c r="JFG34" s="545"/>
      <c r="JFH34" s="545"/>
      <c r="JFI34" s="545"/>
      <c r="JFJ34" s="545"/>
      <c r="JFK34" s="545"/>
      <c r="JFL34" s="545"/>
      <c r="JFM34" s="545"/>
      <c r="JFN34" s="545"/>
      <c r="JFO34" s="545"/>
      <c r="JFP34" s="545"/>
      <c r="JFQ34" s="545"/>
      <c r="JFR34" s="545"/>
      <c r="JFS34" s="545"/>
      <c r="JFT34" s="545"/>
      <c r="JFU34" s="545"/>
      <c r="JFV34" s="545"/>
      <c r="JFW34" s="545"/>
      <c r="JFX34" s="545"/>
      <c r="JFY34" s="545"/>
      <c r="JFZ34" s="545"/>
      <c r="JGA34" s="545"/>
      <c r="JGB34" s="545"/>
      <c r="JGC34" s="545"/>
      <c r="JGD34" s="545"/>
      <c r="JGE34" s="545"/>
      <c r="JGF34" s="545"/>
      <c r="JGG34" s="545"/>
      <c r="JGH34" s="545"/>
      <c r="JGI34" s="545"/>
      <c r="JGJ34" s="545"/>
      <c r="JGK34" s="545"/>
      <c r="JGL34" s="545"/>
      <c r="JGM34" s="545"/>
      <c r="JGN34" s="545"/>
      <c r="JGO34" s="545"/>
      <c r="JGP34" s="545"/>
      <c r="JGQ34" s="545"/>
      <c r="JGR34" s="545"/>
      <c r="JGS34" s="545"/>
      <c r="JGT34" s="545"/>
      <c r="JGU34" s="545"/>
      <c r="JGV34" s="545"/>
      <c r="JGW34" s="545"/>
      <c r="JGX34" s="545"/>
      <c r="JGY34" s="545"/>
      <c r="JGZ34" s="545"/>
      <c r="JHA34" s="545"/>
      <c r="JHB34" s="545"/>
      <c r="JHC34" s="545"/>
      <c r="JHD34" s="545"/>
      <c r="JHE34" s="545"/>
      <c r="JHF34" s="545"/>
      <c r="JHG34" s="545"/>
      <c r="JHH34" s="545"/>
      <c r="JHI34" s="545"/>
      <c r="JHJ34" s="545"/>
      <c r="JHK34" s="545"/>
      <c r="JHL34" s="545"/>
      <c r="JHM34" s="545"/>
      <c r="JHN34" s="545"/>
      <c r="JHO34" s="545"/>
      <c r="JHP34" s="545"/>
      <c r="JHQ34" s="545"/>
      <c r="JHR34" s="545"/>
      <c r="JHS34" s="545"/>
      <c r="JHT34" s="545"/>
      <c r="JHU34" s="545"/>
      <c r="JHV34" s="545"/>
      <c r="JHW34" s="545"/>
      <c r="JHX34" s="545"/>
      <c r="JHY34" s="545"/>
      <c r="JHZ34" s="545"/>
      <c r="JIA34" s="545"/>
      <c r="JIB34" s="545"/>
      <c r="JIC34" s="545"/>
      <c r="JID34" s="545"/>
      <c r="JIE34" s="545"/>
      <c r="JIF34" s="545"/>
      <c r="JIG34" s="545"/>
      <c r="JIH34" s="545"/>
      <c r="JII34" s="545"/>
      <c r="JIJ34" s="545"/>
      <c r="JIK34" s="545"/>
      <c r="JIL34" s="545"/>
      <c r="JIM34" s="545"/>
      <c r="JIN34" s="545"/>
      <c r="JIO34" s="545"/>
      <c r="JIP34" s="545"/>
      <c r="JIQ34" s="545"/>
      <c r="JIR34" s="545"/>
      <c r="JIS34" s="545"/>
      <c r="JIT34" s="545"/>
      <c r="JIU34" s="545"/>
      <c r="JIV34" s="545"/>
      <c r="JIW34" s="545"/>
      <c r="JIX34" s="545"/>
      <c r="JIY34" s="545"/>
      <c r="JIZ34" s="545"/>
      <c r="JJA34" s="545"/>
      <c r="JJB34" s="545"/>
      <c r="JJC34" s="545"/>
      <c r="JJD34" s="545"/>
      <c r="JJE34" s="545"/>
      <c r="JJF34" s="545"/>
      <c r="JJG34" s="545"/>
      <c r="JJH34" s="545"/>
      <c r="JJI34" s="545"/>
      <c r="JJJ34" s="545"/>
      <c r="JJK34" s="545"/>
      <c r="JJL34" s="545"/>
      <c r="JJM34" s="545"/>
      <c r="JJN34" s="545"/>
      <c r="JJO34" s="545"/>
      <c r="JJP34" s="545"/>
      <c r="JJQ34" s="545"/>
      <c r="JJR34" s="545"/>
      <c r="JJS34" s="545"/>
      <c r="JJT34" s="545"/>
      <c r="JJU34" s="545"/>
      <c r="JJV34" s="545"/>
      <c r="JJW34" s="545"/>
      <c r="JJX34" s="545"/>
      <c r="JJY34" s="545"/>
      <c r="JJZ34" s="545"/>
      <c r="JKA34" s="545"/>
      <c r="JKB34" s="545"/>
      <c r="JKC34" s="545"/>
      <c r="JKD34" s="545"/>
      <c r="JKE34" s="545"/>
      <c r="JKF34" s="545"/>
      <c r="JKG34" s="545"/>
      <c r="JKH34" s="545"/>
      <c r="JKI34" s="545"/>
      <c r="JKJ34" s="545"/>
      <c r="JKK34" s="545"/>
      <c r="JKL34" s="545"/>
      <c r="JKM34" s="545"/>
      <c r="JKN34" s="545"/>
      <c r="JKO34" s="545"/>
      <c r="JKP34" s="545"/>
      <c r="JKQ34" s="545"/>
      <c r="JKR34" s="545"/>
      <c r="JKS34" s="545"/>
      <c r="JKT34" s="545"/>
      <c r="JKU34" s="545"/>
      <c r="JKV34" s="545"/>
      <c r="JKW34" s="545"/>
      <c r="JKX34" s="545"/>
      <c r="JKY34" s="545"/>
      <c r="JKZ34" s="545"/>
      <c r="JLA34" s="545"/>
      <c r="JLB34" s="545"/>
      <c r="JLC34" s="545"/>
      <c r="JLD34" s="545"/>
      <c r="JLE34" s="545"/>
      <c r="JLF34" s="545"/>
      <c r="JLG34" s="545"/>
      <c r="JLH34" s="545"/>
      <c r="JLI34" s="545"/>
      <c r="JLJ34" s="545"/>
      <c r="JLK34" s="545"/>
      <c r="JLL34" s="545"/>
      <c r="JLM34" s="545"/>
      <c r="JLN34" s="545"/>
      <c r="JLO34" s="545"/>
      <c r="JLP34" s="545"/>
      <c r="JLQ34" s="545"/>
      <c r="JLR34" s="545"/>
      <c r="JLS34" s="545"/>
      <c r="JLT34" s="545"/>
      <c r="JLU34" s="545"/>
      <c r="JLV34" s="545"/>
      <c r="JLW34" s="545"/>
      <c r="JLX34" s="545"/>
      <c r="JLY34" s="545"/>
      <c r="JLZ34" s="545"/>
      <c r="JMA34" s="545"/>
      <c r="JMB34" s="545"/>
      <c r="JMC34" s="545"/>
      <c r="JMD34" s="545"/>
      <c r="JME34" s="545"/>
      <c r="JMF34" s="545"/>
      <c r="JMG34" s="545"/>
      <c r="JMH34" s="545"/>
      <c r="JMI34" s="545"/>
      <c r="JMJ34" s="545"/>
      <c r="JMK34" s="545"/>
      <c r="JML34" s="545"/>
      <c r="JMM34" s="545"/>
      <c r="JMN34" s="545"/>
      <c r="JMO34" s="545"/>
      <c r="JMP34" s="545"/>
      <c r="JMQ34" s="545"/>
      <c r="JMR34" s="545"/>
      <c r="JMS34" s="545"/>
      <c r="JMT34" s="545"/>
      <c r="JMU34" s="545"/>
      <c r="JMV34" s="545"/>
      <c r="JMW34" s="545"/>
      <c r="JMX34" s="545"/>
      <c r="JMY34" s="545"/>
      <c r="JMZ34" s="545"/>
      <c r="JNA34" s="545"/>
      <c r="JNB34" s="545"/>
      <c r="JNC34" s="545"/>
      <c r="JND34" s="545"/>
      <c r="JNE34" s="545"/>
      <c r="JNF34" s="545"/>
      <c r="JNG34" s="545"/>
      <c r="JNH34" s="545"/>
      <c r="JNI34" s="545"/>
      <c r="JNJ34" s="545"/>
      <c r="JNK34" s="545"/>
      <c r="JNL34" s="545"/>
      <c r="JNM34" s="545"/>
      <c r="JNN34" s="545"/>
      <c r="JNO34" s="545"/>
      <c r="JNP34" s="545"/>
      <c r="JNQ34" s="545"/>
      <c r="JNR34" s="545"/>
      <c r="JNS34" s="545"/>
      <c r="JNT34" s="545"/>
      <c r="JNU34" s="545"/>
      <c r="JNV34" s="545"/>
      <c r="JNW34" s="545"/>
      <c r="JNX34" s="545"/>
      <c r="JNY34" s="545"/>
      <c r="JNZ34" s="545"/>
      <c r="JOA34" s="545"/>
      <c r="JOB34" s="545"/>
      <c r="JOC34" s="545"/>
      <c r="JOD34" s="545"/>
      <c r="JOE34" s="545"/>
      <c r="JOF34" s="545"/>
      <c r="JOG34" s="545"/>
      <c r="JOH34" s="545"/>
      <c r="JOI34" s="545"/>
      <c r="JOJ34" s="545"/>
      <c r="JOK34" s="545"/>
      <c r="JOL34" s="545"/>
      <c r="JOM34" s="545"/>
      <c r="JON34" s="545"/>
      <c r="JOO34" s="545"/>
      <c r="JOP34" s="545"/>
      <c r="JOQ34" s="545"/>
      <c r="JOR34" s="545"/>
      <c r="JOS34" s="545"/>
      <c r="JOT34" s="545"/>
      <c r="JOU34" s="545"/>
      <c r="JOV34" s="545"/>
      <c r="JOW34" s="545"/>
      <c r="JOX34" s="545"/>
      <c r="JOY34" s="545"/>
      <c r="JOZ34" s="545"/>
      <c r="JPA34" s="545"/>
      <c r="JPB34" s="545"/>
      <c r="JPC34" s="545"/>
      <c r="JPD34" s="545"/>
      <c r="JPE34" s="545"/>
      <c r="JPF34" s="545"/>
      <c r="JPG34" s="545"/>
      <c r="JPH34" s="545"/>
      <c r="JPI34" s="545"/>
      <c r="JPJ34" s="545"/>
      <c r="JPK34" s="545"/>
      <c r="JPL34" s="545"/>
      <c r="JPM34" s="545"/>
      <c r="JPN34" s="545"/>
      <c r="JPO34" s="545"/>
      <c r="JPP34" s="545"/>
      <c r="JPQ34" s="545"/>
      <c r="JPR34" s="545"/>
      <c r="JPS34" s="545"/>
      <c r="JPT34" s="545"/>
      <c r="JPU34" s="545"/>
      <c r="JPV34" s="545"/>
      <c r="JPW34" s="545"/>
      <c r="JPX34" s="545"/>
      <c r="JPY34" s="545"/>
      <c r="JPZ34" s="545"/>
      <c r="JQA34" s="545"/>
      <c r="JQB34" s="545"/>
      <c r="JQC34" s="545"/>
      <c r="JQD34" s="545"/>
      <c r="JQE34" s="545"/>
      <c r="JQF34" s="545"/>
      <c r="JQG34" s="545"/>
      <c r="JQH34" s="545"/>
      <c r="JQI34" s="545"/>
      <c r="JQJ34" s="545"/>
      <c r="JQK34" s="545"/>
      <c r="JQL34" s="545"/>
      <c r="JQM34" s="545"/>
      <c r="JQN34" s="545"/>
      <c r="JQO34" s="545"/>
      <c r="JQP34" s="545"/>
      <c r="JQQ34" s="545"/>
      <c r="JQR34" s="545"/>
      <c r="JQS34" s="545"/>
      <c r="JQT34" s="545"/>
      <c r="JQU34" s="545"/>
      <c r="JQV34" s="545"/>
      <c r="JQW34" s="545"/>
      <c r="JQX34" s="545"/>
      <c r="JQY34" s="545"/>
      <c r="JQZ34" s="545"/>
      <c r="JRA34" s="545"/>
      <c r="JRB34" s="545"/>
      <c r="JRC34" s="545"/>
      <c r="JRD34" s="545"/>
      <c r="JRE34" s="545"/>
      <c r="JRF34" s="545"/>
      <c r="JRG34" s="545"/>
      <c r="JRH34" s="545"/>
      <c r="JRI34" s="545"/>
      <c r="JRJ34" s="545"/>
      <c r="JRK34" s="545"/>
      <c r="JRL34" s="545"/>
      <c r="JRM34" s="545"/>
      <c r="JRN34" s="545"/>
      <c r="JRO34" s="545"/>
      <c r="JRP34" s="545"/>
      <c r="JRQ34" s="545"/>
      <c r="JRR34" s="545"/>
      <c r="JRS34" s="545"/>
      <c r="JRT34" s="545"/>
      <c r="JRU34" s="545"/>
      <c r="JRV34" s="545"/>
      <c r="JRW34" s="545"/>
      <c r="JRX34" s="545"/>
      <c r="JRY34" s="545"/>
      <c r="JRZ34" s="545"/>
      <c r="JSA34" s="545"/>
      <c r="JSB34" s="545"/>
      <c r="JSC34" s="545"/>
      <c r="JSD34" s="545"/>
      <c r="JSE34" s="545"/>
      <c r="JSF34" s="545"/>
      <c r="JSG34" s="545"/>
      <c r="JSH34" s="545"/>
      <c r="JSI34" s="545"/>
      <c r="JSJ34" s="545"/>
      <c r="JSK34" s="545"/>
      <c r="JSL34" s="545"/>
      <c r="JSM34" s="545"/>
      <c r="JSN34" s="545"/>
      <c r="JSO34" s="545"/>
      <c r="JSP34" s="545"/>
      <c r="JSQ34" s="545"/>
      <c r="JSR34" s="545"/>
      <c r="JSS34" s="545"/>
      <c r="JST34" s="545"/>
      <c r="JSU34" s="545"/>
      <c r="JSV34" s="545"/>
      <c r="JSW34" s="545"/>
      <c r="JSX34" s="545"/>
      <c r="JSY34" s="545"/>
      <c r="JSZ34" s="545"/>
      <c r="JTA34" s="545"/>
      <c r="JTB34" s="545"/>
      <c r="JTC34" s="545"/>
      <c r="JTD34" s="545"/>
      <c r="JTE34" s="545"/>
      <c r="JTF34" s="545"/>
      <c r="JTG34" s="545"/>
      <c r="JTH34" s="545"/>
      <c r="JTI34" s="545"/>
      <c r="JTJ34" s="545"/>
      <c r="JTK34" s="545"/>
      <c r="JTL34" s="545"/>
      <c r="JTM34" s="545"/>
      <c r="JTN34" s="545"/>
      <c r="JTO34" s="545"/>
      <c r="JTP34" s="545"/>
      <c r="JTQ34" s="545"/>
      <c r="JTR34" s="545"/>
      <c r="JTS34" s="545"/>
      <c r="JTT34" s="545"/>
      <c r="JTU34" s="545"/>
      <c r="JTV34" s="545"/>
      <c r="JTW34" s="545"/>
      <c r="JTX34" s="545"/>
      <c r="JTY34" s="545"/>
      <c r="JTZ34" s="545"/>
      <c r="JUA34" s="545"/>
      <c r="JUB34" s="545"/>
      <c r="JUC34" s="545"/>
      <c r="JUD34" s="545"/>
      <c r="JUE34" s="545"/>
      <c r="JUF34" s="545"/>
      <c r="JUG34" s="545"/>
      <c r="JUH34" s="545"/>
      <c r="JUI34" s="545"/>
      <c r="JUJ34" s="545"/>
      <c r="JUK34" s="545"/>
      <c r="JUL34" s="545"/>
      <c r="JUM34" s="545"/>
      <c r="JUN34" s="545"/>
      <c r="JUO34" s="545"/>
      <c r="JUP34" s="545"/>
      <c r="JUQ34" s="545"/>
      <c r="JUR34" s="545"/>
      <c r="JUS34" s="545"/>
      <c r="JUT34" s="545"/>
      <c r="JUU34" s="545"/>
      <c r="JUV34" s="545"/>
      <c r="JUW34" s="545"/>
      <c r="JUX34" s="545"/>
      <c r="JUY34" s="545"/>
      <c r="JUZ34" s="545"/>
      <c r="JVA34" s="545"/>
      <c r="JVB34" s="545"/>
      <c r="JVC34" s="545"/>
      <c r="JVD34" s="545"/>
      <c r="JVE34" s="545"/>
      <c r="JVF34" s="545"/>
      <c r="JVG34" s="545"/>
      <c r="JVH34" s="545"/>
      <c r="JVI34" s="545"/>
      <c r="JVJ34" s="545"/>
      <c r="JVK34" s="545"/>
      <c r="JVL34" s="545"/>
      <c r="JVM34" s="545"/>
      <c r="JVN34" s="545"/>
      <c r="JVO34" s="545"/>
      <c r="JVP34" s="545"/>
      <c r="JVQ34" s="545"/>
      <c r="JVR34" s="545"/>
      <c r="JVS34" s="545"/>
      <c r="JVT34" s="545"/>
      <c r="JVU34" s="545"/>
      <c r="JVV34" s="545"/>
      <c r="JVW34" s="545"/>
      <c r="JVX34" s="545"/>
      <c r="JVY34" s="545"/>
      <c r="JVZ34" s="545"/>
      <c r="JWA34" s="545"/>
      <c r="JWB34" s="545"/>
      <c r="JWC34" s="545"/>
      <c r="JWD34" s="545"/>
      <c r="JWE34" s="545"/>
      <c r="JWF34" s="545"/>
      <c r="JWG34" s="545"/>
      <c r="JWH34" s="545"/>
      <c r="JWI34" s="545"/>
      <c r="JWJ34" s="545"/>
      <c r="JWK34" s="545"/>
      <c r="JWL34" s="545"/>
      <c r="JWM34" s="545"/>
      <c r="JWN34" s="545"/>
      <c r="JWO34" s="545"/>
      <c r="JWP34" s="545"/>
      <c r="JWQ34" s="545"/>
      <c r="JWR34" s="545"/>
      <c r="JWS34" s="545"/>
      <c r="JWT34" s="545"/>
      <c r="JWU34" s="545"/>
      <c r="JWV34" s="545"/>
      <c r="JWW34" s="545"/>
      <c r="JWX34" s="545"/>
      <c r="JWY34" s="545"/>
      <c r="JWZ34" s="545"/>
      <c r="JXA34" s="545"/>
      <c r="JXB34" s="545"/>
      <c r="JXC34" s="545"/>
      <c r="JXD34" s="545"/>
      <c r="JXE34" s="545"/>
      <c r="JXF34" s="545"/>
      <c r="JXG34" s="545"/>
      <c r="JXH34" s="545"/>
      <c r="JXI34" s="545"/>
      <c r="JXJ34" s="545"/>
      <c r="JXK34" s="545"/>
      <c r="JXL34" s="545"/>
      <c r="JXM34" s="545"/>
      <c r="JXN34" s="545"/>
      <c r="JXO34" s="545"/>
      <c r="JXP34" s="545"/>
      <c r="JXQ34" s="545"/>
      <c r="JXR34" s="545"/>
      <c r="JXS34" s="545"/>
      <c r="JXT34" s="545"/>
      <c r="JXU34" s="545"/>
      <c r="JXV34" s="545"/>
      <c r="JXW34" s="545"/>
      <c r="JXX34" s="545"/>
      <c r="JXY34" s="545"/>
      <c r="JXZ34" s="545"/>
      <c r="JYA34" s="545"/>
      <c r="JYB34" s="545"/>
      <c r="JYC34" s="545"/>
      <c r="JYD34" s="545"/>
      <c r="JYE34" s="545"/>
      <c r="JYF34" s="545"/>
      <c r="JYG34" s="545"/>
      <c r="JYH34" s="545"/>
      <c r="JYI34" s="545"/>
      <c r="JYJ34" s="545"/>
      <c r="JYK34" s="545"/>
      <c r="JYL34" s="545"/>
      <c r="JYM34" s="545"/>
      <c r="JYN34" s="545"/>
      <c r="JYO34" s="545"/>
      <c r="JYP34" s="545"/>
      <c r="JYQ34" s="545"/>
      <c r="JYR34" s="545"/>
      <c r="JYS34" s="545"/>
      <c r="JYT34" s="545"/>
      <c r="JYU34" s="545"/>
      <c r="JYV34" s="545"/>
      <c r="JYW34" s="545"/>
      <c r="JYX34" s="545"/>
      <c r="JYY34" s="545"/>
      <c r="JYZ34" s="545"/>
      <c r="JZA34" s="545"/>
      <c r="JZB34" s="545"/>
      <c r="JZC34" s="545"/>
      <c r="JZD34" s="545"/>
      <c r="JZE34" s="545"/>
      <c r="JZF34" s="545"/>
      <c r="JZG34" s="545"/>
      <c r="JZH34" s="545"/>
      <c r="JZI34" s="545"/>
      <c r="JZJ34" s="545"/>
      <c r="JZK34" s="545"/>
      <c r="JZL34" s="545"/>
      <c r="JZM34" s="545"/>
      <c r="JZN34" s="545"/>
      <c r="JZO34" s="545"/>
      <c r="JZP34" s="545"/>
      <c r="JZQ34" s="545"/>
      <c r="JZR34" s="545"/>
      <c r="JZS34" s="545"/>
      <c r="JZT34" s="545"/>
      <c r="JZU34" s="545"/>
      <c r="JZV34" s="545"/>
      <c r="JZW34" s="545"/>
      <c r="JZX34" s="545"/>
      <c r="JZY34" s="545"/>
      <c r="JZZ34" s="545"/>
      <c r="KAA34" s="545"/>
      <c r="KAB34" s="545"/>
      <c r="KAC34" s="545"/>
      <c r="KAD34" s="545"/>
      <c r="KAE34" s="545"/>
      <c r="KAF34" s="545"/>
      <c r="KAG34" s="545"/>
      <c r="KAH34" s="545"/>
      <c r="KAI34" s="545"/>
      <c r="KAJ34" s="545"/>
      <c r="KAK34" s="545"/>
      <c r="KAL34" s="545"/>
      <c r="KAM34" s="545"/>
      <c r="KAN34" s="545"/>
      <c r="KAO34" s="545"/>
      <c r="KAP34" s="545"/>
      <c r="KAQ34" s="545"/>
      <c r="KAR34" s="545"/>
      <c r="KAS34" s="545"/>
      <c r="KAT34" s="545"/>
      <c r="KAU34" s="545"/>
      <c r="KAV34" s="545"/>
      <c r="KAW34" s="545"/>
      <c r="KAX34" s="545"/>
      <c r="KAY34" s="545"/>
      <c r="KAZ34" s="545"/>
      <c r="KBA34" s="545"/>
      <c r="KBB34" s="545"/>
      <c r="KBC34" s="545"/>
      <c r="KBD34" s="545"/>
      <c r="KBE34" s="545"/>
      <c r="KBF34" s="545"/>
      <c r="KBG34" s="545"/>
      <c r="KBH34" s="545"/>
      <c r="KBI34" s="545"/>
      <c r="KBJ34" s="545"/>
      <c r="KBK34" s="545"/>
      <c r="KBL34" s="545"/>
      <c r="KBM34" s="545"/>
      <c r="KBN34" s="545"/>
      <c r="KBO34" s="545"/>
      <c r="KBP34" s="545"/>
      <c r="KBQ34" s="545"/>
      <c r="KBR34" s="545"/>
      <c r="KBS34" s="545"/>
      <c r="KBT34" s="545"/>
      <c r="KBU34" s="545"/>
      <c r="KBV34" s="545"/>
      <c r="KBW34" s="545"/>
      <c r="KBX34" s="545"/>
      <c r="KBY34" s="545"/>
      <c r="KBZ34" s="545"/>
      <c r="KCA34" s="545"/>
      <c r="KCB34" s="545"/>
      <c r="KCC34" s="545"/>
      <c r="KCD34" s="545"/>
      <c r="KCE34" s="545"/>
      <c r="KCF34" s="545"/>
      <c r="KCG34" s="545"/>
      <c r="KCH34" s="545"/>
      <c r="KCI34" s="545"/>
      <c r="KCJ34" s="545"/>
      <c r="KCK34" s="545"/>
      <c r="KCL34" s="545"/>
      <c r="KCM34" s="545"/>
      <c r="KCN34" s="545"/>
      <c r="KCO34" s="545"/>
      <c r="KCP34" s="545"/>
      <c r="KCQ34" s="545"/>
      <c r="KCR34" s="545"/>
      <c r="KCS34" s="545"/>
      <c r="KCT34" s="545"/>
      <c r="KCU34" s="545"/>
      <c r="KCV34" s="545"/>
      <c r="KCW34" s="545"/>
      <c r="KCX34" s="545"/>
      <c r="KCY34" s="545"/>
      <c r="KCZ34" s="545"/>
      <c r="KDA34" s="545"/>
      <c r="KDB34" s="545"/>
      <c r="KDC34" s="545"/>
      <c r="KDD34" s="545"/>
      <c r="KDE34" s="545"/>
      <c r="KDF34" s="545"/>
      <c r="KDG34" s="545"/>
      <c r="KDH34" s="545"/>
      <c r="KDI34" s="545"/>
      <c r="KDJ34" s="545"/>
      <c r="KDK34" s="545"/>
      <c r="KDL34" s="545"/>
      <c r="KDM34" s="545"/>
      <c r="KDN34" s="545"/>
      <c r="KDO34" s="545"/>
      <c r="KDP34" s="545"/>
      <c r="KDQ34" s="545"/>
      <c r="KDR34" s="545"/>
      <c r="KDS34" s="545"/>
      <c r="KDT34" s="545"/>
      <c r="KDU34" s="545"/>
      <c r="KDV34" s="545"/>
      <c r="KDW34" s="545"/>
      <c r="KDX34" s="545"/>
      <c r="KDY34" s="545"/>
      <c r="KDZ34" s="545"/>
      <c r="KEA34" s="545"/>
      <c r="KEB34" s="545"/>
      <c r="KEC34" s="545"/>
      <c r="KED34" s="545"/>
      <c r="KEE34" s="545"/>
      <c r="KEF34" s="545"/>
      <c r="KEG34" s="545"/>
      <c r="KEH34" s="545"/>
      <c r="KEI34" s="545"/>
      <c r="KEJ34" s="545"/>
      <c r="KEK34" s="545"/>
      <c r="KEL34" s="545"/>
      <c r="KEM34" s="545"/>
      <c r="KEN34" s="545"/>
      <c r="KEO34" s="545"/>
      <c r="KEP34" s="545"/>
      <c r="KEQ34" s="545"/>
      <c r="KER34" s="545"/>
      <c r="KES34" s="545"/>
      <c r="KET34" s="545"/>
      <c r="KEU34" s="545"/>
      <c r="KEV34" s="545"/>
      <c r="KEW34" s="545"/>
      <c r="KEX34" s="545"/>
      <c r="KEY34" s="545"/>
      <c r="KEZ34" s="545"/>
      <c r="KFA34" s="545"/>
      <c r="KFB34" s="545"/>
      <c r="KFC34" s="545"/>
      <c r="KFD34" s="545"/>
      <c r="KFE34" s="545"/>
      <c r="KFF34" s="545"/>
      <c r="KFG34" s="545"/>
      <c r="KFH34" s="545"/>
      <c r="KFI34" s="545"/>
      <c r="KFJ34" s="545"/>
      <c r="KFK34" s="545"/>
      <c r="KFL34" s="545"/>
      <c r="KFM34" s="545"/>
      <c r="KFN34" s="545"/>
      <c r="KFO34" s="545"/>
      <c r="KFP34" s="545"/>
      <c r="KFQ34" s="545"/>
      <c r="KFR34" s="545"/>
      <c r="KFS34" s="545"/>
      <c r="KFT34" s="545"/>
      <c r="KFU34" s="545"/>
      <c r="KFV34" s="545"/>
      <c r="KFW34" s="545"/>
      <c r="KFX34" s="545"/>
      <c r="KFY34" s="545"/>
      <c r="KFZ34" s="545"/>
      <c r="KGA34" s="545"/>
      <c r="KGB34" s="545"/>
      <c r="KGC34" s="545"/>
      <c r="KGD34" s="545"/>
      <c r="KGE34" s="545"/>
      <c r="KGF34" s="545"/>
      <c r="KGG34" s="545"/>
      <c r="KGH34" s="545"/>
      <c r="KGI34" s="545"/>
      <c r="KGJ34" s="545"/>
      <c r="KGK34" s="545"/>
      <c r="KGL34" s="545"/>
      <c r="KGM34" s="545"/>
      <c r="KGN34" s="545"/>
      <c r="KGO34" s="545"/>
      <c r="KGP34" s="545"/>
      <c r="KGQ34" s="545"/>
      <c r="KGR34" s="545"/>
      <c r="KGS34" s="545"/>
      <c r="KGT34" s="545"/>
      <c r="KGU34" s="545"/>
      <c r="KGV34" s="545"/>
      <c r="KGW34" s="545"/>
      <c r="KGX34" s="545"/>
      <c r="KGY34" s="545"/>
      <c r="KGZ34" s="545"/>
      <c r="KHA34" s="545"/>
      <c r="KHB34" s="545"/>
      <c r="KHC34" s="545"/>
      <c r="KHD34" s="545"/>
      <c r="KHE34" s="545"/>
      <c r="KHF34" s="545"/>
      <c r="KHG34" s="545"/>
      <c r="KHH34" s="545"/>
      <c r="KHI34" s="545"/>
      <c r="KHJ34" s="545"/>
      <c r="KHK34" s="545"/>
      <c r="KHL34" s="545"/>
      <c r="KHM34" s="545"/>
      <c r="KHN34" s="545"/>
      <c r="KHO34" s="545"/>
      <c r="KHP34" s="545"/>
      <c r="KHQ34" s="545"/>
      <c r="KHR34" s="545"/>
      <c r="KHS34" s="545"/>
      <c r="KHT34" s="545"/>
      <c r="KHU34" s="545"/>
      <c r="KHV34" s="545"/>
      <c r="KHW34" s="545"/>
      <c r="KHX34" s="545"/>
      <c r="KHY34" s="545"/>
      <c r="KHZ34" s="545"/>
      <c r="KIA34" s="545"/>
      <c r="KIB34" s="545"/>
      <c r="KIC34" s="545"/>
      <c r="KID34" s="545"/>
      <c r="KIE34" s="545"/>
      <c r="KIF34" s="545"/>
      <c r="KIG34" s="545"/>
      <c r="KIH34" s="545"/>
      <c r="KII34" s="545"/>
      <c r="KIJ34" s="545"/>
      <c r="KIK34" s="545"/>
      <c r="KIL34" s="545"/>
      <c r="KIM34" s="545"/>
      <c r="KIN34" s="545"/>
      <c r="KIO34" s="545"/>
      <c r="KIP34" s="545"/>
      <c r="KIQ34" s="545"/>
      <c r="KIR34" s="545"/>
      <c r="KIS34" s="545"/>
      <c r="KIT34" s="545"/>
      <c r="KIU34" s="545"/>
      <c r="KIV34" s="545"/>
      <c r="KIW34" s="545"/>
      <c r="KIX34" s="545"/>
      <c r="KIY34" s="545"/>
      <c r="KIZ34" s="545"/>
      <c r="KJA34" s="545"/>
      <c r="KJB34" s="545"/>
      <c r="KJC34" s="545"/>
      <c r="KJD34" s="545"/>
      <c r="KJE34" s="545"/>
      <c r="KJF34" s="545"/>
      <c r="KJG34" s="545"/>
      <c r="KJH34" s="545"/>
      <c r="KJI34" s="545"/>
      <c r="KJJ34" s="545"/>
      <c r="KJK34" s="545"/>
      <c r="KJL34" s="545"/>
      <c r="KJM34" s="545"/>
      <c r="KJN34" s="545"/>
      <c r="KJO34" s="545"/>
      <c r="KJP34" s="545"/>
      <c r="KJQ34" s="545"/>
      <c r="KJR34" s="545"/>
      <c r="KJS34" s="545"/>
      <c r="KJT34" s="545"/>
      <c r="KJU34" s="545"/>
      <c r="KJV34" s="545"/>
      <c r="KJW34" s="545"/>
      <c r="KJX34" s="545"/>
      <c r="KJY34" s="545"/>
      <c r="KJZ34" s="545"/>
      <c r="KKA34" s="545"/>
      <c r="KKB34" s="545"/>
      <c r="KKC34" s="545"/>
      <c r="KKD34" s="545"/>
      <c r="KKE34" s="545"/>
      <c r="KKF34" s="545"/>
      <c r="KKG34" s="545"/>
      <c r="KKH34" s="545"/>
      <c r="KKI34" s="545"/>
      <c r="KKJ34" s="545"/>
      <c r="KKK34" s="545"/>
      <c r="KKL34" s="545"/>
      <c r="KKM34" s="545"/>
      <c r="KKN34" s="545"/>
      <c r="KKO34" s="545"/>
      <c r="KKP34" s="545"/>
      <c r="KKQ34" s="545"/>
      <c r="KKR34" s="545"/>
      <c r="KKS34" s="545"/>
      <c r="KKT34" s="545"/>
      <c r="KKU34" s="545"/>
      <c r="KKV34" s="545"/>
      <c r="KKW34" s="545"/>
      <c r="KKX34" s="545"/>
      <c r="KKY34" s="545"/>
      <c r="KKZ34" s="545"/>
      <c r="KLA34" s="545"/>
      <c r="KLB34" s="545"/>
      <c r="KLC34" s="545"/>
      <c r="KLD34" s="545"/>
      <c r="KLE34" s="545"/>
      <c r="KLF34" s="545"/>
      <c r="KLG34" s="545"/>
      <c r="KLH34" s="545"/>
      <c r="KLI34" s="545"/>
      <c r="KLJ34" s="545"/>
      <c r="KLK34" s="545"/>
      <c r="KLL34" s="545"/>
      <c r="KLM34" s="545"/>
      <c r="KLN34" s="545"/>
      <c r="KLO34" s="545"/>
      <c r="KLP34" s="545"/>
      <c r="KLQ34" s="545"/>
      <c r="KLR34" s="545"/>
      <c r="KLS34" s="545"/>
      <c r="KLT34" s="545"/>
      <c r="KLU34" s="545"/>
      <c r="KLV34" s="545"/>
      <c r="KLW34" s="545"/>
      <c r="KLX34" s="545"/>
      <c r="KLY34" s="545"/>
      <c r="KLZ34" s="545"/>
      <c r="KMA34" s="545"/>
      <c r="KMB34" s="545"/>
      <c r="KMC34" s="545"/>
      <c r="KMD34" s="545"/>
      <c r="KME34" s="545"/>
      <c r="KMF34" s="545"/>
      <c r="KMG34" s="545"/>
      <c r="KMH34" s="545"/>
      <c r="KMI34" s="545"/>
      <c r="KMJ34" s="545"/>
      <c r="KMK34" s="545"/>
      <c r="KML34" s="545"/>
      <c r="KMM34" s="545"/>
      <c r="KMN34" s="545"/>
      <c r="KMO34" s="545"/>
      <c r="KMP34" s="545"/>
      <c r="KMQ34" s="545"/>
      <c r="KMR34" s="545"/>
      <c r="KMS34" s="545"/>
      <c r="KMT34" s="545"/>
      <c r="KMU34" s="545"/>
      <c r="KMV34" s="545"/>
      <c r="KMW34" s="545"/>
      <c r="KMX34" s="545"/>
      <c r="KMY34" s="545"/>
      <c r="KMZ34" s="545"/>
      <c r="KNA34" s="545"/>
      <c r="KNB34" s="545"/>
      <c r="KNC34" s="545"/>
      <c r="KND34" s="545"/>
      <c r="KNE34" s="545"/>
      <c r="KNF34" s="545"/>
      <c r="KNG34" s="545"/>
      <c r="KNH34" s="545"/>
      <c r="KNI34" s="545"/>
      <c r="KNJ34" s="545"/>
      <c r="KNK34" s="545"/>
      <c r="KNL34" s="545"/>
      <c r="KNM34" s="545"/>
      <c r="KNN34" s="545"/>
      <c r="KNO34" s="545"/>
      <c r="KNP34" s="545"/>
      <c r="KNQ34" s="545"/>
      <c r="KNR34" s="545"/>
      <c r="KNS34" s="545"/>
      <c r="KNT34" s="545"/>
      <c r="KNU34" s="545"/>
      <c r="KNV34" s="545"/>
      <c r="KNW34" s="545"/>
      <c r="KNX34" s="545"/>
      <c r="KNY34" s="545"/>
      <c r="KNZ34" s="545"/>
      <c r="KOA34" s="545"/>
      <c r="KOB34" s="545"/>
      <c r="KOC34" s="545"/>
      <c r="KOD34" s="545"/>
      <c r="KOE34" s="545"/>
      <c r="KOF34" s="545"/>
      <c r="KOG34" s="545"/>
      <c r="KOH34" s="545"/>
      <c r="KOI34" s="545"/>
      <c r="KOJ34" s="545"/>
      <c r="KOK34" s="545"/>
      <c r="KOL34" s="545"/>
      <c r="KOM34" s="545"/>
      <c r="KON34" s="545"/>
      <c r="KOO34" s="545"/>
      <c r="KOP34" s="545"/>
      <c r="KOQ34" s="545"/>
      <c r="KOR34" s="545"/>
      <c r="KOS34" s="545"/>
      <c r="KOT34" s="545"/>
      <c r="KOU34" s="545"/>
      <c r="KOV34" s="545"/>
      <c r="KOW34" s="545"/>
      <c r="KOX34" s="545"/>
      <c r="KOY34" s="545"/>
      <c r="KOZ34" s="545"/>
      <c r="KPA34" s="545"/>
      <c r="KPB34" s="545"/>
      <c r="KPC34" s="545"/>
      <c r="KPD34" s="545"/>
      <c r="KPE34" s="545"/>
      <c r="KPF34" s="545"/>
      <c r="KPG34" s="545"/>
      <c r="KPH34" s="545"/>
      <c r="KPI34" s="545"/>
      <c r="KPJ34" s="545"/>
      <c r="KPK34" s="545"/>
      <c r="KPL34" s="545"/>
      <c r="KPM34" s="545"/>
      <c r="KPN34" s="545"/>
      <c r="KPO34" s="545"/>
      <c r="KPP34" s="545"/>
      <c r="KPQ34" s="545"/>
      <c r="KPR34" s="545"/>
      <c r="KPS34" s="545"/>
      <c r="KPT34" s="545"/>
      <c r="KPU34" s="545"/>
      <c r="KPV34" s="545"/>
      <c r="KPW34" s="545"/>
      <c r="KPX34" s="545"/>
      <c r="KPY34" s="545"/>
      <c r="KPZ34" s="545"/>
      <c r="KQA34" s="545"/>
      <c r="KQB34" s="545"/>
      <c r="KQC34" s="545"/>
      <c r="KQD34" s="545"/>
      <c r="KQE34" s="545"/>
      <c r="KQF34" s="545"/>
      <c r="KQG34" s="545"/>
      <c r="KQH34" s="545"/>
      <c r="KQI34" s="545"/>
      <c r="KQJ34" s="545"/>
      <c r="KQK34" s="545"/>
      <c r="KQL34" s="545"/>
      <c r="KQM34" s="545"/>
      <c r="KQN34" s="545"/>
      <c r="KQO34" s="545"/>
      <c r="KQP34" s="545"/>
      <c r="KQQ34" s="545"/>
      <c r="KQR34" s="545"/>
      <c r="KQS34" s="545"/>
      <c r="KQT34" s="545"/>
      <c r="KQU34" s="545"/>
      <c r="KQV34" s="545"/>
      <c r="KQW34" s="545"/>
      <c r="KQX34" s="545"/>
      <c r="KQY34" s="545"/>
      <c r="KQZ34" s="545"/>
      <c r="KRA34" s="545"/>
      <c r="KRB34" s="545"/>
      <c r="KRC34" s="545"/>
      <c r="KRD34" s="545"/>
      <c r="KRE34" s="545"/>
      <c r="KRF34" s="545"/>
      <c r="KRG34" s="545"/>
      <c r="KRH34" s="545"/>
      <c r="KRI34" s="545"/>
      <c r="KRJ34" s="545"/>
      <c r="KRK34" s="545"/>
      <c r="KRL34" s="545"/>
      <c r="KRM34" s="545"/>
      <c r="KRN34" s="545"/>
      <c r="KRO34" s="545"/>
      <c r="KRP34" s="545"/>
      <c r="KRQ34" s="545"/>
      <c r="KRR34" s="545"/>
      <c r="KRS34" s="545"/>
      <c r="KRT34" s="545"/>
      <c r="KRU34" s="545"/>
      <c r="KRV34" s="545"/>
      <c r="KRW34" s="545"/>
      <c r="KRX34" s="545"/>
      <c r="KRY34" s="545"/>
      <c r="KRZ34" s="545"/>
      <c r="KSA34" s="545"/>
      <c r="KSB34" s="545"/>
      <c r="KSC34" s="545"/>
      <c r="KSD34" s="545"/>
      <c r="KSE34" s="545"/>
      <c r="KSF34" s="545"/>
      <c r="KSG34" s="545"/>
      <c r="KSH34" s="545"/>
      <c r="KSI34" s="545"/>
      <c r="KSJ34" s="545"/>
      <c r="KSK34" s="545"/>
      <c r="KSL34" s="545"/>
      <c r="KSM34" s="545"/>
      <c r="KSN34" s="545"/>
      <c r="KSO34" s="545"/>
      <c r="KSP34" s="545"/>
      <c r="KSQ34" s="545"/>
      <c r="KSR34" s="545"/>
      <c r="KSS34" s="545"/>
      <c r="KST34" s="545"/>
      <c r="KSU34" s="545"/>
      <c r="KSV34" s="545"/>
      <c r="KSW34" s="545"/>
      <c r="KSX34" s="545"/>
      <c r="KSY34" s="545"/>
      <c r="KSZ34" s="545"/>
      <c r="KTA34" s="545"/>
      <c r="KTB34" s="545"/>
      <c r="KTC34" s="545"/>
      <c r="KTD34" s="545"/>
      <c r="KTE34" s="545"/>
      <c r="KTF34" s="545"/>
      <c r="KTG34" s="545"/>
      <c r="KTH34" s="545"/>
      <c r="KTI34" s="545"/>
      <c r="KTJ34" s="545"/>
      <c r="KTK34" s="545"/>
      <c r="KTL34" s="545"/>
      <c r="KTM34" s="545"/>
      <c r="KTN34" s="545"/>
      <c r="KTO34" s="545"/>
      <c r="KTP34" s="545"/>
      <c r="KTQ34" s="545"/>
      <c r="KTR34" s="545"/>
      <c r="KTS34" s="545"/>
      <c r="KTT34" s="545"/>
      <c r="KTU34" s="545"/>
      <c r="KTV34" s="545"/>
      <c r="KTW34" s="545"/>
      <c r="KTX34" s="545"/>
      <c r="KTY34" s="545"/>
      <c r="KTZ34" s="545"/>
      <c r="KUA34" s="545"/>
      <c r="KUB34" s="545"/>
      <c r="KUC34" s="545"/>
      <c r="KUD34" s="545"/>
      <c r="KUE34" s="545"/>
      <c r="KUF34" s="545"/>
      <c r="KUG34" s="545"/>
      <c r="KUH34" s="545"/>
      <c r="KUI34" s="545"/>
      <c r="KUJ34" s="545"/>
      <c r="KUK34" s="545"/>
      <c r="KUL34" s="545"/>
      <c r="KUM34" s="545"/>
      <c r="KUN34" s="545"/>
      <c r="KUO34" s="545"/>
      <c r="KUP34" s="545"/>
      <c r="KUQ34" s="545"/>
      <c r="KUR34" s="545"/>
      <c r="KUS34" s="545"/>
      <c r="KUT34" s="545"/>
      <c r="KUU34" s="545"/>
      <c r="KUV34" s="545"/>
      <c r="KUW34" s="545"/>
      <c r="KUX34" s="545"/>
      <c r="KUY34" s="545"/>
      <c r="KUZ34" s="545"/>
      <c r="KVA34" s="545"/>
      <c r="KVB34" s="545"/>
      <c r="KVC34" s="545"/>
      <c r="KVD34" s="545"/>
      <c r="KVE34" s="545"/>
      <c r="KVF34" s="545"/>
      <c r="KVG34" s="545"/>
      <c r="KVH34" s="545"/>
      <c r="KVI34" s="545"/>
      <c r="KVJ34" s="545"/>
      <c r="KVK34" s="545"/>
      <c r="KVL34" s="545"/>
      <c r="KVM34" s="545"/>
      <c r="KVN34" s="545"/>
      <c r="KVO34" s="545"/>
      <c r="KVP34" s="545"/>
      <c r="KVQ34" s="545"/>
      <c r="KVR34" s="545"/>
      <c r="KVS34" s="545"/>
      <c r="KVT34" s="545"/>
      <c r="KVU34" s="545"/>
      <c r="KVV34" s="545"/>
      <c r="KVW34" s="545"/>
      <c r="KVX34" s="545"/>
      <c r="KVY34" s="545"/>
      <c r="KVZ34" s="545"/>
      <c r="KWA34" s="545"/>
      <c r="KWB34" s="545"/>
      <c r="KWC34" s="545"/>
      <c r="KWD34" s="545"/>
      <c r="KWE34" s="545"/>
      <c r="KWF34" s="545"/>
      <c r="KWG34" s="545"/>
      <c r="KWH34" s="545"/>
      <c r="KWI34" s="545"/>
      <c r="KWJ34" s="545"/>
      <c r="KWK34" s="545"/>
      <c r="KWL34" s="545"/>
      <c r="KWM34" s="545"/>
      <c r="KWN34" s="545"/>
      <c r="KWO34" s="545"/>
      <c r="KWP34" s="545"/>
      <c r="KWQ34" s="545"/>
      <c r="KWR34" s="545"/>
      <c r="KWS34" s="545"/>
      <c r="KWT34" s="545"/>
      <c r="KWU34" s="545"/>
      <c r="KWV34" s="545"/>
      <c r="KWW34" s="545"/>
      <c r="KWX34" s="545"/>
      <c r="KWY34" s="545"/>
      <c r="KWZ34" s="545"/>
      <c r="KXA34" s="545"/>
      <c r="KXB34" s="545"/>
      <c r="KXC34" s="545"/>
      <c r="KXD34" s="545"/>
      <c r="KXE34" s="545"/>
      <c r="KXF34" s="545"/>
      <c r="KXG34" s="545"/>
      <c r="KXH34" s="545"/>
      <c r="KXI34" s="545"/>
      <c r="KXJ34" s="545"/>
      <c r="KXK34" s="545"/>
      <c r="KXL34" s="545"/>
      <c r="KXM34" s="545"/>
      <c r="KXN34" s="545"/>
      <c r="KXO34" s="545"/>
      <c r="KXP34" s="545"/>
      <c r="KXQ34" s="545"/>
      <c r="KXR34" s="545"/>
      <c r="KXS34" s="545"/>
      <c r="KXT34" s="545"/>
      <c r="KXU34" s="545"/>
      <c r="KXV34" s="545"/>
      <c r="KXW34" s="545"/>
      <c r="KXX34" s="545"/>
      <c r="KXY34" s="545"/>
      <c r="KXZ34" s="545"/>
      <c r="KYA34" s="545"/>
      <c r="KYB34" s="545"/>
      <c r="KYC34" s="545"/>
      <c r="KYD34" s="545"/>
      <c r="KYE34" s="545"/>
      <c r="KYF34" s="545"/>
      <c r="KYG34" s="545"/>
      <c r="KYH34" s="545"/>
      <c r="KYI34" s="545"/>
      <c r="KYJ34" s="545"/>
      <c r="KYK34" s="545"/>
      <c r="KYL34" s="545"/>
      <c r="KYM34" s="545"/>
      <c r="KYN34" s="545"/>
      <c r="KYO34" s="545"/>
      <c r="KYP34" s="545"/>
      <c r="KYQ34" s="545"/>
      <c r="KYR34" s="545"/>
      <c r="KYS34" s="545"/>
      <c r="KYT34" s="545"/>
      <c r="KYU34" s="545"/>
      <c r="KYV34" s="545"/>
      <c r="KYW34" s="545"/>
      <c r="KYX34" s="545"/>
      <c r="KYY34" s="545"/>
      <c r="KYZ34" s="545"/>
      <c r="KZA34" s="545"/>
      <c r="KZB34" s="545"/>
      <c r="KZC34" s="545"/>
      <c r="KZD34" s="545"/>
      <c r="KZE34" s="545"/>
      <c r="KZF34" s="545"/>
      <c r="KZG34" s="545"/>
      <c r="KZH34" s="545"/>
      <c r="KZI34" s="545"/>
      <c r="KZJ34" s="545"/>
      <c r="KZK34" s="545"/>
      <c r="KZL34" s="545"/>
      <c r="KZM34" s="545"/>
      <c r="KZN34" s="545"/>
      <c r="KZO34" s="545"/>
      <c r="KZP34" s="545"/>
      <c r="KZQ34" s="545"/>
      <c r="KZR34" s="545"/>
      <c r="KZS34" s="545"/>
      <c r="KZT34" s="545"/>
      <c r="KZU34" s="545"/>
      <c r="KZV34" s="545"/>
      <c r="KZW34" s="545"/>
      <c r="KZX34" s="545"/>
      <c r="KZY34" s="545"/>
      <c r="KZZ34" s="545"/>
      <c r="LAA34" s="545"/>
      <c r="LAB34" s="545"/>
      <c r="LAC34" s="545"/>
      <c r="LAD34" s="545"/>
      <c r="LAE34" s="545"/>
      <c r="LAF34" s="545"/>
      <c r="LAG34" s="545"/>
      <c r="LAH34" s="545"/>
      <c r="LAI34" s="545"/>
      <c r="LAJ34" s="545"/>
      <c r="LAK34" s="545"/>
      <c r="LAL34" s="545"/>
      <c r="LAM34" s="545"/>
      <c r="LAN34" s="545"/>
      <c r="LAO34" s="545"/>
      <c r="LAP34" s="545"/>
      <c r="LAQ34" s="545"/>
      <c r="LAR34" s="545"/>
      <c r="LAS34" s="545"/>
      <c r="LAT34" s="545"/>
      <c r="LAU34" s="545"/>
      <c r="LAV34" s="545"/>
      <c r="LAW34" s="545"/>
      <c r="LAX34" s="545"/>
      <c r="LAY34" s="545"/>
      <c r="LAZ34" s="545"/>
      <c r="LBA34" s="545"/>
      <c r="LBB34" s="545"/>
      <c r="LBC34" s="545"/>
      <c r="LBD34" s="545"/>
      <c r="LBE34" s="545"/>
      <c r="LBF34" s="545"/>
      <c r="LBG34" s="545"/>
      <c r="LBH34" s="545"/>
      <c r="LBI34" s="545"/>
      <c r="LBJ34" s="545"/>
      <c r="LBK34" s="545"/>
      <c r="LBL34" s="545"/>
      <c r="LBM34" s="545"/>
      <c r="LBN34" s="545"/>
      <c r="LBO34" s="545"/>
      <c r="LBP34" s="545"/>
      <c r="LBQ34" s="545"/>
      <c r="LBR34" s="545"/>
      <c r="LBS34" s="545"/>
      <c r="LBT34" s="545"/>
      <c r="LBU34" s="545"/>
      <c r="LBV34" s="545"/>
      <c r="LBW34" s="545"/>
      <c r="LBX34" s="545"/>
      <c r="LBY34" s="545"/>
      <c r="LBZ34" s="545"/>
      <c r="LCA34" s="545"/>
      <c r="LCB34" s="545"/>
      <c r="LCC34" s="545"/>
      <c r="LCD34" s="545"/>
      <c r="LCE34" s="545"/>
      <c r="LCF34" s="545"/>
      <c r="LCG34" s="545"/>
      <c r="LCH34" s="545"/>
      <c r="LCI34" s="545"/>
      <c r="LCJ34" s="545"/>
      <c r="LCK34" s="545"/>
      <c r="LCL34" s="545"/>
      <c r="LCM34" s="545"/>
      <c r="LCN34" s="545"/>
      <c r="LCO34" s="545"/>
      <c r="LCP34" s="545"/>
      <c r="LCQ34" s="545"/>
      <c r="LCR34" s="545"/>
      <c r="LCS34" s="545"/>
      <c r="LCT34" s="545"/>
      <c r="LCU34" s="545"/>
      <c r="LCV34" s="545"/>
      <c r="LCW34" s="545"/>
      <c r="LCX34" s="545"/>
      <c r="LCY34" s="545"/>
      <c r="LCZ34" s="545"/>
      <c r="LDA34" s="545"/>
      <c r="LDB34" s="545"/>
      <c r="LDC34" s="545"/>
      <c r="LDD34" s="545"/>
      <c r="LDE34" s="545"/>
      <c r="LDF34" s="545"/>
      <c r="LDG34" s="545"/>
      <c r="LDH34" s="545"/>
      <c r="LDI34" s="545"/>
      <c r="LDJ34" s="545"/>
      <c r="LDK34" s="545"/>
      <c r="LDL34" s="545"/>
      <c r="LDM34" s="545"/>
      <c r="LDN34" s="545"/>
      <c r="LDO34" s="545"/>
      <c r="LDP34" s="545"/>
      <c r="LDQ34" s="545"/>
      <c r="LDR34" s="545"/>
      <c r="LDS34" s="545"/>
      <c r="LDT34" s="545"/>
      <c r="LDU34" s="545"/>
      <c r="LDV34" s="545"/>
      <c r="LDW34" s="545"/>
      <c r="LDX34" s="545"/>
      <c r="LDY34" s="545"/>
      <c r="LDZ34" s="545"/>
      <c r="LEA34" s="545"/>
      <c r="LEB34" s="545"/>
      <c r="LEC34" s="545"/>
      <c r="LED34" s="545"/>
      <c r="LEE34" s="545"/>
      <c r="LEF34" s="545"/>
      <c r="LEG34" s="545"/>
      <c r="LEH34" s="545"/>
      <c r="LEI34" s="545"/>
      <c r="LEJ34" s="545"/>
      <c r="LEK34" s="545"/>
      <c r="LEL34" s="545"/>
      <c r="LEM34" s="545"/>
      <c r="LEN34" s="545"/>
      <c r="LEO34" s="545"/>
      <c r="LEP34" s="545"/>
      <c r="LEQ34" s="545"/>
      <c r="LER34" s="545"/>
      <c r="LES34" s="545"/>
      <c r="LET34" s="545"/>
      <c r="LEU34" s="545"/>
      <c r="LEV34" s="545"/>
      <c r="LEW34" s="545"/>
      <c r="LEX34" s="545"/>
      <c r="LEY34" s="545"/>
      <c r="LEZ34" s="545"/>
      <c r="LFA34" s="545"/>
      <c r="LFB34" s="545"/>
      <c r="LFC34" s="545"/>
      <c r="LFD34" s="545"/>
      <c r="LFE34" s="545"/>
      <c r="LFF34" s="545"/>
      <c r="LFG34" s="545"/>
      <c r="LFH34" s="545"/>
      <c r="LFI34" s="545"/>
      <c r="LFJ34" s="545"/>
      <c r="LFK34" s="545"/>
      <c r="LFL34" s="545"/>
      <c r="LFM34" s="545"/>
      <c r="LFN34" s="545"/>
      <c r="LFO34" s="545"/>
      <c r="LFP34" s="545"/>
      <c r="LFQ34" s="545"/>
      <c r="LFR34" s="545"/>
      <c r="LFS34" s="545"/>
      <c r="LFT34" s="545"/>
      <c r="LFU34" s="545"/>
      <c r="LFV34" s="545"/>
      <c r="LFW34" s="545"/>
      <c r="LFX34" s="545"/>
      <c r="LFY34" s="545"/>
      <c r="LFZ34" s="545"/>
      <c r="LGA34" s="545"/>
      <c r="LGB34" s="545"/>
      <c r="LGC34" s="545"/>
      <c r="LGD34" s="545"/>
      <c r="LGE34" s="545"/>
      <c r="LGF34" s="545"/>
      <c r="LGG34" s="545"/>
      <c r="LGH34" s="545"/>
      <c r="LGI34" s="545"/>
      <c r="LGJ34" s="545"/>
      <c r="LGK34" s="545"/>
      <c r="LGL34" s="545"/>
      <c r="LGM34" s="545"/>
      <c r="LGN34" s="545"/>
      <c r="LGO34" s="545"/>
      <c r="LGP34" s="545"/>
      <c r="LGQ34" s="545"/>
      <c r="LGR34" s="545"/>
      <c r="LGS34" s="545"/>
      <c r="LGT34" s="545"/>
      <c r="LGU34" s="545"/>
      <c r="LGV34" s="545"/>
      <c r="LGW34" s="545"/>
      <c r="LGX34" s="545"/>
      <c r="LGY34" s="545"/>
      <c r="LGZ34" s="545"/>
      <c r="LHA34" s="545"/>
      <c r="LHB34" s="545"/>
      <c r="LHC34" s="545"/>
      <c r="LHD34" s="545"/>
      <c r="LHE34" s="545"/>
      <c r="LHF34" s="545"/>
      <c r="LHG34" s="545"/>
      <c r="LHH34" s="545"/>
      <c r="LHI34" s="545"/>
      <c r="LHJ34" s="545"/>
      <c r="LHK34" s="545"/>
      <c r="LHL34" s="545"/>
      <c r="LHM34" s="545"/>
      <c r="LHN34" s="545"/>
      <c r="LHO34" s="545"/>
      <c r="LHP34" s="545"/>
      <c r="LHQ34" s="545"/>
      <c r="LHR34" s="545"/>
      <c r="LHS34" s="545"/>
      <c r="LHT34" s="545"/>
      <c r="LHU34" s="545"/>
      <c r="LHV34" s="545"/>
      <c r="LHW34" s="545"/>
      <c r="LHX34" s="545"/>
      <c r="LHY34" s="545"/>
      <c r="LHZ34" s="545"/>
      <c r="LIA34" s="545"/>
      <c r="LIB34" s="545"/>
      <c r="LIC34" s="545"/>
      <c r="LID34" s="545"/>
      <c r="LIE34" s="545"/>
      <c r="LIF34" s="545"/>
      <c r="LIG34" s="545"/>
      <c r="LIH34" s="545"/>
      <c r="LII34" s="545"/>
      <c r="LIJ34" s="545"/>
      <c r="LIK34" s="545"/>
      <c r="LIL34" s="545"/>
      <c r="LIM34" s="545"/>
      <c r="LIN34" s="545"/>
      <c r="LIO34" s="545"/>
      <c r="LIP34" s="545"/>
      <c r="LIQ34" s="545"/>
      <c r="LIR34" s="545"/>
      <c r="LIS34" s="545"/>
      <c r="LIT34" s="545"/>
      <c r="LIU34" s="545"/>
      <c r="LIV34" s="545"/>
      <c r="LIW34" s="545"/>
      <c r="LIX34" s="545"/>
      <c r="LIY34" s="545"/>
      <c r="LIZ34" s="545"/>
      <c r="LJA34" s="545"/>
      <c r="LJB34" s="545"/>
      <c r="LJC34" s="545"/>
      <c r="LJD34" s="545"/>
      <c r="LJE34" s="545"/>
      <c r="LJF34" s="545"/>
      <c r="LJG34" s="545"/>
      <c r="LJH34" s="545"/>
      <c r="LJI34" s="545"/>
      <c r="LJJ34" s="545"/>
      <c r="LJK34" s="545"/>
      <c r="LJL34" s="545"/>
      <c r="LJM34" s="545"/>
      <c r="LJN34" s="545"/>
      <c r="LJO34" s="545"/>
      <c r="LJP34" s="545"/>
      <c r="LJQ34" s="545"/>
      <c r="LJR34" s="545"/>
      <c r="LJS34" s="545"/>
      <c r="LJT34" s="545"/>
      <c r="LJU34" s="545"/>
      <c r="LJV34" s="545"/>
      <c r="LJW34" s="545"/>
      <c r="LJX34" s="545"/>
      <c r="LJY34" s="545"/>
      <c r="LJZ34" s="545"/>
      <c r="LKA34" s="545"/>
      <c r="LKB34" s="545"/>
      <c r="LKC34" s="545"/>
      <c r="LKD34" s="545"/>
      <c r="LKE34" s="545"/>
      <c r="LKF34" s="545"/>
      <c r="LKG34" s="545"/>
      <c r="LKH34" s="545"/>
      <c r="LKI34" s="545"/>
      <c r="LKJ34" s="545"/>
      <c r="LKK34" s="545"/>
      <c r="LKL34" s="545"/>
      <c r="LKM34" s="545"/>
      <c r="LKN34" s="545"/>
      <c r="LKO34" s="545"/>
      <c r="LKP34" s="545"/>
      <c r="LKQ34" s="545"/>
      <c r="LKR34" s="545"/>
      <c r="LKS34" s="545"/>
      <c r="LKT34" s="545"/>
      <c r="LKU34" s="545"/>
      <c r="LKV34" s="545"/>
      <c r="LKW34" s="545"/>
      <c r="LKX34" s="545"/>
      <c r="LKY34" s="545"/>
      <c r="LKZ34" s="545"/>
      <c r="LLA34" s="545"/>
      <c r="LLB34" s="545"/>
      <c r="LLC34" s="545"/>
      <c r="LLD34" s="545"/>
      <c r="LLE34" s="545"/>
      <c r="LLF34" s="545"/>
      <c r="LLG34" s="545"/>
      <c r="LLH34" s="545"/>
      <c r="LLI34" s="545"/>
      <c r="LLJ34" s="545"/>
      <c r="LLK34" s="545"/>
      <c r="LLL34" s="545"/>
      <c r="LLM34" s="545"/>
      <c r="LLN34" s="545"/>
      <c r="LLO34" s="545"/>
      <c r="LLP34" s="545"/>
      <c r="LLQ34" s="545"/>
      <c r="LLR34" s="545"/>
      <c r="LLS34" s="545"/>
      <c r="LLT34" s="545"/>
      <c r="LLU34" s="545"/>
      <c r="LLV34" s="545"/>
      <c r="LLW34" s="545"/>
      <c r="LLX34" s="545"/>
      <c r="LLY34" s="545"/>
      <c r="LLZ34" s="545"/>
      <c r="LMA34" s="545"/>
      <c r="LMB34" s="545"/>
      <c r="LMC34" s="545"/>
      <c r="LMD34" s="545"/>
      <c r="LME34" s="545"/>
      <c r="LMF34" s="545"/>
      <c r="LMG34" s="545"/>
      <c r="LMH34" s="545"/>
      <c r="LMI34" s="545"/>
      <c r="LMJ34" s="545"/>
      <c r="LMK34" s="545"/>
      <c r="LML34" s="545"/>
      <c r="LMM34" s="545"/>
      <c r="LMN34" s="545"/>
      <c r="LMO34" s="545"/>
      <c r="LMP34" s="545"/>
      <c r="LMQ34" s="545"/>
      <c r="LMR34" s="545"/>
      <c r="LMS34" s="545"/>
      <c r="LMT34" s="545"/>
      <c r="LMU34" s="545"/>
      <c r="LMV34" s="545"/>
      <c r="LMW34" s="545"/>
      <c r="LMX34" s="545"/>
      <c r="LMY34" s="545"/>
      <c r="LMZ34" s="545"/>
      <c r="LNA34" s="545"/>
      <c r="LNB34" s="545"/>
      <c r="LNC34" s="545"/>
      <c r="LND34" s="545"/>
      <c r="LNE34" s="545"/>
      <c r="LNF34" s="545"/>
      <c r="LNG34" s="545"/>
      <c r="LNH34" s="545"/>
      <c r="LNI34" s="545"/>
      <c r="LNJ34" s="545"/>
      <c r="LNK34" s="545"/>
      <c r="LNL34" s="545"/>
      <c r="LNM34" s="545"/>
      <c r="LNN34" s="545"/>
      <c r="LNO34" s="545"/>
      <c r="LNP34" s="545"/>
      <c r="LNQ34" s="545"/>
      <c r="LNR34" s="545"/>
      <c r="LNS34" s="545"/>
      <c r="LNT34" s="545"/>
      <c r="LNU34" s="545"/>
      <c r="LNV34" s="545"/>
      <c r="LNW34" s="545"/>
      <c r="LNX34" s="545"/>
      <c r="LNY34" s="545"/>
      <c r="LNZ34" s="545"/>
      <c r="LOA34" s="545"/>
      <c r="LOB34" s="545"/>
      <c r="LOC34" s="545"/>
      <c r="LOD34" s="545"/>
      <c r="LOE34" s="545"/>
      <c r="LOF34" s="545"/>
      <c r="LOG34" s="545"/>
      <c r="LOH34" s="545"/>
      <c r="LOI34" s="545"/>
      <c r="LOJ34" s="545"/>
      <c r="LOK34" s="545"/>
      <c r="LOL34" s="545"/>
      <c r="LOM34" s="545"/>
      <c r="LON34" s="545"/>
      <c r="LOO34" s="545"/>
      <c r="LOP34" s="545"/>
      <c r="LOQ34" s="545"/>
      <c r="LOR34" s="545"/>
      <c r="LOS34" s="545"/>
      <c r="LOT34" s="545"/>
      <c r="LOU34" s="545"/>
      <c r="LOV34" s="545"/>
      <c r="LOW34" s="545"/>
      <c r="LOX34" s="545"/>
      <c r="LOY34" s="545"/>
      <c r="LOZ34" s="545"/>
      <c r="LPA34" s="545"/>
      <c r="LPB34" s="545"/>
      <c r="LPC34" s="545"/>
      <c r="LPD34" s="545"/>
      <c r="LPE34" s="545"/>
      <c r="LPF34" s="545"/>
      <c r="LPG34" s="545"/>
      <c r="LPH34" s="545"/>
      <c r="LPI34" s="545"/>
      <c r="LPJ34" s="545"/>
      <c r="LPK34" s="545"/>
      <c r="LPL34" s="545"/>
      <c r="LPM34" s="545"/>
      <c r="LPN34" s="545"/>
      <c r="LPO34" s="545"/>
      <c r="LPP34" s="545"/>
      <c r="LPQ34" s="545"/>
      <c r="LPR34" s="545"/>
      <c r="LPS34" s="545"/>
      <c r="LPT34" s="545"/>
      <c r="LPU34" s="545"/>
      <c r="LPV34" s="545"/>
      <c r="LPW34" s="545"/>
      <c r="LPX34" s="545"/>
      <c r="LPY34" s="545"/>
      <c r="LPZ34" s="545"/>
      <c r="LQA34" s="545"/>
      <c r="LQB34" s="545"/>
      <c r="LQC34" s="545"/>
      <c r="LQD34" s="545"/>
      <c r="LQE34" s="545"/>
      <c r="LQF34" s="545"/>
      <c r="LQG34" s="545"/>
      <c r="LQH34" s="545"/>
      <c r="LQI34" s="545"/>
      <c r="LQJ34" s="545"/>
      <c r="LQK34" s="545"/>
      <c r="LQL34" s="545"/>
      <c r="LQM34" s="545"/>
      <c r="LQN34" s="545"/>
      <c r="LQO34" s="545"/>
      <c r="LQP34" s="545"/>
      <c r="LQQ34" s="545"/>
      <c r="LQR34" s="545"/>
      <c r="LQS34" s="545"/>
      <c r="LQT34" s="545"/>
      <c r="LQU34" s="545"/>
      <c r="LQV34" s="545"/>
      <c r="LQW34" s="545"/>
      <c r="LQX34" s="545"/>
      <c r="LQY34" s="545"/>
      <c r="LQZ34" s="545"/>
      <c r="LRA34" s="545"/>
      <c r="LRB34" s="545"/>
      <c r="LRC34" s="545"/>
      <c r="LRD34" s="545"/>
      <c r="LRE34" s="545"/>
      <c r="LRF34" s="545"/>
      <c r="LRG34" s="545"/>
      <c r="LRH34" s="545"/>
      <c r="LRI34" s="545"/>
      <c r="LRJ34" s="545"/>
      <c r="LRK34" s="545"/>
      <c r="LRL34" s="545"/>
      <c r="LRM34" s="545"/>
      <c r="LRN34" s="545"/>
      <c r="LRO34" s="545"/>
      <c r="LRP34" s="545"/>
      <c r="LRQ34" s="545"/>
      <c r="LRR34" s="545"/>
      <c r="LRS34" s="545"/>
      <c r="LRT34" s="545"/>
      <c r="LRU34" s="545"/>
      <c r="LRV34" s="545"/>
      <c r="LRW34" s="545"/>
      <c r="LRX34" s="545"/>
      <c r="LRY34" s="545"/>
      <c r="LRZ34" s="545"/>
      <c r="LSA34" s="545"/>
      <c r="LSB34" s="545"/>
      <c r="LSC34" s="545"/>
      <c r="LSD34" s="545"/>
      <c r="LSE34" s="545"/>
      <c r="LSF34" s="545"/>
      <c r="LSG34" s="545"/>
      <c r="LSH34" s="545"/>
      <c r="LSI34" s="545"/>
      <c r="LSJ34" s="545"/>
      <c r="LSK34" s="545"/>
      <c r="LSL34" s="545"/>
      <c r="LSM34" s="545"/>
      <c r="LSN34" s="545"/>
      <c r="LSO34" s="545"/>
      <c r="LSP34" s="545"/>
      <c r="LSQ34" s="545"/>
      <c r="LSR34" s="545"/>
      <c r="LSS34" s="545"/>
      <c r="LST34" s="545"/>
      <c r="LSU34" s="545"/>
      <c r="LSV34" s="545"/>
      <c r="LSW34" s="545"/>
      <c r="LSX34" s="545"/>
      <c r="LSY34" s="545"/>
      <c r="LSZ34" s="545"/>
      <c r="LTA34" s="545"/>
      <c r="LTB34" s="545"/>
      <c r="LTC34" s="545"/>
      <c r="LTD34" s="545"/>
      <c r="LTE34" s="545"/>
      <c r="LTF34" s="545"/>
      <c r="LTG34" s="545"/>
      <c r="LTH34" s="545"/>
      <c r="LTI34" s="545"/>
      <c r="LTJ34" s="545"/>
      <c r="LTK34" s="545"/>
      <c r="LTL34" s="545"/>
      <c r="LTM34" s="545"/>
      <c r="LTN34" s="545"/>
      <c r="LTO34" s="545"/>
      <c r="LTP34" s="545"/>
      <c r="LTQ34" s="545"/>
      <c r="LTR34" s="545"/>
      <c r="LTS34" s="545"/>
      <c r="LTT34" s="545"/>
      <c r="LTU34" s="545"/>
      <c r="LTV34" s="545"/>
      <c r="LTW34" s="545"/>
      <c r="LTX34" s="545"/>
      <c r="LTY34" s="545"/>
      <c r="LTZ34" s="545"/>
      <c r="LUA34" s="545"/>
      <c r="LUB34" s="545"/>
      <c r="LUC34" s="545"/>
      <c r="LUD34" s="545"/>
      <c r="LUE34" s="545"/>
      <c r="LUF34" s="545"/>
      <c r="LUG34" s="545"/>
      <c r="LUH34" s="545"/>
      <c r="LUI34" s="545"/>
      <c r="LUJ34" s="545"/>
      <c r="LUK34" s="545"/>
      <c r="LUL34" s="545"/>
      <c r="LUM34" s="545"/>
      <c r="LUN34" s="545"/>
      <c r="LUO34" s="545"/>
      <c r="LUP34" s="545"/>
      <c r="LUQ34" s="545"/>
      <c r="LUR34" s="545"/>
      <c r="LUS34" s="545"/>
      <c r="LUT34" s="545"/>
      <c r="LUU34" s="545"/>
      <c r="LUV34" s="545"/>
      <c r="LUW34" s="545"/>
      <c r="LUX34" s="545"/>
      <c r="LUY34" s="545"/>
      <c r="LUZ34" s="545"/>
      <c r="LVA34" s="545"/>
      <c r="LVB34" s="545"/>
      <c r="LVC34" s="545"/>
      <c r="LVD34" s="545"/>
      <c r="LVE34" s="545"/>
      <c r="LVF34" s="545"/>
      <c r="LVG34" s="545"/>
      <c r="LVH34" s="545"/>
      <c r="LVI34" s="545"/>
      <c r="LVJ34" s="545"/>
      <c r="LVK34" s="545"/>
      <c r="LVL34" s="545"/>
      <c r="LVM34" s="545"/>
      <c r="LVN34" s="545"/>
      <c r="LVO34" s="545"/>
      <c r="LVP34" s="545"/>
      <c r="LVQ34" s="545"/>
      <c r="LVR34" s="545"/>
      <c r="LVS34" s="545"/>
      <c r="LVT34" s="545"/>
      <c r="LVU34" s="545"/>
      <c r="LVV34" s="545"/>
      <c r="LVW34" s="545"/>
      <c r="LVX34" s="545"/>
      <c r="LVY34" s="545"/>
      <c r="LVZ34" s="545"/>
      <c r="LWA34" s="545"/>
      <c r="LWB34" s="545"/>
      <c r="LWC34" s="545"/>
      <c r="LWD34" s="545"/>
      <c r="LWE34" s="545"/>
      <c r="LWF34" s="545"/>
      <c r="LWG34" s="545"/>
      <c r="LWH34" s="545"/>
      <c r="LWI34" s="545"/>
      <c r="LWJ34" s="545"/>
      <c r="LWK34" s="545"/>
      <c r="LWL34" s="545"/>
      <c r="LWM34" s="545"/>
      <c r="LWN34" s="545"/>
      <c r="LWO34" s="545"/>
      <c r="LWP34" s="545"/>
      <c r="LWQ34" s="545"/>
      <c r="LWR34" s="545"/>
      <c r="LWS34" s="545"/>
      <c r="LWT34" s="545"/>
      <c r="LWU34" s="545"/>
      <c r="LWV34" s="545"/>
      <c r="LWW34" s="545"/>
      <c r="LWX34" s="545"/>
      <c r="LWY34" s="545"/>
      <c r="LWZ34" s="545"/>
      <c r="LXA34" s="545"/>
      <c r="LXB34" s="545"/>
      <c r="LXC34" s="545"/>
      <c r="LXD34" s="545"/>
      <c r="LXE34" s="545"/>
      <c r="LXF34" s="545"/>
      <c r="LXG34" s="545"/>
      <c r="LXH34" s="545"/>
      <c r="LXI34" s="545"/>
      <c r="LXJ34" s="545"/>
      <c r="LXK34" s="545"/>
      <c r="LXL34" s="545"/>
      <c r="LXM34" s="545"/>
      <c r="LXN34" s="545"/>
      <c r="LXO34" s="545"/>
      <c r="LXP34" s="545"/>
      <c r="LXQ34" s="545"/>
      <c r="LXR34" s="545"/>
      <c r="LXS34" s="545"/>
      <c r="LXT34" s="545"/>
      <c r="LXU34" s="545"/>
      <c r="LXV34" s="545"/>
      <c r="LXW34" s="545"/>
      <c r="LXX34" s="545"/>
      <c r="LXY34" s="545"/>
      <c r="LXZ34" s="545"/>
      <c r="LYA34" s="545"/>
      <c r="LYB34" s="545"/>
      <c r="LYC34" s="545"/>
      <c r="LYD34" s="545"/>
      <c r="LYE34" s="545"/>
      <c r="LYF34" s="545"/>
      <c r="LYG34" s="545"/>
      <c r="LYH34" s="545"/>
      <c r="LYI34" s="545"/>
      <c r="LYJ34" s="545"/>
      <c r="LYK34" s="545"/>
      <c r="LYL34" s="545"/>
      <c r="LYM34" s="545"/>
      <c r="LYN34" s="545"/>
      <c r="LYO34" s="545"/>
      <c r="LYP34" s="545"/>
      <c r="LYQ34" s="545"/>
      <c r="LYR34" s="545"/>
      <c r="LYS34" s="545"/>
      <c r="LYT34" s="545"/>
      <c r="LYU34" s="545"/>
      <c r="LYV34" s="545"/>
      <c r="LYW34" s="545"/>
      <c r="LYX34" s="545"/>
      <c r="LYY34" s="545"/>
      <c r="LYZ34" s="545"/>
      <c r="LZA34" s="545"/>
      <c r="LZB34" s="545"/>
      <c r="LZC34" s="545"/>
      <c r="LZD34" s="545"/>
      <c r="LZE34" s="545"/>
      <c r="LZF34" s="545"/>
      <c r="LZG34" s="545"/>
      <c r="LZH34" s="545"/>
      <c r="LZI34" s="545"/>
      <c r="LZJ34" s="545"/>
      <c r="LZK34" s="545"/>
      <c r="LZL34" s="545"/>
      <c r="LZM34" s="545"/>
      <c r="LZN34" s="545"/>
      <c r="LZO34" s="545"/>
      <c r="LZP34" s="545"/>
      <c r="LZQ34" s="545"/>
      <c r="LZR34" s="545"/>
      <c r="LZS34" s="545"/>
      <c r="LZT34" s="545"/>
      <c r="LZU34" s="545"/>
      <c r="LZV34" s="545"/>
      <c r="LZW34" s="545"/>
      <c r="LZX34" s="545"/>
      <c r="LZY34" s="545"/>
      <c r="LZZ34" s="545"/>
      <c r="MAA34" s="545"/>
      <c r="MAB34" s="545"/>
      <c r="MAC34" s="545"/>
      <c r="MAD34" s="545"/>
      <c r="MAE34" s="545"/>
      <c r="MAF34" s="545"/>
      <c r="MAG34" s="545"/>
      <c r="MAH34" s="545"/>
      <c r="MAI34" s="545"/>
      <c r="MAJ34" s="545"/>
      <c r="MAK34" s="545"/>
      <c r="MAL34" s="545"/>
      <c r="MAM34" s="545"/>
      <c r="MAN34" s="545"/>
      <c r="MAO34" s="545"/>
      <c r="MAP34" s="545"/>
      <c r="MAQ34" s="545"/>
      <c r="MAR34" s="545"/>
      <c r="MAS34" s="545"/>
      <c r="MAT34" s="545"/>
      <c r="MAU34" s="545"/>
      <c r="MAV34" s="545"/>
      <c r="MAW34" s="545"/>
      <c r="MAX34" s="545"/>
      <c r="MAY34" s="545"/>
      <c r="MAZ34" s="545"/>
      <c r="MBA34" s="545"/>
      <c r="MBB34" s="545"/>
      <c r="MBC34" s="545"/>
      <c r="MBD34" s="545"/>
      <c r="MBE34" s="545"/>
      <c r="MBF34" s="545"/>
      <c r="MBG34" s="545"/>
      <c r="MBH34" s="545"/>
      <c r="MBI34" s="545"/>
      <c r="MBJ34" s="545"/>
      <c r="MBK34" s="545"/>
      <c r="MBL34" s="545"/>
      <c r="MBM34" s="545"/>
      <c r="MBN34" s="545"/>
      <c r="MBO34" s="545"/>
      <c r="MBP34" s="545"/>
      <c r="MBQ34" s="545"/>
      <c r="MBR34" s="545"/>
      <c r="MBS34" s="545"/>
      <c r="MBT34" s="545"/>
      <c r="MBU34" s="545"/>
      <c r="MBV34" s="545"/>
      <c r="MBW34" s="545"/>
      <c r="MBX34" s="545"/>
      <c r="MBY34" s="545"/>
      <c r="MBZ34" s="545"/>
      <c r="MCA34" s="545"/>
      <c r="MCB34" s="545"/>
      <c r="MCC34" s="545"/>
      <c r="MCD34" s="545"/>
      <c r="MCE34" s="545"/>
      <c r="MCF34" s="545"/>
      <c r="MCG34" s="545"/>
      <c r="MCH34" s="545"/>
      <c r="MCI34" s="545"/>
      <c r="MCJ34" s="545"/>
      <c r="MCK34" s="545"/>
      <c r="MCL34" s="545"/>
      <c r="MCM34" s="545"/>
      <c r="MCN34" s="545"/>
      <c r="MCO34" s="545"/>
      <c r="MCP34" s="545"/>
      <c r="MCQ34" s="545"/>
      <c r="MCR34" s="545"/>
      <c r="MCS34" s="545"/>
      <c r="MCT34" s="545"/>
      <c r="MCU34" s="545"/>
      <c r="MCV34" s="545"/>
      <c r="MCW34" s="545"/>
      <c r="MCX34" s="545"/>
      <c r="MCY34" s="545"/>
      <c r="MCZ34" s="545"/>
      <c r="MDA34" s="545"/>
      <c r="MDB34" s="545"/>
      <c r="MDC34" s="545"/>
      <c r="MDD34" s="545"/>
      <c r="MDE34" s="545"/>
      <c r="MDF34" s="545"/>
      <c r="MDG34" s="545"/>
      <c r="MDH34" s="545"/>
      <c r="MDI34" s="545"/>
      <c r="MDJ34" s="545"/>
      <c r="MDK34" s="545"/>
      <c r="MDL34" s="545"/>
      <c r="MDM34" s="545"/>
      <c r="MDN34" s="545"/>
      <c r="MDO34" s="545"/>
      <c r="MDP34" s="545"/>
      <c r="MDQ34" s="545"/>
      <c r="MDR34" s="545"/>
      <c r="MDS34" s="545"/>
      <c r="MDT34" s="545"/>
      <c r="MDU34" s="545"/>
      <c r="MDV34" s="545"/>
      <c r="MDW34" s="545"/>
      <c r="MDX34" s="545"/>
      <c r="MDY34" s="545"/>
      <c r="MDZ34" s="545"/>
      <c r="MEA34" s="545"/>
      <c r="MEB34" s="545"/>
      <c r="MEC34" s="545"/>
      <c r="MED34" s="545"/>
      <c r="MEE34" s="545"/>
      <c r="MEF34" s="545"/>
      <c r="MEG34" s="545"/>
      <c r="MEH34" s="545"/>
      <c r="MEI34" s="545"/>
      <c r="MEJ34" s="545"/>
      <c r="MEK34" s="545"/>
      <c r="MEL34" s="545"/>
      <c r="MEM34" s="545"/>
      <c r="MEN34" s="545"/>
      <c r="MEO34" s="545"/>
      <c r="MEP34" s="545"/>
      <c r="MEQ34" s="545"/>
      <c r="MER34" s="545"/>
      <c r="MES34" s="545"/>
      <c r="MET34" s="545"/>
      <c r="MEU34" s="545"/>
      <c r="MEV34" s="545"/>
      <c r="MEW34" s="545"/>
      <c r="MEX34" s="545"/>
      <c r="MEY34" s="545"/>
      <c r="MEZ34" s="545"/>
      <c r="MFA34" s="545"/>
      <c r="MFB34" s="545"/>
      <c r="MFC34" s="545"/>
      <c r="MFD34" s="545"/>
      <c r="MFE34" s="545"/>
      <c r="MFF34" s="545"/>
      <c r="MFG34" s="545"/>
      <c r="MFH34" s="545"/>
      <c r="MFI34" s="545"/>
      <c r="MFJ34" s="545"/>
      <c r="MFK34" s="545"/>
      <c r="MFL34" s="545"/>
      <c r="MFM34" s="545"/>
      <c r="MFN34" s="545"/>
      <c r="MFO34" s="545"/>
      <c r="MFP34" s="545"/>
      <c r="MFQ34" s="545"/>
      <c r="MFR34" s="545"/>
      <c r="MFS34" s="545"/>
      <c r="MFT34" s="545"/>
      <c r="MFU34" s="545"/>
      <c r="MFV34" s="545"/>
      <c r="MFW34" s="545"/>
      <c r="MFX34" s="545"/>
      <c r="MFY34" s="545"/>
      <c r="MFZ34" s="545"/>
      <c r="MGA34" s="545"/>
      <c r="MGB34" s="545"/>
      <c r="MGC34" s="545"/>
      <c r="MGD34" s="545"/>
      <c r="MGE34" s="545"/>
      <c r="MGF34" s="545"/>
      <c r="MGG34" s="545"/>
      <c r="MGH34" s="545"/>
      <c r="MGI34" s="545"/>
      <c r="MGJ34" s="545"/>
      <c r="MGK34" s="545"/>
      <c r="MGL34" s="545"/>
      <c r="MGM34" s="545"/>
      <c r="MGN34" s="545"/>
      <c r="MGO34" s="545"/>
      <c r="MGP34" s="545"/>
      <c r="MGQ34" s="545"/>
      <c r="MGR34" s="545"/>
      <c r="MGS34" s="545"/>
      <c r="MGT34" s="545"/>
      <c r="MGU34" s="545"/>
      <c r="MGV34" s="545"/>
      <c r="MGW34" s="545"/>
      <c r="MGX34" s="545"/>
      <c r="MGY34" s="545"/>
      <c r="MGZ34" s="545"/>
      <c r="MHA34" s="545"/>
      <c r="MHB34" s="545"/>
      <c r="MHC34" s="545"/>
      <c r="MHD34" s="545"/>
      <c r="MHE34" s="545"/>
      <c r="MHF34" s="545"/>
      <c r="MHG34" s="545"/>
      <c r="MHH34" s="545"/>
      <c r="MHI34" s="545"/>
      <c r="MHJ34" s="545"/>
      <c r="MHK34" s="545"/>
      <c r="MHL34" s="545"/>
      <c r="MHM34" s="545"/>
      <c r="MHN34" s="545"/>
      <c r="MHO34" s="545"/>
      <c r="MHP34" s="545"/>
      <c r="MHQ34" s="545"/>
      <c r="MHR34" s="545"/>
      <c r="MHS34" s="545"/>
      <c r="MHT34" s="545"/>
      <c r="MHU34" s="545"/>
      <c r="MHV34" s="545"/>
      <c r="MHW34" s="545"/>
      <c r="MHX34" s="545"/>
      <c r="MHY34" s="545"/>
      <c r="MHZ34" s="545"/>
      <c r="MIA34" s="545"/>
      <c r="MIB34" s="545"/>
      <c r="MIC34" s="545"/>
      <c r="MID34" s="545"/>
      <c r="MIE34" s="545"/>
      <c r="MIF34" s="545"/>
      <c r="MIG34" s="545"/>
      <c r="MIH34" s="545"/>
      <c r="MII34" s="545"/>
      <c r="MIJ34" s="545"/>
      <c r="MIK34" s="545"/>
      <c r="MIL34" s="545"/>
      <c r="MIM34" s="545"/>
      <c r="MIN34" s="545"/>
      <c r="MIO34" s="545"/>
      <c r="MIP34" s="545"/>
      <c r="MIQ34" s="545"/>
      <c r="MIR34" s="545"/>
      <c r="MIS34" s="545"/>
      <c r="MIT34" s="545"/>
      <c r="MIU34" s="545"/>
      <c r="MIV34" s="545"/>
      <c r="MIW34" s="545"/>
      <c r="MIX34" s="545"/>
      <c r="MIY34" s="545"/>
      <c r="MIZ34" s="545"/>
      <c r="MJA34" s="545"/>
      <c r="MJB34" s="545"/>
      <c r="MJC34" s="545"/>
      <c r="MJD34" s="545"/>
      <c r="MJE34" s="545"/>
      <c r="MJF34" s="545"/>
      <c r="MJG34" s="545"/>
      <c r="MJH34" s="545"/>
      <c r="MJI34" s="545"/>
      <c r="MJJ34" s="545"/>
      <c r="MJK34" s="545"/>
      <c r="MJL34" s="545"/>
      <c r="MJM34" s="545"/>
      <c r="MJN34" s="545"/>
      <c r="MJO34" s="545"/>
      <c r="MJP34" s="545"/>
      <c r="MJQ34" s="545"/>
      <c r="MJR34" s="545"/>
      <c r="MJS34" s="545"/>
      <c r="MJT34" s="545"/>
      <c r="MJU34" s="545"/>
      <c r="MJV34" s="545"/>
      <c r="MJW34" s="545"/>
      <c r="MJX34" s="545"/>
      <c r="MJY34" s="545"/>
      <c r="MJZ34" s="545"/>
      <c r="MKA34" s="545"/>
      <c r="MKB34" s="545"/>
      <c r="MKC34" s="545"/>
      <c r="MKD34" s="545"/>
      <c r="MKE34" s="545"/>
      <c r="MKF34" s="545"/>
      <c r="MKG34" s="545"/>
      <c r="MKH34" s="545"/>
      <c r="MKI34" s="545"/>
      <c r="MKJ34" s="545"/>
      <c r="MKK34" s="545"/>
      <c r="MKL34" s="545"/>
      <c r="MKM34" s="545"/>
      <c r="MKN34" s="545"/>
      <c r="MKO34" s="545"/>
      <c r="MKP34" s="545"/>
      <c r="MKQ34" s="545"/>
      <c r="MKR34" s="545"/>
      <c r="MKS34" s="545"/>
      <c r="MKT34" s="545"/>
      <c r="MKU34" s="545"/>
      <c r="MKV34" s="545"/>
      <c r="MKW34" s="545"/>
      <c r="MKX34" s="545"/>
      <c r="MKY34" s="545"/>
      <c r="MKZ34" s="545"/>
      <c r="MLA34" s="545"/>
      <c r="MLB34" s="545"/>
      <c r="MLC34" s="545"/>
      <c r="MLD34" s="545"/>
      <c r="MLE34" s="545"/>
      <c r="MLF34" s="545"/>
      <c r="MLG34" s="545"/>
      <c r="MLH34" s="545"/>
      <c r="MLI34" s="545"/>
      <c r="MLJ34" s="545"/>
      <c r="MLK34" s="545"/>
      <c r="MLL34" s="545"/>
      <c r="MLM34" s="545"/>
      <c r="MLN34" s="545"/>
      <c r="MLO34" s="545"/>
      <c r="MLP34" s="545"/>
      <c r="MLQ34" s="545"/>
      <c r="MLR34" s="545"/>
      <c r="MLS34" s="545"/>
      <c r="MLT34" s="545"/>
      <c r="MLU34" s="545"/>
      <c r="MLV34" s="545"/>
      <c r="MLW34" s="545"/>
      <c r="MLX34" s="545"/>
      <c r="MLY34" s="545"/>
      <c r="MLZ34" s="545"/>
      <c r="MMA34" s="545"/>
      <c r="MMB34" s="545"/>
      <c r="MMC34" s="545"/>
      <c r="MMD34" s="545"/>
      <c r="MME34" s="545"/>
      <c r="MMF34" s="545"/>
      <c r="MMG34" s="545"/>
      <c r="MMH34" s="545"/>
      <c r="MMI34" s="545"/>
      <c r="MMJ34" s="545"/>
      <c r="MMK34" s="545"/>
      <c r="MML34" s="545"/>
      <c r="MMM34" s="545"/>
      <c r="MMN34" s="545"/>
      <c r="MMO34" s="545"/>
      <c r="MMP34" s="545"/>
      <c r="MMQ34" s="545"/>
      <c r="MMR34" s="545"/>
      <c r="MMS34" s="545"/>
      <c r="MMT34" s="545"/>
      <c r="MMU34" s="545"/>
      <c r="MMV34" s="545"/>
      <c r="MMW34" s="545"/>
      <c r="MMX34" s="545"/>
      <c r="MMY34" s="545"/>
      <c r="MMZ34" s="545"/>
      <c r="MNA34" s="545"/>
      <c r="MNB34" s="545"/>
      <c r="MNC34" s="545"/>
      <c r="MND34" s="545"/>
      <c r="MNE34" s="545"/>
      <c r="MNF34" s="545"/>
      <c r="MNG34" s="545"/>
      <c r="MNH34" s="545"/>
      <c r="MNI34" s="545"/>
      <c r="MNJ34" s="545"/>
      <c r="MNK34" s="545"/>
      <c r="MNL34" s="545"/>
      <c r="MNM34" s="545"/>
      <c r="MNN34" s="545"/>
      <c r="MNO34" s="545"/>
      <c r="MNP34" s="545"/>
      <c r="MNQ34" s="545"/>
      <c r="MNR34" s="545"/>
      <c r="MNS34" s="545"/>
      <c r="MNT34" s="545"/>
      <c r="MNU34" s="545"/>
      <c r="MNV34" s="545"/>
      <c r="MNW34" s="545"/>
      <c r="MNX34" s="545"/>
      <c r="MNY34" s="545"/>
      <c r="MNZ34" s="545"/>
      <c r="MOA34" s="545"/>
      <c r="MOB34" s="545"/>
      <c r="MOC34" s="545"/>
      <c r="MOD34" s="545"/>
      <c r="MOE34" s="545"/>
      <c r="MOF34" s="545"/>
      <c r="MOG34" s="545"/>
      <c r="MOH34" s="545"/>
      <c r="MOI34" s="545"/>
      <c r="MOJ34" s="545"/>
      <c r="MOK34" s="545"/>
      <c r="MOL34" s="545"/>
      <c r="MOM34" s="545"/>
      <c r="MON34" s="545"/>
      <c r="MOO34" s="545"/>
      <c r="MOP34" s="545"/>
      <c r="MOQ34" s="545"/>
      <c r="MOR34" s="545"/>
      <c r="MOS34" s="545"/>
      <c r="MOT34" s="545"/>
      <c r="MOU34" s="545"/>
      <c r="MOV34" s="545"/>
      <c r="MOW34" s="545"/>
      <c r="MOX34" s="545"/>
      <c r="MOY34" s="545"/>
      <c r="MOZ34" s="545"/>
      <c r="MPA34" s="545"/>
      <c r="MPB34" s="545"/>
      <c r="MPC34" s="545"/>
      <c r="MPD34" s="545"/>
      <c r="MPE34" s="545"/>
      <c r="MPF34" s="545"/>
      <c r="MPG34" s="545"/>
      <c r="MPH34" s="545"/>
      <c r="MPI34" s="545"/>
      <c r="MPJ34" s="545"/>
      <c r="MPK34" s="545"/>
      <c r="MPL34" s="545"/>
      <c r="MPM34" s="545"/>
      <c r="MPN34" s="545"/>
      <c r="MPO34" s="545"/>
      <c r="MPP34" s="545"/>
      <c r="MPQ34" s="545"/>
      <c r="MPR34" s="545"/>
      <c r="MPS34" s="545"/>
      <c r="MPT34" s="545"/>
      <c r="MPU34" s="545"/>
      <c r="MPV34" s="545"/>
      <c r="MPW34" s="545"/>
      <c r="MPX34" s="545"/>
      <c r="MPY34" s="545"/>
      <c r="MPZ34" s="545"/>
      <c r="MQA34" s="545"/>
      <c r="MQB34" s="545"/>
      <c r="MQC34" s="545"/>
      <c r="MQD34" s="545"/>
      <c r="MQE34" s="545"/>
      <c r="MQF34" s="545"/>
      <c r="MQG34" s="545"/>
      <c r="MQH34" s="545"/>
      <c r="MQI34" s="545"/>
      <c r="MQJ34" s="545"/>
      <c r="MQK34" s="545"/>
      <c r="MQL34" s="545"/>
      <c r="MQM34" s="545"/>
      <c r="MQN34" s="545"/>
      <c r="MQO34" s="545"/>
      <c r="MQP34" s="545"/>
      <c r="MQQ34" s="545"/>
      <c r="MQR34" s="545"/>
      <c r="MQS34" s="545"/>
      <c r="MQT34" s="545"/>
      <c r="MQU34" s="545"/>
      <c r="MQV34" s="545"/>
      <c r="MQW34" s="545"/>
      <c r="MQX34" s="545"/>
      <c r="MQY34" s="545"/>
      <c r="MQZ34" s="545"/>
      <c r="MRA34" s="545"/>
      <c r="MRB34" s="545"/>
      <c r="MRC34" s="545"/>
      <c r="MRD34" s="545"/>
      <c r="MRE34" s="545"/>
      <c r="MRF34" s="545"/>
      <c r="MRG34" s="545"/>
      <c r="MRH34" s="545"/>
      <c r="MRI34" s="545"/>
      <c r="MRJ34" s="545"/>
      <c r="MRK34" s="545"/>
      <c r="MRL34" s="545"/>
      <c r="MRM34" s="545"/>
      <c r="MRN34" s="545"/>
      <c r="MRO34" s="545"/>
      <c r="MRP34" s="545"/>
      <c r="MRQ34" s="545"/>
      <c r="MRR34" s="545"/>
      <c r="MRS34" s="545"/>
      <c r="MRT34" s="545"/>
      <c r="MRU34" s="545"/>
      <c r="MRV34" s="545"/>
      <c r="MRW34" s="545"/>
      <c r="MRX34" s="545"/>
      <c r="MRY34" s="545"/>
      <c r="MRZ34" s="545"/>
      <c r="MSA34" s="545"/>
      <c r="MSB34" s="545"/>
      <c r="MSC34" s="545"/>
      <c r="MSD34" s="545"/>
      <c r="MSE34" s="545"/>
      <c r="MSF34" s="545"/>
      <c r="MSG34" s="545"/>
      <c r="MSH34" s="545"/>
      <c r="MSI34" s="545"/>
      <c r="MSJ34" s="545"/>
      <c r="MSK34" s="545"/>
      <c r="MSL34" s="545"/>
      <c r="MSM34" s="545"/>
      <c r="MSN34" s="545"/>
      <c r="MSO34" s="545"/>
      <c r="MSP34" s="545"/>
      <c r="MSQ34" s="545"/>
      <c r="MSR34" s="545"/>
      <c r="MSS34" s="545"/>
      <c r="MST34" s="545"/>
      <c r="MSU34" s="545"/>
      <c r="MSV34" s="545"/>
      <c r="MSW34" s="545"/>
      <c r="MSX34" s="545"/>
      <c r="MSY34" s="545"/>
      <c r="MSZ34" s="545"/>
      <c r="MTA34" s="545"/>
      <c r="MTB34" s="545"/>
      <c r="MTC34" s="545"/>
      <c r="MTD34" s="545"/>
      <c r="MTE34" s="545"/>
      <c r="MTF34" s="545"/>
      <c r="MTG34" s="545"/>
      <c r="MTH34" s="545"/>
      <c r="MTI34" s="545"/>
      <c r="MTJ34" s="545"/>
      <c r="MTK34" s="545"/>
      <c r="MTL34" s="545"/>
      <c r="MTM34" s="545"/>
      <c r="MTN34" s="545"/>
      <c r="MTO34" s="545"/>
      <c r="MTP34" s="545"/>
      <c r="MTQ34" s="545"/>
      <c r="MTR34" s="545"/>
      <c r="MTS34" s="545"/>
      <c r="MTT34" s="545"/>
      <c r="MTU34" s="545"/>
      <c r="MTV34" s="545"/>
      <c r="MTW34" s="545"/>
      <c r="MTX34" s="545"/>
      <c r="MTY34" s="545"/>
      <c r="MTZ34" s="545"/>
      <c r="MUA34" s="545"/>
      <c r="MUB34" s="545"/>
      <c r="MUC34" s="545"/>
      <c r="MUD34" s="545"/>
      <c r="MUE34" s="545"/>
      <c r="MUF34" s="545"/>
      <c r="MUG34" s="545"/>
      <c r="MUH34" s="545"/>
      <c r="MUI34" s="545"/>
      <c r="MUJ34" s="545"/>
      <c r="MUK34" s="545"/>
      <c r="MUL34" s="545"/>
      <c r="MUM34" s="545"/>
      <c r="MUN34" s="545"/>
      <c r="MUO34" s="545"/>
      <c r="MUP34" s="545"/>
      <c r="MUQ34" s="545"/>
      <c r="MUR34" s="545"/>
      <c r="MUS34" s="545"/>
      <c r="MUT34" s="545"/>
      <c r="MUU34" s="545"/>
      <c r="MUV34" s="545"/>
      <c r="MUW34" s="545"/>
      <c r="MUX34" s="545"/>
      <c r="MUY34" s="545"/>
      <c r="MUZ34" s="545"/>
      <c r="MVA34" s="545"/>
      <c r="MVB34" s="545"/>
      <c r="MVC34" s="545"/>
      <c r="MVD34" s="545"/>
      <c r="MVE34" s="545"/>
      <c r="MVF34" s="545"/>
      <c r="MVG34" s="545"/>
      <c r="MVH34" s="545"/>
      <c r="MVI34" s="545"/>
      <c r="MVJ34" s="545"/>
      <c r="MVK34" s="545"/>
      <c r="MVL34" s="545"/>
      <c r="MVM34" s="545"/>
      <c r="MVN34" s="545"/>
      <c r="MVO34" s="545"/>
      <c r="MVP34" s="545"/>
      <c r="MVQ34" s="545"/>
      <c r="MVR34" s="545"/>
      <c r="MVS34" s="545"/>
      <c r="MVT34" s="545"/>
      <c r="MVU34" s="545"/>
      <c r="MVV34" s="545"/>
      <c r="MVW34" s="545"/>
      <c r="MVX34" s="545"/>
      <c r="MVY34" s="545"/>
      <c r="MVZ34" s="545"/>
      <c r="MWA34" s="545"/>
      <c r="MWB34" s="545"/>
      <c r="MWC34" s="545"/>
      <c r="MWD34" s="545"/>
      <c r="MWE34" s="545"/>
      <c r="MWF34" s="545"/>
      <c r="MWG34" s="545"/>
      <c r="MWH34" s="545"/>
      <c r="MWI34" s="545"/>
      <c r="MWJ34" s="545"/>
      <c r="MWK34" s="545"/>
      <c r="MWL34" s="545"/>
      <c r="MWM34" s="545"/>
      <c r="MWN34" s="545"/>
      <c r="MWO34" s="545"/>
      <c r="MWP34" s="545"/>
      <c r="MWQ34" s="545"/>
      <c r="MWR34" s="545"/>
      <c r="MWS34" s="545"/>
      <c r="MWT34" s="545"/>
      <c r="MWU34" s="545"/>
      <c r="MWV34" s="545"/>
      <c r="MWW34" s="545"/>
      <c r="MWX34" s="545"/>
      <c r="MWY34" s="545"/>
      <c r="MWZ34" s="545"/>
      <c r="MXA34" s="545"/>
      <c r="MXB34" s="545"/>
      <c r="MXC34" s="545"/>
      <c r="MXD34" s="545"/>
      <c r="MXE34" s="545"/>
      <c r="MXF34" s="545"/>
      <c r="MXG34" s="545"/>
      <c r="MXH34" s="545"/>
      <c r="MXI34" s="545"/>
      <c r="MXJ34" s="545"/>
      <c r="MXK34" s="545"/>
      <c r="MXL34" s="545"/>
      <c r="MXM34" s="545"/>
      <c r="MXN34" s="545"/>
      <c r="MXO34" s="545"/>
      <c r="MXP34" s="545"/>
      <c r="MXQ34" s="545"/>
      <c r="MXR34" s="545"/>
      <c r="MXS34" s="545"/>
      <c r="MXT34" s="545"/>
      <c r="MXU34" s="545"/>
      <c r="MXV34" s="545"/>
      <c r="MXW34" s="545"/>
      <c r="MXX34" s="545"/>
      <c r="MXY34" s="545"/>
      <c r="MXZ34" s="545"/>
      <c r="MYA34" s="545"/>
      <c r="MYB34" s="545"/>
      <c r="MYC34" s="545"/>
      <c r="MYD34" s="545"/>
      <c r="MYE34" s="545"/>
      <c r="MYF34" s="545"/>
      <c r="MYG34" s="545"/>
      <c r="MYH34" s="545"/>
      <c r="MYI34" s="545"/>
      <c r="MYJ34" s="545"/>
      <c r="MYK34" s="545"/>
      <c r="MYL34" s="545"/>
      <c r="MYM34" s="545"/>
      <c r="MYN34" s="545"/>
      <c r="MYO34" s="545"/>
      <c r="MYP34" s="545"/>
      <c r="MYQ34" s="545"/>
      <c r="MYR34" s="545"/>
      <c r="MYS34" s="545"/>
      <c r="MYT34" s="545"/>
      <c r="MYU34" s="545"/>
      <c r="MYV34" s="545"/>
      <c r="MYW34" s="545"/>
      <c r="MYX34" s="545"/>
      <c r="MYY34" s="545"/>
      <c r="MYZ34" s="545"/>
      <c r="MZA34" s="545"/>
      <c r="MZB34" s="545"/>
      <c r="MZC34" s="545"/>
      <c r="MZD34" s="545"/>
      <c r="MZE34" s="545"/>
      <c r="MZF34" s="545"/>
      <c r="MZG34" s="545"/>
      <c r="MZH34" s="545"/>
      <c r="MZI34" s="545"/>
      <c r="MZJ34" s="545"/>
      <c r="MZK34" s="545"/>
      <c r="MZL34" s="545"/>
      <c r="MZM34" s="545"/>
      <c r="MZN34" s="545"/>
      <c r="MZO34" s="545"/>
      <c r="MZP34" s="545"/>
      <c r="MZQ34" s="545"/>
      <c r="MZR34" s="545"/>
      <c r="MZS34" s="545"/>
      <c r="MZT34" s="545"/>
      <c r="MZU34" s="545"/>
      <c r="MZV34" s="545"/>
      <c r="MZW34" s="545"/>
      <c r="MZX34" s="545"/>
      <c r="MZY34" s="545"/>
      <c r="MZZ34" s="545"/>
      <c r="NAA34" s="545"/>
      <c r="NAB34" s="545"/>
      <c r="NAC34" s="545"/>
      <c r="NAD34" s="545"/>
      <c r="NAE34" s="545"/>
      <c r="NAF34" s="545"/>
      <c r="NAG34" s="545"/>
      <c r="NAH34" s="545"/>
      <c r="NAI34" s="545"/>
      <c r="NAJ34" s="545"/>
      <c r="NAK34" s="545"/>
      <c r="NAL34" s="545"/>
      <c r="NAM34" s="545"/>
      <c r="NAN34" s="545"/>
      <c r="NAO34" s="545"/>
      <c r="NAP34" s="545"/>
      <c r="NAQ34" s="545"/>
      <c r="NAR34" s="545"/>
      <c r="NAS34" s="545"/>
      <c r="NAT34" s="545"/>
      <c r="NAU34" s="545"/>
      <c r="NAV34" s="545"/>
      <c r="NAW34" s="545"/>
      <c r="NAX34" s="545"/>
      <c r="NAY34" s="545"/>
      <c r="NAZ34" s="545"/>
      <c r="NBA34" s="545"/>
      <c r="NBB34" s="545"/>
      <c r="NBC34" s="545"/>
      <c r="NBD34" s="545"/>
      <c r="NBE34" s="545"/>
      <c r="NBF34" s="545"/>
      <c r="NBG34" s="545"/>
      <c r="NBH34" s="545"/>
      <c r="NBI34" s="545"/>
      <c r="NBJ34" s="545"/>
      <c r="NBK34" s="545"/>
      <c r="NBL34" s="545"/>
      <c r="NBM34" s="545"/>
      <c r="NBN34" s="545"/>
      <c r="NBO34" s="545"/>
      <c r="NBP34" s="545"/>
      <c r="NBQ34" s="545"/>
      <c r="NBR34" s="545"/>
      <c r="NBS34" s="545"/>
      <c r="NBT34" s="545"/>
      <c r="NBU34" s="545"/>
      <c r="NBV34" s="545"/>
      <c r="NBW34" s="545"/>
      <c r="NBX34" s="545"/>
      <c r="NBY34" s="545"/>
      <c r="NBZ34" s="545"/>
      <c r="NCA34" s="545"/>
      <c r="NCB34" s="545"/>
      <c r="NCC34" s="545"/>
      <c r="NCD34" s="545"/>
      <c r="NCE34" s="545"/>
      <c r="NCF34" s="545"/>
      <c r="NCG34" s="545"/>
      <c r="NCH34" s="545"/>
      <c r="NCI34" s="545"/>
      <c r="NCJ34" s="545"/>
      <c r="NCK34" s="545"/>
      <c r="NCL34" s="545"/>
      <c r="NCM34" s="545"/>
      <c r="NCN34" s="545"/>
      <c r="NCO34" s="545"/>
      <c r="NCP34" s="545"/>
      <c r="NCQ34" s="545"/>
      <c r="NCR34" s="545"/>
      <c r="NCS34" s="545"/>
      <c r="NCT34" s="545"/>
      <c r="NCU34" s="545"/>
      <c r="NCV34" s="545"/>
      <c r="NCW34" s="545"/>
      <c r="NCX34" s="545"/>
      <c r="NCY34" s="545"/>
      <c r="NCZ34" s="545"/>
      <c r="NDA34" s="545"/>
      <c r="NDB34" s="545"/>
      <c r="NDC34" s="545"/>
      <c r="NDD34" s="545"/>
      <c r="NDE34" s="545"/>
      <c r="NDF34" s="545"/>
      <c r="NDG34" s="545"/>
      <c r="NDH34" s="545"/>
      <c r="NDI34" s="545"/>
      <c r="NDJ34" s="545"/>
      <c r="NDK34" s="545"/>
      <c r="NDL34" s="545"/>
      <c r="NDM34" s="545"/>
      <c r="NDN34" s="545"/>
      <c r="NDO34" s="545"/>
      <c r="NDP34" s="545"/>
      <c r="NDQ34" s="545"/>
      <c r="NDR34" s="545"/>
      <c r="NDS34" s="545"/>
      <c r="NDT34" s="545"/>
      <c r="NDU34" s="545"/>
      <c r="NDV34" s="545"/>
      <c r="NDW34" s="545"/>
      <c r="NDX34" s="545"/>
      <c r="NDY34" s="545"/>
      <c r="NDZ34" s="545"/>
      <c r="NEA34" s="545"/>
      <c r="NEB34" s="545"/>
      <c r="NEC34" s="545"/>
      <c r="NED34" s="545"/>
      <c r="NEE34" s="545"/>
      <c r="NEF34" s="545"/>
      <c r="NEG34" s="545"/>
      <c r="NEH34" s="545"/>
      <c r="NEI34" s="545"/>
      <c r="NEJ34" s="545"/>
      <c r="NEK34" s="545"/>
      <c r="NEL34" s="545"/>
      <c r="NEM34" s="545"/>
      <c r="NEN34" s="545"/>
      <c r="NEO34" s="545"/>
      <c r="NEP34" s="545"/>
      <c r="NEQ34" s="545"/>
      <c r="NER34" s="545"/>
      <c r="NES34" s="545"/>
      <c r="NET34" s="545"/>
      <c r="NEU34" s="545"/>
      <c r="NEV34" s="545"/>
      <c r="NEW34" s="545"/>
      <c r="NEX34" s="545"/>
      <c r="NEY34" s="545"/>
      <c r="NEZ34" s="545"/>
      <c r="NFA34" s="545"/>
      <c r="NFB34" s="545"/>
      <c r="NFC34" s="545"/>
      <c r="NFD34" s="545"/>
      <c r="NFE34" s="545"/>
      <c r="NFF34" s="545"/>
      <c r="NFG34" s="545"/>
      <c r="NFH34" s="545"/>
      <c r="NFI34" s="545"/>
      <c r="NFJ34" s="545"/>
      <c r="NFK34" s="545"/>
      <c r="NFL34" s="545"/>
      <c r="NFM34" s="545"/>
      <c r="NFN34" s="545"/>
      <c r="NFO34" s="545"/>
      <c r="NFP34" s="545"/>
      <c r="NFQ34" s="545"/>
      <c r="NFR34" s="545"/>
      <c r="NFS34" s="545"/>
      <c r="NFT34" s="545"/>
      <c r="NFU34" s="545"/>
      <c r="NFV34" s="545"/>
      <c r="NFW34" s="545"/>
      <c r="NFX34" s="545"/>
      <c r="NFY34" s="545"/>
      <c r="NFZ34" s="545"/>
      <c r="NGA34" s="545"/>
      <c r="NGB34" s="545"/>
      <c r="NGC34" s="545"/>
      <c r="NGD34" s="545"/>
      <c r="NGE34" s="545"/>
      <c r="NGF34" s="545"/>
      <c r="NGG34" s="545"/>
      <c r="NGH34" s="545"/>
      <c r="NGI34" s="545"/>
      <c r="NGJ34" s="545"/>
      <c r="NGK34" s="545"/>
      <c r="NGL34" s="545"/>
      <c r="NGM34" s="545"/>
      <c r="NGN34" s="545"/>
      <c r="NGO34" s="545"/>
      <c r="NGP34" s="545"/>
      <c r="NGQ34" s="545"/>
      <c r="NGR34" s="545"/>
      <c r="NGS34" s="545"/>
      <c r="NGT34" s="545"/>
      <c r="NGU34" s="545"/>
      <c r="NGV34" s="545"/>
      <c r="NGW34" s="545"/>
      <c r="NGX34" s="545"/>
      <c r="NGY34" s="545"/>
      <c r="NGZ34" s="545"/>
      <c r="NHA34" s="545"/>
      <c r="NHB34" s="545"/>
      <c r="NHC34" s="545"/>
      <c r="NHD34" s="545"/>
      <c r="NHE34" s="545"/>
      <c r="NHF34" s="545"/>
      <c r="NHG34" s="545"/>
      <c r="NHH34" s="545"/>
      <c r="NHI34" s="545"/>
      <c r="NHJ34" s="545"/>
      <c r="NHK34" s="545"/>
      <c r="NHL34" s="545"/>
      <c r="NHM34" s="545"/>
      <c r="NHN34" s="545"/>
      <c r="NHO34" s="545"/>
      <c r="NHP34" s="545"/>
      <c r="NHQ34" s="545"/>
      <c r="NHR34" s="545"/>
      <c r="NHS34" s="545"/>
      <c r="NHT34" s="545"/>
      <c r="NHU34" s="545"/>
      <c r="NHV34" s="545"/>
      <c r="NHW34" s="545"/>
      <c r="NHX34" s="545"/>
      <c r="NHY34" s="545"/>
      <c r="NHZ34" s="545"/>
      <c r="NIA34" s="545"/>
      <c r="NIB34" s="545"/>
      <c r="NIC34" s="545"/>
      <c r="NID34" s="545"/>
      <c r="NIE34" s="545"/>
      <c r="NIF34" s="545"/>
      <c r="NIG34" s="545"/>
      <c r="NIH34" s="545"/>
      <c r="NII34" s="545"/>
      <c r="NIJ34" s="545"/>
      <c r="NIK34" s="545"/>
      <c r="NIL34" s="545"/>
      <c r="NIM34" s="545"/>
      <c r="NIN34" s="545"/>
      <c r="NIO34" s="545"/>
      <c r="NIP34" s="545"/>
      <c r="NIQ34" s="545"/>
      <c r="NIR34" s="545"/>
      <c r="NIS34" s="545"/>
      <c r="NIT34" s="545"/>
      <c r="NIU34" s="545"/>
      <c r="NIV34" s="545"/>
      <c r="NIW34" s="545"/>
      <c r="NIX34" s="545"/>
      <c r="NIY34" s="545"/>
      <c r="NIZ34" s="545"/>
      <c r="NJA34" s="545"/>
      <c r="NJB34" s="545"/>
      <c r="NJC34" s="545"/>
      <c r="NJD34" s="545"/>
      <c r="NJE34" s="545"/>
      <c r="NJF34" s="545"/>
      <c r="NJG34" s="545"/>
      <c r="NJH34" s="545"/>
      <c r="NJI34" s="545"/>
      <c r="NJJ34" s="545"/>
      <c r="NJK34" s="545"/>
      <c r="NJL34" s="545"/>
      <c r="NJM34" s="545"/>
      <c r="NJN34" s="545"/>
      <c r="NJO34" s="545"/>
      <c r="NJP34" s="545"/>
      <c r="NJQ34" s="545"/>
      <c r="NJR34" s="545"/>
      <c r="NJS34" s="545"/>
      <c r="NJT34" s="545"/>
      <c r="NJU34" s="545"/>
      <c r="NJV34" s="545"/>
      <c r="NJW34" s="545"/>
      <c r="NJX34" s="545"/>
      <c r="NJY34" s="545"/>
      <c r="NJZ34" s="545"/>
      <c r="NKA34" s="545"/>
      <c r="NKB34" s="545"/>
      <c r="NKC34" s="545"/>
      <c r="NKD34" s="545"/>
      <c r="NKE34" s="545"/>
      <c r="NKF34" s="545"/>
      <c r="NKG34" s="545"/>
      <c r="NKH34" s="545"/>
      <c r="NKI34" s="545"/>
      <c r="NKJ34" s="545"/>
      <c r="NKK34" s="545"/>
      <c r="NKL34" s="545"/>
      <c r="NKM34" s="545"/>
      <c r="NKN34" s="545"/>
      <c r="NKO34" s="545"/>
      <c r="NKP34" s="545"/>
      <c r="NKQ34" s="545"/>
      <c r="NKR34" s="545"/>
      <c r="NKS34" s="545"/>
      <c r="NKT34" s="545"/>
      <c r="NKU34" s="545"/>
      <c r="NKV34" s="545"/>
      <c r="NKW34" s="545"/>
      <c r="NKX34" s="545"/>
      <c r="NKY34" s="545"/>
      <c r="NKZ34" s="545"/>
      <c r="NLA34" s="545"/>
      <c r="NLB34" s="545"/>
      <c r="NLC34" s="545"/>
      <c r="NLD34" s="545"/>
      <c r="NLE34" s="545"/>
      <c r="NLF34" s="545"/>
      <c r="NLG34" s="545"/>
      <c r="NLH34" s="545"/>
      <c r="NLI34" s="545"/>
      <c r="NLJ34" s="545"/>
      <c r="NLK34" s="545"/>
      <c r="NLL34" s="545"/>
      <c r="NLM34" s="545"/>
      <c r="NLN34" s="545"/>
      <c r="NLO34" s="545"/>
      <c r="NLP34" s="545"/>
      <c r="NLQ34" s="545"/>
      <c r="NLR34" s="545"/>
      <c r="NLS34" s="545"/>
      <c r="NLT34" s="545"/>
      <c r="NLU34" s="545"/>
      <c r="NLV34" s="545"/>
      <c r="NLW34" s="545"/>
      <c r="NLX34" s="545"/>
      <c r="NLY34" s="545"/>
      <c r="NLZ34" s="545"/>
      <c r="NMA34" s="545"/>
      <c r="NMB34" s="545"/>
      <c r="NMC34" s="545"/>
      <c r="NMD34" s="545"/>
      <c r="NME34" s="545"/>
      <c r="NMF34" s="545"/>
      <c r="NMG34" s="545"/>
      <c r="NMH34" s="545"/>
      <c r="NMI34" s="545"/>
      <c r="NMJ34" s="545"/>
      <c r="NMK34" s="545"/>
      <c r="NML34" s="545"/>
      <c r="NMM34" s="545"/>
      <c r="NMN34" s="545"/>
      <c r="NMO34" s="545"/>
      <c r="NMP34" s="545"/>
      <c r="NMQ34" s="545"/>
      <c r="NMR34" s="545"/>
      <c r="NMS34" s="545"/>
      <c r="NMT34" s="545"/>
      <c r="NMU34" s="545"/>
      <c r="NMV34" s="545"/>
      <c r="NMW34" s="545"/>
      <c r="NMX34" s="545"/>
      <c r="NMY34" s="545"/>
      <c r="NMZ34" s="545"/>
      <c r="NNA34" s="545"/>
      <c r="NNB34" s="545"/>
      <c r="NNC34" s="545"/>
      <c r="NND34" s="545"/>
      <c r="NNE34" s="545"/>
      <c r="NNF34" s="545"/>
      <c r="NNG34" s="545"/>
      <c r="NNH34" s="545"/>
      <c r="NNI34" s="545"/>
      <c r="NNJ34" s="545"/>
      <c r="NNK34" s="545"/>
      <c r="NNL34" s="545"/>
      <c r="NNM34" s="545"/>
      <c r="NNN34" s="545"/>
      <c r="NNO34" s="545"/>
      <c r="NNP34" s="545"/>
      <c r="NNQ34" s="545"/>
      <c r="NNR34" s="545"/>
      <c r="NNS34" s="545"/>
      <c r="NNT34" s="545"/>
      <c r="NNU34" s="545"/>
      <c r="NNV34" s="545"/>
      <c r="NNW34" s="545"/>
      <c r="NNX34" s="545"/>
      <c r="NNY34" s="545"/>
      <c r="NNZ34" s="545"/>
      <c r="NOA34" s="545"/>
      <c r="NOB34" s="545"/>
      <c r="NOC34" s="545"/>
      <c r="NOD34" s="545"/>
      <c r="NOE34" s="545"/>
      <c r="NOF34" s="545"/>
      <c r="NOG34" s="545"/>
      <c r="NOH34" s="545"/>
      <c r="NOI34" s="545"/>
      <c r="NOJ34" s="545"/>
      <c r="NOK34" s="545"/>
      <c r="NOL34" s="545"/>
      <c r="NOM34" s="545"/>
      <c r="NON34" s="545"/>
      <c r="NOO34" s="545"/>
      <c r="NOP34" s="545"/>
      <c r="NOQ34" s="545"/>
      <c r="NOR34" s="545"/>
      <c r="NOS34" s="545"/>
      <c r="NOT34" s="545"/>
      <c r="NOU34" s="545"/>
      <c r="NOV34" s="545"/>
      <c r="NOW34" s="545"/>
      <c r="NOX34" s="545"/>
      <c r="NOY34" s="545"/>
      <c r="NOZ34" s="545"/>
      <c r="NPA34" s="545"/>
      <c r="NPB34" s="545"/>
      <c r="NPC34" s="545"/>
      <c r="NPD34" s="545"/>
      <c r="NPE34" s="545"/>
      <c r="NPF34" s="545"/>
      <c r="NPG34" s="545"/>
      <c r="NPH34" s="545"/>
      <c r="NPI34" s="545"/>
      <c r="NPJ34" s="545"/>
      <c r="NPK34" s="545"/>
      <c r="NPL34" s="545"/>
      <c r="NPM34" s="545"/>
      <c r="NPN34" s="545"/>
      <c r="NPO34" s="545"/>
      <c r="NPP34" s="545"/>
      <c r="NPQ34" s="545"/>
      <c r="NPR34" s="545"/>
      <c r="NPS34" s="545"/>
      <c r="NPT34" s="545"/>
      <c r="NPU34" s="545"/>
      <c r="NPV34" s="545"/>
      <c r="NPW34" s="545"/>
      <c r="NPX34" s="545"/>
      <c r="NPY34" s="545"/>
      <c r="NPZ34" s="545"/>
      <c r="NQA34" s="545"/>
      <c r="NQB34" s="545"/>
      <c r="NQC34" s="545"/>
      <c r="NQD34" s="545"/>
      <c r="NQE34" s="545"/>
      <c r="NQF34" s="545"/>
      <c r="NQG34" s="545"/>
      <c r="NQH34" s="545"/>
      <c r="NQI34" s="545"/>
      <c r="NQJ34" s="545"/>
      <c r="NQK34" s="545"/>
      <c r="NQL34" s="545"/>
      <c r="NQM34" s="545"/>
      <c r="NQN34" s="545"/>
      <c r="NQO34" s="545"/>
      <c r="NQP34" s="545"/>
      <c r="NQQ34" s="545"/>
      <c r="NQR34" s="545"/>
      <c r="NQS34" s="545"/>
      <c r="NQT34" s="545"/>
      <c r="NQU34" s="545"/>
      <c r="NQV34" s="545"/>
      <c r="NQW34" s="545"/>
      <c r="NQX34" s="545"/>
      <c r="NQY34" s="545"/>
      <c r="NQZ34" s="545"/>
      <c r="NRA34" s="545"/>
      <c r="NRB34" s="545"/>
      <c r="NRC34" s="545"/>
      <c r="NRD34" s="545"/>
      <c r="NRE34" s="545"/>
      <c r="NRF34" s="545"/>
      <c r="NRG34" s="545"/>
      <c r="NRH34" s="545"/>
      <c r="NRI34" s="545"/>
      <c r="NRJ34" s="545"/>
      <c r="NRK34" s="545"/>
      <c r="NRL34" s="545"/>
      <c r="NRM34" s="545"/>
      <c r="NRN34" s="545"/>
      <c r="NRO34" s="545"/>
      <c r="NRP34" s="545"/>
      <c r="NRQ34" s="545"/>
      <c r="NRR34" s="545"/>
      <c r="NRS34" s="545"/>
      <c r="NRT34" s="545"/>
      <c r="NRU34" s="545"/>
      <c r="NRV34" s="545"/>
      <c r="NRW34" s="545"/>
      <c r="NRX34" s="545"/>
      <c r="NRY34" s="545"/>
      <c r="NRZ34" s="545"/>
      <c r="NSA34" s="545"/>
      <c r="NSB34" s="545"/>
      <c r="NSC34" s="545"/>
      <c r="NSD34" s="545"/>
      <c r="NSE34" s="545"/>
      <c r="NSF34" s="545"/>
      <c r="NSG34" s="545"/>
      <c r="NSH34" s="545"/>
      <c r="NSI34" s="545"/>
      <c r="NSJ34" s="545"/>
      <c r="NSK34" s="545"/>
      <c r="NSL34" s="545"/>
      <c r="NSM34" s="545"/>
      <c r="NSN34" s="545"/>
      <c r="NSO34" s="545"/>
      <c r="NSP34" s="545"/>
      <c r="NSQ34" s="545"/>
      <c r="NSR34" s="545"/>
      <c r="NSS34" s="545"/>
      <c r="NST34" s="545"/>
      <c r="NSU34" s="545"/>
      <c r="NSV34" s="545"/>
      <c r="NSW34" s="545"/>
      <c r="NSX34" s="545"/>
      <c r="NSY34" s="545"/>
      <c r="NSZ34" s="545"/>
      <c r="NTA34" s="545"/>
      <c r="NTB34" s="545"/>
      <c r="NTC34" s="545"/>
      <c r="NTD34" s="545"/>
      <c r="NTE34" s="545"/>
      <c r="NTF34" s="545"/>
      <c r="NTG34" s="545"/>
      <c r="NTH34" s="545"/>
      <c r="NTI34" s="545"/>
      <c r="NTJ34" s="545"/>
      <c r="NTK34" s="545"/>
      <c r="NTL34" s="545"/>
      <c r="NTM34" s="545"/>
      <c r="NTN34" s="545"/>
      <c r="NTO34" s="545"/>
      <c r="NTP34" s="545"/>
      <c r="NTQ34" s="545"/>
      <c r="NTR34" s="545"/>
      <c r="NTS34" s="545"/>
      <c r="NTT34" s="545"/>
      <c r="NTU34" s="545"/>
      <c r="NTV34" s="545"/>
      <c r="NTW34" s="545"/>
      <c r="NTX34" s="545"/>
      <c r="NTY34" s="545"/>
      <c r="NTZ34" s="545"/>
      <c r="NUA34" s="545"/>
      <c r="NUB34" s="545"/>
      <c r="NUC34" s="545"/>
      <c r="NUD34" s="545"/>
      <c r="NUE34" s="545"/>
      <c r="NUF34" s="545"/>
      <c r="NUG34" s="545"/>
      <c r="NUH34" s="545"/>
      <c r="NUI34" s="545"/>
      <c r="NUJ34" s="545"/>
      <c r="NUK34" s="545"/>
      <c r="NUL34" s="545"/>
      <c r="NUM34" s="545"/>
      <c r="NUN34" s="545"/>
      <c r="NUO34" s="545"/>
      <c r="NUP34" s="545"/>
      <c r="NUQ34" s="545"/>
      <c r="NUR34" s="545"/>
      <c r="NUS34" s="545"/>
      <c r="NUT34" s="545"/>
      <c r="NUU34" s="545"/>
      <c r="NUV34" s="545"/>
      <c r="NUW34" s="545"/>
      <c r="NUX34" s="545"/>
      <c r="NUY34" s="545"/>
      <c r="NUZ34" s="545"/>
      <c r="NVA34" s="545"/>
      <c r="NVB34" s="545"/>
      <c r="NVC34" s="545"/>
      <c r="NVD34" s="545"/>
      <c r="NVE34" s="545"/>
      <c r="NVF34" s="545"/>
      <c r="NVG34" s="545"/>
      <c r="NVH34" s="545"/>
      <c r="NVI34" s="545"/>
      <c r="NVJ34" s="545"/>
      <c r="NVK34" s="545"/>
      <c r="NVL34" s="545"/>
      <c r="NVM34" s="545"/>
      <c r="NVN34" s="545"/>
      <c r="NVO34" s="545"/>
      <c r="NVP34" s="545"/>
      <c r="NVQ34" s="545"/>
      <c r="NVR34" s="545"/>
      <c r="NVS34" s="545"/>
      <c r="NVT34" s="545"/>
      <c r="NVU34" s="545"/>
      <c r="NVV34" s="545"/>
      <c r="NVW34" s="545"/>
      <c r="NVX34" s="545"/>
      <c r="NVY34" s="545"/>
      <c r="NVZ34" s="545"/>
      <c r="NWA34" s="545"/>
      <c r="NWB34" s="545"/>
      <c r="NWC34" s="545"/>
      <c r="NWD34" s="545"/>
      <c r="NWE34" s="545"/>
      <c r="NWF34" s="545"/>
      <c r="NWG34" s="545"/>
      <c r="NWH34" s="545"/>
      <c r="NWI34" s="545"/>
      <c r="NWJ34" s="545"/>
      <c r="NWK34" s="545"/>
      <c r="NWL34" s="545"/>
      <c r="NWM34" s="545"/>
      <c r="NWN34" s="545"/>
      <c r="NWO34" s="545"/>
      <c r="NWP34" s="545"/>
      <c r="NWQ34" s="545"/>
      <c r="NWR34" s="545"/>
      <c r="NWS34" s="545"/>
      <c r="NWT34" s="545"/>
      <c r="NWU34" s="545"/>
      <c r="NWV34" s="545"/>
      <c r="NWW34" s="545"/>
      <c r="NWX34" s="545"/>
      <c r="NWY34" s="545"/>
      <c r="NWZ34" s="545"/>
      <c r="NXA34" s="545"/>
      <c r="NXB34" s="545"/>
      <c r="NXC34" s="545"/>
      <c r="NXD34" s="545"/>
      <c r="NXE34" s="545"/>
      <c r="NXF34" s="545"/>
      <c r="NXG34" s="545"/>
      <c r="NXH34" s="545"/>
      <c r="NXI34" s="545"/>
      <c r="NXJ34" s="545"/>
      <c r="NXK34" s="545"/>
      <c r="NXL34" s="545"/>
      <c r="NXM34" s="545"/>
      <c r="NXN34" s="545"/>
      <c r="NXO34" s="545"/>
      <c r="NXP34" s="545"/>
      <c r="NXQ34" s="545"/>
      <c r="NXR34" s="545"/>
      <c r="NXS34" s="545"/>
      <c r="NXT34" s="545"/>
      <c r="NXU34" s="545"/>
      <c r="NXV34" s="545"/>
      <c r="NXW34" s="545"/>
      <c r="NXX34" s="545"/>
      <c r="NXY34" s="545"/>
      <c r="NXZ34" s="545"/>
      <c r="NYA34" s="545"/>
      <c r="NYB34" s="545"/>
      <c r="NYC34" s="545"/>
      <c r="NYD34" s="545"/>
      <c r="NYE34" s="545"/>
      <c r="NYF34" s="545"/>
      <c r="NYG34" s="545"/>
      <c r="NYH34" s="545"/>
      <c r="NYI34" s="545"/>
      <c r="NYJ34" s="545"/>
      <c r="NYK34" s="545"/>
      <c r="NYL34" s="545"/>
      <c r="NYM34" s="545"/>
      <c r="NYN34" s="545"/>
      <c r="NYO34" s="545"/>
      <c r="NYP34" s="545"/>
      <c r="NYQ34" s="545"/>
      <c r="NYR34" s="545"/>
      <c r="NYS34" s="545"/>
      <c r="NYT34" s="545"/>
      <c r="NYU34" s="545"/>
      <c r="NYV34" s="545"/>
      <c r="NYW34" s="545"/>
      <c r="NYX34" s="545"/>
      <c r="NYY34" s="545"/>
      <c r="NYZ34" s="545"/>
      <c r="NZA34" s="545"/>
      <c r="NZB34" s="545"/>
      <c r="NZC34" s="545"/>
      <c r="NZD34" s="545"/>
      <c r="NZE34" s="545"/>
      <c r="NZF34" s="545"/>
      <c r="NZG34" s="545"/>
      <c r="NZH34" s="545"/>
      <c r="NZI34" s="545"/>
      <c r="NZJ34" s="545"/>
      <c r="NZK34" s="545"/>
      <c r="NZL34" s="545"/>
      <c r="NZM34" s="545"/>
      <c r="NZN34" s="545"/>
      <c r="NZO34" s="545"/>
      <c r="NZP34" s="545"/>
      <c r="NZQ34" s="545"/>
      <c r="NZR34" s="545"/>
      <c r="NZS34" s="545"/>
      <c r="NZT34" s="545"/>
      <c r="NZU34" s="545"/>
      <c r="NZV34" s="545"/>
      <c r="NZW34" s="545"/>
      <c r="NZX34" s="545"/>
      <c r="NZY34" s="545"/>
      <c r="NZZ34" s="545"/>
      <c r="OAA34" s="545"/>
      <c r="OAB34" s="545"/>
      <c r="OAC34" s="545"/>
      <c r="OAD34" s="545"/>
      <c r="OAE34" s="545"/>
      <c r="OAF34" s="545"/>
      <c r="OAG34" s="545"/>
      <c r="OAH34" s="545"/>
      <c r="OAI34" s="545"/>
      <c r="OAJ34" s="545"/>
      <c r="OAK34" s="545"/>
      <c r="OAL34" s="545"/>
      <c r="OAM34" s="545"/>
      <c r="OAN34" s="545"/>
      <c r="OAO34" s="545"/>
      <c r="OAP34" s="545"/>
      <c r="OAQ34" s="545"/>
      <c r="OAR34" s="545"/>
      <c r="OAS34" s="545"/>
      <c r="OAT34" s="545"/>
      <c r="OAU34" s="545"/>
      <c r="OAV34" s="545"/>
      <c r="OAW34" s="545"/>
      <c r="OAX34" s="545"/>
      <c r="OAY34" s="545"/>
      <c r="OAZ34" s="545"/>
      <c r="OBA34" s="545"/>
      <c r="OBB34" s="545"/>
      <c r="OBC34" s="545"/>
      <c r="OBD34" s="545"/>
      <c r="OBE34" s="545"/>
      <c r="OBF34" s="545"/>
      <c r="OBG34" s="545"/>
      <c r="OBH34" s="545"/>
      <c r="OBI34" s="545"/>
      <c r="OBJ34" s="545"/>
      <c r="OBK34" s="545"/>
      <c r="OBL34" s="545"/>
      <c r="OBM34" s="545"/>
      <c r="OBN34" s="545"/>
      <c r="OBO34" s="545"/>
      <c r="OBP34" s="545"/>
      <c r="OBQ34" s="545"/>
      <c r="OBR34" s="545"/>
      <c r="OBS34" s="545"/>
      <c r="OBT34" s="545"/>
      <c r="OBU34" s="545"/>
      <c r="OBV34" s="545"/>
      <c r="OBW34" s="545"/>
      <c r="OBX34" s="545"/>
      <c r="OBY34" s="545"/>
      <c r="OBZ34" s="545"/>
      <c r="OCA34" s="545"/>
      <c r="OCB34" s="545"/>
      <c r="OCC34" s="545"/>
      <c r="OCD34" s="545"/>
      <c r="OCE34" s="545"/>
      <c r="OCF34" s="545"/>
      <c r="OCG34" s="545"/>
      <c r="OCH34" s="545"/>
      <c r="OCI34" s="545"/>
      <c r="OCJ34" s="545"/>
      <c r="OCK34" s="545"/>
      <c r="OCL34" s="545"/>
      <c r="OCM34" s="545"/>
      <c r="OCN34" s="545"/>
      <c r="OCO34" s="545"/>
      <c r="OCP34" s="545"/>
      <c r="OCQ34" s="545"/>
      <c r="OCR34" s="545"/>
      <c r="OCS34" s="545"/>
      <c r="OCT34" s="545"/>
      <c r="OCU34" s="545"/>
      <c r="OCV34" s="545"/>
      <c r="OCW34" s="545"/>
      <c r="OCX34" s="545"/>
      <c r="OCY34" s="545"/>
      <c r="OCZ34" s="545"/>
      <c r="ODA34" s="545"/>
      <c r="ODB34" s="545"/>
      <c r="ODC34" s="545"/>
      <c r="ODD34" s="545"/>
      <c r="ODE34" s="545"/>
      <c r="ODF34" s="545"/>
      <c r="ODG34" s="545"/>
      <c r="ODH34" s="545"/>
      <c r="ODI34" s="545"/>
      <c r="ODJ34" s="545"/>
      <c r="ODK34" s="545"/>
      <c r="ODL34" s="545"/>
      <c r="ODM34" s="545"/>
      <c r="ODN34" s="545"/>
      <c r="ODO34" s="545"/>
      <c r="ODP34" s="545"/>
      <c r="ODQ34" s="545"/>
      <c r="ODR34" s="545"/>
      <c r="ODS34" s="545"/>
      <c r="ODT34" s="545"/>
      <c r="ODU34" s="545"/>
      <c r="ODV34" s="545"/>
      <c r="ODW34" s="545"/>
      <c r="ODX34" s="545"/>
      <c r="ODY34" s="545"/>
      <c r="ODZ34" s="545"/>
      <c r="OEA34" s="545"/>
      <c r="OEB34" s="545"/>
      <c r="OEC34" s="545"/>
      <c r="OED34" s="545"/>
      <c r="OEE34" s="545"/>
      <c r="OEF34" s="545"/>
      <c r="OEG34" s="545"/>
      <c r="OEH34" s="545"/>
      <c r="OEI34" s="545"/>
      <c r="OEJ34" s="545"/>
      <c r="OEK34" s="545"/>
      <c r="OEL34" s="545"/>
      <c r="OEM34" s="545"/>
      <c r="OEN34" s="545"/>
      <c r="OEO34" s="545"/>
      <c r="OEP34" s="545"/>
      <c r="OEQ34" s="545"/>
      <c r="OER34" s="545"/>
      <c r="OES34" s="545"/>
      <c r="OET34" s="545"/>
      <c r="OEU34" s="545"/>
      <c r="OEV34" s="545"/>
      <c r="OEW34" s="545"/>
      <c r="OEX34" s="545"/>
      <c r="OEY34" s="545"/>
      <c r="OEZ34" s="545"/>
      <c r="OFA34" s="545"/>
      <c r="OFB34" s="545"/>
      <c r="OFC34" s="545"/>
      <c r="OFD34" s="545"/>
      <c r="OFE34" s="545"/>
      <c r="OFF34" s="545"/>
      <c r="OFG34" s="545"/>
      <c r="OFH34" s="545"/>
      <c r="OFI34" s="545"/>
      <c r="OFJ34" s="545"/>
      <c r="OFK34" s="545"/>
      <c r="OFL34" s="545"/>
      <c r="OFM34" s="545"/>
      <c r="OFN34" s="545"/>
      <c r="OFO34" s="545"/>
      <c r="OFP34" s="545"/>
      <c r="OFQ34" s="545"/>
      <c r="OFR34" s="545"/>
      <c r="OFS34" s="545"/>
      <c r="OFT34" s="545"/>
      <c r="OFU34" s="545"/>
      <c r="OFV34" s="545"/>
      <c r="OFW34" s="545"/>
      <c r="OFX34" s="545"/>
      <c r="OFY34" s="545"/>
      <c r="OFZ34" s="545"/>
      <c r="OGA34" s="545"/>
      <c r="OGB34" s="545"/>
      <c r="OGC34" s="545"/>
      <c r="OGD34" s="545"/>
      <c r="OGE34" s="545"/>
      <c r="OGF34" s="545"/>
      <c r="OGG34" s="545"/>
      <c r="OGH34" s="545"/>
      <c r="OGI34" s="545"/>
      <c r="OGJ34" s="545"/>
      <c r="OGK34" s="545"/>
      <c r="OGL34" s="545"/>
      <c r="OGM34" s="545"/>
      <c r="OGN34" s="545"/>
      <c r="OGO34" s="545"/>
      <c r="OGP34" s="545"/>
      <c r="OGQ34" s="545"/>
      <c r="OGR34" s="545"/>
      <c r="OGS34" s="545"/>
      <c r="OGT34" s="545"/>
      <c r="OGU34" s="545"/>
      <c r="OGV34" s="545"/>
      <c r="OGW34" s="545"/>
      <c r="OGX34" s="545"/>
      <c r="OGY34" s="545"/>
      <c r="OGZ34" s="545"/>
      <c r="OHA34" s="545"/>
      <c r="OHB34" s="545"/>
      <c r="OHC34" s="545"/>
      <c r="OHD34" s="545"/>
      <c r="OHE34" s="545"/>
      <c r="OHF34" s="545"/>
      <c r="OHG34" s="545"/>
      <c r="OHH34" s="545"/>
      <c r="OHI34" s="545"/>
      <c r="OHJ34" s="545"/>
      <c r="OHK34" s="545"/>
      <c r="OHL34" s="545"/>
      <c r="OHM34" s="545"/>
      <c r="OHN34" s="545"/>
      <c r="OHO34" s="545"/>
      <c r="OHP34" s="545"/>
      <c r="OHQ34" s="545"/>
      <c r="OHR34" s="545"/>
      <c r="OHS34" s="545"/>
      <c r="OHT34" s="545"/>
      <c r="OHU34" s="545"/>
      <c r="OHV34" s="545"/>
      <c r="OHW34" s="545"/>
      <c r="OHX34" s="545"/>
      <c r="OHY34" s="545"/>
      <c r="OHZ34" s="545"/>
      <c r="OIA34" s="545"/>
      <c r="OIB34" s="545"/>
      <c r="OIC34" s="545"/>
      <c r="OID34" s="545"/>
      <c r="OIE34" s="545"/>
      <c r="OIF34" s="545"/>
      <c r="OIG34" s="545"/>
      <c r="OIH34" s="545"/>
      <c r="OII34" s="545"/>
      <c r="OIJ34" s="545"/>
      <c r="OIK34" s="545"/>
      <c r="OIL34" s="545"/>
      <c r="OIM34" s="545"/>
      <c r="OIN34" s="545"/>
      <c r="OIO34" s="545"/>
      <c r="OIP34" s="545"/>
      <c r="OIQ34" s="545"/>
      <c r="OIR34" s="545"/>
      <c r="OIS34" s="545"/>
      <c r="OIT34" s="545"/>
      <c r="OIU34" s="545"/>
      <c r="OIV34" s="545"/>
      <c r="OIW34" s="545"/>
      <c r="OIX34" s="545"/>
      <c r="OIY34" s="545"/>
      <c r="OIZ34" s="545"/>
      <c r="OJA34" s="545"/>
      <c r="OJB34" s="545"/>
      <c r="OJC34" s="545"/>
      <c r="OJD34" s="545"/>
      <c r="OJE34" s="545"/>
      <c r="OJF34" s="545"/>
      <c r="OJG34" s="545"/>
      <c r="OJH34" s="545"/>
      <c r="OJI34" s="545"/>
      <c r="OJJ34" s="545"/>
      <c r="OJK34" s="545"/>
      <c r="OJL34" s="545"/>
      <c r="OJM34" s="545"/>
      <c r="OJN34" s="545"/>
      <c r="OJO34" s="545"/>
      <c r="OJP34" s="545"/>
      <c r="OJQ34" s="545"/>
      <c r="OJR34" s="545"/>
      <c r="OJS34" s="545"/>
      <c r="OJT34" s="545"/>
      <c r="OJU34" s="545"/>
      <c r="OJV34" s="545"/>
      <c r="OJW34" s="545"/>
      <c r="OJX34" s="545"/>
      <c r="OJY34" s="545"/>
      <c r="OJZ34" s="545"/>
      <c r="OKA34" s="545"/>
      <c r="OKB34" s="545"/>
      <c r="OKC34" s="545"/>
      <c r="OKD34" s="545"/>
      <c r="OKE34" s="545"/>
      <c r="OKF34" s="545"/>
      <c r="OKG34" s="545"/>
      <c r="OKH34" s="545"/>
      <c r="OKI34" s="545"/>
      <c r="OKJ34" s="545"/>
      <c r="OKK34" s="545"/>
      <c r="OKL34" s="545"/>
      <c r="OKM34" s="545"/>
      <c r="OKN34" s="545"/>
      <c r="OKO34" s="545"/>
      <c r="OKP34" s="545"/>
      <c r="OKQ34" s="545"/>
      <c r="OKR34" s="545"/>
      <c r="OKS34" s="545"/>
      <c r="OKT34" s="545"/>
      <c r="OKU34" s="545"/>
      <c r="OKV34" s="545"/>
      <c r="OKW34" s="545"/>
      <c r="OKX34" s="545"/>
      <c r="OKY34" s="545"/>
      <c r="OKZ34" s="545"/>
      <c r="OLA34" s="545"/>
      <c r="OLB34" s="545"/>
      <c r="OLC34" s="545"/>
      <c r="OLD34" s="545"/>
      <c r="OLE34" s="545"/>
      <c r="OLF34" s="545"/>
      <c r="OLG34" s="545"/>
      <c r="OLH34" s="545"/>
      <c r="OLI34" s="545"/>
      <c r="OLJ34" s="545"/>
      <c r="OLK34" s="545"/>
      <c r="OLL34" s="545"/>
      <c r="OLM34" s="545"/>
      <c r="OLN34" s="545"/>
      <c r="OLO34" s="545"/>
      <c r="OLP34" s="545"/>
      <c r="OLQ34" s="545"/>
      <c r="OLR34" s="545"/>
      <c r="OLS34" s="545"/>
      <c r="OLT34" s="545"/>
      <c r="OLU34" s="545"/>
      <c r="OLV34" s="545"/>
      <c r="OLW34" s="545"/>
      <c r="OLX34" s="545"/>
      <c r="OLY34" s="545"/>
      <c r="OLZ34" s="545"/>
      <c r="OMA34" s="545"/>
      <c r="OMB34" s="545"/>
      <c r="OMC34" s="545"/>
      <c r="OMD34" s="545"/>
      <c r="OME34" s="545"/>
      <c r="OMF34" s="545"/>
      <c r="OMG34" s="545"/>
      <c r="OMH34" s="545"/>
      <c r="OMI34" s="545"/>
      <c r="OMJ34" s="545"/>
      <c r="OMK34" s="545"/>
      <c r="OML34" s="545"/>
      <c r="OMM34" s="545"/>
      <c r="OMN34" s="545"/>
      <c r="OMO34" s="545"/>
      <c r="OMP34" s="545"/>
      <c r="OMQ34" s="545"/>
      <c r="OMR34" s="545"/>
      <c r="OMS34" s="545"/>
      <c r="OMT34" s="545"/>
      <c r="OMU34" s="545"/>
      <c r="OMV34" s="545"/>
      <c r="OMW34" s="545"/>
      <c r="OMX34" s="545"/>
      <c r="OMY34" s="545"/>
      <c r="OMZ34" s="545"/>
      <c r="ONA34" s="545"/>
      <c r="ONB34" s="545"/>
      <c r="ONC34" s="545"/>
      <c r="OND34" s="545"/>
      <c r="ONE34" s="545"/>
      <c r="ONF34" s="545"/>
      <c r="ONG34" s="545"/>
      <c r="ONH34" s="545"/>
      <c r="ONI34" s="545"/>
      <c r="ONJ34" s="545"/>
      <c r="ONK34" s="545"/>
      <c r="ONL34" s="545"/>
      <c r="ONM34" s="545"/>
      <c r="ONN34" s="545"/>
      <c r="ONO34" s="545"/>
      <c r="ONP34" s="545"/>
      <c r="ONQ34" s="545"/>
      <c r="ONR34" s="545"/>
      <c r="ONS34" s="545"/>
      <c r="ONT34" s="545"/>
      <c r="ONU34" s="545"/>
      <c r="ONV34" s="545"/>
      <c r="ONW34" s="545"/>
      <c r="ONX34" s="545"/>
      <c r="ONY34" s="545"/>
      <c r="ONZ34" s="545"/>
      <c r="OOA34" s="545"/>
      <c r="OOB34" s="545"/>
      <c r="OOC34" s="545"/>
      <c r="OOD34" s="545"/>
      <c r="OOE34" s="545"/>
      <c r="OOF34" s="545"/>
      <c r="OOG34" s="545"/>
      <c r="OOH34" s="545"/>
      <c r="OOI34" s="545"/>
      <c r="OOJ34" s="545"/>
      <c r="OOK34" s="545"/>
      <c r="OOL34" s="545"/>
      <c r="OOM34" s="545"/>
      <c r="OON34" s="545"/>
      <c r="OOO34" s="545"/>
      <c r="OOP34" s="545"/>
      <c r="OOQ34" s="545"/>
      <c r="OOR34" s="545"/>
      <c r="OOS34" s="545"/>
      <c r="OOT34" s="545"/>
      <c r="OOU34" s="545"/>
      <c r="OOV34" s="545"/>
      <c r="OOW34" s="545"/>
      <c r="OOX34" s="545"/>
      <c r="OOY34" s="545"/>
      <c r="OOZ34" s="545"/>
      <c r="OPA34" s="545"/>
      <c r="OPB34" s="545"/>
      <c r="OPC34" s="545"/>
      <c r="OPD34" s="545"/>
      <c r="OPE34" s="545"/>
      <c r="OPF34" s="545"/>
      <c r="OPG34" s="545"/>
      <c r="OPH34" s="545"/>
      <c r="OPI34" s="545"/>
      <c r="OPJ34" s="545"/>
      <c r="OPK34" s="545"/>
      <c r="OPL34" s="545"/>
      <c r="OPM34" s="545"/>
      <c r="OPN34" s="545"/>
      <c r="OPO34" s="545"/>
      <c r="OPP34" s="545"/>
      <c r="OPQ34" s="545"/>
      <c r="OPR34" s="545"/>
      <c r="OPS34" s="545"/>
      <c r="OPT34" s="545"/>
      <c r="OPU34" s="545"/>
      <c r="OPV34" s="545"/>
      <c r="OPW34" s="545"/>
      <c r="OPX34" s="545"/>
      <c r="OPY34" s="545"/>
      <c r="OPZ34" s="545"/>
      <c r="OQA34" s="545"/>
      <c r="OQB34" s="545"/>
      <c r="OQC34" s="545"/>
      <c r="OQD34" s="545"/>
      <c r="OQE34" s="545"/>
      <c r="OQF34" s="545"/>
      <c r="OQG34" s="545"/>
      <c r="OQH34" s="545"/>
      <c r="OQI34" s="545"/>
      <c r="OQJ34" s="545"/>
      <c r="OQK34" s="545"/>
      <c r="OQL34" s="545"/>
      <c r="OQM34" s="545"/>
      <c r="OQN34" s="545"/>
      <c r="OQO34" s="545"/>
      <c r="OQP34" s="545"/>
      <c r="OQQ34" s="545"/>
      <c r="OQR34" s="545"/>
      <c r="OQS34" s="545"/>
      <c r="OQT34" s="545"/>
      <c r="OQU34" s="545"/>
      <c r="OQV34" s="545"/>
      <c r="OQW34" s="545"/>
      <c r="OQX34" s="545"/>
      <c r="OQY34" s="545"/>
      <c r="OQZ34" s="545"/>
      <c r="ORA34" s="545"/>
      <c r="ORB34" s="545"/>
      <c r="ORC34" s="545"/>
      <c r="ORD34" s="545"/>
      <c r="ORE34" s="545"/>
      <c r="ORF34" s="545"/>
      <c r="ORG34" s="545"/>
      <c r="ORH34" s="545"/>
      <c r="ORI34" s="545"/>
      <c r="ORJ34" s="545"/>
      <c r="ORK34" s="545"/>
      <c r="ORL34" s="545"/>
      <c r="ORM34" s="545"/>
      <c r="ORN34" s="545"/>
      <c r="ORO34" s="545"/>
      <c r="ORP34" s="545"/>
      <c r="ORQ34" s="545"/>
      <c r="ORR34" s="545"/>
      <c r="ORS34" s="545"/>
      <c r="ORT34" s="545"/>
      <c r="ORU34" s="545"/>
      <c r="ORV34" s="545"/>
      <c r="ORW34" s="545"/>
      <c r="ORX34" s="545"/>
      <c r="ORY34" s="545"/>
      <c r="ORZ34" s="545"/>
      <c r="OSA34" s="545"/>
      <c r="OSB34" s="545"/>
      <c r="OSC34" s="545"/>
      <c r="OSD34" s="545"/>
      <c r="OSE34" s="545"/>
      <c r="OSF34" s="545"/>
      <c r="OSG34" s="545"/>
      <c r="OSH34" s="545"/>
      <c r="OSI34" s="545"/>
      <c r="OSJ34" s="545"/>
      <c r="OSK34" s="545"/>
      <c r="OSL34" s="545"/>
      <c r="OSM34" s="545"/>
      <c r="OSN34" s="545"/>
      <c r="OSO34" s="545"/>
      <c r="OSP34" s="545"/>
      <c r="OSQ34" s="545"/>
      <c r="OSR34" s="545"/>
      <c r="OSS34" s="545"/>
      <c r="OST34" s="545"/>
      <c r="OSU34" s="545"/>
      <c r="OSV34" s="545"/>
      <c r="OSW34" s="545"/>
      <c r="OSX34" s="545"/>
      <c r="OSY34" s="545"/>
      <c r="OSZ34" s="545"/>
      <c r="OTA34" s="545"/>
      <c r="OTB34" s="545"/>
      <c r="OTC34" s="545"/>
      <c r="OTD34" s="545"/>
      <c r="OTE34" s="545"/>
      <c r="OTF34" s="545"/>
      <c r="OTG34" s="545"/>
      <c r="OTH34" s="545"/>
      <c r="OTI34" s="545"/>
      <c r="OTJ34" s="545"/>
      <c r="OTK34" s="545"/>
      <c r="OTL34" s="545"/>
      <c r="OTM34" s="545"/>
      <c r="OTN34" s="545"/>
      <c r="OTO34" s="545"/>
      <c r="OTP34" s="545"/>
      <c r="OTQ34" s="545"/>
      <c r="OTR34" s="545"/>
      <c r="OTS34" s="545"/>
      <c r="OTT34" s="545"/>
      <c r="OTU34" s="545"/>
      <c r="OTV34" s="545"/>
      <c r="OTW34" s="545"/>
      <c r="OTX34" s="545"/>
      <c r="OTY34" s="545"/>
      <c r="OTZ34" s="545"/>
      <c r="OUA34" s="545"/>
      <c r="OUB34" s="545"/>
      <c r="OUC34" s="545"/>
      <c r="OUD34" s="545"/>
      <c r="OUE34" s="545"/>
      <c r="OUF34" s="545"/>
      <c r="OUG34" s="545"/>
      <c r="OUH34" s="545"/>
      <c r="OUI34" s="545"/>
      <c r="OUJ34" s="545"/>
      <c r="OUK34" s="545"/>
      <c r="OUL34" s="545"/>
      <c r="OUM34" s="545"/>
      <c r="OUN34" s="545"/>
      <c r="OUO34" s="545"/>
      <c r="OUP34" s="545"/>
      <c r="OUQ34" s="545"/>
      <c r="OUR34" s="545"/>
      <c r="OUS34" s="545"/>
      <c r="OUT34" s="545"/>
      <c r="OUU34" s="545"/>
      <c r="OUV34" s="545"/>
      <c r="OUW34" s="545"/>
      <c r="OUX34" s="545"/>
      <c r="OUY34" s="545"/>
      <c r="OUZ34" s="545"/>
      <c r="OVA34" s="545"/>
      <c r="OVB34" s="545"/>
      <c r="OVC34" s="545"/>
      <c r="OVD34" s="545"/>
      <c r="OVE34" s="545"/>
      <c r="OVF34" s="545"/>
      <c r="OVG34" s="545"/>
      <c r="OVH34" s="545"/>
      <c r="OVI34" s="545"/>
      <c r="OVJ34" s="545"/>
      <c r="OVK34" s="545"/>
      <c r="OVL34" s="545"/>
      <c r="OVM34" s="545"/>
      <c r="OVN34" s="545"/>
      <c r="OVO34" s="545"/>
      <c r="OVP34" s="545"/>
      <c r="OVQ34" s="545"/>
      <c r="OVR34" s="545"/>
      <c r="OVS34" s="545"/>
      <c r="OVT34" s="545"/>
      <c r="OVU34" s="545"/>
      <c r="OVV34" s="545"/>
      <c r="OVW34" s="545"/>
      <c r="OVX34" s="545"/>
      <c r="OVY34" s="545"/>
      <c r="OVZ34" s="545"/>
      <c r="OWA34" s="545"/>
      <c r="OWB34" s="545"/>
      <c r="OWC34" s="545"/>
      <c r="OWD34" s="545"/>
      <c r="OWE34" s="545"/>
      <c r="OWF34" s="545"/>
      <c r="OWG34" s="545"/>
      <c r="OWH34" s="545"/>
      <c r="OWI34" s="545"/>
      <c r="OWJ34" s="545"/>
      <c r="OWK34" s="545"/>
      <c r="OWL34" s="545"/>
      <c r="OWM34" s="545"/>
      <c r="OWN34" s="545"/>
      <c r="OWO34" s="545"/>
      <c r="OWP34" s="545"/>
      <c r="OWQ34" s="545"/>
      <c r="OWR34" s="545"/>
      <c r="OWS34" s="545"/>
      <c r="OWT34" s="545"/>
      <c r="OWU34" s="545"/>
      <c r="OWV34" s="545"/>
      <c r="OWW34" s="545"/>
      <c r="OWX34" s="545"/>
      <c r="OWY34" s="545"/>
      <c r="OWZ34" s="545"/>
      <c r="OXA34" s="545"/>
      <c r="OXB34" s="545"/>
      <c r="OXC34" s="545"/>
      <c r="OXD34" s="545"/>
      <c r="OXE34" s="545"/>
      <c r="OXF34" s="545"/>
      <c r="OXG34" s="545"/>
      <c r="OXH34" s="545"/>
      <c r="OXI34" s="545"/>
      <c r="OXJ34" s="545"/>
      <c r="OXK34" s="545"/>
      <c r="OXL34" s="545"/>
      <c r="OXM34" s="545"/>
      <c r="OXN34" s="545"/>
      <c r="OXO34" s="545"/>
      <c r="OXP34" s="545"/>
      <c r="OXQ34" s="545"/>
      <c r="OXR34" s="545"/>
      <c r="OXS34" s="545"/>
      <c r="OXT34" s="545"/>
      <c r="OXU34" s="545"/>
      <c r="OXV34" s="545"/>
      <c r="OXW34" s="545"/>
      <c r="OXX34" s="545"/>
      <c r="OXY34" s="545"/>
      <c r="OXZ34" s="545"/>
      <c r="OYA34" s="545"/>
      <c r="OYB34" s="545"/>
      <c r="OYC34" s="545"/>
      <c r="OYD34" s="545"/>
      <c r="OYE34" s="545"/>
      <c r="OYF34" s="545"/>
      <c r="OYG34" s="545"/>
      <c r="OYH34" s="545"/>
      <c r="OYI34" s="545"/>
      <c r="OYJ34" s="545"/>
      <c r="OYK34" s="545"/>
      <c r="OYL34" s="545"/>
      <c r="OYM34" s="545"/>
      <c r="OYN34" s="545"/>
      <c r="OYO34" s="545"/>
      <c r="OYP34" s="545"/>
      <c r="OYQ34" s="545"/>
      <c r="OYR34" s="545"/>
      <c r="OYS34" s="545"/>
      <c r="OYT34" s="545"/>
      <c r="OYU34" s="545"/>
      <c r="OYV34" s="545"/>
      <c r="OYW34" s="545"/>
      <c r="OYX34" s="545"/>
      <c r="OYY34" s="545"/>
      <c r="OYZ34" s="545"/>
      <c r="OZA34" s="545"/>
      <c r="OZB34" s="545"/>
      <c r="OZC34" s="545"/>
      <c r="OZD34" s="545"/>
      <c r="OZE34" s="545"/>
      <c r="OZF34" s="545"/>
      <c r="OZG34" s="545"/>
      <c r="OZH34" s="545"/>
      <c r="OZI34" s="545"/>
      <c r="OZJ34" s="545"/>
      <c r="OZK34" s="545"/>
      <c r="OZL34" s="545"/>
      <c r="OZM34" s="545"/>
      <c r="OZN34" s="545"/>
      <c r="OZO34" s="545"/>
      <c r="OZP34" s="545"/>
      <c r="OZQ34" s="545"/>
      <c r="OZR34" s="545"/>
      <c r="OZS34" s="545"/>
      <c r="OZT34" s="545"/>
      <c r="OZU34" s="545"/>
      <c r="OZV34" s="545"/>
      <c r="OZW34" s="545"/>
      <c r="OZX34" s="545"/>
      <c r="OZY34" s="545"/>
      <c r="OZZ34" s="545"/>
      <c r="PAA34" s="545"/>
      <c r="PAB34" s="545"/>
      <c r="PAC34" s="545"/>
      <c r="PAD34" s="545"/>
      <c r="PAE34" s="545"/>
      <c r="PAF34" s="545"/>
      <c r="PAG34" s="545"/>
      <c r="PAH34" s="545"/>
      <c r="PAI34" s="545"/>
      <c r="PAJ34" s="545"/>
      <c r="PAK34" s="545"/>
      <c r="PAL34" s="545"/>
      <c r="PAM34" s="545"/>
      <c r="PAN34" s="545"/>
      <c r="PAO34" s="545"/>
      <c r="PAP34" s="545"/>
      <c r="PAQ34" s="545"/>
      <c r="PAR34" s="545"/>
      <c r="PAS34" s="545"/>
      <c r="PAT34" s="545"/>
      <c r="PAU34" s="545"/>
      <c r="PAV34" s="545"/>
      <c r="PAW34" s="545"/>
      <c r="PAX34" s="545"/>
      <c r="PAY34" s="545"/>
      <c r="PAZ34" s="545"/>
      <c r="PBA34" s="545"/>
      <c r="PBB34" s="545"/>
      <c r="PBC34" s="545"/>
      <c r="PBD34" s="545"/>
      <c r="PBE34" s="545"/>
      <c r="PBF34" s="545"/>
      <c r="PBG34" s="545"/>
      <c r="PBH34" s="545"/>
      <c r="PBI34" s="545"/>
      <c r="PBJ34" s="545"/>
      <c r="PBK34" s="545"/>
      <c r="PBL34" s="545"/>
      <c r="PBM34" s="545"/>
      <c r="PBN34" s="545"/>
      <c r="PBO34" s="545"/>
      <c r="PBP34" s="545"/>
      <c r="PBQ34" s="545"/>
      <c r="PBR34" s="545"/>
      <c r="PBS34" s="545"/>
      <c r="PBT34" s="545"/>
      <c r="PBU34" s="545"/>
      <c r="PBV34" s="545"/>
      <c r="PBW34" s="545"/>
      <c r="PBX34" s="545"/>
      <c r="PBY34" s="545"/>
      <c r="PBZ34" s="545"/>
      <c r="PCA34" s="545"/>
      <c r="PCB34" s="545"/>
      <c r="PCC34" s="545"/>
      <c r="PCD34" s="545"/>
      <c r="PCE34" s="545"/>
      <c r="PCF34" s="545"/>
      <c r="PCG34" s="545"/>
      <c r="PCH34" s="545"/>
      <c r="PCI34" s="545"/>
      <c r="PCJ34" s="545"/>
      <c r="PCK34" s="545"/>
      <c r="PCL34" s="545"/>
      <c r="PCM34" s="545"/>
      <c r="PCN34" s="545"/>
      <c r="PCO34" s="545"/>
      <c r="PCP34" s="545"/>
      <c r="PCQ34" s="545"/>
      <c r="PCR34" s="545"/>
      <c r="PCS34" s="545"/>
      <c r="PCT34" s="545"/>
      <c r="PCU34" s="545"/>
      <c r="PCV34" s="545"/>
      <c r="PCW34" s="545"/>
      <c r="PCX34" s="545"/>
      <c r="PCY34" s="545"/>
      <c r="PCZ34" s="545"/>
      <c r="PDA34" s="545"/>
      <c r="PDB34" s="545"/>
      <c r="PDC34" s="545"/>
      <c r="PDD34" s="545"/>
      <c r="PDE34" s="545"/>
      <c r="PDF34" s="545"/>
      <c r="PDG34" s="545"/>
      <c r="PDH34" s="545"/>
      <c r="PDI34" s="545"/>
      <c r="PDJ34" s="545"/>
      <c r="PDK34" s="545"/>
      <c r="PDL34" s="545"/>
      <c r="PDM34" s="545"/>
      <c r="PDN34" s="545"/>
      <c r="PDO34" s="545"/>
      <c r="PDP34" s="545"/>
      <c r="PDQ34" s="545"/>
      <c r="PDR34" s="545"/>
      <c r="PDS34" s="545"/>
      <c r="PDT34" s="545"/>
      <c r="PDU34" s="545"/>
      <c r="PDV34" s="545"/>
      <c r="PDW34" s="545"/>
      <c r="PDX34" s="545"/>
      <c r="PDY34" s="545"/>
      <c r="PDZ34" s="545"/>
      <c r="PEA34" s="545"/>
      <c r="PEB34" s="545"/>
      <c r="PEC34" s="545"/>
      <c r="PED34" s="545"/>
      <c r="PEE34" s="545"/>
      <c r="PEF34" s="545"/>
      <c r="PEG34" s="545"/>
      <c r="PEH34" s="545"/>
      <c r="PEI34" s="545"/>
      <c r="PEJ34" s="545"/>
      <c r="PEK34" s="545"/>
      <c r="PEL34" s="545"/>
      <c r="PEM34" s="545"/>
      <c r="PEN34" s="545"/>
      <c r="PEO34" s="545"/>
      <c r="PEP34" s="545"/>
      <c r="PEQ34" s="545"/>
      <c r="PER34" s="545"/>
      <c r="PES34" s="545"/>
      <c r="PET34" s="545"/>
      <c r="PEU34" s="545"/>
      <c r="PEV34" s="545"/>
      <c r="PEW34" s="545"/>
      <c r="PEX34" s="545"/>
      <c r="PEY34" s="545"/>
      <c r="PEZ34" s="545"/>
      <c r="PFA34" s="545"/>
      <c r="PFB34" s="545"/>
      <c r="PFC34" s="545"/>
      <c r="PFD34" s="545"/>
      <c r="PFE34" s="545"/>
      <c r="PFF34" s="545"/>
      <c r="PFG34" s="545"/>
      <c r="PFH34" s="545"/>
      <c r="PFI34" s="545"/>
      <c r="PFJ34" s="545"/>
      <c r="PFK34" s="545"/>
      <c r="PFL34" s="545"/>
      <c r="PFM34" s="545"/>
      <c r="PFN34" s="545"/>
      <c r="PFO34" s="545"/>
      <c r="PFP34" s="545"/>
      <c r="PFQ34" s="545"/>
      <c r="PFR34" s="545"/>
      <c r="PFS34" s="545"/>
      <c r="PFT34" s="545"/>
      <c r="PFU34" s="545"/>
      <c r="PFV34" s="545"/>
      <c r="PFW34" s="545"/>
      <c r="PFX34" s="545"/>
      <c r="PFY34" s="545"/>
      <c r="PFZ34" s="545"/>
      <c r="PGA34" s="545"/>
      <c r="PGB34" s="545"/>
      <c r="PGC34" s="545"/>
      <c r="PGD34" s="545"/>
      <c r="PGE34" s="545"/>
      <c r="PGF34" s="545"/>
      <c r="PGG34" s="545"/>
      <c r="PGH34" s="545"/>
      <c r="PGI34" s="545"/>
      <c r="PGJ34" s="545"/>
      <c r="PGK34" s="545"/>
      <c r="PGL34" s="545"/>
      <c r="PGM34" s="545"/>
      <c r="PGN34" s="545"/>
      <c r="PGO34" s="545"/>
      <c r="PGP34" s="545"/>
      <c r="PGQ34" s="545"/>
      <c r="PGR34" s="545"/>
      <c r="PGS34" s="545"/>
      <c r="PGT34" s="545"/>
      <c r="PGU34" s="545"/>
      <c r="PGV34" s="545"/>
      <c r="PGW34" s="545"/>
      <c r="PGX34" s="545"/>
      <c r="PGY34" s="545"/>
      <c r="PGZ34" s="545"/>
      <c r="PHA34" s="545"/>
      <c r="PHB34" s="545"/>
      <c r="PHC34" s="545"/>
      <c r="PHD34" s="545"/>
      <c r="PHE34" s="545"/>
      <c r="PHF34" s="545"/>
      <c r="PHG34" s="545"/>
      <c r="PHH34" s="545"/>
      <c r="PHI34" s="545"/>
      <c r="PHJ34" s="545"/>
      <c r="PHK34" s="545"/>
      <c r="PHL34" s="545"/>
      <c r="PHM34" s="545"/>
      <c r="PHN34" s="545"/>
      <c r="PHO34" s="545"/>
      <c r="PHP34" s="545"/>
      <c r="PHQ34" s="545"/>
      <c r="PHR34" s="545"/>
      <c r="PHS34" s="545"/>
      <c r="PHT34" s="545"/>
      <c r="PHU34" s="545"/>
      <c r="PHV34" s="545"/>
      <c r="PHW34" s="545"/>
      <c r="PHX34" s="545"/>
      <c r="PHY34" s="545"/>
      <c r="PHZ34" s="545"/>
      <c r="PIA34" s="545"/>
      <c r="PIB34" s="545"/>
      <c r="PIC34" s="545"/>
      <c r="PID34" s="545"/>
      <c r="PIE34" s="545"/>
      <c r="PIF34" s="545"/>
      <c r="PIG34" s="545"/>
      <c r="PIH34" s="545"/>
      <c r="PII34" s="545"/>
      <c r="PIJ34" s="545"/>
      <c r="PIK34" s="545"/>
      <c r="PIL34" s="545"/>
      <c r="PIM34" s="545"/>
      <c r="PIN34" s="545"/>
      <c r="PIO34" s="545"/>
      <c r="PIP34" s="545"/>
      <c r="PIQ34" s="545"/>
      <c r="PIR34" s="545"/>
      <c r="PIS34" s="545"/>
      <c r="PIT34" s="545"/>
      <c r="PIU34" s="545"/>
      <c r="PIV34" s="545"/>
      <c r="PIW34" s="545"/>
      <c r="PIX34" s="545"/>
      <c r="PIY34" s="545"/>
      <c r="PIZ34" s="545"/>
      <c r="PJA34" s="545"/>
      <c r="PJB34" s="545"/>
      <c r="PJC34" s="545"/>
      <c r="PJD34" s="545"/>
      <c r="PJE34" s="545"/>
      <c r="PJF34" s="545"/>
      <c r="PJG34" s="545"/>
      <c r="PJH34" s="545"/>
      <c r="PJI34" s="545"/>
      <c r="PJJ34" s="545"/>
      <c r="PJK34" s="545"/>
      <c r="PJL34" s="545"/>
      <c r="PJM34" s="545"/>
      <c r="PJN34" s="545"/>
      <c r="PJO34" s="545"/>
      <c r="PJP34" s="545"/>
      <c r="PJQ34" s="545"/>
      <c r="PJR34" s="545"/>
      <c r="PJS34" s="545"/>
      <c r="PJT34" s="545"/>
      <c r="PJU34" s="545"/>
      <c r="PJV34" s="545"/>
      <c r="PJW34" s="545"/>
      <c r="PJX34" s="545"/>
      <c r="PJY34" s="545"/>
      <c r="PJZ34" s="545"/>
      <c r="PKA34" s="545"/>
      <c r="PKB34" s="545"/>
      <c r="PKC34" s="545"/>
      <c r="PKD34" s="545"/>
      <c r="PKE34" s="545"/>
      <c r="PKF34" s="545"/>
      <c r="PKG34" s="545"/>
      <c r="PKH34" s="545"/>
      <c r="PKI34" s="545"/>
      <c r="PKJ34" s="545"/>
      <c r="PKK34" s="545"/>
      <c r="PKL34" s="545"/>
      <c r="PKM34" s="545"/>
      <c r="PKN34" s="545"/>
      <c r="PKO34" s="545"/>
      <c r="PKP34" s="545"/>
      <c r="PKQ34" s="545"/>
      <c r="PKR34" s="545"/>
      <c r="PKS34" s="545"/>
      <c r="PKT34" s="545"/>
      <c r="PKU34" s="545"/>
      <c r="PKV34" s="545"/>
      <c r="PKW34" s="545"/>
      <c r="PKX34" s="545"/>
      <c r="PKY34" s="545"/>
      <c r="PKZ34" s="545"/>
      <c r="PLA34" s="545"/>
      <c r="PLB34" s="545"/>
      <c r="PLC34" s="545"/>
      <c r="PLD34" s="545"/>
      <c r="PLE34" s="545"/>
      <c r="PLF34" s="545"/>
      <c r="PLG34" s="545"/>
      <c r="PLH34" s="545"/>
      <c r="PLI34" s="545"/>
      <c r="PLJ34" s="545"/>
      <c r="PLK34" s="545"/>
      <c r="PLL34" s="545"/>
      <c r="PLM34" s="545"/>
      <c r="PLN34" s="545"/>
      <c r="PLO34" s="545"/>
      <c r="PLP34" s="545"/>
      <c r="PLQ34" s="545"/>
      <c r="PLR34" s="545"/>
      <c r="PLS34" s="545"/>
      <c r="PLT34" s="545"/>
      <c r="PLU34" s="545"/>
      <c r="PLV34" s="545"/>
      <c r="PLW34" s="545"/>
      <c r="PLX34" s="545"/>
      <c r="PLY34" s="545"/>
      <c r="PLZ34" s="545"/>
      <c r="PMA34" s="545"/>
      <c r="PMB34" s="545"/>
      <c r="PMC34" s="545"/>
      <c r="PMD34" s="545"/>
      <c r="PME34" s="545"/>
      <c r="PMF34" s="545"/>
      <c r="PMG34" s="545"/>
      <c r="PMH34" s="545"/>
      <c r="PMI34" s="545"/>
      <c r="PMJ34" s="545"/>
      <c r="PMK34" s="545"/>
      <c r="PML34" s="545"/>
      <c r="PMM34" s="545"/>
      <c r="PMN34" s="545"/>
      <c r="PMO34" s="545"/>
      <c r="PMP34" s="545"/>
      <c r="PMQ34" s="545"/>
      <c r="PMR34" s="545"/>
      <c r="PMS34" s="545"/>
      <c r="PMT34" s="545"/>
      <c r="PMU34" s="545"/>
      <c r="PMV34" s="545"/>
      <c r="PMW34" s="545"/>
      <c r="PMX34" s="545"/>
      <c r="PMY34" s="545"/>
      <c r="PMZ34" s="545"/>
      <c r="PNA34" s="545"/>
      <c r="PNB34" s="545"/>
      <c r="PNC34" s="545"/>
      <c r="PND34" s="545"/>
      <c r="PNE34" s="545"/>
      <c r="PNF34" s="545"/>
      <c r="PNG34" s="545"/>
      <c r="PNH34" s="545"/>
      <c r="PNI34" s="545"/>
      <c r="PNJ34" s="545"/>
      <c r="PNK34" s="545"/>
      <c r="PNL34" s="545"/>
      <c r="PNM34" s="545"/>
      <c r="PNN34" s="545"/>
      <c r="PNO34" s="545"/>
      <c r="PNP34" s="545"/>
      <c r="PNQ34" s="545"/>
      <c r="PNR34" s="545"/>
      <c r="PNS34" s="545"/>
      <c r="PNT34" s="545"/>
      <c r="PNU34" s="545"/>
      <c r="PNV34" s="545"/>
      <c r="PNW34" s="545"/>
      <c r="PNX34" s="545"/>
      <c r="PNY34" s="545"/>
      <c r="PNZ34" s="545"/>
      <c r="POA34" s="545"/>
      <c r="POB34" s="545"/>
      <c r="POC34" s="545"/>
      <c r="POD34" s="545"/>
      <c r="POE34" s="545"/>
      <c r="POF34" s="545"/>
      <c r="POG34" s="545"/>
      <c r="POH34" s="545"/>
      <c r="POI34" s="545"/>
      <c r="POJ34" s="545"/>
      <c r="POK34" s="545"/>
      <c r="POL34" s="545"/>
      <c r="POM34" s="545"/>
      <c r="PON34" s="545"/>
      <c r="POO34" s="545"/>
      <c r="POP34" s="545"/>
      <c r="POQ34" s="545"/>
      <c r="POR34" s="545"/>
      <c r="POS34" s="545"/>
      <c r="POT34" s="545"/>
      <c r="POU34" s="545"/>
      <c r="POV34" s="545"/>
      <c r="POW34" s="545"/>
      <c r="POX34" s="545"/>
      <c r="POY34" s="545"/>
      <c r="POZ34" s="545"/>
      <c r="PPA34" s="545"/>
      <c r="PPB34" s="545"/>
      <c r="PPC34" s="545"/>
      <c r="PPD34" s="545"/>
      <c r="PPE34" s="545"/>
      <c r="PPF34" s="545"/>
      <c r="PPG34" s="545"/>
      <c r="PPH34" s="545"/>
      <c r="PPI34" s="545"/>
      <c r="PPJ34" s="545"/>
      <c r="PPK34" s="545"/>
      <c r="PPL34" s="545"/>
      <c r="PPM34" s="545"/>
      <c r="PPN34" s="545"/>
      <c r="PPO34" s="545"/>
      <c r="PPP34" s="545"/>
      <c r="PPQ34" s="545"/>
      <c r="PPR34" s="545"/>
      <c r="PPS34" s="545"/>
      <c r="PPT34" s="545"/>
      <c r="PPU34" s="545"/>
      <c r="PPV34" s="545"/>
      <c r="PPW34" s="545"/>
      <c r="PPX34" s="545"/>
      <c r="PPY34" s="545"/>
      <c r="PPZ34" s="545"/>
      <c r="PQA34" s="545"/>
      <c r="PQB34" s="545"/>
      <c r="PQC34" s="545"/>
      <c r="PQD34" s="545"/>
      <c r="PQE34" s="545"/>
      <c r="PQF34" s="545"/>
      <c r="PQG34" s="545"/>
      <c r="PQH34" s="545"/>
      <c r="PQI34" s="545"/>
      <c r="PQJ34" s="545"/>
      <c r="PQK34" s="545"/>
      <c r="PQL34" s="545"/>
      <c r="PQM34" s="545"/>
      <c r="PQN34" s="545"/>
      <c r="PQO34" s="545"/>
      <c r="PQP34" s="545"/>
      <c r="PQQ34" s="545"/>
      <c r="PQR34" s="545"/>
      <c r="PQS34" s="545"/>
      <c r="PQT34" s="545"/>
      <c r="PQU34" s="545"/>
      <c r="PQV34" s="545"/>
      <c r="PQW34" s="545"/>
      <c r="PQX34" s="545"/>
      <c r="PQY34" s="545"/>
      <c r="PQZ34" s="545"/>
      <c r="PRA34" s="545"/>
      <c r="PRB34" s="545"/>
      <c r="PRC34" s="545"/>
      <c r="PRD34" s="545"/>
      <c r="PRE34" s="545"/>
      <c r="PRF34" s="545"/>
      <c r="PRG34" s="545"/>
      <c r="PRH34" s="545"/>
      <c r="PRI34" s="545"/>
      <c r="PRJ34" s="545"/>
      <c r="PRK34" s="545"/>
      <c r="PRL34" s="545"/>
      <c r="PRM34" s="545"/>
      <c r="PRN34" s="545"/>
      <c r="PRO34" s="545"/>
      <c r="PRP34" s="545"/>
      <c r="PRQ34" s="545"/>
      <c r="PRR34" s="545"/>
      <c r="PRS34" s="545"/>
      <c r="PRT34" s="545"/>
      <c r="PRU34" s="545"/>
      <c r="PRV34" s="545"/>
      <c r="PRW34" s="545"/>
      <c r="PRX34" s="545"/>
      <c r="PRY34" s="545"/>
      <c r="PRZ34" s="545"/>
      <c r="PSA34" s="545"/>
      <c r="PSB34" s="545"/>
      <c r="PSC34" s="545"/>
      <c r="PSD34" s="545"/>
      <c r="PSE34" s="545"/>
      <c r="PSF34" s="545"/>
      <c r="PSG34" s="545"/>
      <c r="PSH34" s="545"/>
      <c r="PSI34" s="545"/>
      <c r="PSJ34" s="545"/>
      <c r="PSK34" s="545"/>
      <c r="PSL34" s="545"/>
      <c r="PSM34" s="545"/>
      <c r="PSN34" s="545"/>
      <c r="PSO34" s="545"/>
      <c r="PSP34" s="545"/>
      <c r="PSQ34" s="545"/>
      <c r="PSR34" s="545"/>
      <c r="PSS34" s="545"/>
      <c r="PST34" s="545"/>
      <c r="PSU34" s="545"/>
      <c r="PSV34" s="545"/>
      <c r="PSW34" s="545"/>
      <c r="PSX34" s="545"/>
      <c r="PSY34" s="545"/>
      <c r="PSZ34" s="545"/>
      <c r="PTA34" s="545"/>
      <c r="PTB34" s="545"/>
      <c r="PTC34" s="545"/>
      <c r="PTD34" s="545"/>
      <c r="PTE34" s="545"/>
      <c r="PTF34" s="545"/>
      <c r="PTG34" s="545"/>
      <c r="PTH34" s="545"/>
      <c r="PTI34" s="545"/>
      <c r="PTJ34" s="545"/>
      <c r="PTK34" s="545"/>
      <c r="PTL34" s="545"/>
      <c r="PTM34" s="545"/>
      <c r="PTN34" s="545"/>
      <c r="PTO34" s="545"/>
      <c r="PTP34" s="545"/>
      <c r="PTQ34" s="545"/>
      <c r="PTR34" s="545"/>
      <c r="PTS34" s="545"/>
      <c r="PTT34" s="545"/>
      <c r="PTU34" s="545"/>
      <c r="PTV34" s="545"/>
      <c r="PTW34" s="545"/>
      <c r="PTX34" s="545"/>
      <c r="PTY34" s="545"/>
      <c r="PTZ34" s="545"/>
      <c r="PUA34" s="545"/>
      <c r="PUB34" s="545"/>
      <c r="PUC34" s="545"/>
      <c r="PUD34" s="545"/>
      <c r="PUE34" s="545"/>
      <c r="PUF34" s="545"/>
      <c r="PUG34" s="545"/>
      <c r="PUH34" s="545"/>
      <c r="PUI34" s="545"/>
      <c r="PUJ34" s="545"/>
      <c r="PUK34" s="545"/>
      <c r="PUL34" s="545"/>
      <c r="PUM34" s="545"/>
      <c r="PUN34" s="545"/>
      <c r="PUO34" s="545"/>
      <c r="PUP34" s="545"/>
      <c r="PUQ34" s="545"/>
      <c r="PUR34" s="545"/>
      <c r="PUS34" s="545"/>
      <c r="PUT34" s="545"/>
      <c r="PUU34" s="545"/>
      <c r="PUV34" s="545"/>
      <c r="PUW34" s="545"/>
      <c r="PUX34" s="545"/>
      <c r="PUY34" s="545"/>
      <c r="PUZ34" s="545"/>
      <c r="PVA34" s="545"/>
      <c r="PVB34" s="545"/>
      <c r="PVC34" s="545"/>
      <c r="PVD34" s="545"/>
      <c r="PVE34" s="545"/>
      <c r="PVF34" s="545"/>
      <c r="PVG34" s="545"/>
      <c r="PVH34" s="545"/>
      <c r="PVI34" s="545"/>
      <c r="PVJ34" s="545"/>
      <c r="PVK34" s="545"/>
      <c r="PVL34" s="545"/>
      <c r="PVM34" s="545"/>
      <c r="PVN34" s="545"/>
      <c r="PVO34" s="545"/>
      <c r="PVP34" s="545"/>
      <c r="PVQ34" s="545"/>
      <c r="PVR34" s="545"/>
      <c r="PVS34" s="545"/>
      <c r="PVT34" s="545"/>
      <c r="PVU34" s="545"/>
      <c r="PVV34" s="545"/>
      <c r="PVW34" s="545"/>
      <c r="PVX34" s="545"/>
      <c r="PVY34" s="545"/>
      <c r="PVZ34" s="545"/>
      <c r="PWA34" s="545"/>
      <c r="PWB34" s="545"/>
      <c r="PWC34" s="545"/>
      <c r="PWD34" s="545"/>
      <c r="PWE34" s="545"/>
      <c r="PWF34" s="545"/>
      <c r="PWG34" s="545"/>
      <c r="PWH34" s="545"/>
      <c r="PWI34" s="545"/>
      <c r="PWJ34" s="545"/>
      <c r="PWK34" s="545"/>
      <c r="PWL34" s="545"/>
      <c r="PWM34" s="545"/>
      <c r="PWN34" s="545"/>
      <c r="PWO34" s="545"/>
      <c r="PWP34" s="545"/>
      <c r="PWQ34" s="545"/>
      <c r="PWR34" s="545"/>
      <c r="PWS34" s="545"/>
      <c r="PWT34" s="545"/>
      <c r="PWU34" s="545"/>
      <c r="PWV34" s="545"/>
      <c r="PWW34" s="545"/>
      <c r="PWX34" s="545"/>
      <c r="PWY34" s="545"/>
      <c r="PWZ34" s="545"/>
      <c r="PXA34" s="545"/>
      <c r="PXB34" s="545"/>
      <c r="PXC34" s="545"/>
      <c r="PXD34" s="545"/>
      <c r="PXE34" s="545"/>
      <c r="PXF34" s="545"/>
      <c r="PXG34" s="545"/>
      <c r="PXH34" s="545"/>
      <c r="PXI34" s="545"/>
      <c r="PXJ34" s="545"/>
      <c r="PXK34" s="545"/>
      <c r="PXL34" s="545"/>
      <c r="PXM34" s="545"/>
      <c r="PXN34" s="545"/>
      <c r="PXO34" s="545"/>
      <c r="PXP34" s="545"/>
      <c r="PXQ34" s="545"/>
      <c r="PXR34" s="545"/>
      <c r="PXS34" s="545"/>
      <c r="PXT34" s="545"/>
      <c r="PXU34" s="545"/>
      <c r="PXV34" s="545"/>
      <c r="PXW34" s="545"/>
      <c r="PXX34" s="545"/>
      <c r="PXY34" s="545"/>
      <c r="PXZ34" s="545"/>
      <c r="PYA34" s="545"/>
      <c r="PYB34" s="545"/>
      <c r="PYC34" s="545"/>
      <c r="PYD34" s="545"/>
      <c r="PYE34" s="545"/>
      <c r="PYF34" s="545"/>
      <c r="PYG34" s="545"/>
      <c r="PYH34" s="545"/>
      <c r="PYI34" s="545"/>
      <c r="PYJ34" s="545"/>
      <c r="PYK34" s="545"/>
      <c r="PYL34" s="545"/>
      <c r="PYM34" s="545"/>
      <c r="PYN34" s="545"/>
      <c r="PYO34" s="545"/>
      <c r="PYP34" s="545"/>
      <c r="PYQ34" s="545"/>
      <c r="PYR34" s="545"/>
      <c r="PYS34" s="545"/>
      <c r="PYT34" s="545"/>
      <c r="PYU34" s="545"/>
      <c r="PYV34" s="545"/>
      <c r="PYW34" s="545"/>
      <c r="PYX34" s="545"/>
      <c r="PYY34" s="545"/>
      <c r="PYZ34" s="545"/>
      <c r="PZA34" s="545"/>
      <c r="PZB34" s="545"/>
      <c r="PZC34" s="545"/>
      <c r="PZD34" s="545"/>
      <c r="PZE34" s="545"/>
      <c r="PZF34" s="545"/>
      <c r="PZG34" s="545"/>
      <c r="PZH34" s="545"/>
      <c r="PZI34" s="545"/>
      <c r="PZJ34" s="545"/>
      <c r="PZK34" s="545"/>
      <c r="PZL34" s="545"/>
      <c r="PZM34" s="545"/>
      <c r="PZN34" s="545"/>
      <c r="PZO34" s="545"/>
      <c r="PZP34" s="545"/>
      <c r="PZQ34" s="545"/>
      <c r="PZR34" s="545"/>
      <c r="PZS34" s="545"/>
      <c r="PZT34" s="545"/>
      <c r="PZU34" s="545"/>
      <c r="PZV34" s="545"/>
      <c r="PZW34" s="545"/>
      <c r="PZX34" s="545"/>
      <c r="PZY34" s="545"/>
      <c r="PZZ34" s="545"/>
      <c r="QAA34" s="545"/>
      <c r="QAB34" s="545"/>
      <c r="QAC34" s="545"/>
      <c r="QAD34" s="545"/>
      <c r="QAE34" s="545"/>
      <c r="QAF34" s="545"/>
      <c r="QAG34" s="545"/>
      <c r="QAH34" s="545"/>
      <c r="QAI34" s="545"/>
      <c r="QAJ34" s="545"/>
      <c r="QAK34" s="545"/>
      <c r="QAL34" s="545"/>
      <c r="QAM34" s="545"/>
      <c r="QAN34" s="545"/>
      <c r="QAO34" s="545"/>
      <c r="QAP34" s="545"/>
      <c r="QAQ34" s="545"/>
      <c r="QAR34" s="545"/>
      <c r="QAS34" s="545"/>
      <c r="QAT34" s="545"/>
      <c r="QAU34" s="545"/>
      <c r="QAV34" s="545"/>
      <c r="QAW34" s="545"/>
      <c r="QAX34" s="545"/>
      <c r="QAY34" s="545"/>
      <c r="QAZ34" s="545"/>
      <c r="QBA34" s="545"/>
      <c r="QBB34" s="545"/>
      <c r="QBC34" s="545"/>
      <c r="QBD34" s="545"/>
      <c r="QBE34" s="545"/>
      <c r="QBF34" s="545"/>
      <c r="QBG34" s="545"/>
      <c r="QBH34" s="545"/>
      <c r="QBI34" s="545"/>
      <c r="QBJ34" s="545"/>
      <c r="QBK34" s="545"/>
      <c r="QBL34" s="545"/>
      <c r="QBM34" s="545"/>
      <c r="QBN34" s="545"/>
      <c r="QBO34" s="545"/>
      <c r="QBP34" s="545"/>
      <c r="QBQ34" s="545"/>
      <c r="QBR34" s="545"/>
      <c r="QBS34" s="545"/>
      <c r="QBT34" s="545"/>
      <c r="QBU34" s="545"/>
      <c r="QBV34" s="545"/>
      <c r="QBW34" s="545"/>
      <c r="QBX34" s="545"/>
      <c r="QBY34" s="545"/>
      <c r="QBZ34" s="545"/>
      <c r="QCA34" s="545"/>
      <c r="QCB34" s="545"/>
      <c r="QCC34" s="545"/>
      <c r="QCD34" s="545"/>
      <c r="QCE34" s="545"/>
      <c r="QCF34" s="545"/>
      <c r="QCG34" s="545"/>
      <c r="QCH34" s="545"/>
      <c r="QCI34" s="545"/>
      <c r="QCJ34" s="545"/>
      <c r="QCK34" s="545"/>
      <c r="QCL34" s="545"/>
      <c r="QCM34" s="545"/>
      <c r="QCN34" s="545"/>
      <c r="QCO34" s="545"/>
      <c r="QCP34" s="545"/>
      <c r="QCQ34" s="545"/>
      <c r="QCR34" s="545"/>
      <c r="QCS34" s="545"/>
      <c r="QCT34" s="545"/>
      <c r="QCU34" s="545"/>
      <c r="QCV34" s="545"/>
      <c r="QCW34" s="545"/>
      <c r="QCX34" s="545"/>
      <c r="QCY34" s="545"/>
      <c r="QCZ34" s="545"/>
      <c r="QDA34" s="545"/>
      <c r="QDB34" s="545"/>
      <c r="QDC34" s="545"/>
      <c r="QDD34" s="545"/>
      <c r="QDE34" s="545"/>
      <c r="QDF34" s="545"/>
      <c r="QDG34" s="545"/>
      <c r="QDH34" s="545"/>
      <c r="QDI34" s="545"/>
      <c r="QDJ34" s="545"/>
      <c r="QDK34" s="545"/>
      <c r="QDL34" s="545"/>
      <c r="QDM34" s="545"/>
      <c r="QDN34" s="545"/>
      <c r="QDO34" s="545"/>
      <c r="QDP34" s="545"/>
      <c r="QDQ34" s="545"/>
      <c r="QDR34" s="545"/>
      <c r="QDS34" s="545"/>
      <c r="QDT34" s="545"/>
      <c r="QDU34" s="545"/>
      <c r="QDV34" s="545"/>
      <c r="QDW34" s="545"/>
      <c r="QDX34" s="545"/>
      <c r="QDY34" s="545"/>
      <c r="QDZ34" s="545"/>
      <c r="QEA34" s="545"/>
      <c r="QEB34" s="545"/>
      <c r="QEC34" s="545"/>
      <c r="QED34" s="545"/>
      <c r="QEE34" s="545"/>
      <c r="QEF34" s="545"/>
      <c r="QEG34" s="545"/>
      <c r="QEH34" s="545"/>
      <c r="QEI34" s="545"/>
      <c r="QEJ34" s="545"/>
      <c r="QEK34" s="545"/>
      <c r="QEL34" s="545"/>
      <c r="QEM34" s="545"/>
      <c r="QEN34" s="545"/>
      <c r="QEO34" s="545"/>
      <c r="QEP34" s="545"/>
      <c r="QEQ34" s="545"/>
      <c r="QER34" s="545"/>
      <c r="QES34" s="545"/>
      <c r="QET34" s="545"/>
      <c r="QEU34" s="545"/>
      <c r="QEV34" s="545"/>
      <c r="QEW34" s="545"/>
      <c r="QEX34" s="545"/>
      <c r="QEY34" s="545"/>
      <c r="QEZ34" s="545"/>
      <c r="QFA34" s="545"/>
      <c r="QFB34" s="545"/>
      <c r="QFC34" s="545"/>
      <c r="QFD34" s="545"/>
      <c r="QFE34" s="545"/>
      <c r="QFF34" s="545"/>
      <c r="QFG34" s="545"/>
      <c r="QFH34" s="545"/>
      <c r="QFI34" s="545"/>
      <c r="QFJ34" s="545"/>
      <c r="QFK34" s="545"/>
      <c r="QFL34" s="545"/>
      <c r="QFM34" s="545"/>
      <c r="QFN34" s="545"/>
      <c r="QFO34" s="545"/>
      <c r="QFP34" s="545"/>
      <c r="QFQ34" s="545"/>
      <c r="QFR34" s="545"/>
      <c r="QFS34" s="545"/>
      <c r="QFT34" s="545"/>
      <c r="QFU34" s="545"/>
      <c r="QFV34" s="545"/>
      <c r="QFW34" s="545"/>
      <c r="QFX34" s="545"/>
      <c r="QFY34" s="545"/>
      <c r="QFZ34" s="545"/>
      <c r="QGA34" s="545"/>
      <c r="QGB34" s="545"/>
      <c r="QGC34" s="545"/>
      <c r="QGD34" s="545"/>
      <c r="QGE34" s="545"/>
      <c r="QGF34" s="545"/>
      <c r="QGG34" s="545"/>
      <c r="QGH34" s="545"/>
      <c r="QGI34" s="545"/>
      <c r="QGJ34" s="545"/>
      <c r="QGK34" s="545"/>
      <c r="QGL34" s="545"/>
      <c r="QGM34" s="545"/>
      <c r="QGN34" s="545"/>
      <c r="QGO34" s="545"/>
      <c r="QGP34" s="545"/>
      <c r="QGQ34" s="545"/>
      <c r="QGR34" s="545"/>
      <c r="QGS34" s="545"/>
      <c r="QGT34" s="545"/>
      <c r="QGU34" s="545"/>
      <c r="QGV34" s="545"/>
      <c r="QGW34" s="545"/>
      <c r="QGX34" s="545"/>
      <c r="QGY34" s="545"/>
      <c r="QGZ34" s="545"/>
      <c r="QHA34" s="545"/>
      <c r="QHB34" s="545"/>
      <c r="QHC34" s="545"/>
      <c r="QHD34" s="545"/>
      <c r="QHE34" s="545"/>
      <c r="QHF34" s="545"/>
      <c r="QHG34" s="545"/>
      <c r="QHH34" s="545"/>
      <c r="QHI34" s="545"/>
      <c r="QHJ34" s="545"/>
      <c r="QHK34" s="545"/>
      <c r="QHL34" s="545"/>
      <c r="QHM34" s="545"/>
      <c r="QHN34" s="545"/>
      <c r="QHO34" s="545"/>
      <c r="QHP34" s="545"/>
      <c r="QHQ34" s="545"/>
      <c r="QHR34" s="545"/>
      <c r="QHS34" s="545"/>
      <c r="QHT34" s="545"/>
      <c r="QHU34" s="545"/>
      <c r="QHV34" s="545"/>
      <c r="QHW34" s="545"/>
      <c r="QHX34" s="545"/>
      <c r="QHY34" s="545"/>
      <c r="QHZ34" s="545"/>
      <c r="QIA34" s="545"/>
      <c r="QIB34" s="545"/>
      <c r="QIC34" s="545"/>
      <c r="QID34" s="545"/>
      <c r="QIE34" s="545"/>
      <c r="QIF34" s="545"/>
      <c r="QIG34" s="545"/>
      <c r="QIH34" s="545"/>
      <c r="QII34" s="545"/>
      <c r="QIJ34" s="545"/>
      <c r="QIK34" s="545"/>
      <c r="QIL34" s="545"/>
      <c r="QIM34" s="545"/>
      <c r="QIN34" s="545"/>
      <c r="QIO34" s="545"/>
      <c r="QIP34" s="545"/>
      <c r="QIQ34" s="545"/>
      <c r="QIR34" s="545"/>
      <c r="QIS34" s="545"/>
      <c r="QIT34" s="545"/>
      <c r="QIU34" s="545"/>
      <c r="QIV34" s="545"/>
      <c r="QIW34" s="545"/>
      <c r="QIX34" s="545"/>
      <c r="QIY34" s="545"/>
      <c r="QIZ34" s="545"/>
      <c r="QJA34" s="545"/>
      <c r="QJB34" s="545"/>
      <c r="QJC34" s="545"/>
      <c r="QJD34" s="545"/>
      <c r="QJE34" s="545"/>
      <c r="QJF34" s="545"/>
      <c r="QJG34" s="545"/>
      <c r="QJH34" s="545"/>
      <c r="QJI34" s="545"/>
      <c r="QJJ34" s="545"/>
      <c r="QJK34" s="545"/>
      <c r="QJL34" s="545"/>
      <c r="QJM34" s="545"/>
      <c r="QJN34" s="545"/>
      <c r="QJO34" s="545"/>
      <c r="QJP34" s="545"/>
      <c r="QJQ34" s="545"/>
      <c r="QJR34" s="545"/>
      <c r="QJS34" s="545"/>
      <c r="QJT34" s="545"/>
      <c r="QJU34" s="545"/>
      <c r="QJV34" s="545"/>
      <c r="QJW34" s="545"/>
      <c r="QJX34" s="545"/>
      <c r="QJY34" s="545"/>
      <c r="QJZ34" s="545"/>
      <c r="QKA34" s="545"/>
      <c r="QKB34" s="545"/>
      <c r="QKC34" s="545"/>
      <c r="QKD34" s="545"/>
      <c r="QKE34" s="545"/>
      <c r="QKF34" s="545"/>
      <c r="QKG34" s="545"/>
      <c r="QKH34" s="545"/>
      <c r="QKI34" s="545"/>
      <c r="QKJ34" s="545"/>
      <c r="QKK34" s="545"/>
      <c r="QKL34" s="545"/>
      <c r="QKM34" s="545"/>
      <c r="QKN34" s="545"/>
      <c r="QKO34" s="545"/>
      <c r="QKP34" s="545"/>
      <c r="QKQ34" s="545"/>
      <c r="QKR34" s="545"/>
      <c r="QKS34" s="545"/>
      <c r="QKT34" s="545"/>
      <c r="QKU34" s="545"/>
      <c r="QKV34" s="545"/>
      <c r="QKW34" s="545"/>
      <c r="QKX34" s="545"/>
      <c r="QKY34" s="545"/>
      <c r="QKZ34" s="545"/>
      <c r="QLA34" s="545"/>
      <c r="QLB34" s="545"/>
      <c r="QLC34" s="545"/>
      <c r="QLD34" s="545"/>
      <c r="QLE34" s="545"/>
      <c r="QLF34" s="545"/>
      <c r="QLG34" s="545"/>
      <c r="QLH34" s="545"/>
      <c r="QLI34" s="545"/>
      <c r="QLJ34" s="545"/>
      <c r="QLK34" s="545"/>
      <c r="QLL34" s="545"/>
      <c r="QLM34" s="545"/>
      <c r="QLN34" s="545"/>
      <c r="QLO34" s="545"/>
      <c r="QLP34" s="545"/>
      <c r="QLQ34" s="545"/>
      <c r="QLR34" s="545"/>
      <c r="QLS34" s="545"/>
      <c r="QLT34" s="545"/>
      <c r="QLU34" s="545"/>
      <c r="QLV34" s="545"/>
      <c r="QLW34" s="545"/>
      <c r="QLX34" s="545"/>
      <c r="QLY34" s="545"/>
      <c r="QLZ34" s="545"/>
      <c r="QMA34" s="545"/>
      <c r="QMB34" s="545"/>
      <c r="QMC34" s="545"/>
      <c r="QMD34" s="545"/>
      <c r="QME34" s="545"/>
      <c r="QMF34" s="545"/>
      <c r="QMG34" s="545"/>
      <c r="QMH34" s="545"/>
      <c r="QMI34" s="545"/>
      <c r="QMJ34" s="545"/>
      <c r="QMK34" s="545"/>
      <c r="QML34" s="545"/>
      <c r="QMM34" s="545"/>
      <c r="QMN34" s="545"/>
      <c r="QMO34" s="545"/>
      <c r="QMP34" s="545"/>
      <c r="QMQ34" s="545"/>
      <c r="QMR34" s="545"/>
      <c r="QMS34" s="545"/>
      <c r="QMT34" s="545"/>
      <c r="QMU34" s="545"/>
      <c r="QMV34" s="545"/>
      <c r="QMW34" s="545"/>
      <c r="QMX34" s="545"/>
      <c r="QMY34" s="545"/>
      <c r="QMZ34" s="545"/>
      <c r="QNA34" s="545"/>
      <c r="QNB34" s="545"/>
      <c r="QNC34" s="545"/>
      <c r="QND34" s="545"/>
      <c r="QNE34" s="545"/>
      <c r="QNF34" s="545"/>
      <c r="QNG34" s="545"/>
      <c r="QNH34" s="545"/>
      <c r="QNI34" s="545"/>
      <c r="QNJ34" s="545"/>
      <c r="QNK34" s="545"/>
      <c r="QNL34" s="545"/>
      <c r="QNM34" s="545"/>
      <c r="QNN34" s="545"/>
      <c r="QNO34" s="545"/>
      <c r="QNP34" s="545"/>
      <c r="QNQ34" s="545"/>
      <c r="QNR34" s="545"/>
      <c r="QNS34" s="545"/>
      <c r="QNT34" s="545"/>
      <c r="QNU34" s="545"/>
      <c r="QNV34" s="545"/>
      <c r="QNW34" s="545"/>
      <c r="QNX34" s="545"/>
      <c r="QNY34" s="545"/>
      <c r="QNZ34" s="545"/>
      <c r="QOA34" s="545"/>
      <c r="QOB34" s="545"/>
      <c r="QOC34" s="545"/>
      <c r="QOD34" s="545"/>
      <c r="QOE34" s="545"/>
      <c r="QOF34" s="545"/>
      <c r="QOG34" s="545"/>
      <c r="QOH34" s="545"/>
      <c r="QOI34" s="545"/>
      <c r="QOJ34" s="545"/>
      <c r="QOK34" s="545"/>
      <c r="QOL34" s="545"/>
      <c r="QOM34" s="545"/>
      <c r="QON34" s="545"/>
      <c r="QOO34" s="545"/>
      <c r="QOP34" s="545"/>
      <c r="QOQ34" s="545"/>
      <c r="QOR34" s="545"/>
      <c r="QOS34" s="545"/>
      <c r="QOT34" s="545"/>
      <c r="QOU34" s="545"/>
      <c r="QOV34" s="545"/>
      <c r="QOW34" s="545"/>
      <c r="QOX34" s="545"/>
      <c r="QOY34" s="545"/>
      <c r="QOZ34" s="545"/>
      <c r="QPA34" s="545"/>
      <c r="QPB34" s="545"/>
      <c r="QPC34" s="545"/>
      <c r="QPD34" s="545"/>
      <c r="QPE34" s="545"/>
      <c r="QPF34" s="545"/>
      <c r="QPG34" s="545"/>
      <c r="QPH34" s="545"/>
      <c r="QPI34" s="545"/>
      <c r="QPJ34" s="545"/>
      <c r="QPK34" s="545"/>
      <c r="QPL34" s="545"/>
      <c r="QPM34" s="545"/>
      <c r="QPN34" s="545"/>
      <c r="QPO34" s="545"/>
      <c r="QPP34" s="545"/>
      <c r="QPQ34" s="545"/>
      <c r="QPR34" s="545"/>
      <c r="QPS34" s="545"/>
      <c r="QPT34" s="545"/>
      <c r="QPU34" s="545"/>
      <c r="QPV34" s="545"/>
      <c r="QPW34" s="545"/>
      <c r="QPX34" s="545"/>
      <c r="QPY34" s="545"/>
      <c r="QPZ34" s="545"/>
      <c r="QQA34" s="545"/>
      <c r="QQB34" s="545"/>
      <c r="QQC34" s="545"/>
      <c r="QQD34" s="545"/>
      <c r="QQE34" s="545"/>
      <c r="QQF34" s="545"/>
      <c r="QQG34" s="545"/>
      <c r="QQH34" s="545"/>
      <c r="QQI34" s="545"/>
      <c r="QQJ34" s="545"/>
      <c r="QQK34" s="545"/>
      <c r="QQL34" s="545"/>
      <c r="QQM34" s="545"/>
      <c r="QQN34" s="545"/>
      <c r="QQO34" s="545"/>
      <c r="QQP34" s="545"/>
      <c r="QQQ34" s="545"/>
      <c r="QQR34" s="545"/>
      <c r="QQS34" s="545"/>
      <c r="QQT34" s="545"/>
      <c r="QQU34" s="545"/>
      <c r="QQV34" s="545"/>
      <c r="QQW34" s="545"/>
      <c r="QQX34" s="545"/>
      <c r="QQY34" s="545"/>
      <c r="QQZ34" s="545"/>
      <c r="QRA34" s="545"/>
      <c r="QRB34" s="545"/>
      <c r="QRC34" s="545"/>
      <c r="QRD34" s="545"/>
      <c r="QRE34" s="545"/>
      <c r="QRF34" s="545"/>
      <c r="QRG34" s="545"/>
      <c r="QRH34" s="545"/>
      <c r="QRI34" s="545"/>
      <c r="QRJ34" s="545"/>
      <c r="QRK34" s="545"/>
      <c r="QRL34" s="545"/>
      <c r="QRM34" s="545"/>
      <c r="QRN34" s="545"/>
      <c r="QRO34" s="545"/>
      <c r="QRP34" s="545"/>
      <c r="QRQ34" s="545"/>
      <c r="QRR34" s="545"/>
      <c r="QRS34" s="545"/>
      <c r="QRT34" s="545"/>
      <c r="QRU34" s="545"/>
      <c r="QRV34" s="545"/>
      <c r="QRW34" s="545"/>
      <c r="QRX34" s="545"/>
      <c r="QRY34" s="545"/>
      <c r="QRZ34" s="545"/>
      <c r="QSA34" s="545"/>
      <c r="QSB34" s="545"/>
      <c r="QSC34" s="545"/>
      <c r="QSD34" s="545"/>
      <c r="QSE34" s="545"/>
      <c r="QSF34" s="545"/>
      <c r="QSG34" s="545"/>
      <c r="QSH34" s="545"/>
      <c r="QSI34" s="545"/>
      <c r="QSJ34" s="545"/>
      <c r="QSK34" s="545"/>
      <c r="QSL34" s="545"/>
      <c r="QSM34" s="545"/>
      <c r="QSN34" s="545"/>
      <c r="QSO34" s="545"/>
      <c r="QSP34" s="545"/>
      <c r="QSQ34" s="545"/>
      <c r="QSR34" s="545"/>
      <c r="QSS34" s="545"/>
      <c r="QST34" s="545"/>
      <c r="QSU34" s="545"/>
      <c r="QSV34" s="545"/>
      <c r="QSW34" s="545"/>
      <c r="QSX34" s="545"/>
      <c r="QSY34" s="545"/>
      <c r="QSZ34" s="545"/>
      <c r="QTA34" s="545"/>
      <c r="QTB34" s="545"/>
      <c r="QTC34" s="545"/>
      <c r="QTD34" s="545"/>
      <c r="QTE34" s="545"/>
      <c r="QTF34" s="545"/>
      <c r="QTG34" s="545"/>
      <c r="QTH34" s="545"/>
      <c r="QTI34" s="545"/>
      <c r="QTJ34" s="545"/>
      <c r="QTK34" s="545"/>
      <c r="QTL34" s="545"/>
      <c r="QTM34" s="545"/>
      <c r="QTN34" s="545"/>
      <c r="QTO34" s="545"/>
      <c r="QTP34" s="545"/>
      <c r="QTQ34" s="545"/>
      <c r="QTR34" s="545"/>
      <c r="QTS34" s="545"/>
      <c r="QTT34" s="545"/>
      <c r="QTU34" s="545"/>
      <c r="QTV34" s="545"/>
      <c r="QTW34" s="545"/>
      <c r="QTX34" s="545"/>
      <c r="QTY34" s="545"/>
      <c r="QTZ34" s="545"/>
      <c r="QUA34" s="545"/>
      <c r="QUB34" s="545"/>
      <c r="QUC34" s="545"/>
      <c r="QUD34" s="545"/>
      <c r="QUE34" s="545"/>
      <c r="QUF34" s="545"/>
      <c r="QUG34" s="545"/>
      <c r="QUH34" s="545"/>
      <c r="QUI34" s="545"/>
      <c r="QUJ34" s="545"/>
      <c r="QUK34" s="545"/>
      <c r="QUL34" s="545"/>
      <c r="QUM34" s="545"/>
      <c r="QUN34" s="545"/>
      <c r="QUO34" s="545"/>
      <c r="QUP34" s="545"/>
      <c r="QUQ34" s="545"/>
      <c r="QUR34" s="545"/>
      <c r="QUS34" s="545"/>
      <c r="QUT34" s="545"/>
      <c r="QUU34" s="545"/>
      <c r="QUV34" s="545"/>
      <c r="QUW34" s="545"/>
      <c r="QUX34" s="545"/>
      <c r="QUY34" s="545"/>
      <c r="QUZ34" s="545"/>
      <c r="QVA34" s="545"/>
      <c r="QVB34" s="545"/>
      <c r="QVC34" s="545"/>
      <c r="QVD34" s="545"/>
      <c r="QVE34" s="545"/>
      <c r="QVF34" s="545"/>
      <c r="QVG34" s="545"/>
      <c r="QVH34" s="545"/>
      <c r="QVI34" s="545"/>
      <c r="QVJ34" s="545"/>
      <c r="QVK34" s="545"/>
      <c r="QVL34" s="545"/>
      <c r="QVM34" s="545"/>
      <c r="QVN34" s="545"/>
      <c r="QVO34" s="545"/>
      <c r="QVP34" s="545"/>
      <c r="QVQ34" s="545"/>
      <c r="QVR34" s="545"/>
      <c r="QVS34" s="545"/>
      <c r="QVT34" s="545"/>
      <c r="QVU34" s="545"/>
      <c r="QVV34" s="545"/>
      <c r="QVW34" s="545"/>
      <c r="QVX34" s="545"/>
      <c r="QVY34" s="545"/>
      <c r="QVZ34" s="545"/>
      <c r="QWA34" s="545"/>
      <c r="QWB34" s="545"/>
      <c r="QWC34" s="545"/>
      <c r="QWD34" s="545"/>
      <c r="QWE34" s="545"/>
      <c r="QWF34" s="545"/>
      <c r="QWG34" s="545"/>
      <c r="QWH34" s="545"/>
      <c r="QWI34" s="545"/>
      <c r="QWJ34" s="545"/>
      <c r="QWK34" s="545"/>
      <c r="QWL34" s="545"/>
      <c r="QWM34" s="545"/>
      <c r="QWN34" s="545"/>
      <c r="QWO34" s="545"/>
      <c r="QWP34" s="545"/>
      <c r="QWQ34" s="545"/>
      <c r="QWR34" s="545"/>
      <c r="QWS34" s="545"/>
      <c r="QWT34" s="545"/>
      <c r="QWU34" s="545"/>
      <c r="QWV34" s="545"/>
      <c r="QWW34" s="545"/>
      <c r="QWX34" s="545"/>
      <c r="QWY34" s="545"/>
      <c r="QWZ34" s="545"/>
      <c r="QXA34" s="545"/>
      <c r="QXB34" s="545"/>
      <c r="QXC34" s="545"/>
      <c r="QXD34" s="545"/>
      <c r="QXE34" s="545"/>
      <c r="QXF34" s="545"/>
      <c r="QXG34" s="545"/>
      <c r="QXH34" s="545"/>
      <c r="QXI34" s="545"/>
      <c r="QXJ34" s="545"/>
      <c r="QXK34" s="545"/>
      <c r="QXL34" s="545"/>
      <c r="QXM34" s="545"/>
      <c r="QXN34" s="545"/>
      <c r="QXO34" s="545"/>
      <c r="QXP34" s="545"/>
      <c r="QXQ34" s="545"/>
      <c r="QXR34" s="545"/>
      <c r="QXS34" s="545"/>
      <c r="QXT34" s="545"/>
      <c r="QXU34" s="545"/>
      <c r="QXV34" s="545"/>
      <c r="QXW34" s="545"/>
      <c r="QXX34" s="545"/>
      <c r="QXY34" s="545"/>
      <c r="QXZ34" s="545"/>
      <c r="QYA34" s="545"/>
      <c r="QYB34" s="545"/>
      <c r="QYC34" s="545"/>
      <c r="QYD34" s="545"/>
      <c r="QYE34" s="545"/>
      <c r="QYF34" s="545"/>
      <c r="QYG34" s="545"/>
      <c r="QYH34" s="545"/>
      <c r="QYI34" s="545"/>
      <c r="QYJ34" s="545"/>
      <c r="QYK34" s="545"/>
      <c r="QYL34" s="545"/>
      <c r="QYM34" s="545"/>
      <c r="QYN34" s="545"/>
      <c r="QYO34" s="545"/>
      <c r="QYP34" s="545"/>
      <c r="QYQ34" s="545"/>
      <c r="QYR34" s="545"/>
      <c r="QYS34" s="545"/>
      <c r="QYT34" s="545"/>
      <c r="QYU34" s="545"/>
      <c r="QYV34" s="545"/>
      <c r="QYW34" s="545"/>
      <c r="QYX34" s="545"/>
      <c r="QYY34" s="545"/>
      <c r="QYZ34" s="545"/>
      <c r="QZA34" s="545"/>
      <c r="QZB34" s="545"/>
      <c r="QZC34" s="545"/>
      <c r="QZD34" s="545"/>
      <c r="QZE34" s="545"/>
      <c r="QZF34" s="545"/>
      <c r="QZG34" s="545"/>
      <c r="QZH34" s="545"/>
      <c r="QZI34" s="545"/>
      <c r="QZJ34" s="545"/>
      <c r="QZK34" s="545"/>
      <c r="QZL34" s="545"/>
      <c r="QZM34" s="545"/>
      <c r="QZN34" s="545"/>
      <c r="QZO34" s="545"/>
      <c r="QZP34" s="545"/>
      <c r="QZQ34" s="545"/>
      <c r="QZR34" s="545"/>
      <c r="QZS34" s="545"/>
      <c r="QZT34" s="545"/>
      <c r="QZU34" s="545"/>
      <c r="QZV34" s="545"/>
      <c r="QZW34" s="545"/>
      <c r="QZX34" s="545"/>
      <c r="QZY34" s="545"/>
      <c r="QZZ34" s="545"/>
      <c r="RAA34" s="545"/>
      <c r="RAB34" s="545"/>
      <c r="RAC34" s="545"/>
      <c r="RAD34" s="545"/>
      <c r="RAE34" s="545"/>
      <c r="RAF34" s="545"/>
      <c r="RAG34" s="545"/>
      <c r="RAH34" s="545"/>
      <c r="RAI34" s="545"/>
      <c r="RAJ34" s="545"/>
      <c r="RAK34" s="545"/>
      <c r="RAL34" s="545"/>
      <c r="RAM34" s="545"/>
      <c r="RAN34" s="545"/>
      <c r="RAO34" s="545"/>
      <c r="RAP34" s="545"/>
      <c r="RAQ34" s="545"/>
      <c r="RAR34" s="545"/>
      <c r="RAS34" s="545"/>
      <c r="RAT34" s="545"/>
      <c r="RAU34" s="545"/>
      <c r="RAV34" s="545"/>
      <c r="RAW34" s="545"/>
      <c r="RAX34" s="545"/>
      <c r="RAY34" s="545"/>
      <c r="RAZ34" s="545"/>
      <c r="RBA34" s="545"/>
      <c r="RBB34" s="545"/>
      <c r="RBC34" s="545"/>
      <c r="RBD34" s="545"/>
      <c r="RBE34" s="545"/>
      <c r="RBF34" s="545"/>
      <c r="RBG34" s="545"/>
      <c r="RBH34" s="545"/>
      <c r="RBI34" s="545"/>
      <c r="RBJ34" s="545"/>
      <c r="RBK34" s="545"/>
      <c r="RBL34" s="545"/>
      <c r="RBM34" s="545"/>
      <c r="RBN34" s="545"/>
      <c r="RBO34" s="545"/>
      <c r="RBP34" s="545"/>
      <c r="RBQ34" s="545"/>
      <c r="RBR34" s="545"/>
      <c r="RBS34" s="545"/>
      <c r="RBT34" s="545"/>
      <c r="RBU34" s="545"/>
      <c r="RBV34" s="545"/>
      <c r="RBW34" s="545"/>
      <c r="RBX34" s="545"/>
      <c r="RBY34" s="545"/>
      <c r="RBZ34" s="545"/>
      <c r="RCA34" s="545"/>
      <c r="RCB34" s="545"/>
      <c r="RCC34" s="545"/>
      <c r="RCD34" s="545"/>
      <c r="RCE34" s="545"/>
      <c r="RCF34" s="545"/>
      <c r="RCG34" s="545"/>
      <c r="RCH34" s="545"/>
      <c r="RCI34" s="545"/>
      <c r="RCJ34" s="545"/>
      <c r="RCK34" s="545"/>
      <c r="RCL34" s="545"/>
      <c r="RCM34" s="545"/>
      <c r="RCN34" s="545"/>
      <c r="RCO34" s="545"/>
      <c r="RCP34" s="545"/>
      <c r="RCQ34" s="545"/>
      <c r="RCR34" s="545"/>
      <c r="RCS34" s="545"/>
      <c r="RCT34" s="545"/>
      <c r="RCU34" s="545"/>
      <c r="RCV34" s="545"/>
      <c r="RCW34" s="545"/>
      <c r="RCX34" s="545"/>
      <c r="RCY34" s="545"/>
      <c r="RCZ34" s="545"/>
      <c r="RDA34" s="545"/>
      <c r="RDB34" s="545"/>
      <c r="RDC34" s="545"/>
      <c r="RDD34" s="545"/>
      <c r="RDE34" s="545"/>
      <c r="RDF34" s="545"/>
      <c r="RDG34" s="545"/>
      <c r="RDH34" s="545"/>
      <c r="RDI34" s="545"/>
      <c r="RDJ34" s="545"/>
      <c r="RDK34" s="545"/>
      <c r="RDL34" s="545"/>
      <c r="RDM34" s="545"/>
      <c r="RDN34" s="545"/>
      <c r="RDO34" s="545"/>
      <c r="RDP34" s="545"/>
      <c r="RDQ34" s="545"/>
      <c r="RDR34" s="545"/>
      <c r="RDS34" s="545"/>
      <c r="RDT34" s="545"/>
      <c r="RDU34" s="545"/>
      <c r="RDV34" s="545"/>
      <c r="RDW34" s="545"/>
      <c r="RDX34" s="545"/>
      <c r="RDY34" s="545"/>
      <c r="RDZ34" s="545"/>
      <c r="REA34" s="545"/>
      <c r="REB34" s="545"/>
      <c r="REC34" s="545"/>
      <c r="RED34" s="545"/>
      <c r="REE34" s="545"/>
      <c r="REF34" s="545"/>
      <c r="REG34" s="545"/>
      <c r="REH34" s="545"/>
      <c r="REI34" s="545"/>
      <c r="REJ34" s="545"/>
      <c r="REK34" s="545"/>
      <c r="REL34" s="545"/>
      <c r="REM34" s="545"/>
      <c r="REN34" s="545"/>
      <c r="REO34" s="545"/>
      <c r="REP34" s="545"/>
      <c r="REQ34" s="545"/>
      <c r="RER34" s="545"/>
      <c r="RES34" s="545"/>
      <c r="RET34" s="545"/>
      <c r="REU34" s="545"/>
      <c r="REV34" s="545"/>
      <c r="REW34" s="545"/>
      <c r="REX34" s="545"/>
      <c r="REY34" s="545"/>
      <c r="REZ34" s="545"/>
      <c r="RFA34" s="545"/>
      <c r="RFB34" s="545"/>
      <c r="RFC34" s="545"/>
      <c r="RFD34" s="545"/>
      <c r="RFE34" s="545"/>
      <c r="RFF34" s="545"/>
      <c r="RFG34" s="545"/>
      <c r="RFH34" s="545"/>
      <c r="RFI34" s="545"/>
      <c r="RFJ34" s="545"/>
      <c r="RFK34" s="545"/>
      <c r="RFL34" s="545"/>
      <c r="RFM34" s="545"/>
      <c r="RFN34" s="545"/>
      <c r="RFO34" s="545"/>
      <c r="RFP34" s="545"/>
      <c r="RFQ34" s="545"/>
      <c r="RFR34" s="545"/>
      <c r="RFS34" s="545"/>
      <c r="RFT34" s="545"/>
      <c r="RFU34" s="545"/>
      <c r="RFV34" s="545"/>
      <c r="RFW34" s="545"/>
      <c r="RFX34" s="545"/>
      <c r="RFY34" s="545"/>
      <c r="RFZ34" s="545"/>
      <c r="RGA34" s="545"/>
      <c r="RGB34" s="545"/>
      <c r="RGC34" s="545"/>
      <c r="RGD34" s="545"/>
      <c r="RGE34" s="545"/>
      <c r="RGF34" s="545"/>
      <c r="RGG34" s="545"/>
      <c r="RGH34" s="545"/>
      <c r="RGI34" s="545"/>
      <c r="RGJ34" s="545"/>
      <c r="RGK34" s="545"/>
      <c r="RGL34" s="545"/>
      <c r="RGM34" s="545"/>
      <c r="RGN34" s="545"/>
      <c r="RGO34" s="545"/>
      <c r="RGP34" s="545"/>
      <c r="RGQ34" s="545"/>
      <c r="RGR34" s="545"/>
      <c r="RGS34" s="545"/>
      <c r="RGT34" s="545"/>
      <c r="RGU34" s="545"/>
      <c r="RGV34" s="545"/>
      <c r="RGW34" s="545"/>
      <c r="RGX34" s="545"/>
      <c r="RGY34" s="545"/>
      <c r="RGZ34" s="545"/>
      <c r="RHA34" s="545"/>
      <c r="RHB34" s="545"/>
      <c r="RHC34" s="545"/>
      <c r="RHD34" s="545"/>
      <c r="RHE34" s="545"/>
      <c r="RHF34" s="545"/>
      <c r="RHG34" s="545"/>
      <c r="RHH34" s="545"/>
      <c r="RHI34" s="545"/>
      <c r="RHJ34" s="545"/>
      <c r="RHK34" s="545"/>
      <c r="RHL34" s="545"/>
      <c r="RHM34" s="545"/>
      <c r="RHN34" s="545"/>
      <c r="RHO34" s="545"/>
      <c r="RHP34" s="545"/>
      <c r="RHQ34" s="545"/>
      <c r="RHR34" s="545"/>
      <c r="RHS34" s="545"/>
      <c r="RHT34" s="545"/>
      <c r="RHU34" s="545"/>
      <c r="RHV34" s="545"/>
      <c r="RHW34" s="545"/>
      <c r="RHX34" s="545"/>
      <c r="RHY34" s="545"/>
      <c r="RHZ34" s="545"/>
      <c r="RIA34" s="545"/>
      <c r="RIB34" s="545"/>
      <c r="RIC34" s="545"/>
      <c r="RID34" s="545"/>
      <c r="RIE34" s="545"/>
      <c r="RIF34" s="545"/>
      <c r="RIG34" s="545"/>
      <c r="RIH34" s="545"/>
      <c r="RII34" s="545"/>
      <c r="RIJ34" s="545"/>
      <c r="RIK34" s="545"/>
      <c r="RIL34" s="545"/>
      <c r="RIM34" s="545"/>
      <c r="RIN34" s="545"/>
      <c r="RIO34" s="545"/>
      <c r="RIP34" s="545"/>
      <c r="RIQ34" s="545"/>
      <c r="RIR34" s="545"/>
      <c r="RIS34" s="545"/>
      <c r="RIT34" s="545"/>
      <c r="RIU34" s="545"/>
      <c r="RIV34" s="545"/>
      <c r="RIW34" s="545"/>
      <c r="RIX34" s="545"/>
      <c r="RIY34" s="545"/>
      <c r="RIZ34" s="545"/>
      <c r="RJA34" s="545"/>
      <c r="RJB34" s="545"/>
      <c r="RJC34" s="545"/>
      <c r="RJD34" s="545"/>
      <c r="RJE34" s="545"/>
      <c r="RJF34" s="545"/>
      <c r="RJG34" s="545"/>
      <c r="RJH34" s="545"/>
      <c r="RJI34" s="545"/>
      <c r="RJJ34" s="545"/>
      <c r="RJK34" s="545"/>
      <c r="RJL34" s="545"/>
      <c r="RJM34" s="545"/>
      <c r="RJN34" s="545"/>
      <c r="RJO34" s="545"/>
      <c r="RJP34" s="545"/>
      <c r="RJQ34" s="545"/>
      <c r="RJR34" s="545"/>
      <c r="RJS34" s="545"/>
      <c r="RJT34" s="545"/>
      <c r="RJU34" s="545"/>
      <c r="RJV34" s="545"/>
      <c r="RJW34" s="545"/>
      <c r="RJX34" s="545"/>
      <c r="RJY34" s="545"/>
      <c r="RJZ34" s="545"/>
      <c r="RKA34" s="545"/>
      <c r="RKB34" s="545"/>
      <c r="RKC34" s="545"/>
      <c r="RKD34" s="545"/>
      <c r="RKE34" s="545"/>
      <c r="RKF34" s="545"/>
      <c r="RKG34" s="545"/>
      <c r="RKH34" s="545"/>
      <c r="RKI34" s="545"/>
      <c r="RKJ34" s="545"/>
      <c r="RKK34" s="545"/>
      <c r="RKL34" s="545"/>
      <c r="RKM34" s="545"/>
      <c r="RKN34" s="545"/>
      <c r="RKO34" s="545"/>
      <c r="RKP34" s="545"/>
      <c r="RKQ34" s="545"/>
      <c r="RKR34" s="545"/>
      <c r="RKS34" s="545"/>
      <c r="RKT34" s="545"/>
      <c r="RKU34" s="545"/>
      <c r="RKV34" s="545"/>
      <c r="RKW34" s="545"/>
      <c r="RKX34" s="545"/>
      <c r="RKY34" s="545"/>
      <c r="RKZ34" s="545"/>
      <c r="RLA34" s="545"/>
      <c r="RLB34" s="545"/>
      <c r="RLC34" s="545"/>
      <c r="RLD34" s="545"/>
      <c r="RLE34" s="545"/>
      <c r="RLF34" s="545"/>
      <c r="RLG34" s="545"/>
      <c r="RLH34" s="545"/>
      <c r="RLI34" s="545"/>
      <c r="RLJ34" s="545"/>
      <c r="RLK34" s="545"/>
      <c r="RLL34" s="545"/>
      <c r="RLM34" s="545"/>
      <c r="RLN34" s="545"/>
      <c r="RLO34" s="545"/>
      <c r="RLP34" s="545"/>
      <c r="RLQ34" s="545"/>
      <c r="RLR34" s="545"/>
      <c r="RLS34" s="545"/>
      <c r="RLT34" s="545"/>
      <c r="RLU34" s="545"/>
      <c r="RLV34" s="545"/>
      <c r="RLW34" s="545"/>
      <c r="RLX34" s="545"/>
      <c r="RLY34" s="545"/>
      <c r="RLZ34" s="545"/>
      <c r="RMA34" s="545"/>
      <c r="RMB34" s="545"/>
      <c r="RMC34" s="545"/>
      <c r="RMD34" s="545"/>
      <c r="RME34" s="545"/>
      <c r="RMF34" s="545"/>
      <c r="RMG34" s="545"/>
      <c r="RMH34" s="545"/>
      <c r="RMI34" s="545"/>
      <c r="RMJ34" s="545"/>
      <c r="RMK34" s="545"/>
      <c r="RML34" s="545"/>
      <c r="RMM34" s="545"/>
      <c r="RMN34" s="545"/>
      <c r="RMO34" s="545"/>
      <c r="RMP34" s="545"/>
      <c r="RMQ34" s="545"/>
      <c r="RMR34" s="545"/>
      <c r="RMS34" s="545"/>
      <c r="RMT34" s="545"/>
      <c r="RMU34" s="545"/>
      <c r="RMV34" s="545"/>
      <c r="RMW34" s="545"/>
      <c r="RMX34" s="545"/>
      <c r="RMY34" s="545"/>
      <c r="RMZ34" s="545"/>
      <c r="RNA34" s="545"/>
      <c r="RNB34" s="545"/>
      <c r="RNC34" s="545"/>
      <c r="RND34" s="545"/>
      <c r="RNE34" s="545"/>
      <c r="RNF34" s="545"/>
      <c r="RNG34" s="545"/>
      <c r="RNH34" s="545"/>
      <c r="RNI34" s="545"/>
      <c r="RNJ34" s="545"/>
      <c r="RNK34" s="545"/>
      <c r="RNL34" s="545"/>
      <c r="RNM34" s="545"/>
      <c r="RNN34" s="545"/>
      <c r="RNO34" s="545"/>
      <c r="RNP34" s="545"/>
      <c r="RNQ34" s="545"/>
      <c r="RNR34" s="545"/>
      <c r="RNS34" s="545"/>
      <c r="RNT34" s="545"/>
      <c r="RNU34" s="545"/>
      <c r="RNV34" s="545"/>
      <c r="RNW34" s="545"/>
      <c r="RNX34" s="545"/>
      <c r="RNY34" s="545"/>
      <c r="RNZ34" s="545"/>
      <c r="ROA34" s="545"/>
      <c r="ROB34" s="545"/>
      <c r="ROC34" s="545"/>
      <c r="ROD34" s="545"/>
      <c r="ROE34" s="545"/>
      <c r="ROF34" s="545"/>
      <c r="ROG34" s="545"/>
      <c r="ROH34" s="545"/>
      <c r="ROI34" s="545"/>
      <c r="ROJ34" s="545"/>
      <c r="ROK34" s="545"/>
      <c r="ROL34" s="545"/>
      <c r="ROM34" s="545"/>
      <c r="RON34" s="545"/>
      <c r="ROO34" s="545"/>
      <c r="ROP34" s="545"/>
      <c r="ROQ34" s="545"/>
      <c r="ROR34" s="545"/>
      <c r="ROS34" s="545"/>
      <c r="ROT34" s="545"/>
      <c r="ROU34" s="545"/>
      <c r="ROV34" s="545"/>
      <c r="ROW34" s="545"/>
      <c r="ROX34" s="545"/>
      <c r="ROY34" s="545"/>
      <c r="ROZ34" s="545"/>
      <c r="RPA34" s="545"/>
      <c r="RPB34" s="545"/>
      <c r="RPC34" s="545"/>
      <c r="RPD34" s="545"/>
      <c r="RPE34" s="545"/>
      <c r="RPF34" s="545"/>
      <c r="RPG34" s="545"/>
      <c r="RPH34" s="545"/>
      <c r="RPI34" s="545"/>
      <c r="RPJ34" s="545"/>
      <c r="RPK34" s="545"/>
      <c r="RPL34" s="545"/>
      <c r="RPM34" s="545"/>
      <c r="RPN34" s="545"/>
      <c r="RPO34" s="545"/>
      <c r="RPP34" s="545"/>
      <c r="RPQ34" s="545"/>
      <c r="RPR34" s="545"/>
      <c r="RPS34" s="545"/>
      <c r="RPT34" s="545"/>
      <c r="RPU34" s="545"/>
      <c r="RPV34" s="545"/>
      <c r="RPW34" s="545"/>
      <c r="RPX34" s="545"/>
      <c r="RPY34" s="545"/>
      <c r="RPZ34" s="545"/>
      <c r="RQA34" s="545"/>
      <c r="RQB34" s="545"/>
      <c r="RQC34" s="545"/>
      <c r="RQD34" s="545"/>
      <c r="RQE34" s="545"/>
      <c r="RQF34" s="545"/>
      <c r="RQG34" s="545"/>
      <c r="RQH34" s="545"/>
      <c r="RQI34" s="545"/>
      <c r="RQJ34" s="545"/>
      <c r="RQK34" s="545"/>
      <c r="RQL34" s="545"/>
      <c r="RQM34" s="545"/>
      <c r="RQN34" s="545"/>
      <c r="RQO34" s="545"/>
      <c r="RQP34" s="545"/>
      <c r="RQQ34" s="545"/>
      <c r="RQR34" s="545"/>
      <c r="RQS34" s="545"/>
      <c r="RQT34" s="545"/>
      <c r="RQU34" s="545"/>
      <c r="RQV34" s="545"/>
      <c r="RQW34" s="545"/>
      <c r="RQX34" s="545"/>
      <c r="RQY34" s="545"/>
      <c r="RQZ34" s="545"/>
      <c r="RRA34" s="545"/>
      <c r="RRB34" s="545"/>
      <c r="RRC34" s="545"/>
      <c r="RRD34" s="545"/>
      <c r="RRE34" s="545"/>
      <c r="RRF34" s="545"/>
      <c r="RRG34" s="545"/>
      <c r="RRH34" s="545"/>
      <c r="RRI34" s="545"/>
      <c r="RRJ34" s="545"/>
      <c r="RRK34" s="545"/>
      <c r="RRL34" s="545"/>
      <c r="RRM34" s="545"/>
      <c r="RRN34" s="545"/>
      <c r="RRO34" s="545"/>
      <c r="RRP34" s="545"/>
      <c r="RRQ34" s="545"/>
      <c r="RRR34" s="545"/>
      <c r="RRS34" s="545"/>
      <c r="RRT34" s="545"/>
      <c r="RRU34" s="545"/>
      <c r="RRV34" s="545"/>
      <c r="RRW34" s="545"/>
      <c r="RRX34" s="545"/>
      <c r="RRY34" s="545"/>
      <c r="RRZ34" s="545"/>
      <c r="RSA34" s="545"/>
      <c r="RSB34" s="545"/>
      <c r="RSC34" s="545"/>
      <c r="RSD34" s="545"/>
      <c r="RSE34" s="545"/>
      <c r="RSF34" s="545"/>
      <c r="RSG34" s="545"/>
      <c r="RSH34" s="545"/>
      <c r="RSI34" s="545"/>
      <c r="RSJ34" s="545"/>
      <c r="RSK34" s="545"/>
      <c r="RSL34" s="545"/>
      <c r="RSM34" s="545"/>
      <c r="RSN34" s="545"/>
      <c r="RSO34" s="545"/>
      <c r="RSP34" s="545"/>
      <c r="RSQ34" s="545"/>
      <c r="RSR34" s="545"/>
      <c r="RSS34" s="545"/>
      <c r="RST34" s="545"/>
      <c r="RSU34" s="545"/>
      <c r="RSV34" s="545"/>
      <c r="RSW34" s="545"/>
      <c r="RSX34" s="545"/>
      <c r="RSY34" s="545"/>
      <c r="RSZ34" s="545"/>
      <c r="RTA34" s="545"/>
      <c r="RTB34" s="545"/>
      <c r="RTC34" s="545"/>
      <c r="RTD34" s="545"/>
      <c r="RTE34" s="545"/>
      <c r="RTF34" s="545"/>
      <c r="RTG34" s="545"/>
      <c r="RTH34" s="545"/>
      <c r="RTI34" s="545"/>
      <c r="RTJ34" s="545"/>
      <c r="RTK34" s="545"/>
      <c r="RTL34" s="545"/>
      <c r="RTM34" s="545"/>
      <c r="RTN34" s="545"/>
      <c r="RTO34" s="545"/>
      <c r="RTP34" s="545"/>
      <c r="RTQ34" s="545"/>
      <c r="RTR34" s="545"/>
      <c r="RTS34" s="545"/>
      <c r="RTT34" s="545"/>
      <c r="RTU34" s="545"/>
      <c r="RTV34" s="545"/>
      <c r="RTW34" s="545"/>
      <c r="RTX34" s="545"/>
      <c r="RTY34" s="545"/>
      <c r="RTZ34" s="545"/>
      <c r="RUA34" s="545"/>
      <c r="RUB34" s="545"/>
      <c r="RUC34" s="545"/>
      <c r="RUD34" s="545"/>
      <c r="RUE34" s="545"/>
      <c r="RUF34" s="545"/>
      <c r="RUG34" s="545"/>
      <c r="RUH34" s="545"/>
      <c r="RUI34" s="545"/>
      <c r="RUJ34" s="545"/>
      <c r="RUK34" s="545"/>
      <c r="RUL34" s="545"/>
      <c r="RUM34" s="545"/>
      <c r="RUN34" s="545"/>
      <c r="RUO34" s="545"/>
      <c r="RUP34" s="545"/>
      <c r="RUQ34" s="545"/>
      <c r="RUR34" s="545"/>
      <c r="RUS34" s="545"/>
      <c r="RUT34" s="545"/>
      <c r="RUU34" s="545"/>
      <c r="RUV34" s="545"/>
      <c r="RUW34" s="545"/>
      <c r="RUX34" s="545"/>
      <c r="RUY34" s="545"/>
      <c r="RUZ34" s="545"/>
      <c r="RVA34" s="545"/>
      <c r="RVB34" s="545"/>
      <c r="RVC34" s="545"/>
      <c r="RVD34" s="545"/>
      <c r="RVE34" s="545"/>
      <c r="RVF34" s="545"/>
      <c r="RVG34" s="545"/>
      <c r="RVH34" s="545"/>
      <c r="RVI34" s="545"/>
      <c r="RVJ34" s="545"/>
      <c r="RVK34" s="545"/>
      <c r="RVL34" s="545"/>
      <c r="RVM34" s="545"/>
      <c r="RVN34" s="545"/>
      <c r="RVO34" s="545"/>
      <c r="RVP34" s="545"/>
      <c r="RVQ34" s="545"/>
      <c r="RVR34" s="545"/>
      <c r="RVS34" s="545"/>
      <c r="RVT34" s="545"/>
      <c r="RVU34" s="545"/>
      <c r="RVV34" s="545"/>
      <c r="RVW34" s="545"/>
      <c r="RVX34" s="545"/>
      <c r="RVY34" s="545"/>
      <c r="RVZ34" s="545"/>
      <c r="RWA34" s="545"/>
      <c r="RWB34" s="545"/>
      <c r="RWC34" s="545"/>
      <c r="RWD34" s="545"/>
      <c r="RWE34" s="545"/>
      <c r="RWF34" s="545"/>
      <c r="RWG34" s="545"/>
      <c r="RWH34" s="545"/>
      <c r="RWI34" s="545"/>
      <c r="RWJ34" s="545"/>
      <c r="RWK34" s="545"/>
      <c r="RWL34" s="545"/>
      <c r="RWM34" s="545"/>
      <c r="RWN34" s="545"/>
      <c r="RWO34" s="545"/>
      <c r="RWP34" s="545"/>
      <c r="RWQ34" s="545"/>
      <c r="RWR34" s="545"/>
      <c r="RWS34" s="545"/>
      <c r="RWT34" s="545"/>
      <c r="RWU34" s="545"/>
      <c r="RWV34" s="545"/>
      <c r="RWW34" s="545"/>
      <c r="RWX34" s="545"/>
      <c r="RWY34" s="545"/>
      <c r="RWZ34" s="545"/>
      <c r="RXA34" s="545"/>
      <c r="RXB34" s="545"/>
      <c r="RXC34" s="545"/>
      <c r="RXD34" s="545"/>
      <c r="RXE34" s="545"/>
      <c r="RXF34" s="545"/>
      <c r="RXG34" s="545"/>
      <c r="RXH34" s="545"/>
      <c r="RXI34" s="545"/>
      <c r="RXJ34" s="545"/>
      <c r="RXK34" s="545"/>
      <c r="RXL34" s="545"/>
      <c r="RXM34" s="545"/>
      <c r="RXN34" s="545"/>
      <c r="RXO34" s="545"/>
      <c r="RXP34" s="545"/>
      <c r="RXQ34" s="545"/>
      <c r="RXR34" s="545"/>
      <c r="RXS34" s="545"/>
      <c r="RXT34" s="545"/>
      <c r="RXU34" s="545"/>
      <c r="RXV34" s="545"/>
      <c r="RXW34" s="545"/>
      <c r="RXX34" s="545"/>
      <c r="RXY34" s="545"/>
      <c r="RXZ34" s="545"/>
      <c r="RYA34" s="545"/>
      <c r="RYB34" s="545"/>
      <c r="RYC34" s="545"/>
      <c r="RYD34" s="545"/>
      <c r="RYE34" s="545"/>
      <c r="RYF34" s="545"/>
      <c r="RYG34" s="545"/>
      <c r="RYH34" s="545"/>
      <c r="RYI34" s="545"/>
      <c r="RYJ34" s="545"/>
      <c r="RYK34" s="545"/>
      <c r="RYL34" s="545"/>
      <c r="RYM34" s="545"/>
      <c r="RYN34" s="545"/>
      <c r="RYO34" s="545"/>
      <c r="RYP34" s="545"/>
      <c r="RYQ34" s="545"/>
      <c r="RYR34" s="545"/>
      <c r="RYS34" s="545"/>
      <c r="RYT34" s="545"/>
      <c r="RYU34" s="545"/>
      <c r="RYV34" s="545"/>
      <c r="RYW34" s="545"/>
      <c r="RYX34" s="545"/>
      <c r="RYY34" s="545"/>
      <c r="RYZ34" s="545"/>
      <c r="RZA34" s="545"/>
      <c r="RZB34" s="545"/>
      <c r="RZC34" s="545"/>
      <c r="RZD34" s="545"/>
      <c r="RZE34" s="545"/>
      <c r="RZF34" s="545"/>
      <c r="RZG34" s="545"/>
      <c r="RZH34" s="545"/>
      <c r="RZI34" s="545"/>
      <c r="RZJ34" s="545"/>
      <c r="RZK34" s="545"/>
      <c r="RZL34" s="545"/>
      <c r="RZM34" s="545"/>
      <c r="RZN34" s="545"/>
      <c r="RZO34" s="545"/>
      <c r="RZP34" s="545"/>
      <c r="RZQ34" s="545"/>
      <c r="RZR34" s="545"/>
      <c r="RZS34" s="545"/>
      <c r="RZT34" s="545"/>
      <c r="RZU34" s="545"/>
      <c r="RZV34" s="545"/>
      <c r="RZW34" s="545"/>
      <c r="RZX34" s="545"/>
      <c r="RZY34" s="545"/>
      <c r="RZZ34" s="545"/>
      <c r="SAA34" s="545"/>
      <c r="SAB34" s="545"/>
      <c r="SAC34" s="545"/>
      <c r="SAD34" s="545"/>
      <c r="SAE34" s="545"/>
      <c r="SAF34" s="545"/>
      <c r="SAG34" s="545"/>
      <c r="SAH34" s="545"/>
      <c r="SAI34" s="545"/>
      <c r="SAJ34" s="545"/>
      <c r="SAK34" s="545"/>
      <c r="SAL34" s="545"/>
      <c r="SAM34" s="545"/>
      <c r="SAN34" s="545"/>
      <c r="SAO34" s="545"/>
      <c r="SAP34" s="545"/>
      <c r="SAQ34" s="545"/>
      <c r="SAR34" s="545"/>
      <c r="SAS34" s="545"/>
      <c r="SAT34" s="545"/>
      <c r="SAU34" s="545"/>
      <c r="SAV34" s="545"/>
      <c r="SAW34" s="545"/>
      <c r="SAX34" s="545"/>
      <c r="SAY34" s="545"/>
      <c r="SAZ34" s="545"/>
      <c r="SBA34" s="545"/>
      <c r="SBB34" s="545"/>
      <c r="SBC34" s="545"/>
      <c r="SBD34" s="545"/>
      <c r="SBE34" s="545"/>
      <c r="SBF34" s="545"/>
      <c r="SBG34" s="545"/>
      <c r="SBH34" s="545"/>
      <c r="SBI34" s="545"/>
      <c r="SBJ34" s="545"/>
      <c r="SBK34" s="545"/>
      <c r="SBL34" s="545"/>
      <c r="SBM34" s="545"/>
      <c r="SBN34" s="545"/>
      <c r="SBO34" s="545"/>
      <c r="SBP34" s="545"/>
      <c r="SBQ34" s="545"/>
      <c r="SBR34" s="545"/>
      <c r="SBS34" s="545"/>
      <c r="SBT34" s="545"/>
      <c r="SBU34" s="545"/>
      <c r="SBV34" s="545"/>
      <c r="SBW34" s="545"/>
      <c r="SBX34" s="545"/>
      <c r="SBY34" s="545"/>
      <c r="SBZ34" s="545"/>
      <c r="SCA34" s="545"/>
      <c r="SCB34" s="545"/>
      <c r="SCC34" s="545"/>
      <c r="SCD34" s="545"/>
      <c r="SCE34" s="545"/>
      <c r="SCF34" s="545"/>
      <c r="SCG34" s="545"/>
      <c r="SCH34" s="545"/>
      <c r="SCI34" s="545"/>
      <c r="SCJ34" s="545"/>
      <c r="SCK34" s="545"/>
      <c r="SCL34" s="545"/>
      <c r="SCM34" s="545"/>
      <c r="SCN34" s="545"/>
      <c r="SCO34" s="545"/>
      <c r="SCP34" s="545"/>
      <c r="SCQ34" s="545"/>
      <c r="SCR34" s="545"/>
      <c r="SCS34" s="545"/>
      <c r="SCT34" s="545"/>
      <c r="SCU34" s="545"/>
      <c r="SCV34" s="545"/>
      <c r="SCW34" s="545"/>
      <c r="SCX34" s="545"/>
      <c r="SCY34" s="545"/>
      <c r="SCZ34" s="545"/>
      <c r="SDA34" s="545"/>
      <c r="SDB34" s="545"/>
      <c r="SDC34" s="545"/>
      <c r="SDD34" s="545"/>
      <c r="SDE34" s="545"/>
      <c r="SDF34" s="545"/>
      <c r="SDG34" s="545"/>
      <c r="SDH34" s="545"/>
      <c r="SDI34" s="545"/>
      <c r="SDJ34" s="545"/>
      <c r="SDK34" s="545"/>
      <c r="SDL34" s="545"/>
      <c r="SDM34" s="545"/>
      <c r="SDN34" s="545"/>
      <c r="SDO34" s="545"/>
      <c r="SDP34" s="545"/>
      <c r="SDQ34" s="545"/>
      <c r="SDR34" s="545"/>
      <c r="SDS34" s="545"/>
      <c r="SDT34" s="545"/>
      <c r="SDU34" s="545"/>
      <c r="SDV34" s="545"/>
      <c r="SDW34" s="545"/>
      <c r="SDX34" s="545"/>
      <c r="SDY34" s="545"/>
      <c r="SDZ34" s="545"/>
      <c r="SEA34" s="545"/>
      <c r="SEB34" s="545"/>
      <c r="SEC34" s="545"/>
      <c r="SED34" s="545"/>
      <c r="SEE34" s="545"/>
      <c r="SEF34" s="545"/>
      <c r="SEG34" s="545"/>
      <c r="SEH34" s="545"/>
      <c r="SEI34" s="545"/>
      <c r="SEJ34" s="545"/>
      <c r="SEK34" s="545"/>
      <c r="SEL34" s="545"/>
      <c r="SEM34" s="545"/>
      <c r="SEN34" s="545"/>
      <c r="SEO34" s="545"/>
      <c r="SEP34" s="545"/>
      <c r="SEQ34" s="545"/>
      <c r="SER34" s="545"/>
      <c r="SES34" s="545"/>
      <c r="SET34" s="545"/>
      <c r="SEU34" s="545"/>
      <c r="SEV34" s="545"/>
      <c r="SEW34" s="545"/>
      <c r="SEX34" s="545"/>
      <c r="SEY34" s="545"/>
      <c r="SEZ34" s="545"/>
      <c r="SFA34" s="545"/>
      <c r="SFB34" s="545"/>
      <c r="SFC34" s="545"/>
      <c r="SFD34" s="545"/>
      <c r="SFE34" s="545"/>
      <c r="SFF34" s="545"/>
      <c r="SFG34" s="545"/>
      <c r="SFH34" s="545"/>
      <c r="SFI34" s="545"/>
      <c r="SFJ34" s="545"/>
      <c r="SFK34" s="545"/>
      <c r="SFL34" s="545"/>
      <c r="SFM34" s="545"/>
      <c r="SFN34" s="545"/>
      <c r="SFO34" s="545"/>
      <c r="SFP34" s="545"/>
      <c r="SFQ34" s="545"/>
      <c r="SFR34" s="545"/>
      <c r="SFS34" s="545"/>
      <c r="SFT34" s="545"/>
      <c r="SFU34" s="545"/>
      <c r="SFV34" s="545"/>
      <c r="SFW34" s="545"/>
      <c r="SFX34" s="545"/>
      <c r="SFY34" s="545"/>
      <c r="SFZ34" s="545"/>
      <c r="SGA34" s="545"/>
      <c r="SGB34" s="545"/>
      <c r="SGC34" s="545"/>
      <c r="SGD34" s="545"/>
      <c r="SGE34" s="545"/>
      <c r="SGF34" s="545"/>
      <c r="SGG34" s="545"/>
      <c r="SGH34" s="545"/>
      <c r="SGI34" s="545"/>
      <c r="SGJ34" s="545"/>
      <c r="SGK34" s="545"/>
      <c r="SGL34" s="545"/>
      <c r="SGM34" s="545"/>
      <c r="SGN34" s="545"/>
      <c r="SGO34" s="545"/>
      <c r="SGP34" s="545"/>
      <c r="SGQ34" s="545"/>
      <c r="SGR34" s="545"/>
      <c r="SGS34" s="545"/>
      <c r="SGT34" s="545"/>
      <c r="SGU34" s="545"/>
      <c r="SGV34" s="545"/>
      <c r="SGW34" s="545"/>
      <c r="SGX34" s="545"/>
      <c r="SGY34" s="545"/>
      <c r="SGZ34" s="545"/>
      <c r="SHA34" s="545"/>
      <c r="SHB34" s="545"/>
      <c r="SHC34" s="545"/>
      <c r="SHD34" s="545"/>
      <c r="SHE34" s="545"/>
      <c r="SHF34" s="545"/>
      <c r="SHG34" s="545"/>
      <c r="SHH34" s="545"/>
      <c r="SHI34" s="545"/>
      <c r="SHJ34" s="545"/>
      <c r="SHK34" s="545"/>
      <c r="SHL34" s="545"/>
      <c r="SHM34" s="545"/>
      <c r="SHN34" s="545"/>
      <c r="SHO34" s="545"/>
      <c r="SHP34" s="545"/>
      <c r="SHQ34" s="545"/>
      <c r="SHR34" s="545"/>
      <c r="SHS34" s="545"/>
      <c r="SHT34" s="545"/>
      <c r="SHU34" s="545"/>
      <c r="SHV34" s="545"/>
      <c r="SHW34" s="545"/>
      <c r="SHX34" s="545"/>
      <c r="SHY34" s="545"/>
      <c r="SHZ34" s="545"/>
      <c r="SIA34" s="545"/>
      <c r="SIB34" s="545"/>
      <c r="SIC34" s="545"/>
      <c r="SID34" s="545"/>
      <c r="SIE34" s="545"/>
      <c r="SIF34" s="545"/>
      <c r="SIG34" s="545"/>
      <c r="SIH34" s="545"/>
      <c r="SII34" s="545"/>
      <c r="SIJ34" s="545"/>
      <c r="SIK34" s="545"/>
      <c r="SIL34" s="545"/>
      <c r="SIM34" s="545"/>
      <c r="SIN34" s="545"/>
      <c r="SIO34" s="545"/>
      <c r="SIP34" s="545"/>
      <c r="SIQ34" s="545"/>
      <c r="SIR34" s="545"/>
      <c r="SIS34" s="545"/>
      <c r="SIT34" s="545"/>
      <c r="SIU34" s="545"/>
      <c r="SIV34" s="545"/>
      <c r="SIW34" s="545"/>
      <c r="SIX34" s="545"/>
      <c r="SIY34" s="545"/>
      <c r="SIZ34" s="545"/>
      <c r="SJA34" s="545"/>
      <c r="SJB34" s="545"/>
      <c r="SJC34" s="545"/>
      <c r="SJD34" s="545"/>
      <c r="SJE34" s="545"/>
      <c r="SJF34" s="545"/>
      <c r="SJG34" s="545"/>
      <c r="SJH34" s="545"/>
      <c r="SJI34" s="545"/>
      <c r="SJJ34" s="545"/>
      <c r="SJK34" s="545"/>
      <c r="SJL34" s="545"/>
      <c r="SJM34" s="545"/>
      <c r="SJN34" s="545"/>
      <c r="SJO34" s="545"/>
      <c r="SJP34" s="545"/>
      <c r="SJQ34" s="545"/>
      <c r="SJR34" s="545"/>
      <c r="SJS34" s="545"/>
      <c r="SJT34" s="545"/>
      <c r="SJU34" s="545"/>
      <c r="SJV34" s="545"/>
      <c r="SJW34" s="545"/>
      <c r="SJX34" s="545"/>
      <c r="SJY34" s="545"/>
      <c r="SJZ34" s="545"/>
      <c r="SKA34" s="545"/>
      <c r="SKB34" s="545"/>
      <c r="SKC34" s="545"/>
      <c r="SKD34" s="545"/>
      <c r="SKE34" s="545"/>
      <c r="SKF34" s="545"/>
      <c r="SKG34" s="545"/>
      <c r="SKH34" s="545"/>
      <c r="SKI34" s="545"/>
      <c r="SKJ34" s="545"/>
      <c r="SKK34" s="545"/>
      <c r="SKL34" s="545"/>
      <c r="SKM34" s="545"/>
      <c r="SKN34" s="545"/>
      <c r="SKO34" s="545"/>
      <c r="SKP34" s="545"/>
      <c r="SKQ34" s="545"/>
      <c r="SKR34" s="545"/>
      <c r="SKS34" s="545"/>
      <c r="SKT34" s="545"/>
      <c r="SKU34" s="545"/>
      <c r="SKV34" s="545"/>
      <c r="SKW34" s="545"/>
      <c r="SKX34" s="545"/>
      <c r="SKY34" s="545"/>
      <c r="SKZ34" s="545"/>
      <c r="SLA34" s="545"/>
      <c r="SLB34" s="545"/>
      <c r="SLC34" s="545"/>
      <c r="SLD34" s="545"/>
      <c r="SLE34" s="545"/>
      <c r="SLF34" s="545"/>
      <c r="SLG34" s="545"/>
      <c r="SLH34" s="545"/>
      <c r="SLI34" s="545"/>
      <c r="SLJ34" s="545"/>
      <c r="SLK34" s="545"/>
      <c r="SLL34" s="545"/>
      <c r="SLM34" s="545"/>
      <c r="SLN34" s="545"/>
      <c r="SLO34" s="545"/>
      <c r="SLP34" s="545"/>
      <c r="SLQ34" s="545"/>
      <c r="SLR34" s="545"/>
      <c r="SLS34" s="545"/>
      <c r="SLT34" s="545"/>
      <c r="SLU34" s="545"/>
      <c r="SLV34" s="545"/>
      <c r="SLW34" s="545"/>
      <c r="SLX34" s="545"/>
      <c r="SLY34" s="545"/>
      <c r="SLZ34" s="545"/>
      <c r="SMA34" s="545"/>
      <c r="SMB34" s="545"/>
      <c r="SMC34" s="545"/>
      <c r="SMD34" s="545"/>
      <c r="SME34" s="545"/>
      <c r="SMF34" s="545"/>
      <c r="SMG34" s="545"/>
      <c r="SMH34" s="545"/>
      <c r="SMI34" s="545"/>
      <c r="SMJ34" s="545"/>
      <c r="SMK34" s="545"/>
      <c r="SML34" s="545"/>
      <c r="SMM34" s="545"/>
      <c r="SMN34" s="545"/>
      <c r="SMO34" s="545"/>
      <c r="SMP34" s="545"/>
      <c r="SMQ34" s="545"/>
      <c r="SMR34" s="545"/>
      <c r="SMS34" s="545"/>
      <c r="SMT34" s="545"/>
      <c r="SMU34" s="545"/>
      <c r="SMV34" s="545"/>
      <c r="SMW34" s="545"/>
      <c r="SMX34" s="545"/>
      <c r="SMY34" s="545"/>
      <c r="SMZ34" s="545"/>
      <c r="SNA34" s="545"/>
      <c r="SNB34" s="545"/>
      <c r="SNC34" s="545"/>
      <c r="SND34" s="545"/>
      <c r="SNE34" s="545"/>
      <c r="SNF34" s="545"/>
      <c r="SNG34" s="545"/>
      <c r="SNH34" s="545"/>
      <c r="SNI34" s="545"/>
      <c r="SNJ34" s="545"/>
      <c r="SNK34" s="545"/>
      <c r="SNL34" s="545"/>
      <c r="SNM34" s="545"/>
      <c r="SNN34" s="545"/>
      <c r="SNO34" s="545"/>
      <c r="SNP34" s="545"/>
      <c r="SNQ34" s="545"/>
      <c r="SNR34" s="545"/>
      <c r="SNS34" s="545"/>
      <c r="SNT34" s="545"/>
      <c r="SNU34" s="545"/>
      <c r="SNV34" s="545"/>
      <c r="SNW34" s="545"/>
      <c r="SNX34" s="545"/>
      <c r="SNY34" s="545"/>
      <c r="SNZ34" s="545"/>
      <c r="SOA34" s="545"/>
      <c r="SOB34" s="545"/>
      <c r="SOC34" s="545"/>
      <c r="SOD34" s="545"/>
      <c r="SOE34" s="545"/>
      <c r="SOF34" s="545"/>
      <c r="SOG34" s="545"/>
      <c r="SOH34" s="545"/>
      <c r="SOI34" s="545"/>
      <c r="SOJ34" s="545"/>
      <c r="SOK34" s="545"/>
      <c r="SOL34" s="545"/>
      <c r="SOM34" s="545"/>
      <c r="SON34" s="545"/>
      <c r="SOO34" s="545"/>
      <c r="SOP34" s="545"/>
      <c r="SOQ34" s="545"/>
      <c r="SOR34" s="545"/>
      <c r="SOS34" s="545"/>
      <c r="SOT34" s="545"/>
      <c r="SOU34" s="545"/>
      <c r="SOV34" s="545"/>
      <c r="SOW34" s="545"/>
      <c r="SOX34" s="545"/>
      <c r="SOY34" s="545"/>
      <c r="SOZ34" s="545"/>
      <c r="SPA34" s="545"/>
      <c r="SPB34" s="545"/>
      <c r="SPC34" s="545"/>
      <c r="SPD34" s="545"/>
      <c r="SPE34" s="545"/>
      <c r="SPF34" s="545"/>
      <c r="SPG34" s="545"/>
      <c r="SPH34" s="545"/>
      <c r="SPI34" s="545"/>
      <c r="SPJ34" s="545"/>
      <c r="SPK34" s="545"/>
      <c r="SPL34" s="545"/>
      <c r="SPM34" s="545"/>
      <c r="SPN34" s="545"/>
      <c r="SPO34" s="545"/>
      <c r="SPP34" s="545"/>
      <c r="SPQ34" s="545"/>
      <c r="SPR34" s="545"/>
      <c r="SPS34" s="545"/>
      <c r="SPT34" s="545"/>
      <c r="SPU34" s="545"/>
      <c r="SPV34" s="545"/>
      <c r="SPW34" s="545"/>
      <c r="SPX34" s="545"/>
      <c r="SPY34" s="545"/>
      <c r="SPZ34" s="545"/>
      <c r="SQA34" s="545"/>
      <c r="SQB34" s="545"/>
      <c r="SQC34" s="545"/>
      <c r="SQD34" s="545"/>
      <c r="SQE34" s="545"/>
      <c r="SQF34" s="545"/>
      <c r="SQG34" s="545"/>
      <c r="SQH34" s="545"/>
      <c r="SQI34" s="545"/>
      <c r="SQJ34" s="545"/>
      <c r="SQK34" s="545"/>
      <c r="SQL34" s="545"/>
      <c r="SQM34" s="545"/>
      <c r="SQN34" s="545"/>
      <c r="SQO34" s="545"/>
      <c r="SQP34" s="545"/>
      <c r="SQQ34" s="545"/>
      <c r="SQR34" s="545"/>
      <c r="SQS34" s="545"/>
      <c r="SQT34" s="545"/>
      <c r="SQU34" s="545"/>
      <c r="SQV34" s="545"/>
      <c r="SQW34" s="545"/>
      <c r="SQX34" s="545"/>
      <c r="SQY34" s="545"/>
      <c r="SQZ34" s="545"/>
      <c r="SRA34" s="545"/>
      <c r="SRB34" s="545"/>
      <c r="SRC34" s="545"/>
      <c r="SRD34" s="545"/>
      <c r="SRE34" s="545"/>
      <c r="SRF34" s="545"/>
      <c r="SRG34" s="545"/>
      <c r="SRH34" s="545"/>
      <c r="SRI34" s="545"/>
      <c r="SRJ34" s="545"/>
      <c r="SRK34" s="545"/>
      <c r="SRL34" s="545"/>
      <c r="SRM34" s="545"/>
      <c r="SRN34" s="545"/>
      <c r="SRO34" s="545"/>
      <c r="SRP34" s="545"/>
      <c r="SRQ34" s="545"/>
      <c r="SRR34" s="545"/>
      <c r="SRS34" s="545"/>
      <c r="SRT34" s="545"/>
      <c r="SRU34" s="545"/>
      <c r="SRV34" s="545"/>
      <c r="SRW34" s="545"/>
      <c r="SRX34" s="545"/>
      <c r="SRY34" s="545"/>
      <c r="SRZ34" s="545"/>
      <c r="SSA34" s="545"/>
      <c r="SSB34" s="545"/>
      <c r="SSC34" s="545"/>
      <c r="SSD34" s="545"/>
      <c r="SSE34" s="545"/>
      <c r="SSF34" s="545"/>
      <c r="SSG34" s="545"/>
      <c r="SSH34" s="545"/>
      <c r="SSI34" s="545"/>
      <c r="SSJ34" s="545"/>
      <c r="SSK34" s="545"/>
      <c r="SSL34" s="545"/>
      <c r="SSM34" s="545"/>
      <c r="SSN34" s="545"/>
      <c r="SSO34" s="545"/>
      <c r="SSP34" s="545"/>
      <c r="SSQ34" s="545"/>
      <c r="SSR34" s="545"/>
      <c r="SSS34" s="545"/>
      <c r="SST34" s="545"/>
      <c r="SSU34" s="545"/>
      <c r="SSV34" s="545"/>
      <c r="SSW34" s="545"/>
      <c r="SSX34" s="545"/>
      <c r="SSY34" s="545"/>
      <c r="SSZ34" s="545"/>
      <c r="STA34" s="545"/>
      <c r="STB34" s="545"/>
      <c r="STC34" s="545"/>
      <c r="STD34" s="545"/>
      <c r="STE34" s="545"/>
      <c r="STF34" s="545"/>
      <c r="STG34" s="545"/>
      <c r="STH34" s="545"/>
      <c r="STI34" s="545"/>
      <c r="STJ34" s="545"/>
      <c r="STK34" s="545"/>
      <c r="STL34" s="545"/>
      <c r="STM34" s="545"/>
      <c r="STN34" s="545"/>
      <c r="STO34" s="545"/>
      <c r="STP34" s="545"/>
      <c r="STQ34" s="545"/>
      <c r="STR34" s="545"/>
      <c r="STS34" s="545"/>
      <c r="STT34" s="545"/>
      <c r="STU34" s="545"/>
      <c r="STV34" s="545"/>
      <c r="STW34" s="545"/>
      <c r="STX34" s="545"/>
      <c r="STY34" s="545"/>
      <c r="STZ34" s="545"/>
      <c r="SUA34" s="545"/>
      <c r="SUB34" s="545"/>
      <c r="SUC34" s="545"/>
      <c r="SUD34" s="545"/>
      <c r="SUE34" s="545"/>
      <c r="SUF34" s="545"/>
      <c r="SUG34" s="545"/>
      <c r="SUH34" s="545"/>
      <c r="SUI34" s="545"/>
      <c r="SUJ34" s="545"/>
      <c r="SUK34" s="545"/>
      <c r="SUL34" s="545"/>
      <c r="SUM34" s="545"/>
      <c r="SUN34" s="545"/>
      <c r="SUO34" s="545"/>
      <c r="SUP34" s="545"/>
      <c r="SUQ34" s="545"/>
      <c r="SUR34" s="545"/>
      <c r="SUS34" s="545"/>
      <c r="SUT34" s="545"/>
      <c r="SUU34" s="545"/>
      <c r="SUV34" s="545"/>
      <c r="SUW34" s="545"/>
      <c r="SUX34" s="545"/>
      <c r="SUY34" s="545"/>
      <c r="SUZ34" s="545"/>
      <c r="SVA34" s="545"/>
      <c r="SVB34" s="545"/>
      <c r="SVC34" s="545"/>
      <c r="SVD34" s="545"/>
      <c r="SVE34" s="545"/>
      <c r="SVF34" s="545"/>
      <c r="SVG34" s="545"/>
      <c r="SVH34" s="545"/>
      <c r="SVI34" s="545"/>
      <c r="SVJ34" s="545"/>
      <c r="SVK34" s="545"/>
      <c r="SVL34" s="545"/>
      <c r="SVM34" s="545"/>
      <c r="SVN34" s="545"/>
      <c r="SVO34" s="545"/>
      <c r="SVP34" s="545"/>
      <c r="SVQ34" s="545"/>
      <c r="SVR34" s="545"/>
      <c r="SVS34" s="545"/>
      <c r="SVT34" s="545"/>
      <c r="SVU34" s="545"/>
      <c r="SVV34" s="545"/>
      <c r="SVW34" s="545"/>
      <c r="SVX34" s="545"/>
      <c r="SVY34" s="545"/>
      <c r="SVZ34" s="545"/>
      <c r="SWA34" s="545"/>
      <c r="SWB34" s="545"/>
      <c r="SWC34" s="545"/>
      <c r="SWD34" s="545"/>
      <c r="SWE34" s="545"/>
      <c r="SWF34" s="545"/>
      <c r="SWG34" s="545"/>
      <c r="SWH34" s="545"/>
      <c r="SWI34" s="545"/>
      <c r="SWJ34" s="545"/>
      <c r="SWK34" s="545"/>
      <c r="SWL34" s="545"/>
      <c r="SWM34" s="545"/>
      <c r="SWN34" s="545"/>
      <c r="SWO34" s="545"/>
      <c r="SWP34" s="545"/>
      <c r="SWQ34" s="545"/>
      <c r="SWR34" s="545"/>
      <c r="SWS34" s="545"/>
      <c r="SWT34" s="545"/>
      <c r="SWU34" s="545"/>
      <c r="SWV34" s="545"/>
      <c r="SWW34" s="545"/>
      <c r="SWX34" s="545"/>
      <c r="SWY34" s="545"/>
      <c r="SWZ34" s="545"/>
      <c r="SXA34" s="545"/>
      <c r="SXB34" s="545"/>
      <c r="SXC34" s="545"/>
      <c r="SXD34" s="545"/>
      <c r="SXE34" s="545"/>
      <c r="SXF34" s="545"/>
      <c r="SXG34" s="545"/>
      <c r="SXH34" s="545"/>
      <c r="SXI34" s="545"/>
      <c r="SXJ34" s="545"/>
      <c r="SXK34" s="545"/>
      <c r="SXL34" s="545"/>
      <c r="SXM34" s="545"/>
      <c r="SXN34" s="545"/>
      <c r="SXO34" s="545"/>
      <c r="SXP34" s="545"/>
      <c r="SXQ34" s="545"/>
      <c r="SXR34" s="545"/>
      <c r="SXS34" s="545"/>
      <c r="SXT34" s="545"/>
      <c r="SXU34" s="545"/>
      <c r="SXV34" s="545"/>
      <c r="SXW34" s="545"/>
      <c r="SXX34" s="545"/>
      <c r="SXY34" s="545"/>
      <c r="SXZ34" s="545"/>
      <c r="SYA34" s="545"/>
      <c r="SYB34" s="545"/>
      <c r="SYC34" s="545"/>
      <c r="SYD34" s="545"/>
      <c r="SYE34" s="545"/>
      <c r="SYF34" s="545"/>
      <c r="SYG34" s="545"/>
      <c r="SYH34" s="545"/>
      <c r="SYI34" s="545"/>
      <c r="SYJ34" s="545"/>
      <c r="SYK34" s="545"/>
      <c r="SYL34" s="545"/>
      <c r="SYM34" s="545"/>
      <c r="SYN34" s="545"/>
      <c r="SYO34" s="545"/>
      <c r="SYP34" s="545"/>
      <c r="SYQ34" s="545"/>
      <c r="SYR34" s="545"/>
      <c r="SYS34" s="545"/>
      <c r="SYT34" s="545"/>
      <c r="SYU34" s="545"/>
      <c r="SYV34" s="545"/>
      <c r="SYW34" s="545"/>
      <c r="SYX34" s="545"/>
      <c r="SYY34" s="545"/>
      <c r="SYZ34" s="545"/>
      <c r="SZA34" s="545"/>
      <c r="SZB34" s="545"/>
      <c r="SZC34" s="545"/>
      <c r="SZD34" s="545"/>
      <c r="SZE34" s="545"/>
      <c r="SZF34" s="545"/>
      <c r="SZG34" s="545"/>
      <c r="SZH34" s="545"/>
      <c r="SZI34" s="545"/>
      <c r="SZJ34" s="545"/>
      <c r="SZK34" s="545"/>
      <c r="SZL34" s="545"/>
      <c r="SZM34" s="545"/>
      <c r="SZN34" s="545"/>
      <c r="SZO34" s="545"/>
      <c r="SZP34" s="545"/>
      <c r="SZQ34" s="545"/>
      <c r="SZR34" s="545"/>
      <c r="SZS34" s="545"/>
      <c r="SZT34" s="545"/>
      <c r="SZU34" s="545"/>
      <c r="SZV34" s="545"/>
      <c r="SZW34" s="545"/>
      <c r="SZX34" s="545"/>
      <c r="SZY34" s="545"/>
      <c r="SZZ34" s="545"/>
      <c r="TAA34" s="545"/>
      <c r="TAB34" s="545"/>
      <c r="TAC34" s="545"/>
      <c r="TAD34" s="545"/>
      <c r="TAE34" s="545"/>
      <c r="TAF34" s="545"/>
      <c r="TAG34" s="545"/>
      <c r="TAH34" s="545"/>
      <c r="TAI34" s="545"/>
      <c r="TAJ34" s="545"/>
      <c r="TAK34" s="545"/>
      <c r="TAL34" s="545"/>
      <c r="TAM34" s="545"/>
      <c r="TAN34" s="545"/>
      <c r="TAO34" s="545"/>
      <c r="TAP34" s="545"/>
      <c r="TAQ34" s="545"/>
      <c r="TAR34" s="545"/>
      <c r="TAS34" s="545"/>
      <c r="TAT34" s="545"/>
      <c r="TAU34" s="545"/>
      <c r="TAV34" s="545"/>
      <c r="TAW34" s="545"/>
      <c r="TAX34" s="545"/>
      <c r="TAY34" s="545"/>
      <c r="TAZ34" s="545"/>
      <c r="TBA34" s="545"/>
      <c r="TBB34" s="545"/>
      <c r="TBC34" s="545"/>
      <c r="TBD34" s="545"/>
      <c r="TBE34" s="545"/>
      <c r="TBF34" s="545"/>
      <c r="TBG34" s="545"/>
      <c r="TBH34" s="545"/>
      <c r="TBI34" s="545"/>
      <c r="TBJ34" s="545"/>
      <c r="TBK34" s="545"/>
      <c r="TBL34" s="545"/>
      <c r="TBM34" s="545"/>
      <c r="TBN34" s="545"/>
      <c r="TBO34" s="545"/>
      <c r="TBP34" s="545"/>
      <c r="TBQ34" s="545"/>
      <c r="TBR34" s="545"/>
      <c r="TBS34" s="545"/>
      <c r="TBT34" s="545"/>
      <c r="TBU34" s="545"/>
      <c r="TBV34" s="545"/>
      <c r="TBW34" s="545"/>
      <c r="TBX34" s="545"/>
      <c r="TBY34" s="545"/>
      <c r="TBZ34" s="545"/>
      <c r="TCA34" s="545"/>
      <c r="TCB34" s="545"/>
      <c r="TCC34" s="545"/>
      <c r="TCD34" s="545"/>
      <c r="TCE34" s="545"/>
      <c r="TCF34" s="545"/>
      <c r="TCG34" s="545"/>
      <c r="TCH34" s="545"/>
      <c r="TCI34" s="545"/>
      <c r="TCJ34" s="545"/>
      <c r="TCK34" s="545"/>
      <c r="TCL34" s="545"/>
      <c r="TCM34" s="545"/>
      <c r="TCN34" s="545"/>
      <c r="TCO34" s="545"/>
      <c r="TCP34" s="545"/>
      <c r="TCQ34" s="545"/>
      <c r="TCR34" s="545"/>
      <c r="TCS34" s="545"/>
      <c r="TCT34" s="545"/>
      <c r="TCU34" s="545"/>
      <c r="TCV34" s="545"/>
      <c r="TCW34" s="545"/>
      <c r="TCX34" s="545"/>
      <c r="TCY34" s="545"/>
      <c r="TCZ34" s="545"/>
      <c r="TDA34" s="545"/>
      <c r="TDB34" s="545"/>
      <c r="TDC34" s="545"/>
      <c r="TDD34" s="545"/>
      <c r="TDE34" s="545"/>
      <c r="TDF34" s="545"/>
      <c r="TDG34" s="545"/>
      <c r="TDH34" s="545"/>
      <c r="TDI34" s="545"/>
      <c r="TDJ34" s="545"/>
      <c r="TDK34" s="545"/>
      <c r="TDL34" s="545"/>
      <c r="TDM34" s="545"/>
      <c r="TDN34" s="545"/>
      <c r="TDO34" s="545"/>
      <c r="TDP34" s="545"/>
      <c r="TDQ34" s="545"/>
      <c r="TDR34" s="545"/>
      <c r="TDS34" s="545"/>
      <c r="TDT34" s="545"/>
      <c r="TDU34" s="545"/>
      <c r="TDV34" s="545"/>
      <c r="TDW34" s="545"/>
      <c r="TDX34" s="545"/>
      <c r="TDY34" s="545"/>
      <c r="TDZ34" s="545"/>
      <c r="TEA34" s="545"/>
      <c r="TEB34" s="545"/>
      <c r="TEC34" s="545"/>
      <c r="TED34" s="545"/>
      <c r="TEE34" s="545"/>
      <c r="TEF34" s="545"/>
      <c r="TEG34" s="545"/>
      <c r="TEH34" s="545"/>
      <c r="TEI34" s="545"/>
      <c r="TEJ34" s="545"/>
      <c r="TEK34" s="545"/>
      <c r="TEL34" s="545"/>
      <c r="TEM34" s="545"/>
      <c r="TEN34" s="545"/>
      <c r="TEO34" s="545"/>
      <c r="TEP34" s="545"/>
      <c r="TEQ34" s="545"/>
      <c r="TER34" s="545"/>
      <c r="TES34" s="545"/>
      <c r="TET34" s="545"/>
      <c r="TEU34" s="545"/>
      <c r="TEV34" s="545"/>
      <c r="TEW34" s="545"/>
      <c r="TEX34" s="545"/>
      <c r="TEY34" s="545"/>
      <c r="TEZ34" s="545"/>
      <c r="TFA34" s="545"/>
      <c r="TFB34" s="545"/>
      <c r="TFC34" s="545"/>
      <c r="TFD34" s="545"/>
      <c r="TFE34" s="545"/>
      <c r="TFF34" s="545"/>
      <c r="TFG34" s="545"/>
      <c r="TFH34" s="545"/>
      <c r="TFI34" s="545"/>
      <c r="TFJ34" s="545"/>
      <c r="TFK34" s="545"/>
      <c r="TFL34" s="545"/>
      <c r="TFM34" s="545"/>
      <c r="TFN34" s="545"/>
      <c r="TFO34" s="545"/>
      <c r="TFP34" s="545"/>
      <c r="TFQ34" s="545"/>
      <c r="TFR34" s="545"/>
      <c r="TFS34" s="545"/>
      <c r="TFT34" s="545"/>
      <c r="TFU34" s="545"/>
      <c r="TFV34" s="545"/>
      <c r="TFW34" s="545"/>
      <c r="TFX34" s="545"/>
      <c r="TFY34" s="545"/>
      <c r="TFZ34" s="545"/>
      <c r="TGA34" s="545"/>
      <c r="TGB34" s="545"/>
      <c r="TGC34" s="545"/>
      <c r="TGD34" s="545"/>
      <c r="TGE34" s="545"/>
      <c r="TGF34" s="545"/>
      <c r="TGG34" s="545"/>
      <c r="TGH34" s="545"/>
      <c r="TGI34" s="545"/>
      <c r="TGJ34" s="545"/>
      <c r="TGK34" s="545"/>
      <c r="TGL34" s="545"/>
      <c r="TGM34" s="545"/>
      <c r="TGN34" s="545"/>
      <c r="TGO34" s="545"/>
      <c r="TGP34" s="545"/>
      <c r="TGQ34" s="545"/>
      <c r="TGR34" s="545"/>
      <c r="TGS34" s="545"/>
      <c r="TGT34" s="545"/>
      <c r="TGU34" s="545"/>
      <c r="TGV34" s="545"/>
      <c r="TGW34" s="545"/>
      <c r="TGX34" s="545"/>
      <c r="TGY34" s="545"/>
      <c r="TGZ34" s="545"/>
      <c r="THA34" s="545"/>
      <c r="THB34" s="545"/>
      <c r="THC34" s="545"/>
      <c r="THD34" s="545"/>
      <c r="THE34" s="545"/>
      <c r="THF34" s="545"/>
      <c r="THG34" s="545"/>
      <c r="THH34" s="545"/>
      <c r="THI34" s="545"/>
      <c r="THJ34" s="545"/>
      <c r="THK34" s="545"/>
      <c r="THL34" s="545"/>
      <c r="THM34" s="545"/>
      <c r="THN34" s="545"/>
      <c r="THO34" s="545"/>
      <c r="THP34" s="545"/>
      <c r="THQ34" s="545"/>
      <c r="THR34" s="545"/>
      <c r="THS34" s="545"/>
      <c r="THT34" s="545"/>
      <c r="THU34" s="545"/>
      <c r="THV34" s="545"/>
      <c r="THW34" s="545"/>
      <c r="THX34" s="545"/>
      <c r="THY34" s="545"/>
      <c r="THZ34" s="545"/>
      <c r="TIA34" s="545"/>
      <c r="TIB34" s="545"/>
      <c r="TIC34" s="545"/>
      <c r="TID34" s="545"/>
      <c r="TIE34" s="545"/>
      <c r="TIF34" s="545"/>
      <c r="TIG34" s="545"/>
      <c r="TIH34" s="545"/>
      <c r="TII34" s="545"/>
      <c r="TIJ34" s="545"/>
      <c r="TIK34" s="545"/>
      <c r="TIL34" s="545"/>
      <c r="TIM34" s="545"/>
      <c r="TIN34" s="545"/>
      <c r="TIO34" s="545"/>
      <c r="TIP34" s="545"/>
      <c r="TIQ34" s="545"/>
      <c r="TIR34" s="545"/>
      <c r="TIS34" s="545"/>
      <c r="TIT34" s="545"/>
      <c r="TIU34" s="545"/>
      <c r="TIV34" s="545"/>
      <c r="TIW34" s="545"/>
      <c r="TIX34" s="545"/>
      <c r="TIY34" s="545"/>
      <c r="TIZ34" s="545"/>
      <c r="TJA34" s="545"/>
      <c r="TJB34" s="545"/>
      <c r="TJC34" s="545"/>
      <c r="TJD34" s="545"/>
      <c r="TJE34" s="545"/>
      <c r="TJF34" s="545"/>
      <c r="TJG34" s="545"/>
      <c r="TJH34" s="545"/>
      <c r="TJI34" s="545"/>
      <c r="TJJ34" s="545"/>
      <c r="TJK34" s="545"/>
      <c r="TJL34" s="545"/>
      <c r="TJM34" s="545"/>
      <c r="TJN34" s="545"/>
      <c r="TJO34" s="545"/>
      <c r="TJP34" s="545"/>
      <c r="TJQ34" s="545"/>
      <c r="TJR34" s="545"/>
      <c r="TJS34" s="545"/>
      <c r="TJT34" s="545"/>
      <c r="TJU34" s="545"/>
      <c r="TJV34" s="545"/>
      <c r="TJW34" s="545"/>
      <c r="TJX34" s="545"/>
      <c r="TJY34" s="545"/>
      <c r="TJZ34" s="545"/>
      <c r="TKA34" s="545"/>
      <c r="TKB34" s="545"/>
      <c r="TKC34" s="545"/>
      <c r="TKD34" s="545"/>
      <c r="TKE34" s="545"/>
      <c r="TKF34" s="545"/>
      <c r="TKG34" s="545"/>
      <c r="TKH34" s="545"/>
      <c r="TKI34" s="545"/>
      <c r="TKJ34" s="545"/>
      <c r="TKK34" s="545"/>
      <c r="TKL34" s="545"/>
      <c r="TKM34" s="545"/>
      <c r="TKN34" s="545"/>
      <c r="TKO34" s="545"/>
      <c r="TKP34" s="545"/>
      <c r="TKQ34" s="545"/>
      <c r="TKR34" s="545"/>
      <c r="TKS34" s="545"/>
      <c r="TKT34" s="545"/>
      <c r="TKU34" s="545"/>
      <c r="TKV34" s="545"/>
      <c r="TKW34" s="545"/>
      <c r="TKX34" s="545"/>
      <c r="TKY34" s="545"/>
      <c r="TKZ34" s="545"/>
      <c r="TLA34" s="545"/>
      <c r="TLB34" s="545"/>
      <c r="TLC34" s="545"/>
      <c r="TLD34" s="545"/>
      <c r="TLE34" s="545"/>
      <c r="TLF34" s="545"/>
      <c r="TLG34" s="545"/>
      <c r="TLH34" s="545"/>
      <c r="TLI34" s="545"/>
      <c r="TLJ34" s="545"/>
      <c r="TLK34" s="545"/>
      <c r="TLL34" s="545"/>
      <c r="TLM34" s="545"/>
      <c r="TLN34" s="545"/>
      <c r="TLO34" s="545"/>
      <c r="TLP34" s="545"/>
      <c r="TLQ34" s="545"/>
      <c r="TLR34" s="545"/>
      <c r="TLS34" s="545"/>
      <c r="TLT34" s="545"/>
      <c r="TLU34" s="545"/>
      <c r="TLV34" s="545"/>
      <c r="TLW34" s="545"/>
      <c r="TLX34" s="545"/>
      <c r="TLY34" s="545"/>
      <c r="TLZ34" s="545"/>
      <c r="TMA34" s="545"/>
      <c r="TMB34" s="545"/>
      <c r="TMC34" s="545"/>
      <c r="TMD34" s="545"/>
      <c r="TME34" s="545"/>
      <c r="TMF34" s="545"/>
      <c r="TMG34" s="545"/>
      <c r="TMH34" s="545"/>
      <c r="TMI34" s="545"/>
      <c r="TMJ34" s="545"/>
      <c r="TMK34" s="545"/>
      <c r="TML34" s="545"/>
      <c r="TMM34" s="545"/>
      <c r="TMN34" s="545"/>
      <c r="TMO34" s="545"/>
      <c r="TMP34" s="545"/>
      <c r="TMQ34" s="545"/>
      <c r="TMR34" s="545"/>
      <c r="TMS34" s="545"/>
      <c r="TMT34" s="545"/>
      <c r="TMU34" s="545"/>
      <c r="TMV34" s="545"/>
      <c r="TMW34" s="545"/>
      <c r="TMX34" s="545"/>
      <c r="TMY34" s="545"/>
      <c r="TMZ34" s="545"/>
      <c r="TNA34" s="545"/>
      <c r="TNB34" s="545"/>
      <c r="TNC34" s="545"/>
      <c r="TND34" s="545"/>
      <c r="TNE34" s="545"/>
      <c r="TNF34" s="545"/>
      <c r="TNG34" s="545"/>
      <c r="TNH34" s="545"/>
      <c r="TNI34" s="545"/>
      <c r="TNJ34" s="545"/>
      <c r="TNK34" s="545"/>
      <c r="TNL34" s="545"/>
      <c r="TNM34" s="545"/>
      <c r="TNN34" s="545"/>
      <c r="TNO34" s="545"/>
      <c r="TNP34" s="545"/>
      <c r="TNQ34" s="545"/>
      <c r="TNR34" s="545"/>
      <c r="TNS34" s="545"/>
      <c r="TNT34" s="545"/>
      <c r="TNU34" s="545"/>
      <c r="TNV34" s="545"/>
      <c r="TNW34" s="545"/>
      <c r="TNX34" s="545"/>
      <c r="TNY34" s="545"/>
      <c r="TNZ34" s="545"/>
      <c r="TOA34" s="545"/>
      <c r="TOB34" s="545"/>
      <c r="TOC34" s="545"/>
      <c r="TOD34" s="545"/>
      <c r="TOE34" s="545"/>
      <c r="TOF34" s="545"/>
      <c r="TOG34" s="545"/>
      <c r="TOH34" s="545"/>
      <c r="TOI34" s="545"/>
      <c r="TOJ34" s="545"/>
      <c r="TOK34" s="545"/>
      <c r="TOL34" s="545"/>
      <c r="TOM34" s="545"/>
      <c r="TON34" s="545"/>
      <c r="TOO34" s="545"/>
      <c r="TOP34" s="545"/>
      <c r="TOQ34" s="545"/>
      <c r="TOR34" s="545"/>
      <c r="TOS34" s="545"/>
      <c r="TOT34" s="545"/>
      <c r="TOU34" s="545"/>
      <c r="TOV34" s="545"/>
      <c r="TOW34" s="545"/>
      <c r="TOX34" s="545"/>
      <c r="TOY34" s="545"/>
      <c r="TOZ34" s="545"/>
      <c r="TPA34" s="545"/>
      <c r="TPB34" s="545"/>
      <c r="TPC34" s="545"/>
      <c r="TPD34" s="545"/>
      <c r="TPE34" s="545"/>
      <c r="TPF34" s="545"/>
      <c r="TPG34" s="545"/>
      <c r="TPH34" s="545"/>
      <c r="TPI34" s="545"/>
      <c r="TPJ34" s="545"/>
      <c r="TPK34" s="545"/>
      <c r="TPL34" s="545"/>
      <c r="TPM34" s="545"/>
      <c r="TPN34" s="545"/>
      <c r="TPO34" s="545"/>
      <c r="TPP34" s="545"/>
      <c r="TPQ34" s="545"/>
      <c r="TPR34" s="545"/>
      <c r="TPS34" s="545"/>
      <c r="TPT34" s="545"/>
      <c r="TPU34" s="545"/>
      <c r="TPV34" s="545"/>
      <c r="TPW34" s="545"/>
      <c r="TPX34" s="545"/>
      <c r="TPY34" s="545"/>
      <c r="TPZ34" s="545"/>
      <c r="TQA34" s="545"/>
      <c r="TQB34" s="545"/>
      <c r="TQC34" s="545"/>
      <c r="TQD34" s="545"/>
      <c r="TQE34" s="545"/>
      <c r="TQF34" s="545"/>
      <c r="TQG34" s="545"/>
      <c r="TQH34" s="545"/>
      <c r="TQI34" s="545"/>
      <c r="TQJ34" s="545"/>
      <c r="TQK34" s="545"/>
      <c r="TQL34" s="545"/>
      <c r="TQM34" s="545"/>
      <c r="TQN34" s="545"/>
      <c r="TQO34" s="545"/>
      <c r="TQP34" s="545"/>
      <c r="TQQ34" s="545"/>
      <c r="TQR34" s="545"/>
      <c r="TQS34" s="545"/>
      <c r="TQT34" s="545"/>
      <c r="TQU34" s="545"/>
      <c r="TQV34" s="545"/>
      <c r="TQW34" s="545"/>
      <c r="TQX34" s="545"/>
      <c r="TQY34" s="545"/>
      <c r="TQZ34" s="545"/>
      <c r="TRA34" s="545"/>
      <c r="TRB34" s="545"/>
      <c r="TRC34" s="545"/>
      <c r="TRD34" s="545"/>
      <c r="TRE34" s="545"/>
      <c r="TRF34" s="545"/>
      <c r="TRG34" s="545"/>
      <c r="TRH34" s="545"/>
      <c r="TRI34" s="545"/>
      <c r="TRJ34" s="545"/>
      <c r="TRK34" s="545"/>
      <c r="TRL34" s="545"/>
      <c r="TRM34" s="545"/>
      <c r="TRN34" s="545"/>
      <c r="TRO34" s="545"/>
      <c r="TRP34" s="545"/>
      <c r="TRQ34" s="545"/>
      <c r="TRR34" s="545"/>
      <c r="TRS34" s="545"/>
      <c r="TRT34" s="545"/>
      <c r="TRU34" s="545"/>
      <c r="TRV34" s="545"/>
      <c r="TRW34" s="545"/>
      <c r="TRX34" s="545"/>
      <c r="TRY34" s="545"/>
      <c r="TRZ34" s="545"/>
      <c r="TSA34" s="545"/>
      <c r="TSB34" s="545"/>
      <c r="TSC34" s="545"/>
      <c r="TSD34" s="545"/>
      <c r="TSE34" s="545"/>
      <c r="TSF34" s="545"/>
      <c r="TSG34" s="545"/>
      <c r="TSH34" s="545"/>
      <c r="TSI34" s="545"/>
      <c r="TSJ34" s="545"/>
      <c r="TSK34" s="545"/>
      <c r="TSL34" s="545"/>
      <c r="TSM34" s="545"/>
      <c r="TSN34" s="545"/>
      <c r="TSO34" s="545"/>
      <c r="TSP34" s="545"/>
      <c r="TSQ34" s="545"/>
      <c r="TSR34" s="545"/>
      <c r="TSS34" s="545"/>
      <c r="TST34" s="545"/>
      <c r="TSU34" s="545"/>
      <c r="TSV34" s="545"/>
      <c r="TSW34" s="545"/>
      <c r="TSX34" s="545"/>
      <c r="TSY34" s="545"/>
      <c r="TSZ34" s="545"/>
      <c r="TTA34" s="545"/>
      <c r="TTB34" s="545"/>
      <c r="TTC34" s="545"/>
      <c r="TTD34" s="545"/>
      <c r="TTE34" s="545"/>
      <c r="TTF34" s="545"/>
      <c r="TTG34" s="545"/>
      <c r="TTH34" s="545"/>
      <c r="TTI34" s="545"/>
      <c r="TTJ34" s="545"/>
      <c r="TTK34" s="545"/>
      <c r="TTL34" s="545"/>
      <c r="TTM34" s="545"/>
      <c r="TTN34" s="545"/>
      <c r="TTO34" s="545"/>
      <c r="TTP34" s="545"/>
      <c r="TTQ34" s="545"/>
      <c r="TTR34" s="545"/>
      <c r="TTS34" s="545"/>
      <c r="TTT34" s="545"/>
      <c r="TTU34" s="545"/>
      <c r="TTV34" s="545"/>
      <c r="TTW34" s="545"/>
      <c r="TTX34" s="545"/>
      <c r="TTY34" s="545"/>
      <c r="TTZ34" s="545"/>
      <c r="TUA34" s="545"/>
      <c r="TUB34" s="545"/>
      <c r="TUC34" s="545"/>
      <c r="TUD34" s="545"/>
      <c r="TUE34" s="545"/>
      <c r="TUF34" s="545"/>
      <c r="TUG34" s="545"/>
      <c r="TUH34" s="545"/>
      <c r="TUI34" s="545"/>
      <c r="TUJ34" s="545"/>
      <c r="TUK34" s="545"/>
      <c r="TUL34" s="545"/>
      <c r="TUM34" s="545"/>
      <c r="TUN34" s="545"/>
      <c r="TUO34" s="545"/>
      <c r="TUP34" s="545"/>
      <c r="TUQ34" s="545"/>
      <c r="TUR34" s="545"/>
      <c r="TUS34" s="545"/>
      <c r="TUT34" s="545"/>
      <c r="TUU34" s="545"/>
      <c r="TUV34" s="545"/>
      <c r="TUW34" s="545"/>
      <c r="TUX34" s="545"/>
      <c r="TUY34" s="545"/>
      <c r="TUZ34" s="545"/>
      <c r="TVA34" s="545"/>
      <c r="TVB34" s="545"/>
      <c r="TVC34" s="545"/>
      <c r="TVD34" s="545"/>
      <c r="TVE34" s="545"/>
      <c r="TVF34" s="545"/>
      <c r="TVG34" s="545"/>
      <c r="TVH34" s="545"/>
      <c r="TVI34" s="545"/>
      <c r="TVJ34" s="545"/>
      <c r="TVK34" s="545"/>
      <c r="TVL34" s="545"/>
      <c r="TVM34" s="545"/>
      <c r="TVN34" s="545"/>
      <c r="TVO34" s="545"/>
      <c r="TVP34" s="545"/>
      <c r="TVQ34" s="545"/>
      <c r="TVR34" s="545"/>
      <c r="TVS34" s="545"/>
      <c r="TVT34" s="545"/>
      <c r="TVU34" s="545"/>
      <c r="TVV34" s="545"/>
      <c r="TVW34" s="545"/>
      <c r="TVX34" s="545"/>
      <c r="TVY34" s="545"/>
      <c r="TVZ34" s="545"/>
      <c r="TWA34" s="545"/>
      <c r="TWB34" s="545"/>
      <c r="TWC34" s="545"/>
      <c r="TWD34" s="545"/>
      <c r="TWE34" s="545"/>
      <c r="TWF34" s="545"/>
      <c r="TWG34" s="545"/>
      <c r="TWH34" s="545"/>
      <c r="TWI34" s="545"/>
      <c r="TWJ34" s="545"/>
      <c r="TWK34" s="545"/>
      <c r="TWL34" s="545"/>
      <c r="TWM34" s="545"/>
      <c r="TWN34" s="545"/>
      <c r="TWO34" s="545"/>
      <c r="TWP34" s="545"/>
      <c r="TWQ34" s="545"/>
      <c r="TWR34" s="545"/>
      <c r="TWS34" s="545"/>
      <c r="TWT34" s="545"/>
      <c r="TWU34" s="545"/>
      <c r="TWV34" s="545"/>
      <c r="TWW34" s="545"/>
      <c r="TWX34" s="545"/>
      <c r="TWY34" s="545"/>
      <c r="TWZ34" s="545"/>
      <c r="TXA34" s="545"/>
      <c r="TXB34" s="545"/>
      <c r="TXC34" s="545"/>
      <c r="TXD34" s="545"/>
      <c r="TXE34" s="545"/>
      <c r="TXF34" s="545"/>
      <c r="TXG34" s="545"/>
      <c r="TXH34" s="545"/>
      <c r="TXI34" s="545"/>
      <c r="TXJ34" s="545"/>
      <c r="TXK34" s="545"/>
      <c r="TXL34" s="545"/>
      <c r="TXM34" s="545"/>
      <c r="TXN34" s="545"/>
      <c r="TXO34" s="545"/>
      <c r="TXP34" s="545"/>
      <c r="TXQ34" s="545"/>
      <c r="TXR34" s="545"/>
      <c r="TXS34" s="545"/>
      <c r="TXT34" s="545"/>
      <c r="TXU34" s="545"/>
      <c r="TXV34" s="545"/>
      <c r="TXW34" s="545"/>
      <c r="TXX34" s="545"/>
      <c r="TXY34" s="545"/>
      <c r="TXZ34" s="545"/>
      <c r="TYA34" s="545"/>
      <c r="TYB34" s="545"/>
      <c r="TYC34" s="545"/>
      <c r="TYD34" s="545"/>
      <c r="TYE34" s="545"/>
      <c r="TYF34" s="545"/>
      <c r="TYG34" s="545"/>
      <c r="TYH34" s="545"/>
      <c r="TYI34" s="545"/>
      <c r="TYJ34" s="545"/>
      <c r="TYK34" s="545"/>
      <c r="TYL34" s="545"/>
      <c r="TYM34" s="545"/>
      <c r="TYN34" s="545"/>
      <c r="TYO34" s="545"/>
      <c r="TYP34" s="545"/>
      <c r="TYQ34" s="545"/>
      <c r="TYR34" s="545"/>
      <c r="TYS34" s="545"/>
      <c r="TYT34" s="545"/>
      <c r="TYU34" s="545"/>
      <c r="TYV34" s="545"/>
      <c r="TYW34" s="545"/>
      <c r="TYX34" s="545"/>
      <c r="TYY34" s="545"/>
      <c r="TYZ34" s="545"/>
      <c r="TZA34" s="545"/>
      <c r="TZB34" s="545"/>
      <c r="TZC34" s="545"/>
      <c r="TZD34" s="545"/>
      <c r="TZE34" s="545"/>
      <c r="TZF34" s="545"/>
      <c r="TZG34" s="545"/>
      <c r="TZH34" s="545"/>
      <c r="TZI34" s="545"/>
      <c r="TZJ34" s="545"/>
      <c r="TZK34" s="545"/>
      <c r="TZL34" s="545"/>
      <c r="TZM34" s="545"/>
      <c r="TZN34" s="545"/>
      <c r="TZO34" s="545"/>
      <c r="TZP34" s="545"/>
      <c r="TZQ34" s="545"/>
      <c r="TZR34" s="545"/>
      <c r="TZS34" s="545"/>
      <c r="TZT34" s="545"/>
      <c r="TZU34" s="545"/>
      <c r="TZV34" s="545"/>
      <c r="TZW34" s="545"/>
      <c r="TZX34" s="545"/>
      <c r="TZY34" s="545"/>
      <c r="TZZ34" s="545"/>
      <c r="UAA34" s="545"/>
      <c r="UAB34" s="545"/>
      <c r="UAC34" s="545"/>
      <c r="UAD34" s="545"/>
      <c r="UAE34" s="545"/>
      <c r="UAF34" s="545"/>
      <c r="UAG34" s="545"/>
      <c r="UAH34" s="545"/>
      <c r="UAI34" s="545"/>
      <c r="UAJ34" s="545"/>
      <c r="UAK34" s="545"/>
      <c r="UAL34" s="545"/>
      <c r="UAM34" s="545"/>
      <c r="UAN34" s="545"/>
      <c r="UAO34" s="545"/>
      <c r="UAP34" s="545"/>
      <c r="UAQ34" s="545"/>
      <c r="UAR34" s="545"/>
      <c r="UAS34" s="545"/>
      <c r="UAT34" s="545"/>
      <c r="UAU34" s="545"/>
      <c r="UAV34" s="545"/>
      <c r="UAW34" s="545"/>
      <c r="UAX34" s="545"/>
      <c r="UAY34" s="545"/>
      <c r="UAZ34" s="545"/>
      <c r="UBA34" s="545"/>
      <c r="UBB34" s="545"/>
      <c r="UBC34" s="545"/>
      <c r="UBD34" s="545"/>
      <c r="UBE34" s="545"/>
      <c r="UBF34" s="545"/>
      <c r="UBG34" s="545"/>
      <c r="UBH34" s="545"/>
      <c r="UBI34" s="545"/>
      <c r="UBJ34" s="545"/>
      <c r="UBK34" s="545"/>
      <c r="UBL34" s="545"/>
      <c r="UBM34" s="545"/>
      <c r="UBN34" s="545"/>
      <c r="UBO34" s="545"/>
      <c r="UBP34" s="545"/>
      <c r="UBQ34" s="545"/>
      <c r="UBR34" s="545"/>
      <c r="UBS34" s="545"/>
      <c r="UBT34" s="545"/>
      <c r="UBU34" s="545"/>
      <c r="UBV34" s="545"/>
      <c r="UBW34" s="545"/>
      <c r="UBX34" s="545"/>
      <c r="UBY34" s="545"/>
      <c r="UBZ34" s="545"/>
      <c r="UCA34" s="545"/>
      <c r="UCB34" s="545"/>
      <c r="UCC34" s="545"/>
      <c r="UCD34" s="545"/>
      <c r="UCE34" s="545"/>
      <c r="UCF34" s="545"/>
      <c r="UCG34" s="545"/>
      <c r="UCH34" s="545"/>
      <c r="UCI34" s="545"/>
      <c r="UCJ34" s="545"/>
      <c r="UCK34" s="545"/>
      <c r="UCL34" s="545"/>
      <c r="UCM34" s="545"/>
      <c r="UCN34" s="545"/>
      <c r="UCO34" s="545"/>
      <c r="UCP34" s="545"/>
      <c r="UCQ34" s="545"/>
      <c r="UCR34" s="545"/>
      <c r="UCS34" s="545"/>
      <c r="UCT34" s="545"/>
      <c r="UCU34" s="545"/>
      <c r="UCV34" s="545"/>
      <c r="UCW34" s="545"/>
      <c r="UCX34" s="545"/>
      <c r="UCY34" s="545"/>
      <c r="UCZ34" s="545"/>
      <c r="UDA34" s="545"/>
      <c r="UDB34" s="545"/>
      <c r="UDC34" s="545"/>
      <c r="UDD34" s="545"/>
      <c r="UDE34" s="545"/>
      <c r="UDF34" s="545"/>
      <c r="UDG34" s="545"/>
      <c r="UDH34" s="545"/>
      <c r="UDI34" s="545"/>
      <c r="UDJ34" s="545"/>
      <c r="UDK34" s="545"/>
      <c r="UDL34" s="545"/>
      <c r="UDM34" s="545"/>
      <c r="UDN34" s="545"/>
      <c r="UDO34" s="545"/>
      <c r="UDP34" s="545"/>
      <c r="UDQ34" s="545"/>
      <c r="UDR34" s="545"/>
      <c r="UDS34" s="545"/>
      <c r="UDT34" s="545"/>
      <c r="UDU34" s="545"/>
      <c r="UDV34" s="545"/>
      <c r="UDW34" s="545"/>
      <c r="UDX34" s="545"/>
      <c r="UDY34" s="545"/>
      <c r="UDZ34" s="545"/>
      <c r="UEA34" s="545"/>
      <c r="UEB34" s="545"/>
      <c r="UEC34" s="545"/>
      <c r="UED34" s="545"/>
      <c r="UEE34" s="545"/>
      <c r="UEF34" s="545"/>
      <c r="UEG34" s="545"/>
      <c r="UEH34" s="545"/>
      <c r="UEI34" s="545"/>
      <c r="UEJ34" s="545"/>
      <c r="UEK34" s="545"/>
      <c r="UEL34" s="545"/>
      <c r="UEM34" s="545"/>
      <c r="UEN34" s="545"/>
      <c r="UEO34" s="545"/>
      <c r="UEP34" s="545"/>
      <c r="UEQ34" s="545"/>
      <c r="UER34" s="545"/>
      <c r="UES34" s="545"/>
      <c r="UET34" s="545"/>
      <c r="UEU34" s="545"/>
      <c r="UEV34" s="545"/>
      <c r="UEW34" s="545"/>
      <c r="UEX34" s="545"/>
      <c r="UEY34" s="545"/>
      <c r="UEZ34" s="545"/>
      <c r="UFA34" s="545"/>
      <c r="UFB34" s="545"/>
      <c r="UFC34" s="545"/>
      <c r="UFD34" s="545"/>
      <c r="UFE34" s="545"/>
      <c r="UFF34" s="545"/>
      <c r="UFG34" s="545"/>
      <c r="UFH34" s="545"/>
      <c r="UFI34" s="545"/>
      <c r="UFJ34" s="545"/>
      <c r="UFK34" s="545"/>
      <c r="UFL34" s="545"/>
      <c r="UFM34" s="545"/>
      <c r="UFN34" s="545"/>
      <c r="UFO34" s="545"/>
      <c r="UFP34" s="545"/>
      <c r="UFQ34" s="545"/>
      <c r="UFR34" s="545"/>
      <c r="UFS34" s="545"/>
      <c r="UFT34" s="545"/>
      <c r="UFU34" s="545"/>
      <c r="UFV34" s="545"/>
      <c r="UFW34" s="545"/>
      <c r="UFX34" s="545"/>
      <c r="UFY34" s="545"/>
      <c r="UFZ34" s="545"/>
      <c r="UGA34" s="545"/>
      <c r="UGB34" s="545"/>
      <c r="UGC34" s="545"/>
      <c r="UGD34" s="545"/>
      <c r="UGE34" s="545"/>
      <c r="UGF34" s="545"/>
      <c r="UGG34" s="545"/>
      <c r="UGH34" s="545"/>
      <c r="UGI34" s="545"/>
      <c r="UGJ34" s="545"/>
      <c r="UGK34" s="545"/>
      <c r="UGL34" s="545"/>
      <c r="UGM34" s="545"/>
      <c r="UGN34" s="545"/>
      <c r="UGO34" s="545"/>
      <c r="UGP34" s="545"/>
      <c r="UGQ34" s="545"/>
      <c r="UGR34" s="545"/>
      <c r="UGS34" s="545"/>
      <c r="UGT34" s="545"/>
      <c r="UGU34" s="545"/>
      <c r="UGV34" s="545"/>
      <c r="UGW34" s="545"/>
      <c r="UGX34" s="545"/>
      <c r="UGY34" s="545"/>
      <c r="UGZ34" s="545"/>
      <c r="UHA34" s="545"/>
      <c r="UHB34" s="545"/>
      <c r="UHC34" s="545"/>
      <c r="UHD34" s="545"/>
      <c r="UHE34" s="545"/>
      <c r="UHF34" s="545"/>
      <c r="UHG34" s="545"/>
      <c r="UHH34" s="545"/>
      <c r="UHI34" s="545"/>
      <c r="UHJ34" s="545"/>
      <c r="UHK34" s="545"/>
      <c r="UHL34" s="545"/>
      <c r="UHM34" s="545"/>
      <c r="UHN34" s="545"/>
      <c r="UHO34" s="545"/>
      <c r="UHP34" s="545"/>
      <c r="UHQ34" s="545"/>
      <c r="UHR34" s="545"/>
      <c r="UHS34" s="545"/>
      <c r="UHT34" s="545"/>
      <c r="UHU34" s="545"/>
      <c r="UHV34" s="545"/>
      <c r="UHW34" s="545"/>
      <c r="UHX34" s="545"/>
      <c r="UHY34" s="545"/>
      <c r="UHZ34" s="545"/>
      <c r="UIA34" s="545"/>
      <c r="UIB34" s="545"/>
      <c r="UIC34" s="545"/>
      <c r="UID34" s="545"/>
      <c r="UIE34" s="545"/>
      <c r="UIF34" s="545"/>
      <c r="UIG34" s="545"/>
      <c r="UIH34" s="545"/>
      <c r="UII34" s="545"/>
      <c r="UIJ34" s="545"/>
      <c r="UIK34" s="545"/>
      <c r="UIL34" s="545"/>
      <c r="UIM34" s="545"/>
      <c r="UIN34" s="545"/>
      <c r="UIO34" s="545"/>
      <c r="UIP34" s="545"/>
      <c r="UIQ34" s="545"/>
      <c r="UIR34" s="545"/>
      <c r="UIS34" s="545"/>
      <c r="UIT34" s="545"/>
      <c r="UIU34" s="545"/>
      <c r="UIV34" s="545"/>
      <c r="UIW34" s="545"/>
      <c r="UIX34" s="545"/>
      <c r="UIY34" s="545"/>
      <c r="UIZ34" s="545"/>
      <c r="UJA34" s="545"/>
      <c r="UJB34" s="545"/>
      <c r="UJC34" s="545"/>
      <c r="UJD34" s="545"/>
      <c r="UJE34" s="545"/>
      <c r="UJF34" s="545"/>
      <c r="UJG34" s="545"/>
      <c r="UJH34" s="545"/>
      <c r="UJI34" s="545"/>
      <c r="UJJ34" s="545"/>
      <c r="UJK34" s="545"/>
      <c r="UJL34" s="545"/>
      <c r="UJM34" s="545"/>
      <c r="UJN34" s="545"/>
      <c r="UJO34" s="545"/>
      <c r="UJP34" s="545"/>
      <c r="UJQ34" s="545"/>
      <c r="UJR34" s="545"/>
      <c r="UJS34" s="545"/>
      <c r="UJT34" s="545"/>
      <c r="UJU34" s="545"/>
      <c r="UJV34" s="545"/>
      <c r="UJW34" s="545"/>
      <c r="UJX34" s="545"/>
      <c r="UJY34" s="545"/>
      <c r="UJZ34" s="545"/>
      <c r="UKA34" s="545"/>
      <c r="UKB34" s="545"/>
      <c r="UKC34" s="545"/>
      <c r="UKD34" s="545"/>
      <c r="UKE34" s="545"/>
      <c r="UKF34" s="545"/>
      <c r="UKG34" s="545"/>
      <c r="UKH34" s="545"/>
      <c r="UKI34" s="545"/>
      <c r="UKJ34" s="545"/>
      <c r="UKK34" s="545"/>
      <c r="UKL34" s="545"/>
      <c r="UKM34" s="545"/>
      <c r="UKN34" s="545"/>
      <c r="UKO34" s="545"/>
      <c r="UKP34" s="545"/>
      <c r="UKQ34" s="545"/>
      <c r="UKR34" s="545"/>
      <c r="UKS34" s="545"/>
      <c r="UKT34" s="545"/>
      <c r="UKU34" s="545"/>
      <c r="UKV34" s="545"/>
      <c r="UKW34" s="545"/>
      <c r="UKX34" s="545"/>
      <c r="UKY34" s="545"/>
      <c r="UKZ34" s="545"/>
      <c r="ULA34" s="545"/>
      <c r="ULB34" s="545"/>
      <c r="ULC34" s="545"/>
      <c r="ULD34" s="545"/>
      <c r="ULE34" s="545"/>
      <c r="ULF34" s="545"/>
      <c r="ULG34" s="545"/>
      <c r="ULH34" s="545"/>
      <c r="ULI34" s="545"/>
      <c r="ULJ34" s="545"/>
      <c r="ULK34" s="545"/>
      <c r="ULL34" s="545"/>
      <c r="ULM34" s="545"/>
      <c r="ULN34" s="545"/>
      <c r="ULO34" s="545"/>
      <c r="ULP34" s="545"/>
      <c r="ULQ34" s="545"/>
      <c r="ULR34" s="545"/>
      <c r="ULS34" s="545"/>
      <c r="ULT34" s="545"/>
      <c r="ULU34" s="545"/>
      <c r="ULV34" s="545"/>
      <c r="ULW34" s="545"/>
      <c r="ULX34" s="545"/>
      <c r="ULY34" s="545"/>
      <c r="ULZ34" s="545"/>
      <c r="UMA34" s="545"/>
      <c r="UMB34" s="545"/>
      <c r="UMC34" s="545"/>
      <c r="UMD34" s="545"/>
      <c r="UME34" s="545"/>
      <c r="UMF34" s="545"/>
      <c r="UMG34" s="545"/>
      <c r="UMH34" s="545"/>
      <c r="UMI34" s="545"/>
      <c r="UMJ34" s="545"/>
      <c r="UMK34" s="545"/>
      <c r="UML34" s="545"/>
      <c r="UMM34" s="545"/>
      <c r="UMN34" s="545"/>
      <c r="UMO34" s="545"/>
      <c r="UMP34" s="545"/>
      <c r="UMQ34" s="545"/>
      <c r="UMR34" s="545"/>
      <c r="UMS34" s="545"/>
      <c r="UMT34" s="545"/>
      <c r="UMU34" s="545"/>
      <c r="UMV34" s="545"/>
      <c r="UMW34" s="545"/>
      <c r="UMX34" s="545"/>
      <c r="UMY34" s="545"/>
      <c r="UMZ34" s="545"/>
      <c r="UNA34" s="545"/>
      <c r="UNB34" s="545"/>
      <c r="UNC34" s="545"/>
      <c r="UND34" s="545"/>
      <c r="UNE34" s="545"/>
      <c r="UNF34" s="545"/>
      <c r="UNG34" s="545"/>
      <c r="UNH34" s="545"/>
      <c r="UNI34" s="545"/>
      <c r="UNJ34" s="545"/>
      <c r="UNK34" s="545"/>
      <c r="UNL34" s="545"/>
      <c r="UNM34" s="545"/>
      <c r="UNN34" s="545"/>
      <c r="UNO34" s="545"/>
      <c r="UNP34" s="545"/>
      <c r="UNQ34" s="545"/>
      <c r="UNR34" s="545"/>
      <c r="UNS34" s="545"/>
      <c r="UNT34" s="545"/>
      <c r="UNU34" s="545"/>
      <c r="UNV34" s="545"/>
      <c r="UNW34" s="545"/>
      <c r="UNX34" s="545"/>
      <c r="UNY34" s="545"/>
      <c r="UNZ34" s="545"/>
      <c r="UOA34" s="545"/>
      <c r="UOB34" s="545"/>
      <c r="UOC34" s="545"/>
      <c r="UOD34" s="545"/>
      <c r="UOE34" s="545"/>
      <c r="UOF34" s="545"/>
      <c r="UOG34" s="545"/>
      <c r="UOH34" s="545"/>
      <c r="UOI34" s="545"/>
      <c r="UOJ34" s="545"/>
      <c r="UOK34" s="545"/>
      <c r="UOL34" s="545"/>
      <c r="UOM34" s="545"/>
      <c r="UON34" s="545"/>
      <c r="UOO34" s="545"/>
      <c r="UOP34" s="545"/>
      <c r="UOQ34" s="545"/>
      <c r="UOR34" s="545"/>
      <c r="UOS34" s="545"/>
      <c r="UOT34" s="545"/>
      <c r="UOU34" s="545"/>
      <c r="UOV34" s="545"/>
      <c r="UOW34" s="545"/>
      <c r="UOX34" s="545"/>
      <c r="UOY34" s="545"/>
      <c r="UOZ34" s="545"/>
      <c r="UPA34" s="545"/>
      <c r="UPB34" s="545"/>
      <c r="UPC34" s="545"/>
      <c r="UPD34" s="545"/>
      <c r="UPE34" s="545"/>
      <c r="UPF34" s="545"/>
      <c r="UPG34" s="545"/>
      <c r="UPH34" s="545"/>
      <c r="UPI34" s="545"/>
      <c r="UPJ34" s="545"/>
      <c r="UPK34" s="545"/>
      <c r="UPL34" s="545"/>
      <c r="UPM34" s="545"/>
      <c r="UPN34" s="545"/>
      <c r="UPO34" s="545"/>
      <c r="UPP34" s="545"/>
      <c r="UPQ34" s="545"/>
      <c r="UPR34" s="545"/>
      <c r="UPS34" s="545"/>
      <c r="UPT34" s="545"/>
      <c r="UPU34" s="545"/>
      <c r="UPV34" s="545"/>
      <c r="UPW34" s="545"/>
      <c r="UPX34" s="545"/>
      <c r="UPY34" s="545"/>
      <c r="UPZ34" s="545"/>
      <c r="UQA34" s="545"/>
      <c r="UQB34" s="545"/>
      <c r="UQC34" s="545"/>
      <c r="UQD34" s="545"/>
      <c r="UQE34" s="545"/>
      <c r="UQF34" s="545"/>
      <c r="UQG34" s="545"/>
      <c r="UQH34" s="545"/>
      <c r="UQI34" s="545"/>
      <c r="UQJ34" s="545"/>
      <c r="UQK34" s="545"/>
      <c r="UQL34" s="545"/>
      <c r="UQM34" s="545"/>
      <c r="UQN34" s="545"/>
      <c r="UQO34" s="545"/>
      <c r="UQP34" s="545"/>
      <c r="UQQ34" s="545"/>
      <c r="UQR34" s="545"/>
      <c r="UQS34" s="545"/>
      <c r="UQT34" s="545"/>
      <c r="UQU34" s="545"/>
      <c r="UQV34" s="545"/>
      <c r="UQW34" s="545"/>
      <c r="UQX34" s="545"/>
      <c r="UQY34" s="545"/>
      <c r="UQZ34" s="545"/>
      <c r="URA34" s="545"/>
      <c r="URB34" s="545"/>
      <c r="URC34" s="545"/>
      <c r="URD34" s="545"/>
      <c r="URE34" s="545"/>
      <c r="URF34" s="545"/>
      <c r="URG34" s="545"/>
      <c r="URH34" s="545"/>
      <c r="URI34" s="545"/>
      <c r="URJ34" s="545"/>
      <c r="URK34" s="545"/>
      <c r="URL34" s="545"/>
      <c r="URM34" s="545"/>
      <c r="URN34" s="545"/>
      <c r="URO34" s="545"/>
      <c r="URP34" s="545"/>
      <c r="URQ34" s="545"/>
      <c r="URR34" s="545"/>
      <c r="URS34" s="545"/>
      <c r="URT34" s="545"/>
      <c r="URU34" s="545"/>
      <c r="URV34" s="545"/>
      <c r="URW34" s="545"/>
      <c r="URX34" s="545"/>
      <c r="URY34" s="545"/>
      <c r="URZ34" s="545"/>
      <c r="USA34" s="545"/>
      <c r="USB34" s="545"/>
      <c r="USC34" s="545"/>
      <c r="USD34" s="545"/>
      <c r="USE34" s="545"/>
      <c r="USF34" s="545"/>
      <c r="USG34" s="545"/>
      <c r="USH34" s="545"/>
      <c r="USI34" s="545"/>
      <c r="USJ34" s="545"/>
      <c r="USK34" s="545"/>
      <c r="USL34" s="545"/>
      <c r="USM34" s="545"/>
      <c r="USN34" s="545"/>
      <c r="USO34" s="545"/>
      <c r="USP34" s="545"/>
      <c r="USQ34" s="545"/>
      <c r="USR34" s="545"/>
      <c r="USS34" s="545"/>
      <c r="UST34" s="545"/>
      <c r="USU34" s="545"/>
      <c r="USV34" s="545"/>
      <c r="USW34" s="545"/>
      <c r="USX34" s="545"/>
      <c r="USY34" s="545"/>
      <c r="USZ34" s="545"/>
      <c r="UTA34" s="545"/>
      <c r="UTB34" s="545"/>
      <c r="UTC34" s="545"/>
      <c r="UTD34" s="545"/>
      <c r="UTE34" s="545"/>
      <c r="UTF34" s="545"/>
      <c r="UTG34" s="545"/>
      <c r="UTH34" s="545"/>
      <c r="UTI34" s="545"/>
      <c r="UTJ34" s="545"/>
      <c r="UTK34" s="545"/>
      <c r="UTL34" s="545"/>
      <c r="UTM34" s="545"/>
      <c r="UTN34" s="545"/>
      <c r="UTO34" s="545"/>
      <c r="UTP34" s="545"/>
      <c r="UTQ34" s="545"/>
      <c r="UTR34" s="545"/>
      <c r="UTS34" s="545"/>
      <c r="UTT34" s="545"/>
      <c r="UTU34" s="545"/>
      <c r="UTV34" s="545"/>
      <c r="UTW34" s="545"/>
      <c r="UTX34" s="545"/>
      <c r="UTY34" s="545"/>
      <c r="UTZ34" s="545"/>
      <c r="UUA34" s="545"/>
      <c r="UUB34" s="545"/>
      <c r="UUC34" s="545"/>
      <c r="UUD34" s="545"/>
      <c r="UUE34" s="545"/>
      <c r="UUF34" s="545"/>
      <c r="UUG34" s="545"/>
      <c r="UUH34" s="545"/>
      <c r="UUI34" s="545"/>
      <c r="UUJ34" s="545"/>
      <c r="UUK34" s="545"/>
      <c r="UUL34" s="545"/>
      <c r="UUM34" s="545"/>
      <c r="UUN34" s="545"/>
      <c r="UUO34" s="545"/>
      <c r="UUP34" s="545"/>
      <c r="UUQ34" s="545"/>
      <c r="UUR34" s="545"/>
      <c r="UUS34" s="545"/>
      <c r="UUT34" s="545"/>
      <c r="UUU34" s="545"/>
      <c r="UUV34" s="545"/>
      <c r="UUW34" s="545"/>
      <c r="UUX34" s="545"/>
      <c r="UUY34" s="545"/>
      <c r="UUZ34" s="545"/>
      <c r="UVA34" s="545"/>
      <c r="UVB34" s="545"/>
      <c r="UVC34" s="545"/>
      <c r="UVD34" s="545"/>
      <c r="UVE34" s="545"/>
      <c r="UVF34" s="545"/>
      <c r="UVG34" s="545"/>
      <c r="UVH34" s="545"/>
      <c r="UVI34" s="545"/>
      <c r="UVJ34" s="545"/>
      <c r="UVK34" s="545"/>
      <c r="UVL34" s="545"/>
      <c r="UVM34" s="545"/>
      <c r="UVN34" s="545"/>
      <c r="UVO34" s="545"/>
      <c r="UVP34" s="545"/>
      <c r="UVQ34" s="545"/>
      <c r="UVR34" s="545"/>
      <c r="UVS34" s="545"/>
      <c r="UVT34" s="545"/>
      <c r="UVU34" s="545"/>
      <c r="UVV34" s="545"/>
      <c r="UVW34" s="545"/>
      <c r="UVX34" s="545"/>
      <c r="UVY34" s="545"/>
      <c r="UVZ34" s="545"/>
      <c r="UWA34" s="545"/>
      <c r="UWB34" s="545"/>
      <c r="UWC34" s="545"/>
      <c r="UWD34" s="545"/>
      <c r="UWE34" s="545"/>
      <c r="UWF34" s="545"/>
      <c r="UWG34" s="545"/>
      <c r="UWH34" s="545"/>
      <c r="UWI34" s="545"/>
      <c r="UWJ34" s="545"/>
      <c r="UWK34" s="545"/>
      <c r="UWL34" s="545"/>
      <c r="UWM34" s="545"/>
      <c r="UWN34" s="545"/>
      <c r="UWO34" s="545"/>
      <c r="UWP34" s="545"/>
      <c r="UWQ34" s="545"/>
      <c r="UWR34" s="545"/>
      <c r="UWS34" s="545"/>
      <c r="UWT34" s="545"/>
      <c r="UWU34" s="545"/>
      <c r="UWV34" s="545"/>
      <c r="UWW34" s="545"/>
      <c r="UWX34" s="545"/>
      <c r="UWY34" s="545"/>
      <c r="UWZ34" s="545"/>
      <c r="UXA34" s="545"/>
      <c r="UXB34" s="545"/>
      <c r="UXC34" s="545"/>
      <c r="UXD34" s="545"/>
      <c r="UXE34" s="545"/>
      <c r="UXF34" s="545"/>
      <c r="UXG34" s="545"/>
      <c r="UXH34" s="545"/>
      <c r="UXI34" s="545"/>
      <c r="UXJ34" s="545"/>
      <c r="UXK34" s="545"/>
      <c r="UXL34" s="545"/>
      <c r="UXM34" s="545"/>
      <c r="UXN34" s="545"/>
      <c r="UXO34" s="545"/>
      <c r="UXP34" s="545"/>
      <c r="UXQ34" s="545"/>
      <c r="UXR34" s="545"/>
      <c r="UXS34" s="545"/>
      <c r="UXT34" s="545"/>
      <c r="UXU34" s="545"/>
      <c r="UXV34" s="545"/>
      <c r="UXW34" s="545"/>
      <c r="UXX34" s="545"/>
      <c r="UXY34" s="545"/>
      <c r="UXZ34" s="545"/>
      <c r="UYA34" s="545"/>
      <c r="UYB34" s="545"/>
      <c r="UYC34" s="545"/>
      <c r="UYD34" s="545"/>
      <c r="UYE34" s="545"/>
      <c r="UYF34" s="545"/>
      <c r="UYG34" s="545"/>
      <c r="UYH34" s="545"/>
      <c r="UYI34" s="545"/>
      <c r="UYJ34" s="545"/>
      <c r="UYK34" s="545"/>
      <c r="UYL34" s="545"/>
      <c r="UYM34" s="545"/>
      <c r="UYN34" s="545"/>
      <c r="UYO34" s="545"/>
      <c r="UYP34" s="545"/>
      <c r="UYQ34" s="545"/>
      <c r="UYR34" s="545"/>
      <c r="UYS34" s="545"/>
      <c r="UYT34" s="545"/>
      <c r="UYU34" s="545"/>
      <c r="UYV34" s="545"/>
      <c r="UYW34" s="545"/>
      <c r="UYX34" s="545"/>
      <c r="UYY34" s="545"/>
      <c r="UYZ34" s="545"/>
      <c r="UZA34" s="545"/>
      <c r="UZB34" s="545"/>
      <c r="UZC34" s="545"/>
      <c r="UZD34" s="545"/>
      <c r="UZE34" s="545"/>
      <c r="UZF34" s="545"/>
      <c r="UZG34" s="545"/>
      <c r="UZH34" s="545"/>
      <c r="UZI34" s="545"/>
      <c r="UZJ34" s="545"/>
      <c r="UZK34" s="545"/>
      <c r="UZL34" s="545"/>
      <c r="UZM34" s="545"/>
      <c r="UZN34" s="545"/>
      <c r="UZO34" s="545"/>
      <c r="UZP34" s="545"/>
      <c r="UZQ34" s="545"/>
      <c r="UZR34" s="545"/>
      <c r="UZS34" s="545"/>
      <c r="UZT34" s="545"/>
      <c r="UZU34" s="545"/>
      <c r="UZV34" s="545"/>
      <c r="UZW34" s="545"/>
      <c r="UZX34" s="545"/>
      <c r="UZY34" s="545"/>
      <c r="UZZ34" s="545"/>
      <c r="VAA34" s="545"/>
      <c r="VAB34" s="545"/>
      <c r="VAC34" s="545"/>
      <c r="VAD34" s="545"/>
      <c r="VAE34" s="545"/>
      <c r="VAF34" s="545"/>
      <c r="VAG34" s="545"/>
      <c r="VAH34" s="545"/>
      <c r="VAI34" s="545"/>
      <c r="VAJ34" s="545"/>
      <c r="VAK34" s="545"/>
      <c r="VAL34" s="545"/>
      <c r="VAM34" s="545"/>
      <c r="VAN34" s="545"/>
      <c r="VAO34" s="545"/>
      <c r="VAP34" s="545"/>
      <c r="VAQ34" s="545"/>
      <c r="VAR34" s="545"/>
      <c r="VAS34" s="545"/>
      <c r="VAT34" s="545"/>
      <c r="VAU34" s="545"/>
      <c r="VAV34" s="545"/>
      <c r="VAW34" s="545"/>
      <c r="VAX34" s="545"/>
      <c r="VAY34" s="545"/>
      <c r="VAZ34" s="545"/>
      <c r="VBA34" s="545"/>
      <c r="VBB34" s="545"/>
      <c r="VBC34" s="545"/>
      <c r="VBD34" s="545"/>
      <c r="VBE34" s="545"/>
      <c r="VBF34" s="545"/>
      <c r="VBG34" s="545"/>
      <c r="VBH34" s="545"/>
      <c r="VBI34" s="545"/>
      <c r="VBJ34" s="545"/>
      <c r="VBK34" s="545"/>
      <c r="VBL34" s="545"/>
      <c r="VBM34" s="545"/>
      <c r="VBN34" s="545"/>
      <c r="VBO34" s="545"/>
      <c r="VBP34" s="545"/>
      <c r="VBQ34" s="545"/>
      <c r="VBR34" s="545"/>
      <c r="VBS34" s="545"/>
      <c r="VBT34" s="545"/>
      <c r="VBU34" s="545"/>
      <c r="VBV34" s="545"/>
      <c r="VBW34" s="545"/>
      <c r="VBX34" s="545"/>
      <c r="VBY34" s="545"/>
      <c r="VBZ34" s="545"/>
      <c r="VCA34" s="545"/>
      <c r="VCB34" s="545"/>
      <c r="VCC34" s="545"/>
      <c r="VCD34" s="545"/>
      <c r="VCE34" s="545"/>
      <c r="VCF34" s="545"/>
      <c r="VCG34" s="545"/>
      <c r="VCH34" s="545"/>
      <c r="VCI34" s="545"/>
      <c r="VCJ34" s="545"/>
      <c r="VCK34" s="545"/>
      <c r="VCL34" s="545"/>
      <c r="VCM34" s="545"/>
      <c r="VCN34" s="545"/>
      <c r="VCO34" s="545"/>
      <c r="VCP34" s="545"/>
      <c r="VCQ34" s="545"/>
      <c r="VCR34" s="545"/>
      <c r="VCS34" s="545"/>
      <c r="VCT34" s="545"/>
      <c r="VCU34" s="545"/>
      <c r="VCV34" s="545"/>
      <c r="VCW34" s="545"/>
      <c r="VCX34" s="545"/>
      <c r="VCY34" s="545"/>
      <c r="VCZ34" s="545"/>
      <c r="VDA34" s="545"/>
      <c r="VDB34" s="545"/>
      <c r="VDC34" s="545"/>
      <c r="VDD34" s="545"/>
      <c r="VDE34" s="545"/>
      <c r="VDF34" s="545"/>
      <c r="VDG34" s="545"/>
      <c r="VDH34" s="545"/>
      <c r="VDI34" s="545"/>
      <c r="VDJ34" s="545"/>
      <c r="VDK34" s="545"/>
      <c r="VDL34" s="545"/>
      <c r="VDM34" s="545"/>
      <c r="VDN34" s="545"/>
      <c r="VDO34" s="545"/>
      <c r="VDP34" s="545"/>
      <c r="VDQ34" s="545"/>
      <c r="VDR34" s="545"/>
      <c r="VDS34" s="545"/>
      <c r="VDT34" s="545"/>
      <c r="VDU34" s="545"/>
      <c r="VDV34" s="545"/>
      <c r="VDW34" s="545"/>
      <c r="VDX34" s="545"/>
      <c r="VDY34" s="545"/>
      <c r="VDZ34" s="545"/>
      <c r="VEA34" s="545"/>
      <c r="VEB34" s="545"/>
      <c r="VEC34" s="545"/>
      <c r="VED34" s="545"/>
      <c r="VEE34" s="545"/>
      <c r="VEF34" s="545"/>
      <c r="VEG34" s="545"/>
      <c r="VEH34" s="545"/>
      <c r="VEI34" s="545"/>
      <c r="VEJ34" s="545"/>
      <c r="VEK34" s="545"/>
      <c r="VEL34" s="545"/>
      <c r="VEM34" s="545"/>
      <c r="VEN34" s="545"/>
      <c r="VEO34" s="545"/>
      <c r="VEP34" s="545"/>
      <c r="VEQ34" s="545"/>
      <c r="VER34" s="545"/>
      <c r="VES34" s="545"/>
      <c r="VET34" s="545"/>
      <c r="VEU34" s="545"/>
      <c r="VEV34" s="545"/>
      <c r="VEW34" s="545"/>
      <c r="VEX34" s="545"/>
      <c r="VEY34" s="545"/>
      <c r="VEZ34" s="545"/>
      <c r="VFA34" s="545"/>
      <c r="VFB34" s="545"/>
      <c r="VFC34" s="545"/>
      <c r="VFD34" s="545"/>
      <c r="VFE34" s="545"/>
      <c r="VFF34" s="545"/>
      <c r="VFG34" s="545"/>
      <c r="VFH34" s="545"/>
      <c r="VFI34" s="545"/>
      <c r="VFJ34" s="545"/>
      <c r="VFK34" s="545"/>
      <c r="VFL34" s="545"/>
      <c r="VFM34" s="545"/>
      <c r="VFN34" s="545"/>
      <c r="VFO34" s="545"/>
      <c r="VFP34" s="545"/>
      <c r="VFQ34" s="545"/>
      <c r="VFR34" s="545"/>
      <c r="VFS34" s="545"/>
      <c r="VFT34" s="545"/>
      <c r="VFU34" s="545"/>
      <c r="VFV34" s="545"/>
      <c r="VFW34" s="545"/>
      <c r="VFX34" s="545"/>
      <c r="VFY34" s="545"/>
      <c r="VFZ34" s="545"/>
      <c r="VGA34" s="545"/>
      <c r="VGB34" s="545"/>
      <c r="VGC34" s="545"/>
      <c r="VGD34" s="545"/>
      <c r="VGE34" s="545"/>
      <c r="VGF34" s="545"/>
      <c r="VGG34" s="545"/>
      <c r="VGH34" s="545"/>
      <c r="VGI34" s="545"/>
      <c r="VGJ34" s="545"/>
      <c r="VGK34" s="545"/>
      <c r="VGL34" s="545"/>
      <c r="VGM34" s="545"/>
      <c r="VGN34" s="545"/>
      <c r="VGO34" s="545"/>
      <c r="VGP34" s="545"/>
      <c r="VGQ34" s="545"/>
      <c r="VGR34" s="545"/>
      <c r="VGS34" s="545"/>
      <c r="VGT34" s="545"/>
      <c r="VGU34" s="545"/>
      <c r="VGV34" s="545"/>
      <c r="VGW34" s="545"/>
      <c r="VGX34" s="545"/>
      <c r="VGY34" s="545"/>
      <c r="VGZ34" s="545"/>
      <c r="VHA34" s="545"/>
      <c r="VHB34" s="545"/>
      <c r="VHC34" s="545"/>
      <c r="VHD34" s="545"/>
      <c r="VHE34" s="545"/>
      <c r="VHF34" s="545"/>
      <c r="VHG34" s="545"/>
      <c r="VHH34" s="545"/>
      <c r="VHI34" s="545"/>
      <c r="VHJ34" s="545"/>
      <c r="VHK34" s="545"/>
      <c r="VHL34" s="545"/>
      <c r="VHM34" s="545"/>
      <c r="VHN34" s="545"/>
      <c r="VHO34" s="545"/>
      <c r="VHP34" s="545"/>
      <c r="VHQ34" s="545"/>
      <c r="VHR34" s="545"/>
      <c r="VHS34" s="545"/>
      <c r="VHT34" s="545"/>
      <c r="VHU34" s="545"/>
      <c r="VHV34" s="545"/>
      <c r="VHW34" s="545"/>
      <c r="VHX34" s="545"/>
      <c r="VHY34" s="545"/>
      <c r="VHZ34" s="545"/>
      <c r="VIA34" s="545"/>
      <c r="VIB34" s="545"/>
      <c r="VIC34" s="545"/>
      <c r="VID34" s="545"/>
      <c r="VIE34" s="545"/>
      <c r="VIF34" s="545"/>
      <c r="VIG34" s="545"/>
      <c r="VIH34" s="545"/>
      <c r="VII34" s="545"/>
      <c r="VIJ34" s="545"/>
      <c r="VIK34" s="545"/>
      <c r="VIL34" s="545"/>
      <c r="VIM34" s="545"/>
      <c r="VIN34" s="545"/>
      <c r="VIO34" s="545"/>
      <c r="VIP34" s="545"/>
      <c r="VIQ34" s="545"/>
      <c r="VIR34" s="545"/>
      <c r="VIS34" s="545"/>
      <c r="VIT34" s="545"/>
      <c r="VIU34" s="545"/>
      <c r="VIV34" s="545"/>
      <c r="VIW34" s="545"/>
      <c r="VIX34" s="545"/>
      <c r="VIY34" s="545"/>
      <c r="VIZ34" s="545"/>
      <c r="VJA34" s="545"/>
      <c r="VJB34" s="545"/>
      <c r="VJC34" s="545"/>
      <c r="VJD34" s="545"/>
      <c r="VJE34" s="545"/>
      <c r="VJF34" s="545"/>
      <c r="VJG34" s="545"/>
      <c r="VJH34" s="545"/>
      <c r="VJI34" s="545"/>
      <c r="VJJ34" s="545"/>
      <c r="VJK34" s="545"/>
      <c r="VJL34" s="545"/>
      <c r="VJM34" s="545"/>
      <c r="VJN34" s="545"/>
      <c r="VJO34" s="545"/>
      <c r="VJP34" s="545"/>
      <c r="VJQ34" s="545"/>
      <c r="VJR34" s="545"/>
      <c r="VJS34" s="545"/>
      <c r="VJT34" s="545"/>
      <c r="VJU34" s="545"/>
      <c r="VJV34" s="545"/>
      <c r="VJW34" s="545"/>
      <c r="VJX34" s="545"/>
      <c r="VJY34" s="545"/>
      <c r="VJZ34" s="545"/>
      <c r="VKA34" s="545"/>
      <c r="VKB34" s="545"/>
      <c r="VKC34" s="545"/>
      <c r="VKD34" s="545"/>
      <c r="VKE34" s="545"/>
      <c r="VKF34" s="545"/>
      <c r="VKG34" s="545"/>
      <c r="VKH34" s="545"/>
      <c r="VKI34" s="545"/>
      <c r="VKJ34" s="545"/>
      <c r="VKK34" s="545"/>
      <c r="VKL34" s="545"/>
      <c r="VKM34" s="545"/>
      <c r="VKN34" s="545"/>
      <c r="VKO34" s="545"/>
      <c r="VKP34" s="545"/>
      <c r="VKQ34" s="545"/>
      <c r="VKR34" s="545"/>
      <c r="VKS34" s="545"/>
      <c r="VKT34" s="545"/>
      <c r="VKU34" s="545"/>
      <c r="VKV34" s="545"/>
      <c r="VKW34" s="545"/>
      <c r="VKX34" s="545"/>
      <c r="VKY34" s="545"/>
      <c r="VKZ34" s="545"/>
      <c r="VLA34" s="545"/>
      <c r="VLB34" s="545"/>
      <c r="VLC34" s="545"/>
      <c r="VLD34" s="545"/>
      <c r="VLE34" s="545"/>
      <c r="VLF34" s="545"/>
      <c r="VLG34" s="545"/>
      <c r="VLH34" s="545"/>
      <c r="VLI34" s="545"/>
      <c r="VLJ34" s="545"/>
      <c r="VLK34" s="545"/>
      <c r="VLL34" s="545"/>
      <c r="VLM34" s="545"/>
      <c r="VLN34" s="545"/>
      <c r="VLO34" s="545"/>
      <c r="VLP34" s="545"/>
      <c r="VLQ34" s="545"/>
      <c r="VLR34" s="545"/>
      <c r="VLS34" s="545"/>
      <c r="VLT34" s="545"/>
      <c r="VLU34" s="545"/>
      <c r="VLV34" s="545"/>
      <c r="VLW34" s="545"/>
      <c r="VLX34" s="545"/>
      <c r="VLY34" s="545"/>
      <c r="VLZ34" s="545"/>
      <c r="VMA34" s="545"/>
      <c r="VMB34" s="545"/>
      <c r="VMC34" s="545"/>
      <c r="VMD34" s="545"/>
      <c r="VME34" s="545"/>
      <c r="VMF34" s="545"/>
      <c r="VMG34" s="545"/>
      <c r="VMH34" s="545"/>
      <c r="VMI34" s="545"/>
      <c r="VMJ34" s="545"/>
      <c r="VMK34" s="545"/>
      <c r="VML34" s="545"/>
      <c r="VMM34" s="545"/>
      <c r="VMN34" s="545"/>
      <c r="VMO34" s="545"/>
      <c r="VMP34" s="545"/>
      <c r="VMQ34" s="545"/>
      <c r="VMR34" s="545"/>
      <c r="VMS34" s="545"/>
      <c r="VMT34" s="545"/>
      <c r="VMU34" s="545"/>
      <c r="VMV34" s="545"/>
      <c r="VMW34" s="545"/>
      <c r="VMX34" s="545"/>
      <c r="VMY34" s="545"/>
      <c r="VMZ34" s="545"/>
      <c r="VNA34" s="545"/>
      <c r="VNB34" s="545"/>
      <c r="VNC34" s="545"/>
      <c r="VND34" s="545"/>
      <c r="VNE34" s="545"/>
      <c r="VNF34" s="545"/>
      <c r="VNG34" s="545"/>
      <c r="VNH34" s="545"/>
      <c r="VNI34" s="545"/>
      <c r="VNJ34" s="545"/>
      <c r="VNK34" s="545"/>
      <c r="VNL34" s="545"/>
      <c r="VNM34" s="545"/>
      <c r="VNN34" s="545"/>
      <c r="VNO34" s="545"/>
      <c r="VNP34" s="545"/>
      <c r="VNQ34" s="545"/>
      <c r="VNR34" s="545"/>
      <c r="VNS34" s="545"/>
      <c r="VNT34" s="545"/>
      <c r="VNU34" s="545"/>
      <c r="VNV34" s="545"/>
      <c r="VNW34" s="545"/>
      <c r="VNX34" s="545"/>
      <c r="VNY34" s="545"/>
      <c r="VNZ34" s="545"/>
      <c r="VOA34" s="545"/>
      <c r="VOB34" s="545"/>
      <c r="VOC34" s="545"/>
      <c r="VOD34" s="545"/>
      <c r="VOE34" s="545"/>
      <c r="VOF34" s="545"/>
      <c r="VOG34" s="545"/>
      <c r="VOH34" s="545"/>
      <c r="VOI34" s="545"/>
      <c r="VOJ34" s="545"/>
      <c r="VOK34" s="545"/>
      <c r="VOL34" s="545"/>
      <c r="VOM34" s="545"/>
      <c r="VON34" s="545"/>
      <c r="VOO34" s="545"/>
      <c r="VOP34" s="545"/>
      <c r="VOQ34" s="545"/>
      <c r="VOR34" s="545"/>
      <c r="VOS34" s="545"/>
      <c r="VOT34" s="545"/>
      <c r="VOU34" s="545"/>
      <c r="VOV34" s="545"/>
      <c r="VOW34" s="545"/>
      <c r="VOX34" s="545"/>
      <c r="VOY34" s="545"/>
      <c r="VOZ34" s="545"/>
      <c r="VPA34" s="545"/>
      <c r="VPB34" s="545"/>
      <c r="VPC34" s="545"/>
      <c r="VPD34" s="545"/>
      <c r="VPE34" s="545"/>
      <c r="VPF34" s="545"/>
      <c r="VPG34" s="545"/>
      <c r="VPH34" s="545"/>
      <c r="VPI34" s="545"/>
      <c r="VPJ34" s="545"/>
      <c r="VPK34" s="545"/>
      <c r="VPL34" s="545"/>
      <c r="VPM34" s="545"/>
      <c r="VPN34" s="545"/>
      <c r="VPO34" s="545"/>
      <c r="VPP34" s="545"/>
      <c r="VPQ34" s="545"/>
      <c r="VPR34" s="545"/>
      <c r="VPS34" s="545"/>
      <c r="VPT34" s="545"/>
      <c r="VPU34" s="545"/>
      <c r="VPV34" s="545"/>
      <c r="VPW34" s="545"/>
      <c r="VPX34" s="545"/>
      <c r="VPY34" s="545"/>
      <c r="VPZ34" s="545"/>
      <c r="VQA34" s="545"/>
      <c r="VQB34" s="545"/>
      <c r="VQC34" s="545"/>
      <c r="VQD34" s="545"/>
      <c r="VQE34" s="545"/>
      <c r="VQF34" s="545"/>
      <c r="VQG34" s="545"/>
      <c r="VQH34" s="545"/>
      <c r="VQI34" s="545"/>
      <c r="VQJ34" s="545"/>
      <c r="VQK34" s="545"/>
      <c r="VQL34" s="545"/>
      <c r="VQM34" s="545"/>
      <c r="VQN34" s="545"/>
      <c r="VQO34" s="545"/>
      <c r="VQP34" s="545"/>
      <c r="VQQ34" s="545"/>
      <c r="VQR34" s="545"/>
      <c r="VQS34" s="545"/>
      <c r="VQT34" s="545"/>
      <c r="VQU34" s="545"/>
      <c r="VQV34" s="545"/>
      <c r="VQW34" s="545"/>
      <c r="VQX34" s="545"/>
      <c r="VQY34" s="545"/>
      <c r="VQZ34" s="545"/>
      <c r="VRA34" s="545"/>
      <c r="VRB34" s="545"/>
      <c r="VRC34" s="545"/>
      <c r="VRD34" s="545"/>
      <c r="VRE34" s="545"/>
      <c r="VRF34" s="545"/>
      <c r="VRG34" s="545"/>
      <c r="VRH34" s="545"/>
      <c r="VRI34" s="545"/>
      <c r="VRJ34" s="545"/>
      <c r="VRK34" s="545"/>
      <c r="VRL34" s="545"/>
      <c r="VRM34" s="545"/>
      <c r="VRN34" s="545"/>
      <c r="VRO34" s="545"/>
      <c r="VRP34" s="545"/>
      <c r="VRQ34" s="545"/>
      <c r="VRR34" s="545"/>
      <c r="VRS34" s="545"/>
      <c r="VRT34" s="545"/>
      <c r="VRU34" s="545"/>
      <c r="VRV34" s="545"/>
      <c r="VRW34" s="545"/>
      <c r="VRX34" s="545"/>
      <c r="VRY34" s="545"/>
      <c r="VRZ34" s="545"/>
      <c r="VSA34" s="545"/>
      <c r="VSB34" s="545"/>
      <c r="VSC34" s="545"/>
      <c r="VSD34" s="545"/>
      <c r="VSE34" s="545"/>
      <c r="VSF34" s="545"/>
      <c r="VSG34" s="545"/>
      <c r="VSH34" s="545"/>
      <c r="VSI34" s="545"/>
      <c r="VSJ34" s="545"/>
      <c r="VSK34" s="545"/>
      <c r="VSL34" s="545"/>
      <c r="VSM34" s="545"/>
      <c r="VSN34" s="545"/>
      <c r="VSO34" s="545"/>
      <c r="VSP34" s="545"/>
      <c r="VSQ34" s="545"/>
      <c r="VSR34" s="545"/>
      <c r="VSS34" s="545"/>
      <c r="VST34" s="545"/>
      <c r="VSU34" s="545"/>
      <c r="VSV34" s="545"/>
      <c r="VSW34" s="545"/>
      <c r="VSX34" s="545"/>
      <c r="VSY34" s="545"/>
      <c r="VSZ34" s="545"/>
      <c r="VTA34" s="545"/>
      <c r="VTB34" s="545"/>
      <c r="VTC34" s="545"/>
      <c r="VTD34" s="545"/>
      <c r="VTE34" s="545"/>
      <c r="VTF34" s="545"/>
      <c r="VTG34" s="545"/>
      <c r="VTH34" s="545"/>
      <c r="VTI34" s="545"/>
      <c r="VTJ34" s="545"/>
      <c r="VTK34" s="545"/>
      <c r="VTL34" s="545"/>
      <c r="VTM34" s="545"/>
      <c r="VTN34" s="545"/>
      <c r="VTO34" s="545"/>
      <c r="VTP34" s="545"/>
      <c r="VTQ34" s="545"/>
      <c r="VTR34" s="545"/>
      <c r="VTS34" s="545"/>
      <c r="VTT34" s="545"/>
      <c r="VTU34" s="545"/>
      <c r="VTV34" s="545"/>
      <c r="VTW34" s="545"/>
      <c r="VTX34" s="545"/>
      <c r="VTY34" s="545"/>
      <c r="VTZ34" s="545"/>
      <c r="VUA34" s="545"/>
      <c r="VUB34" s="545"/>
      <c r="VUC34" s="545"/>
      <c r="VUD34" s="545"/>
      <c r="VUE34" s="545"/>
      <c r="VUF34" s="545"/>
      <c r="VUG34" s="545"/>
      <c r="VUH34" s="545"/>
      <c r="VUI34" s="545"/>
      <c r="VUJ34" s="545"/>
      <c r="VUK34" s="545"/>
      <c r="VUL34" s="545"/>
      <c r="VUM34" s="545"/>
      <c r="VUN34" s="545"/>
      <c r="VUO34" s="545"/>
      <c r="VUP34" s="545"/>
      <c r="VUQ34" s="545"/>
      <c r="VUR34" s="545"/>
      <c r="VUS34" s="545"/>
      <c r="VUT34" s="545"/>
      <c r="VUU34" s="545"/>
      <c r="VUV34" s="545"/>
      <c r="VUW34" s="545"/>
      <c r="VUX34" s="545"/>
      <c r="VUY34" s="545"/>
      <c r="VUZ34" s="545"/>
      <c r="VVA34" s="545"/>
      <c r="VVB34" s="545"/>
      <c r="VVC34" s="545"/>
      <c r="VVD34" s="545"/>
      <c r="VVE34" s="545"/>
      <c r="VVF34" s="545"/>
      <c r="VVG34" s="545"/>
      <c r="VVH34" s="545"/>
      <c r="VVI34" s="545"/>
      <c r="VVJ34" s="545"/>
      <c r="VVK34" s="545"/>
      <c r="VVL34" s="545"/>
      <c r="VVM34" s="545"/>
      <c r="VVN34" s="545"/>
      <c r="VVO34" s="545"/>
      <c r="VVP34" s="545"/>
      <c r="VVQ34" s="545"/>
      <c r="VVR34" s="545"/>
      <c r="VVS34" s="545"/>
      <c r="VVT34" s="545"/>
      <c r="VVU34" s="545"/>
      <c r="VVV34" s="545"/>
      <c r="VVW34" s="545"/>
      <c r="VVX34" s="545"/>
      <c r="VVY34" s="545"/>
      <c r="VVZ34" s="545"/>
      <c r="VWA34" s="545"/>
      <c r="VWB34" s="545"/>
      <c r="VWC34" s="545"/>
      <c r="VWD34" s="545"/>
      <c r="VWE34" s="545"/>
      <c r="VWF34" s="545"/>
      <c r="VWG34" s="545"/>
      <c r="VWH34" s="545"/>
      <c r="VWI34" s="545"/>
      <c r="VWJ34" s="545"/>
      <c r="VWK34" s="545"/>
      <c r="VWL34" s="545"/>
      <c r="VWM34" s="545"/>
      <c r="VWN34" s="545"/>
      <c r="VWO34" s="545"/>
      <c r="VWP34" s="545"/>
      <c r="VWQ34" s="545"/>
      <c r="VWR34" s="545"/>
      <c r="VWS34" s="545"/>
      <c r="VWT34" s="545"/>
      <c r="VWU34" s="545"/>
      <c r="VWV34" s="545"/>
      <c r="VWW34" s="545"/>
      <c r="VWX34" s="545"/>
      <c r="VWY34" s="545"/>
      <c r="VWZ34" s="545"/>
      <c r="VXA34" s="545"/>
      <c r="VXB34" s="545"/>
      <c r="VXC34" s="545"/>
      <c r="VXD34" s="545"/>
      <c r="VXE34" s="545"/>
      <c r="VXF34" s="545"/>
      <c r="VXG34" s="545"/>
      <c r="VXH34" s="545"/>
      <c r="VXI34" s="545"/>
      <c r="VXJ34" s="545"/>
      <c r="VXK34" s="545"/>
      <c r="VXL34" s="545"/>
      <c r="VXM34" s="545"/>
      <c r="VXN34" s="545"/>
      <c r="VXO34" s="545"/>
      <c r="VXP34" s="545"/>
      <c r="VXQ34" s="545"/>
      <c r="VXR34" s="545"/>
      <c r="VXS34" s="545"/>
      <c r="VXT34" s="545"/>
      <c r="VXU34" s="545"/>
      <c r="VXV34" s="545"/>
      <c r="VXW34" s="545"/>
      <c r="VXX34" s="545"/>
      <c r="VXY34" s="545"/>
      <c r="VXZ34" s="545"/>
      <c r="VYA34" s="545"/>
      <c r="VYB34" s="545"/>
      <c r="VYC34" s="545"/>
      <c r="VYD34" s="545"/>
      <c r="VYE34" s="545"/>
      <c r="VYF34" s="545"/>
      <c r="VYG34" s="545"/>
      <c r="VYH34" s="545"/>
      <c r="VYI34" s="545"/>
      <c r="VYJ34" s="545"/>
      <c r="VYK34" s="545"/>
      <c r="VYL34" s="545"/>
      <c r="VYM34" s="545"/>
      <c r="VYN34" s="545"/>
      <c r="VYO34" s="545"/>
      <c r="VYP34" s="545"/>
      <c r="VYQ34" s="545"/>
      <c r="VYR34" s="545"/>
      <c r="VYS34" s="545"/>
      <c r="VYT34" s="545"/>
      <c r="VYU34" s="545"/>
      <c r="VYV34" s="545"/>
      <c r="VYW34" s="545"/>
      <c r="VYX34" s="545"/>
      <c r="VYY34" s="545"/>
      <c r="VYZ34" s="545"/>
      <c r="VZA34" s="545"/>
      <c r="VZB34" s="545"/>
      <c r="VZC34" s="545"/>
      <c r="VZD34" s="545"/>
      <c r="VZE34" s="545"/>
      <c r="VZF34" s="545"/>
      <c r="VZG34" s="545"/>
      <c r="VZH34" s="545"/>
      <c r="VZI34" s="545"/>
      <c r="VZJ34" s="545"/>
      <c r="VZK34" s="545"/>
      <c r="VZL34" s="545"/>
      <c r="VZM34" s="545"/>
      <c r="VZN34" s="545"/>
      <c r="VZO34" s="545"/>
      <c r="VZP34" s="545"/>
      <c r="VZQ34" s="545"/>
      <c r="VZR34" s="545"/>
      <c r="VZS34" s="545"/>
      <c r="VZT34" s="545"/>
      <c r="VZU34" s="545"/>
      <c r="VZV34" s="545"/>
      <c r="VZW34" s="545"/>
      <c r="VZX34" s="545"/>
      <c r="VZY34" s="545"/>
      <c r="VZZ34" s="545"/>
      <c r="WAA34" s="545"/>
      <c r="WAB34" s="545"/>
      <c r="WAC34" s="545"/>
      <c r="WAD34" s="545"/>
      <c r="WAE34" s="545"/>
      <c r="WAF34" s="545"/>
      <c r="WAG34" s="545"/>
      <c r="WAH34" s="545"/>
      <c r="WAI34" s="545"/>
      <c r="WAJ34" s="545"/>
      <c r="WAK34" s="545"/>
      <c r="WAL34" s="545"/>
      <c r="WAM34" s="545"/>
      <c r="WAN34" s="545"/>
      <c r="WAO34" s="545"/>
      <c r="WAP34" s="545"/>
      <c r="WAQ34" s="545"/>
      <c r="WAR34" s="545"/>
      <c r="WAS34" s="545"/>
      <c r="WAT34" s="545"/>
      <c r="WAU34" s="545"/>
      <c r="WAV34" s="545"/>
      <c r="WAW34" s="545"/>
      <c r="WAX34" s="545"/>
      <c r="WAY34" s="545"/>
      <c r="WAZ34" s="545"/>
      <c r="WBA34" s="545"/>
      <c r="WBB34" s="545"/>
      <c r="WBC34" s="545"/>
      <c r="WBD34" s="545"/>
      <c r="WBE34" s="545"/>
      <c r="WBF34" s="545"/>
      <c r="WBG34" s="545"/>
      <c r="WBH34" s="545"/>
      <c r="WBI34" s="545"/>
      <c r="WBJ34" s="545"/>
      <c r="WBK34" s="545"/>
      <c r="WBL34" s="545"/>
      <c r="WBM34" s="545"/>
      <c r="WBN34" s="545"/>
      <c r="WBO34" s="545"/>
      <c r="WBP34" s="545"/>
      <c r="WBQ34" s="545"/>
      <c r="WBR34" s="545"/>
      <c r="WBS34" s="545"/>
      <c r="WBT34" s="545"/>
      <c r="WBU34" s="545"/>
      <c r="WBV34" s="545"/>
      <c r="WBW34" s="545"/>
      <c r="WBX34" s="545"/>
      <c r="WBY34" s="545"/>
      <c r="WBZ34" s="545"/>
      <c r="WCA34" s="545"/>
      <c r="WCB34" s="545"/>
      <c r="WCC34" s="545"/>
      <c r="WCD34" s="545"/>
      <c r="WCE34" s="545"/>
      <c r="WCF34" s="545"/>
      <c r="WCG34" s="545"/>
      <c r="WCH34" s="545"/>
      <c r="WCI34" s="545"/>
      <c r="WCJ34" s="545"/>
      <c r="WCK34" s="545"/>
      <c r="WCL34" s="545"/>
      <c r="WCM34" s="545"/>
      <c r="WCN34" s="545"/>
      <c r="WCO34" s="545"/>
      <c r="WCP34" s="545"/>
      <c r="WCQ34" s="545"/>
      <c r="WCR34" s="545"/>
      <c r="WCS34" s="545"/>
      <c r="WCT34" s="545"/>
      <c r="WCU34" s="545"/>
      <c r="WCV34" s="545"/>
      <c r="WCW34" s="545"/>
      <c r="WCX34" s="545"/>
      <c r="WCY34" s="545"/>
      <c r="WCZ34" s="545"/>
      <c r="WDA34" s="545"/>
      <c r="WDB34" s="545"/>
      <c r="WDC34" s="545"/>
      <c r="WDD34" s="545"/>
      <c r="WDE34" s="545"/>
      <c r="WDF34" s="545"/>
      <c r="WDG34" s="545"/>
      <c r="WDH34" s="545"/>
      <c r="WDI34" s="545"/>
      <c r="WDJ34" s="545"/>
      <c r="WDK34" s="545"/>
      <c r="WDL34" s="545"/>
      <c r="WDM34" s="545"/>
      <c r="WDN34" s="545"/>
      <c r="WDO34" s="545"/>
      <c r="WDP34" s="545"/>
      <c r="WDQ34" s="545"/>
      <c r="WDR34" s="545"/>
      <c r="WDS34" s="545"/>
      <c r="WDT34" s="545"/>
      <c r="WDU34" s="545"/>
      <c r="WDV34" s="545"/>
      <c r="WDW34" s="545"/>
      <c r="WDX34" s="545"/>
      <c r="WDY34" s="545"/>
      <c r="WDZ34" s="545"/>
      <c r="WEA34" s="545"/>
      <c r="WEB34" s="545"/>
      <c r="WEC34" s="545"/>
      <c r="WED34" s="545"/>
      <c r="WEE34" s="545"/>
      <c r="WEF34" s="545"/>
      <c r="WEG34" s="545"/>
      <c r="WEH34" s="545"/>
      <c r="WEI34" s="545"/>
      <c r="WEJ34" s="545"/>
      <c r="WEK34" s="545"/>
      <c r="WEL34" s="545"/>
      <c r="WEM34" s="545"/>
      <c r="WEN34" s="545"/>
      <c r="WEO34" s="545"/>
      <c r="WEP34" s="545"/>
      <c r="WEQ34" s="545"/>
      <c r="WER34" s="545"/>
      <c r="WES34" s="545"/>
      <c r="WET34" s="545"/>
      <c r="WEU34" s="545"/>
      <c r="WEV34" s="545"/>
      <c r="WEW34" s="545"/>
      <c r="WEX34" s="545"/>
      <c r="WEY34" s="545"/>
      <c r="WEZ34" s="545"/>
      <c r="WFA34" s="545"/>
      <c r="WFB34" s="545"/>
      <c r="WFC34" s="545"/>
      <c r="WFD34" s="545"/>
      <c r="WFE34" s="545"/>
      <c r="WFF34" s="545"/>
      <c r="WFG34" s="545"/>
      <c r="WFH34" s="545"/>
      <c r="WFI34" s="545"/>
      <c r="WFJ34" s="545"/>
      <c r="WFK34" s="545"/>
      <c r="WFL34" s="545"/>
      <c r="WFM34" s="545"/>
      <c r="WFN34" s="545"/>
      <c r="WFO34" s="545"/>
      <c r="WFP34" s="545"/>
      <c r="WFQ34" s="545"/>
      <c r="WFR34" s="545"/>
      <c r="WFS34" s="545"/>
      <c r="WFT34" s="545"/>
      <c r="WFU34" s="545"/>
      <c r="WFV34" s="545"/>
      <c r="WFW34" s="545"/>
      <c r="WFX34" s="545"/>
      <c r="WFY34" s="545"/>
      <c r="WFZ34" s="545"/>
      <c r="WGA34" s="545"/>
      <c r="WGB34" s="545"/>
      <c r="WGC34" s="545"/>
      <c r="WGD34" s="545"/>
      <c r="WGE34" s="545"/>
      <c r="WGF34" s="545"/>
      <c r="WGG34" s="545"/>
      <c r="WGH34" s="545"/>
      <c r="WGI34" s="545"/>
      <c r="WGJ34" s="545"/>
      <c r="WGK34" s="545"/>
      <c r="WGL34" s="545"/>
      <c r="WGM34" s="545"/>
      <c r="WGN34" s="545"/>
      <c r="WGO34" s="545"/>
      <c r="WGP34" s="545"/>
      <c r="WGQ34" s="545"/>
      <c r="WGR34" s="545"/>
      <c r="WGS34" s="545"/>
      <c r="WGT34" s="545"/>
      <c r="WGU34" s="545"/>
      <c r="WGV34" s="545"/>
      <c r="WGW34" s="545"/>
      <c r="WGX34" s="545"/>
      <c r="WGY34" s="545"/>
      <c r="WGZ34" s="545"/>
      <c r="WHA34" s="545"/>
      <c r="WHB34" s="545"/>
      <c r="WHC34" s="545"/>
      <c r="WHD34" s="545"/>
      <c r="WHE34" s="545"/>
      <c r="WHF34" s="545"/>
      <c r="WHG34" s="545"/>
      <c r="WHH34" s="545"/>
      <c r="WHI34" s="545"/>
      <c r="WHJ34" s="545"/>
      <c r="WHK34" s="545"/>
      <c r="WHL34" s="545"/>
      <c r="WHM34" s="545"/>
      <c r="WHN34" s="545"/>
      <c r="WHO34" s="545"/>
      <c r="WHP34" s="545"/>
      <c r="WHQ34" s="545"/>
      <c r="WHR34" s="545"/>
      <c r="WHS34" s="545"/>
      <c r="WHT34" s="545"/>
      <c r="WHU34" s="545"/>
      <c r="WHV34" s="545"/>
      <c r="WHW34" s="545"/>
      <c r="WHX34" s="545"/>
      <c r="WHY34" s="545"/>
      <c r="WHZ34" s="545"/>
      <c r="WIA34" s="545"/>
      <c r="WIB34" s="545"/>
      <c r="WIC34" s="545"/>
      <c r="WID34" s="545"/>
      <c r="WIE34" s="545"/>
      <c r="WIF34" s="545"/>
      <c r="WIG34" s="545"/>
      <c r="WIH34" s="545"/>
      <c r="WII34" s="545"/>
      <c r="WIJ34" s="545"/>
      <c r="WIK34" s="545"/>
      <c r="WIL34" s="545"/>
      <c r="WIM34" s="545"/>
      <c r="WIN34" s="545"/>
      <c r="WIO34" s="545"/>
      <c r="WIP34" s="545"/>
      <c r="WIQ34" s="545"/>
      <c r="WIR34" s="545"/>
      <c r="WIS34" s="545"/>
      <c r="WIT34" s="545"/>
      <c r="WIU34" s="545"/>
      <c r="WIV34" s="545"/>
      <c r="WIW34" s="545"/>
      <c r="WIX34" s="545"/>
      <c r="WIY34" s="545"/>
      <c r="WIZ34" s="545"/>
      <c r="WJA34" s="545"/>
      <c r="WJB34" s="545"/>
      <c r="WJC34" s="545"/>
      <c r="WJD34" s="545"/>
      <c r="WJE34" s="545"/>
      <c r="WJF34" s="545"/>
      <c r="WJG34" s="545"/>
      <c r="WJH34" s="545"/>
      <c r="WJI34" s="545"/>
      <c r="WJJ34" s="545"/>
      <c r="WJK34" s="545"/>
      <c r="WJL34" s="545"/>
      <c r="WJM34" s="545"/>
      <c r="WJN34" s="545"/>
      <c r="WJO34" s="545"/>
      <c r="WJP34" s="545"/>
      <c r="WJQ34" s="545"/>
      <c r="WJR34" s="545"/>
      <c r="WJS34" s="545"/>
      <c r="WJT34" s="545"/>
      <c r="WJU34" s="545"/>
      <c r="WJV34" s="545"/>
      <c r="WJW34" s="545"/>
      <c r="WJX34" s="545"/>
      <c r="WJY34" s="545"/>
      <c r="WJZ34" s="545"/>
      <c r="WKA34" s="545"/>
      <c r="WKB34" s="545"/>
      <c r="WKC34" s="545"/>
      <c r="WKD34" s="545"/>
      <c r="WKE34" s="545"/>
      <c r="WKF34" s="545"/>
      <c r="WKG34" s="545"/>
      <c r="WKH34" s="545"/>
      <c r="WKI34" s="545"/>
      <c r="WKJ34" s="545"/>
      <c r="WKK34" s="545"/>
      <c r="WKL34" s="545"/>
      <c r="WKM34" s="545"/>
      <c r="WKN34" s="545"/>
      <c r="WKO34" s="545"/>
      <c r="WKP34" s="545"/>
      <c r="WKQ34" s="545"/>
      <c r="WKR34" s="545"/>
      <c r="WKS34" s="545"/>
      <c r="WKT34" s="545"/>
      <c r="WKU34" s="545"/>
      <c r="WKV34" s="545"/>
      <c r="WKW34" s="545"/>
      <c r="WKX34" s="545"/>
      <c r="WKY34" s="545"/>
      <c r="WKZ34" s="545"/>
      <c r="WLA34" s="545"/>
      <c r="WLB34" s="545"/>
      <c r="WLC34" s="545"/>
      <c r="WLD34" s="545"/>
      <c r="WLE34" s="545"/>
      <c r="WLF34" s="545"/>
      <c r="WLG34" s="545"/>
      <c r="WLH34" s="545"/>
      <c r="WLI34" s="545"/>
      <c r="WLJ34" s="545"/>
      <c r="WLK34" s="545"/>
      <c r="WLL34" s="545"/>
      <c r="WLM34" s="545"/>
      <c r="WLN34" s="545"/>
      <c r="WLO34" s="545"/>
      <c r="WLP34" s="545"/>
      <c r="WLQ34" s="545"/>
      <c r="WLR34" s="545"/>
      <c r="WLS34" s="545"/>
      <c r="WLT34" s="545"/>
      <c r="WLU34" s="545"/>
      <c r="WLV34" s="545"/>
      <c r="WLW34" s="545"/>
      <c r="WLX34" s="545"/>
      <c r="WLY34" s="545"/>
      <c r="WLZ34" s="545"/>
      <c r="WMA34" s="545"/>
      <c r="WMB34" s="545"/>
      <c r="WMC34" s="545"/>
      <c r="WMD34" s="545"/>
      <c r="WME34" s="545"/>
      <c r="WMF34" s="545"/>
      <c r="WMG34" s="545"/>
      <c r="WMH34" s="545"/>
      <c r="WMI34" s="545"/>
      <c r="WMJ34" s="545"/>
      <c r="WMK34" s="545"/>
      <c r="WML34" s="545"/>
      <c r="WMM34" s="545"/>
      <c r="WMN34" s="545"/>
      <c r="WMO34" s="545"/>
      <c r="WMP34" s="545"/>
      <c r="WMQ34" s="545"/>
      <c r="WMR34" s="545"/>
      <c r="WMS34" s="545"/>
      <c r="WMT34" s="545"/>
      <c r="WMU34" s="545"/>
      <c r="WMV34" s="545"/>
      <c r="WMW34" s="545"/>
      <c r="WMX34" s="545"/>
      <c r="WMY34" s="545"/>
      <c r="WMZ34" s="545"/>
      <c r="WNA34" s="545"/>
      <c r="WNB34" s="545"/>
      <c r="WNC34" s="545"/>
      <c r="WND34" s="545"/>
      <c r="WNE34" s="545"/>
      <c r="WNF34" s="545"/>
      <c r="WNG34" s="545"/>
      <c r="WNH34" s="545"/>
      <c r="WNI34" s="545"/>
      <c r="WNJ34" s="545"/>
      <c r="WNK34" s="545"/>
      <c r="WNL34" s="545"/>
      <c r="WNM34" s="545"/>
      <c r="WNN34" s="545"/>
      <c r="WNO34" s="545"/>
      <c r="WNP34" s="545"/>
      <c r="WNQ34" s="545"/>
      <c r="WNR34" s="545"/>
      <c r="WNS34" s="545"/>
      <c r="WNT34" s="545"/>
      <c r="WNU34" s="545"/>
      <c r="WNV34" s="545"/>
      <c r="WNW34" s="545"/>
      <c r="WNX34" s="545"/>
      <c r="WNY34" s="545"/>
      <c r="WNZ34" s="545"/>
      <c r="WOA34" s="545"/>
      <c r="WOB34" s="545"/>
      <c r="WOC34" s="545"/>
      <c r="WOD34" s="545"/>
      <c r="WOE34" s="545"/>
      <c r="WOF34" s="545"/>
      <c r="WOG34" s="545"/>
      <c r="WOH34" s="545"/>
      <c r="WOI34" s="545"/>
      <c r="WOJ34" s="545"/>
      <c r="WOK34" s="545"/>
      <c r="WOL34" s="545"/>
      <c r="WOM34" s="545"/>
      <c r="WON34" s="545"/>
      <c r="WOO34" s="545"/>
      <c r="WOP34" s="545"/>
      <c r="WOQ34" s="545"/>
      <c r="WOR34" s="545"/>
      <c r="WOS34" s="545"/>
      <c r="WOT34" s="545"/>
      <c r="WOU34" s="545"/>
      <c r="WOV34" s="545"/>
      <c r="WOW34" s="545"/>
      <c r="WOX34" s="545"/>
      <c r="WOY34" s="545"/>
      <c r="WOZ34" s="545"/>
      <c r="WPA34" s="545"/>
      <c r="WPB34" s="545"/>
      <c r="WPC34" s="545"/>
      <c r="WPD34" s="545"/>
      <c r="WPE34" s="545"/>
      <c r="WPF34" s="545"/>
      <c r="WPG34" s="545"/>
      <c r="WPH34" s="545"/>
      <c r="WPI34" s="545"/>
      <c r="WPJ34" s="545"/>
      <c r="WPK34" s="545"/>
      <c r="WPL34" s="545"/>
      <c r="WPM34" s="545"/>
      <c r="WPN34" s="545"/>
      <c r="WPO34" s="545"/>
      <c r="WPP34" s="545"/>
      <c r="WPQ34" s="545"/>
      <c r="WPR34" s="545"/>
      <c r="WPS34" s="545"/>
      <c r="WPT34" s="545"/>
      <c r="WPU34" s="545"/>
      <c r="WPV34" s="545"/>
      <c r="WPW34" s="545"/>
      <c r="WPX34" s="545"/>
      <c r="WPY34" s="545"/>
      <c r="WPZ34" s="545"/>
      <c r="WQA34" s="545"/>
      <c r="WQB34" s="545"/>
      <c r="WQC34" s="545"/>
      <c r="WQD34" s="545"/>
      <c r="WQE34" s="545"/>
      <c r="WQF34" s="545"/>
      <c r="WQG34" s="545"/>
      <c r="WQH34" s="545"/>
      <c r="WQI34" s="545"/>
      <c r="WQJ34" s="545"/>
      <c r="WQK34" s="545"/>
      <c r="WQL34" s="545"/>
      <c r="WQM34" s="545"/>
      <c r="WQN34" s="545"/>
      <c r="WQO34" s="545"/>
      <c r="WQP34" s="545"/>
      <c r="WQQ34" s="545"/>
      <c r="WQR34" s="545"/>
      <c r="WQS34" s="545"/>
      <c r="WQT34" s="545"/>
      <c r="WQU34" s="545"/>
      <c r="WQV34" s="545"/>
      <c r="WQW34" s="545"/>
      <c r="WQX34" s="545"/>
      <c r="WQY34" s="545"/>
      <c r="WQZ34" s="545"/>
      <c r="WRA34" s="545"/>
      <c r="WRB34" s="545"/>
      <c r="WRC34" s="545"/>
      <c r="WRD34" s="545"/>
      <c r="WRE34" s="545"/>
      <c r="WRF34" s="545"/>
      <c r="WRG34" s="545"/>
      <c r="WRH34" s="545"/>
      <c r="WRI34" s="545"/>
      <c r="WRJ34" s="545"/>
      <c r="WRK34" s="545"/>
      <c r="WRL34" s="545"/>
      <c r="WRM34" s="545"/>
      <c r="WRN34" s="545"/>
      <c r="WRO34" s="545"/>
      <c r="WRP34" s="545"/>
      <c r="WRQ34" s="545"/>
      <c r="WRR34" s="545"/>
      <c r="WRS34" s="545"/>
      <c r="WRT34" s="545"/>
      <c r="WRU34" s="545"/>
      <c r="WRV34" s="545"/>
      <c r="WRW34" s="545"/>
      <c r="WRX34" s="545"/>
      <c r="WRY34" s="545"/>
      <c r="WRZ34" s="545"/>
      <c r="WSA34" s="545"/>
      <c r="WSB34" s="545"/>
      <c r="WSC34" s="545"/>
      <c r="WSD34" s="545"/>
      <c r="WSE34" s="545"/>
      <c r="WSF34" s="545"/>
      <c r="WSG34" s="545"/>
      <c r="WSH34" s="545"/>
      <c r="WSI34" s="545"/>
      <c r="WSJ34" s="545"/>
      <c r="WSK34" s="545"/>
      <c r="WSL34" s="545"/>
      <c r="WSM34" s="545"/>
      <c r="WSN34" s="545"/>
      <c r="WSO34" s="545"/>
      <c r="WSP34" s="545"/>
      <c r="WSQ34" s="545"/>
      <c r="WSR34" s="545"/>
      <c r="WSS34" s="545"/>
      <c r="WST34" s="545"/>
      <c r="WSU34" s="545"/>
      <c r="WSV34" s="545"/>
      <c r="WSW34" s="545"/>
      <c r="WSX34" s="545"/>
      <c r="WSY34" s="545"/>
      <c r="WSZ34" s="545"/>
      <c r="WTA34" s="545"/>
      <c r="WTB34" s="545"/>
      <c r="WTC34" s="545"/>
      <c r="WTD34" s="545"/>
      <c r="WTE34" s="545"/>
      <c r="WTF34" s="545"/>
      <c r="WTG34" s="545"/>
      <c r="WTH34" s="545"/>
      <c r="WTI34" s="545"/>
      <c r="WTJ34" s="545"/>
      <c r="WTK34" s="545"/>
      <c r="WTL34" s="545"/>
      <c r="WTM34" s="545"/>
      <c r="WTN34" s="545"/>
      <c r="WTO34" s="545"/>
      <c r="WTP34" s="545"/>
      <c r="WTQ34" s="545"/>
      <c r="WTR34" s="545"/>
      <c r="WTS34" s="545"/>
      <c r="WTT34" s="545"/>
      <c r="WTU34" s="545"/>
      <c r="WTV34" s="545"/>
      <c r="WTW34" s="545"/>
      <c r="WTX34" s="545"/>
      <c r="WTY34" s="545"/>
      <c r="WTZ34" s="545"/>
      <c r="WUA34" s="545"/>
      <c r="WUB34" s="545"/>
      <c r="WUC34" s="545"/>
      <c r="WUD34" s="545"/>
      <c r="WUE34" s="545"/>
      <c r="WUF34" s="545"/>
      <c r="WUG34" s="545"/>
      <c r="WUH34" s="545"/>
      <c r="WUI34" s="545"/>
      <c r="WUJ34" s="545"/>
      <c r="WUK34" s="545"/>
      <c r="WUL34" s="545"/>
      <c r="WUM34" s="545"/>
      <c r="WUN34" s="545"/>
      <c r="WUO34" s="545"/>
      <c r="WUP34" s="545"/>
      <c r="WUQ34" s="545"/>
      <c r="WUR34" s="545"/>
      <c r="WUS34" s="545"/>
      <c r="WUT34" s="545"/>
      <c r="WUU34" s="545"/>
      <c r="WUV34" s="545"/>
      <c r="WUW34" s="545"/>
      <c r="WUX34" s="545"/>
      <c r="WUY34" s="545"/>
      <c r="WUZ34" s="545"/>
      <c r="WVA34" s="545"/>
      <c r="WVB34" s="545"/>
      <c r="WVC34" s="545"/>
      <c r="WVD34" s="545"/>
      <c r="WVE34" s="545"/>
      <c r="WVF34" s="545"/>
      <c r="WVG34" s="545"/>
      <c r="WVH34" s="545"/>
      <c r="WVI34" s="545"/>
      <c r="WVJ34" s="545"/>
      <c r="WVK34" s="545"/>
      <c r="WVL34" s="545"/>
      <c r="WVM34" s="545"/>
      <c r="WVN34" s="545"/>
      <c r="WVO34" s="545"/>
      <c r="WVP34" s="545"/>
      <c r="WVQ34" s="545"/>
      <c r="WVR34" s="545"/>
      <c r="WVS34" s="545"/>
    </row>
    <row r="35" spans="1:16139" s="546" customFormat="1" ht="45" hidden="1" customHeight="1" outlineLevel="1">
      <c r="A35" s="547"/>
      <c r="B35" s="550" t="s">
        <v>1978</v>
      </c>
      <c r="C35" s="668">
        <f t="shared" si="15"/>
        <v>37133.523101999999</v>
      </c>
      <c r="D35" s="668">
        <v>7224.8099999999995</v>
      </c>
      <c r="E35" s="668">
        <v>1924.6030000000001</v>
      </c>
      <c r="F35" s="1447">
        <v>2000</v>
      </c>
      <c r="G35" s="668">
        <v>4290</v>
      </c>
      <c r="H35" s="668">
        <v>5400</v>
      </c>
      <c r="I35" s="668">
        <v>4600</v>
      </c>
      <c r="J35" s="1328">
        <v>8045.1101019999996</v>
      </c>
      <c r="K35" s="668"/>
      <c r="L35" s="668">
        <v>2000</v>
      </c>
      <c r="M35" s="668">
        <v>1649</v>
      </c>
      <c r="N35" s="1601"/>
      <c r="O35" s="667"/>
      <c r="P35" s="545"/>
      <c r="Q35" s="545"/>
      <c r="R35" s="579"/>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c r="IT35" s="545"/>
      <c r="IU35" s="545"/>
      <c r="IV35" s="545"/>
      <c r="IW35" s="545"/>
      <c r="IX35" s="545"/>
      <c r="IY35" s="545"/>
      <c r="IZ35" s="545"/>
      <c r="JA35" s="545"/>
      <c r="JB35" s="545"/>
      <c r="JC35" s="545"/>
      <c r="JD35" s="545"/>
      <c r="JE35" s="545"/>
      <c r="JF35" s="545"/>
      <c r="JG35" s="545"/>
      <c r="JH35" s="545"/>
      <c r="JI35" s="545"/>
      <c r="JJ35" s="545"/>
      <c r="JK35" s="545"/>
      <c r="JL35" s="545"/>
      <c r="JM35" s="545"/>
      <c r="JN35" s="545"/>
      <c r="JO35" s="545"/>
      <c r="JP35" s="545"/>
      <c r="JQ35" s="545"/>
      <c r="JR35" s="545"/>
      <c r="JS35" s="545"/>
      <c r="JT35" s="545"/>
      <c r="JU35" s="545"/>
      <c r="JV35" s="545"/>
      <c r="JW35" s="545"/>
      <c r="JX35" s="545"/>
      <c r="JY35" s="545"/>
      <c r="JZ35" s="545"/>
      <c r="KA35" s="545"/>
      <c r="KB35" s="545"/>
      <c r="KC35" s="545"/>
      <c r="KD35" s="545"/>
      <c r="KE35" s="545"/>
      <c r="KF35" s="545"/>
      <c r="KG35" s="545"/>
      <c r="KH35" s="545"/>
      <c r="KI35" s="545"/>
      <c r="KJ35" s="545"/>
      <c r="KK35" s="545"/>
      <c r="KL35" s="545"/>
      <c r="KM35" s="545"/>
      <c r="KN35" s="545"/>
      <c r="KO35" s="545"/>
      <c r="KP35" s="545"/>
      <c r="KQ35" s="545"/>
      <c r="KR35" s="545"/>
      <c r="KS35" s="545"/>
      <c r="KT35" s="545"/>
      <c r="KU35" s="545"/>
      <c r="KV35" s="545"/>
      <c r="KW35" s="545"/>
      <c r="KX35" s="545"/>
      <c r="KY35" s="545"/>
      <c r="KZ35" s="545"/>
      <c r="LA35" s="545"/>
      <c r="LB35" s="545"/>
      <c r="LC35" s="545"/>
      <c r="LD35" s="545"/>
      <c r="LE35" s="545"/>
      <c r="LF35" s="545"/>
      <c r="LG35" s="545"/>
      <c r="LH35" s="545"/>
      <c r="LI35" s="545"/>
      <c r="LJ35" s="545"/>
      <c r="LK35" s="545"/>
      <c r="LL35" s="545"/>
      <c r="LM35" s="545"/>
      <c r="LN35" s="545"/>
      <c r="LO35" s="545"/>
      <c r="LP35" s="545"/>
      <c r="LQ35" s="545"/>
      <c r="LR35" s="545"/>
      <c r="LS35" s="545"/>
      <c r="LT35" s="545"/>
      <c r="LU35" s="545"/>
      <c r="LV35" s="545"/>
      <c r="LW35" s="545"/>
      <c r="LX35" s="545"/>
      <c r="LY35" s="545"/>
      <c r="LZ35" s="545"/>
      <c r="MA35" s="545"/>
      <c r="MB35" s="545"/>
      <c r="MC35" s="545"/>
      <c r="MD35" s="545"/>
      <c r="ME35" s="545"/>
      <c r="MF35" s="545"/>
      <c r="MG35" s="545"/>
      <c r="MH35" s="545"/>
      <c r="MI35" s="545"/>
      <c r="MJ35" s="545"/>
      <c r="MK35" s="545"/>
      <c r="ML35" s="545"/>
      <c r="MM35" s="545"/>
      <c r="MN35" s="545"/>
      <c r="MO35" s="545"/>
      <c r="MP35" s="545"/>
      <c r="MQ35" s="545"/>
      <c r="MR35" s="545"/>
      <c r="MS35" s="545"/>
      <c r="MT35" s="545"/>
      <c r="MU35" s="545"/>
      <c r="MV35" s="545"/>
      <c r="MW35" s="545"/>
      <c r="MX35" s="545"/>
      <c r="MY35" s="545"/>
      <c r="MZ35" s="545"/>
      <c r="NA35" s="545"/>
      <c r="NB35" s="545"/>
      <c r="NC35" s="545"/>
      <c r="ND35" s="545"/>
      <c r="NE35" s="545"/>
      <c r="NF35" s="545"/>
      <c r="NG35" s="545"/>
      <c r="NH35" s="545"/>
      <c r="NI35" s="545"/>
      <c r="NJ35" s="545"/>
      <c r="NK35" s="545"/>
      <c r="NL35" s="545"/>
      <c r="NM35" s="545"/>
      <c r="NN35" s="545"/>
      <c r="NO35" s="545"/>
      <c r="NP35" s="545"/>
      <c r="NQ35" s="545"/>
      <c r="NR35" s="545"/>
      <c r="NS35" s="545"/>
      <c r="NT35" s="545"/>
      <c r="NU35" s="545"/>
      <c r="NV35" s="545"/>
      <c r="NW35" s="545"/>
      <c r="NX35" s="545"/>
      <c r="NY35" s="545"/>
      <c r="NZ35" s="545"/>
      <c r="OA35" s="545"/>
      <c r="OB35" s="545"/>
      <c r="OC35" s="545"/>
      <c r="OD35" s="545"/>
      <c r="OE35" s="545"/>
      <c r="OF35" s="545"/>
      <c r="OG35" s="545"/>
      <c r="OH35" s="545"/>
      <c r="OI35" s="545"/>
      <c r="OJ35" s="545"/>
      <c r="OK35" s="545"/>
      <c r="OL35" s="545"/>
      <c r="OM35" s="545"/>
      <c r="ON35" s="545"/>
      <c r="OO35" s="545"/>
      <c r="OP35" s="545"/>
      <c r="OQ35" s="545"/>
      <c r="OR35" s="545"/>
      <c r="OS35" s="545"/>
      <c r="OT35" s="545"/>
      <c r="OU35" s="545"/>
      <c r="OV35" s="545"/>
      <c r="OW35" s="545"/>
      <c r="OX35" s="545"/>
      <c r="OY35" s="545"/>
      <c r="OZ35" s="545"/>
      <c r="PA35" s="545"/>
      <c r="PB35" s="545"/>
      <c r="PC35" s="545"/>
      <c r="PD35" s="545"/>
      <c r="PE35" s="545"/>
      <c r="PF35" s="545"/>
      <c r="PG35" s="545"/>
      <c r="PH35" s="545"/>
      <c r="PI35" s="545"/>
      <c r="PJ35" s="545"/>
      <c r="PK35" s="545"/>
      <c r="PL35" s="545"/>
      <c r="PM35" s="545"/>
      <c r="PN35" s="545"/>
      <c r="PO35" s="545"/>
      <c r="PP35" s="545"/>
      <c r="PQ35" s="545"/>
      <c r="PR35" s="545"/>
      <c r="PS35" s="545"/>
      <c r="PT35" s="545"/>
      <c r="PU35" s="545"/>
      <c r="PV35" s="545"/>
      <c r="PW35" s="545"/>
      <c r="PX35" s="545"/>
      <c r="PY35" s="545"/>
      <c r="PZ35" s="545"/>
      <c r="QA35" s="545"/>
      <c r="QB35" s="545"/>
      <c r="QC35" s="545"/>
      <c r="QD35" s="545"/>
      <c r="QE35" s="545"/>
      <c r="QF35" s="545"/>
      <c r="QG35" s="545"/>
      <c r="QH35" s="545"/>
      <c r="QI35" s="545"/>
      <c r="QJ35" s="545"/>
      <c r="QK35" s="545"/>
      <c r="QL35" s="545"/>
      <c r="QM35" s="545"/>
      <c r="QN35" s="545"/>
      <c r="QO35" s="545"/>
      <c r="QP35" s="545"/>
      <c r="QQ35" s="545"/>
      <c r="QR35" s="545"/>
      <c r="QS35" s="545"/>
      <c r="QT35" s="545"/>
      <c r="QU35" s="545"/>
      <c r="QV35" s="545"/>
      <c r="QW35" s="545"/>
      <c r="QX35" s="545"/>
      <c r="QY35" s="545"/>
      <c r="QZ35" s="545"/>
      <c r="RA35" s="545"/>
      <c r="RB35" s="545"/>
      <c r="RC35" s="545"/>
      <c r="RD35" s="545"/>
      <c r="RE35" s="545"/>
      <c r="RF35" s="545"/>
      <c r="RG35" s="545"/>
      <c r="RH35" s="545"/>
      <c r="RI35" s="545"/>
      <c r="RJ35" s="545"/>
      <c r="RK35" s="545"/>
      <c r="RL35" s="545"/>
      <c r="RM35" s="545"/>
      <c r="RN35" s="545"/>
      <c r="RO35" s="545"/>
      <c r="RP35" s="545"/>
      <c r="RQ35" s="545"/>
      <c r="RR35" s="545"/>
      <c r="RS35" s="545"/>
      <c r="RT35" s="545"/>
      <c r="RU35" s="545"/>
      <c r="RV35" s="545"/>
      <c r="RW35" s="545"/>
      <c r="RX35" s="545"/>
      <c r="RY35" s="545"/>
      <c r="RZ35" s="545"/>
      <c r="SA35" s="545"/>
      <c r="SB35" s="545"/>
      <c r="SC35" s="545"/>
      <c r="SD35" s="545"/>
      <c r="SE35" s="545"/>
      <c r="SF35" s="545"/>
      <c r="SG35" s="545"/>
      <c r="SH35" s="545"/>
      <c r="SI35" s="545"/>
      <c r="SJ35" s="545"/>
      <c r="SK35" s="545"/>
      <c r="SL35" s="545"/>
      <c r="SM35" s="545"/>
      <c r="SN35" s="545"/>
      <c r="SO35" s="545"/>
      <c r="SP35" s="545"/>
      <c r="SQ35" s="545"/>
      <c r="SR35" s="545"/>
      <c r="SS35" s="545"/>
      <c r="ST35" s="545"/>
      <c r="SU35" s="545"/>
      <c r="SV35" s="545"/>
      <c r="SW35" s="545"/>
      <c r="SX35" s="545"/>
      <c r="SY35" s="545"/>
      <c r="SZ35" s="545"/>
      <c r="TA35" s="545"/>
      <c r="TB35" s="545"/>
      <c r="TC35" s="545"/>
      <c r="TD35" s="545"/>
      <c r="TE35" s="545"/>
      <c r="TF35" s="545"/>
      <c r="TG35" s="545"/>
      <c r="TH35" s="545"/>
      <c r="TI35" s="545"/>
      <c r="TJ35" s="545"/>
      <c r="TK35" s="545"/>
      <c r="TL35" s="545"/>
      <c r="TM35" s="545"/>
      <c r="TN35" s="545"/>
      <c r="TO35" s="545"/>
      <c r="TP35" s="545"/>
      <c r="TQ35" s="545"/>
      <c r="TR35" s="545"/>
      <c r="TS35" s="545"/>
      <c r="TT35" s="545"/>
      <c r="TU35" s="545"/>
      <c r="TV35" s="545"/>
      <c r="TW35" s="545"/>
      <c r="TX35" s="545"/>
      <c r="TY35" s="545"/>
      <c r="TZ35" s="545"/>
      <c r="UA35" s="545"/>
      <c r="UB35" s="545"/>
      <c r="UC35" s="545"/>
      <c r="UD35" s="545"/>
      <c r="UE35" s="545"/>
      <c r="UF35" s="545"/>
      <c r="UG35" s="545"/>
      <c r="UH35" s="545"/>
      <c r="UI35" s="545"/>
      <c r="UJ35" s="545"/>
      <c r="UK35" s="545"/>
      <c r="UL35" s="545"/>
      <c r="UM35" s="545"/>
      <c r="UN35" s="545"/>
      <c r="UO35" s="545"/>
      <c r="UP35" s="545"/>
      <c r="UQ35" s="545"/>
      <c r="UR35" s="545"/>
      <c r="US35" s="545"/>
      <c r="UT35" s="545"/>
      <c r="UU35" s="545"/>
      <c r="UV35" s="545"/>
      <c r="UW35" s="545"/>
      <c r="UX35" s="545"/>
      <c r="UY35" s="545"/>
      <c r="UZ35" s="545"/>
      <c r="VA35" s="545"/>
      <c r="VB35" s="545"/>
      <c r="VC35" s="545"/>
      <c r="VD35" s="545"/>
      <c r="VE35" s="545"/>
      <c r="VF35" s="545"/>
      <c r="VG35" s="545"/>
      <c r="VH35" s="545"/>
      <c r="VI35" s="545"/>
      <c r="VJ35" s="545"/>
      <c r="VK35" s="545"/>
      <c r="VL35" s="545"/>
      <c r="VM35" s="545"/>
      <c r="VN35" s="545"/>
      <c r="VO35" s="545"/>
      <c r="VP35" s="545"/>
      <c r="VQ35" s="545"/>
      <c r="VR35" s="545"/>
      <c r="VS35" s="545"/>
      <c r="VT35" s="545"/>
      <c r="VU35" s="545"/>
      <c r="VV35" s="545"/>
      <c r="VW35" s="545"/>
      <c r="VX35" s="545"/>
      <c r="VY35" s="545"/>
      <c r="VZ35" s="545"/>
      <c r="WA35" s="545"/>
      <c r="WB35" s="545"/>
      <c r="WC35" s="545"/>
      <c r="WD35" s="545"/>
      <c r="WE35" s="545"/>
      <c r="WF35" s="545"/>
      <c r="WG35" s="545"/>
      <c r="WH35" s="545"/>
      <c r="WI35" s="545"/>
      <c r="WJ35" s="545"/>
      <c r="WK35" s="545"/>
      <c r="WL35" s="545"/>
      <c r="WM35" s="545"/>
      <c r="WN35" s="545"/>
      <c r="WO35" s="545"/>
      <c r="WP35" s="545"/>
      <c r="WQ35" s="545"/>
      <c r="WR35" s="545"/>
      <c r="WS35" s="545"/>
      <c r="WT35" s="545"/>
      <c r="WU35" s="545"/>
      <c r="WV35" s="545"/>
      <c r="WW35" s="545"/>
      <c r="WX35" s="545"/>
      <c r="WY35" s="545"/>
      <c r="WZ35" s="545"/>
      <c r="XA35" s="545"/>
      <c r="XB35" s="545"/>
      <c r="XC35" s="545"/>
      <c r="XD35" s="545"/>
      <c r="XE35" s="545"/>
      <c r="XF35" s="545"/>
      <c r="XG35" s="545"/>
      <c r="XH35" s="545"/>
      <c r="XI35" s="545"/>
      <c r="XJ35" s="545"/>
      <c r="XK35" s="545"/>
      <c r="XL35" s="545"/>
      <c r="XM35" s="545"/>
      <c r="XN35" s="545"/>
      <c r="XO35" s="545"/>
      <c r="XP35" s="545"/>
      <c r="XQ35" s="545"/>
      <c r="XR35" s="545"/>
      <c r="XS35" s="545"/>
      <c r="XT35" s="545"/>
      <c r="XU35" s="545"/>
      <c r="XV35" s="545"/>
      <c r="XW35" s="545"/>
      <c r="XX35" s="545"/>
      <c r="XY35" s="545"/>
      <c r="XZ35" s="545"/>
      <c r="YA35" s="545"/>
      <c r="YB35" s="545"/>
      <c r="YC35" s="545"/>
      <c r="YD35" s="545"/>
      <c r="YE35" s="545"/>
      <c r="YF35" s="545"/>
      <c r="YG35" s="545"/>
      <c r="YH35" s="545"/>
      <c r="YI35" s="545"/>
      <c r="YJ35" s="545"/>
      <c r="YK35" s="545"/>
      <c r="YL35" s="545"/>
      <c r="YM35" s="545"/>
      <c r="YN35" s="545"/>
      <c r="YO35" s="545"/>
      <c r="YP35" s="545"/>
      <c r="YQ35" s="545"/>
      <c r="YR35" s="545"/>
      <c r="YS35" s="545"/>
      <c r="YT35" s="545"/>
      <c r="YU35" s="545"/>
      <c r="YV35" s="545"/>
      <c r="YW35" s="545"/>
      <c r="YX35" s="545"/>
      <c r="YY35" s="545"/>
      <c r="YZ35" s="545"/>
      <c r="ZA35" s="545"/>
      <c r="ZB35" s="545"/>
      <c r="ZC35" s="545"/>
      <c r="ZD35" s="545"/>
      <c r="ZE35" s="545"/>
      <c r="ZF35" s="545"/>
      <c r="ZG35" s="545"/>
      <c r="ZH35" s="545"/>
      <c r="ZI35" s="545"/>
      <c r="ZJ35" s="545"/>
      <c r="ZK35" s="545"/>
      <c r="ZL35" s="545"/>
      <c r="ZM35" s="545"/>
      <c r="ZN35" s="545"/>
      <c r="ZO35" s="545"/>
      <c r="ZP35" s="545"/>
      <c r="ZQ35" s="545"/>
      <c r="ZR35" s="545"/>
      <c r="ZS35" s="545"/>
      <c r="ZT35" s="545"/>
      <c r="ZU35" s="545"/>
      <c r="ZV35" s="545"/>
      <c r="ZW35" s="545"/>
      <c r="ZX35" s="545"/>
      <c r="ZY35" s="545"/>
      <c r="ZZ35" s="545"/>
      <c r="AAA35" s="545"/>
      <c r="AAB35" s="545"/>
      <c r="AAC35" s="545"/>
      <c r="AAD35" s="545"/>
      <c r="AAE35" s="545"/>
      <c r="AAF35" s="545"/>
      <c r="AAG35" s="545"/>
      <c r="AAH35" s="545"/>
      <c r="AAI35" s="545"/>
      <c r="AAJ35" s="545"/>
      <c r="AAK35" s="545"/>
      <c r="AAL35" s="545"/>
      <c r="AAM35" s="545"/>
      <c r="AAN35" s="545"/>
      <c r="AAO35" s="545"/>
      <c r="AAP35" s="545"/>
      <c r="AAQ35" s="545"/>
      <c r="AAR35" s="545"/>
      <c r="AAS35" s="545"/>
      <c r="AAT35" s="545"/>
      <c r="AAU35" s="545"/>
      <c r="AAV35" s="545"/>
      <c r="AAW35" s="545"/>
      <c r="AAX35" s="545"/>
      <c r="AAY35" s="545"/>
      <c r="AAZ35" s="545"/>
      <c r="ABA35" s="545"/>
      <c r="ABB35" s="545"/>
      <c r="ABC35" s="545"/>
      <c r="ABD35" s="545"/>
      <c r="ABE35" s="545"/>
      <c r="ABF35" s="545"/>
      <c r="ABG35" s="545"/>
      <c r="ABH35" s="545"/>
      <c r="ABI35" s="545"/>
      <c r="ABJ35" s="545"/>
      <c r="ABK35" s="545"/>
      <c r="ABL35" s="545"/>
      <c r="ABM35" s="545"/>
      <c r="ABN35" s="545"/>
      <c r="ABO35" s="545"/>
      <c r="ABP35" s="545"/>
      <c r="ABQ35" s="545"/>
      <c r="ABR35" s="545"/>
      <c r="ABS35" s="545"/>
      <c r="ABT35" s="545"/>
      <c r="ABU35" s="545"/>
      <c r="ABV35" s="545"/>
      <c r="ABW35" s="545"/>
      <c r="ABX35" s="545"/>
      <c r="ABY35" s="545"/>
      <c r="ABZ35" s="545"/>
      <c r="ACA35" s="545"/>
      <c r="ACB35" s="545"/>
      <c r="ACC35" s="545"/>
      <c r="ACD35" s="545"/>
      <c r="ACE35" s="545"/>
      <c r="ACF35" s="545"/>
      <c r="ACG35" s="545"/>
      <c r="ACH35" s="545"/>
      <c r="ACI35" s="545"/>
      <c r="ACJ35" s="545"/>
      <c r="ACK35" s="545"/>
      <c r="ACL35" s="545"/>
      <c r="ACM35" s="545"/>
      <c r="ACN35" s="545"/>
      <c r="ACO35" s="545"/>
      <c r="ACP35" s="545"/>
      <c r="ACQ35" s="545"/>
      <c r="ACR35" s="545"/>
      <c r="ACS35" s="545"/>
      <c r="ACT35" s="545"/>
      <c r="ACU35" s="545"/>
      <c r="ACV35" s="545"/>
      <c r="ACW35" s="545"/>
      <c r="ACX35" s="545"/>
      <c r="ACY35" s="545"/>
      <c r="ACZ35" s="545"/>
      <c r="ADA35" s="545"/>
      <c r="ADB35" s="545"/>
      <c r="ADC35" s="545"/>
      <c r="ADD35" s="545"/>
      <c r="ADE35" s="545"/>
      <c r="ADF35" s="545"/>
      <c r="ADG35" s="545"/>
      <c r="ADH35" s="545"/>
      <c r="ADI35" s="545"/>
      <c r="ADJ35" s="545"/>
      <c r="ADK35" s="545"/>
      <c r="ADL35" s="545"/>
      <c r="ADM35" s="545"/>
      <c r="ADN35" s="545"/>
      <c r="ADO35" s="545"/>
      <c r="ADP35" s="545"/>
      <c r="ADQ35" s="545"/>
      <c r="ADR35" s="545"/>
      <c r="ADS35" s="545"/>
      <c r="ADT35" s="545"/>
      <c r="ADU35" s="545"/>
      <c r="ADV35" s="545"/>
      <c r="ADW35" s="545"/>
      <c r="ADX35" s="545"/>
      <c r="ADY35" s="545"/>
      <c r="ADZ35" s="545"/>
      <c r="AEA35" s="545"/>
      <c r="AEB35" s="545"/>
      <c r="AEC35" s="545"/>
      <c r="AED35" s="545"/>
      <c r="AEE35" s="545"/>
      <c r="AEF35" s="545"/>
      <c r="AEG35" s="545"/>
      <c r="AEH35" s="545"/>
      <c r="AEI35" s="545"/>
      <c r="AEJ35" s="545"/>
      <c r="AEK35" s="545"/>
      <c r="AEL35" s="545"/>
      <c r="AEM35" s="545"/>
      <c r="AEN35" s="545"/>
      <c r="AEO35" s="545"/>
      <c r="AEP35" s="545"/>
      <c r="AEQ35" s="545"/>
      <c r="AER35" s="545"/>
      <c r="AES35" s="545"/>
      <c r="AET35" s="545"/>
      <c r="AEU35" s="545"/>
      <c r="AEV35" s="545"/>
      <c r="AEW35" s="545"/>
      <c r="AEX35" s="545"/>
      <c r="AEY35" s="545"/>
      <c r="AEZ35" s="545"/>
      <c r="AFA35" s="545"/>
      <c r="AFB35" s="545"/>
      <c r="AFC35" s="545"/>
      <c r="AFD35" s="545"/>
      <c r="AFE35" s="545"/>
      <c r="AFF35" s="545"/>
      <c r="AFG35" s="545"/>
      <c r="AFH35" s="545"/>
      <c r="AFI35" s="545"/>
      <c r="AFJ35" s="545"/>
      <c r="AFK35" s="545"/>
      <c r="AFL35" s="545"/>
      <c r="AFM35" s="545"/>
      <c r="AFN35" s="545"/>
      <c r="AFO35" s="545"/>
      <c r="AFP35" s="545"/>
      <c r="AFQ35" s="545"/>
      <c r="AFR35" s="545"/>
      <c r="AFS35" s="545"/>
      <c r="AFT35" s="545"/>
      <c r="AFU35" s="545"/>
      <c r="AFV35" s="545"/>
      <c r="AFW35" s="545"/>
      <c r="AFX35" s="545"/>
      <c r="AFY35" s="545"/>
      <c r="AFZ35" s="545"/>
      <c r="AGA35" s="545"/>
      <c r="AGB35" s="545"/>
      <c r="AGC35" s="545"/>
      <c r="AGD35" s="545"/>
      <c r="AGE35" s="545"/>
      <c r="AGF35" s="545"/>
      <c r="AGG35" s="545"/>
      <c r="AGH35" s="545"/>
      <c r="AGI35" s="545"/>
      <c r="AGJ35" s="545"/>
      <c r="AGK35" s="545"/>
      <c r="AGL35" s="545"/>
      <c r="AGM35" s="545"/>
      <c r="AGN35" s="545"/>
      <c r="AGO35" s="545"/>
      <c r="AGP35" s="545"/>
      <c r="AGQ35" s="545"/>
      <c r="AGR35" s="545"/>
      <c r="AGS35" s="545"/>
      <c r="AGT35" s="545"/>
      <c r="AGU35" s="545"/>
      <c r="AGV35" s="545"/>
      <c r="AGW35" s="545"/>
      <c r="AGX35" s="545"/>
      <c r="AGY35" s="545"/>
      <c r="AGZ35" s="545"/>
      <c r="AHA35" s="545"/>
      <c r="AHB35" s="545"/>
      <c r="AHC35" s="545"/>
      <c r="AHD35" s="545"/>
      <c r="AHE35" s="545"/>
      <c r="AHF35" s="545"/>
      <c r="AHG35" s="545"/>
      <c r="AHH35" s="545"/>
      <c r="AHI35" s="545"/>
      <c r="AHJ35" s="545"/>
      <c r="AHK35" s="545"/>
      <c r="AHL35" s="545"/>
      <c r="AHM35" s="545"/>
      <c r="AHN35" s="545"/>
      <c r="AHO35" s="545"/>
      <c r="AHP35" s="545"/>
      <c r="AHQ35" s="545"/>
      <c r="AHR35" s="545"/>
      <c r="AHS35" s="545"/>
      <c r="AHT35" s="545"/>
      <c r="AHU35" s="545"/>
      <c r="AHV35" s="545"/>
      <c r="AHW35" s="545"/>
      <c r="AHX35" s="545"/>
      <c r="AHY35" s="545"/>
      <c r="AHZ35" s="545"/>
      <c r="AIA35" s="545"/>
      <c r="AIB35" s="545"/>
      <c r="AIC35" s="545"/>
      <c r="AID35" s="545"/>
      <c r="AIE35" s="545"/>
      <c r="AIF35" s="545"/>
      <c r="AIG35" s="545"/>
      <c r="AIH35" s="545"/>
      <c r="AII35" s="545"/>
      <c r="AIJ35" s="545"/>
      <c r="AIK35" s="545"/>
      <c r="AIL35" s="545"/>
      <c r="AIM35" s="545"/>
      <c r="AIN35" s="545"/>
      <c r="AIO35" s="545"/>
      <c r="AIP35" s="545"/>
      <c r="AIQ35" s="545"/>
      <c r="AIR35" s="545"/>
      <c r="AIS35" s="545"/>
      <c r="AIT35" s="545"/>
      <c r="AIU35" s="545"/>
      <c r="AIV35" s="545"/>
      <c r="AIW35" s="545"/>
      <c r="AIX35" s="545"/>
      <c r="AIY35" s="545"/>
      <c r="AIZ35" s="545"/>
      <c r="AJA35" s="545"/>
      <c r="AJB35" s="545"/>
      <c r="AJC35" s="545"/>
      <c r="AJD35" s="545"/>
      <c r="AJE35" s="545"/>
      <c r="AJF35" s="545"/>
      <c r="AJG35" s="545"/>
      <c r="AJH35" s="545"/>
      <c r="AJI35" s="545"/>
      <c r="AJJ35" s="545"/>
      <c r="AJK35" s="545"/>
      <c r="AJL35" s="545"/>
      <c r="AJM35" s="545"/>
      <c r="AJN35" s="545"/>
      <c r="AJO35" s="545"/>
      <c r="AJP35" s="545"/>
      <c r="AJQ35" s="545"/>
      <c r="AJR35" s="545"/>
      <c r="AJS35" s="545"/>
      <c r="AJT35" s="545"/>
      <c r="AJU35" s="545"/>
      <c r="AJV35" s="545"/>
      <c r="AJW35" s="545"/>
      <c r="AJX35" s="545"/>
      <c r="AJY35" s="545"/>
      <c r="AJZ35" s="545"/>
      <c r="AKA35" s="545"/>
      <c r="AKB35" s="545"/>
      <c r="AKC35" s="545"/>
      <c r="AKD35" s="545"/>
      <c r="AKE35" s="545"/>
      <c r="AKF35" s="545"/>
      <c r="AKG35" s="545"/>
      <c r="AKH35" s="545"/>
      <c r="AKI35" s="545"/>
      <c r="AKJ35" s="545"/>
      <c r="AKK35" s="545"/>
      <c r="AKL35" s="545"/>
      <c r="AKM35" s="545"/>
      <c r="AKN35" s="545"/>
      <c r="AKO35" s="545"/>
      <c r="AKP35" s="545"/>
      <c r="AKQ35" s="545"/>
      <c r="AKR35" s="545"/>
      <c r="AKS35" s="545"/>
      <c r="AKT35" s="545"/>
      <c r="AKU35" s="545"/>
      <c r="AKV35" s="545"/>
      <c r="AKW35" s="545"/>
      <c r="AKX35" s="545"/>
      <c r="AKY35" s="545"/>
      <c r="AKZ35" s="545"/>
      <c r="ALA35" s="545"/>
      <c r="ALB35" s="545"/>
      <c r="ALC35" s="545"/>
      <c r="ALD35" s="545"/>
      <c r="ALE35" s="545"/>
      <c r="ALF35" s="545"/>
      <c r="ALG35" s="545"/>
      <c r="ALH35" s="545"/>
      <c r="ALI35" s="545"/>
      <c r="ALJ35" s="545"/>
      <c r="ALK35" s="545"/>
      <c r="ALL35" s="545"/>
      <c r="ALM35" s="545"/>
      <c r="ALN35" s="545"/>
      <c r="ALO35" s="545"/>
      <c r="ALP35" s="545"/>
      <c r="ALQ35" s="545"/>
      <c r="ALR35" s="545"/>
      <c r="ALS35" s="545"/>
      <c r="ALT35" s="545"/>
      <c r="ALU35" s="545"/>
      <c r="ALV35" s="545"/>
      <c r="ALW35" s="545"/>
      <c r="ALX35" s="545"/>
      <c r="ALY35" s="545"/>
      <c r="ALZ35" s="545"/>
      <c r="AMA35" s="545"/>
      <c r="AMB35" s="545"/>
      <c r="AMC35" s="545"/>
      <c r="AMD35" s="545"/>
      <c r="AME35" s="545"/>
      <c r="AMF35" s="545"/>
      <c r="AMG35" s="545"/>
      <c r="AMH35" s="545"/>
      <c r="AMI35" s="545"/>
      <c r="AMJ35" s="545"/>
      <c r="AMK35" s="545"/>
      <c r="AML35" s="545"/>
      <c r="AMM35" s="545"/>
      <c r="AMN35" s="545"/>
      <c r="AMO35" s="545"/>
      <c r="AMP35" s="545"/>
      <c r="AMQ35" s="545"/>
      <c r="AMR35" s="545"/>
      <c r="AMS35" s="545"/>
      <c r="AMT35" s="545"/>
      <c r="AMU35" s="545"/>
      <c r="AMV35" s="545"/>
      <c r="AMW35" s="545"/>
      <c r="AMX35" s="545"/>
      <c r="AMY35" s="545"/>
      <c r="AMZ35" s="545"/>
      <c r="ANA35" s="545"/>
      <c r="ANB35" s="545"/>
      <c r="ANC35" s="545"/>
      <c r="AND35" s="545"/>
      <c r="ANE35" s="545"/>
      <c r="ANF35" s="545"/>
      <c r="ANG35" s="545"/>
      <c r="ANH35" s="545"/>
      <c r="ANI35" s="545"/>
      <c r="ANJ35" s="545"/>
      <c r="ANK35" s="545"/>
      <c r="ANL35" s="545"/>
      <c r="ANM35" s="545"/>
      <c r="ANN35" s="545"/>
      <c r="ANO35" s="545"/>
      <c r="ANP35" s="545"/>
      <c r="ANQ35" s="545"/>
      <c r="ANR35" s="545"/>
      <c r="ANS35" s="545"/>
      <c r="ANT35" s="545"/>
      <c r="ANU35" s="545"/>
      <c r="ANV35" s="545"/>
      <c r="ANW35" s="545"/>
      <c r="ANX35" s="545"/>
      <c r="ANY35" s="545"/>
      <c r="ANZ35" s="545"/>
      <c r="AOA35" s="545"/>
      <c r="AOB35" s="545"/>
      <c r="AOC35" s="545"/>
      <c r="AOD35" s="545"/>
      <c r="AOE35" s="545"/>
      <c r="AOF35" s="545"/>
      <c r="AOG35" s="545"/>
      <c r="AOH35" s="545"/>
      <c r="AOI35" s="545"/>
      <c r="AOJ35" s="545"/>
      <c r="AOK35" s="545"/>
      <c r="AOL35" s="545"/>
      <c r="AOM35" s="545"/>
      <c r="AON35" s="545"/>
      <c r="AOO35" s="545"/>
      <c r="AOP35" s="545"/>
      <c r="AOQ35" s="545"/>
      <c r="AOR35" s="545"/>
      <c r="AOS35" s="545"/>
      <c r="AOT35" s="545"/>
      <c r="AOU35" s="545"/>
      <c r="AOV35" s="545"/>
      <c r="AOW35" s="545"/>
      <c r="AOX35" s="545"/>
      <c r="AOY35" s="545"/>
      <c r="AOZ35" s="545"/>
      <c r="APA35" s="545"/>
      <c r="APB35" s="545"/>
      <c r="APC35" s="545"/>
      <c r="APD35" s="545"/>
      <c r="APE35" s="545"/>
      <c r="APF35" s="545"/>
      <c r="APG35" s="545"/>
      <c r="APH35" s="545"/>
      <c r="API35" s="545"/>
      <c r="APJ35" s="545"/>
      <c r="APK35" s="545"/>
      <c r="APL35" s="545"/>
      <c r="APM35" s="545"/>
      <c r="APN35" s="545"/>
      <c r="APO35" s="545"/>
      <c r="APP35" s="545"/>
      <c r="APQ35" s="545"/>
      <c r="APR35" s="545"/>
      <c r="APS35" s="545"/>
      <c r="APT35" s="545"/>
      <c r="APU35" s="545"/>
      <c r="APV35" s="545"/>
      <c r="APW35" s="545"/>
      <c r="APX35" s="545"/>
      <c r="APY35" s="545"/>
      <c r="APZ35" s="545"/>
      <c r="AQA35" s="545"/>
      <c r="AQB35" s="545"/>
      <c r="AQC35" s="545"/>
      <c r="AQD35" s="545"/>
      <c r="AQE35" s="545"/>
      <c r="AQF35" s="545"/>
      <c r="AQG35" s="545"/>
      <c r="AQH35" s="545"/>
      <c r="AQI35" s="545"/>
      <c r="AQJ35" s="545"/>
      <c r="AQK35" s="545"/>
      <c r="AQL35" s="545"/>
      <c r="AQM35" s="545"/>
      <c r="AQN35" s="545"/>
      <c r="AQO35" s="545"/>
      <c r="AQP35" s="545"/>
      <c r="AQQ35" s="545"/>
      <c r="AQR35" s="545"/>
      <c r="AQS35" s="545"/>
      <c r="AQT35" s="545"/>
      <c r="AQU35" s="545"/>
      <c r="AQV35" s="545"/>
      <c r="AQW35" s="545"/>
      <c r="AQX35" s="545"/>
      <c r="AQY35" s="545"/>
      <c r="AQZ35" s="545"/>
      <c r="ARA35" s="545"/>
      <c r="ARB35" s="545"/>
      <c r="ARC35" s="545"/>
      <c r="ARD35" s="545"/>
      <c r="ARE35" s="545"/>
      <c r="ARF35" s="545"/>
      <c r="ARG35" s="545"/>
      <c r="ARH35" s="545"/>
      <c r="ARI35" s="545"/>
      <c r="ARJ35" s="545"/>
      <c r="ARK35" s="545"/>
      <c r="ARL35" s="545"/>
      <c r="ARM35" s="545"/>
      <c r="ARN35" s="545"/>
      <c r="ARO35" s="545"/>
      <c r="ARP35" s="545"/>
      <c r="ARQ35" s="545"/>
      <c r="ARR35" s="545"/>
      <c r="ARS35" s="545"/>
      <c r="ART35" s="545"/>
      <c r="ARU35" s="545"/>
      <c r="ARV35" s="545"/>
      <c r="ARW35" s="545"/>
      <c r="ARX35" s="545"/>
      <c r="ARY35" s="545"/>
      <c r="ARZ35" s="545"/>
      <c r="ASA35" s="545"/>
      <c r="ASB35" s="545"/>
      <c r="ASC35" s="545"/>
      <c r="ASD35" s="545"/>
      <c r="ASE35" s="545"/>
      <c r="ASF35" s="545"/>
      <c r="ASG35" s="545"/>
      <c r="ASH35" s="545"/>
      <c r="ASI35" s="545"/>
      <c r="ASJ35" s="545"/>
      <c r="ASK35" s="545"/>
      <c r="ASL35" s="545"/>
      <c r="ASM35" s="545"/>
      <c r="ASN35" s="545"/>
      <c r="ASO35" s="545"/>
      <c r="ASP35" s="545"/>
      <c r="ASQ35" s="545"/>
      <c r="ASR35" s="545"/>
      <c r="ASS35" s="545"/>
      <c r="AST35" s="545"/>
      <c r="ASU35" s="545"/>
      <c r="ASV35" s="545"/>
      <c r="ASW35" s="545"/>
      <c r="ASX35" s="545"/>
      <c r="ASY35" s="545"/>
      <c r="ASZ35" s="545"/>
      <c r="ATA35" s="545"/>
      <c r="ATB35" s="545"/>
      <c r="ATC35" s="545"/>
      <c r="ATD35" s="545"/>
      <c r="ATE35" s="545"/>
      <c r="ATF35" s="545"/>
      <c r="ATG35" s="545"/>
      <c r="ATH35" s="545"/>
      <c r="ATI35" s="545"/>
      <c r="ATJ35" s="545"/>
      <c r="ATK35" s="545"/>
      <c r="ATL35" s="545"/>
      <c r="ATM35" s="545"/>
      <c r="ATN35" s="545"/>
      <c r="ATO35" s="545"/>
      <c r="ATP35" s="545"/>
      <c r="ATQ35" s="545"/>
      <c r="ATR35" s="545"/>
      <c r="ATS35" s="545"/>
      <c r="ATT35" s="545"/>
      <c r="ATU35" s="545"/>
      <c r="ATV35" s="545"/>
      <c r="ATW35" s="545"/>
      <c r="ATX35" s="545"/>
      <c r="ATY35" s="545"/>
      <c r="ATZ35" s="545"/>
      <c r="AUA35" s="545"/>
      <c r="AUB35" s="545"/>
      <c r="AUC35" s="545"/>
      <c r="AUD35" s="545"/>
      <c r="AUE35" s="545"/>
      <c r="AUF35" s="545"/>
      <c r="AUG35" s="545"/>
      <c r="AUH35" s="545"/>
      <c r="AUI35" s="545"/>
      <c r="AUJ35" s="545"/>
      <c r="AUK35" s="545"/>
      <c r="AUL35" s="545"/>
      <c r="AUM35" s="545"/>
      <c r="AUN35" s="545"/>
      <c r="AUO35" s="545"/>
      <c r="AUP35" s="545"/>
      <c r="AUQ35" s="545"/>
      <c r="AUR35" s="545"/>
      <c r="AUS35" s="545"/>
      <c r="AUT35" s="545"/>
      <c r="AUU35" s="545"/>
      <c r="AUV35" s="545"/>
      <c r="AUW35" s="545"/>
      <c r="AUX35" s="545"/>
      <c r="AUY35" s="545"/>
      <c r="AUZ35" s="545"/>
      <c r="AVA35" s="545"/>
      <c r="AVB35" s="545"/>
      <c r="AVC35" s="545"/>
      <c r="AVD35" s="545"/>
      <c r="AVE35" s="545"/>
      <c r="AVF35" s="545"/>
      <c r="AVG35" s="545"/>
      <c r="AVH35" s="545"/>
      <c r="AVI35" s="545"/>
      <c r="AVJ35" s="545"/>
      <c r="AVK35" s="545"/>
      <c r="AVL35" s="545"/>
      <c r="AVM35" s="545"/>
      <c r="AVN35" s="545"/>
      <c r="AVO35" s="545"/>
      <c r="AVP35" s="545"/>
      <c r="AVQ35" s="545"/>
      <c r="AVR35" s="545"/>
      <c r="AVS35" s="545"/>
      <c r="AVT35" s="545"/>
      <c r="AVU35" s="545"/>
      <c r="AVV35" s="545"/>
      <c r="AVW35" s="545"/>
      <c r="AVX35" s="545"/>
      <c r="AVY35" s="545"/>
      <c r="AVZ35" s="545"/>
      <c r="AWA35" s="545"/>
      <c r="AWB35" s="545"/>
      <c r="AWC35" s="545"/>
      <c r="AWD35" s="545"/>
      <c r="AWE35" s="545"/>
      <c r="AWF35" s="545"/>
      <c r="AWG35" s="545"/>
      <c r="AWH35" s="545"/>
      <c r="AWI35" s="545"/>
      <c r="AWJ35" s="545"/>
      <c r="AWK35" s="545"/>
      <c r="AWL35" s="545"/>
      <c r="AWM35" s="545"/>
      <c r="AWN35" s="545"/>
      <c r="AWO35" s="545"/>
      <c r="AWP35" s="545"/>
      <c r="AWQ35" s="545"/>
      <c r="AWR35" s="545"/>
      <c r="AWS35" s="545"/>
      <c r="AWT35" s="545"/>
      <c r="AWU35" s="545"/>
      <c r="AWV35" s="545"/>
      <c r="AWW35" s="545"/>
      <c r="AWX35" s="545"/>
      <c r="AWY35" s="545"/>
      <c r="AWZ35" s="545"/>
      <c r="AXA35" s="545"/>
      <c r="AXB35" s="545"/>
      <c r="AXC35" s="545"/>
      <c r="AXD35" s="545"/>
      <c r="AXE35" s="545"/>
      <c r="AXF35" s="545"/>
      <c r="AXG35" s="545"/>
      <c r="AXH35" s="545"/>
      <c r="AXI35" s="545"/>
      <c r="AXJ35" s="545"/>
      <c r="AXK35" s="545"/>
      <c r="AXL35" s="545"/>
      <c r="AXM35" s="545"/>
      <c r="AXN35" s="545"/>
      <c r="AXO35" s="545"/>
      <c r="AXP35" s="545"/>
      <c r="AXQ35" s="545"/>
      <c r="AXR35" s="545"/>
      <c r="AXS35" s="545"/>
      <c r="AXT35" s="545"/>
      <c r="AXU35" s="545"/>
      <c r="AXV35" s="545"/>
      <c r="AXW35" s="545"/>
      <c r="AXX35" s="545"/>
      <c r="AXY35" s="545"/>
      <c r="AXZ35" s="545"/>
      <c r="AYA35" s="545"/>
      <c r="AYB35" s="545"/>
      <c r="AYC35" s="545"/>
      <c r="AYD35" s="545"/>
      <c r="AYE35" s="545"/>
      <c r="AYF35" s="545"/>
      <c r="AYG35" s="545"/>
      <c r="AYH35" s="545"/>
      <c r="AYI35" s="545"/>
      <c r="AYJ35" s="545"/>
      <c r="AYK35" s="545"/>
      <c r="AYL35" s="545"/>
      <c r="AYM35" s="545"/>
      <c r="AYN35" s="545"/>
      <c r="AYO35" s="545"/>
      <c r="AYP35" s="545"/>
      <c r="AYQ35" s="545"/>
      <c r="AYR35" s="545"/>
      <c r="AYS35" s="545"/>
      <c r="AYT35" s="545"/>
      <c r="AYU35" s="545"/>
      <c r="AYV35" s="545"/>
      <c r="AYW35" s="545"/>
      <c r="AYX35" s="545"/>
      <c r="AYY35" s="545"/>
      <c r="AYZ35" s="545"/>
      <c r="AZA35" s="545"/>
      <c r="AZB35" s="545"/>
      <c r="AZC35" s="545"/>
      <c r="AZD35" s="545"/>
      <c r="AZE35" s="545"/>
      <c r="AZF35" s="545"/>
      <c r="AZG35" s="545"/>
      <c r="AZH35" s="545"/>
      <c r="AZI35" s="545"/>
      <c r="AZJ35" s="545"/>
      <c r="AZK35" s="545"/>
      <c r="AZL35" s="545"/>
      <c r="AZM35" s="545"/>
      <c r="AZN35" s="545"/>
      <c r="AZO35" s="545"/>
      <c r="AZP35" s="545"/>
      <c r="AZQ35" s="545"/>
      <c r="AZR35" s="545"/>
      <c r="AZS35" s="545"/>
      <c r="AZT35" s="545"/>
      <c r="AZU35" s="545"/>
      <c r="AZV35" s="545"/>
      <c r="AZW35" s="545"/>
      <c r="AZX35" s="545"/>
      <c r="AZY35" s="545"/>
      <c r="AZZ35" s="545"/>
      <c r="BAA35" s="545"/>
      <c r="BAB35" s="545"/>
      <c r="BAC35" s="545"/>
      <c r="BAD35" s="545"/>
      <c r="BAE35" s="545"/>
      <c r="BAF35" s="545"/>
      <c r="BAG35" s="545"/>
      <c r="BAH35" s="545"/>
      <c r="BAI35" s="545"/>
      <c r="BAJ35" s="545"/>
      <c r="BAK35" s="545"/>
      <c r="BAL35" s="545"/>
      <c r="BAM35" s="545"/>
      <c r="BAN35" s="545"/>
      <c r="BAO35" s="545"/>
      <c r="BAP35" s="545"/>
      <c r="BAQ35" s="545"/>
      <c r="BAR35" s="545"/>
      <c r="BAS35" s="545"/>
      <c r="BAT35" s="545"/>
      <c r="BAU35" s="545"/>
      <c r="BAV35" s="545"/>
      <c r="BAW35" s="545"/>
      <c r="BAX35" s="545"/>
      <c r="BAY35" s="545"/>
      <c r="BAZ35" s="545"/>
      <c r="BBA35" s="545"/>
      <c r="BBB35" s="545"/>
      <c r="BBC35" s="545"/>
      <c r="BBD35" s="545"/>
      <c r="BBE35" s="545"/>
      <c r="BBF35" s="545"/>
      <c r="BBG35" s="545"/>
      <c r="BBH35" s="545"/>
      <c r="BBI35" s="545"/>
      <c r="BBJ35" s="545"/>
      <c r="BBK35" s="545"/>
      <c r="BBL35" s="545"/>
      <c r="BBM35" s="545"/>
      <c r="BBN35" s="545"/>
      <c r="BBO35" s="545"/>
      <c r="BBP35" s="545"/>
      <c r="BBQ35" s="545"/>
      <c r="BBR35" s="545"/>
      <c r="BBS35" s="545"/>
      <c r="BBT35" s="545"/>
      <c r="BBU35" s="545"/>
      <c r="BBV35" s="545"/>
      <c r="BBW35" s="545"/>
      <c r="BBX35" s="545"/>
      <c r="BBY35" s="545"/>
      <c r="BBZ35" s="545"/>
      <c r="BCA35" s="545"/>
      <c r="BCB35" s="545"/>
      <c r="BCC35" s="545"/>
      <c r="BCD35" s="545"/>
      <c r="BCE35" s="545"/>
      <c r="BCF35" s="545"/>
      <c r="BCG35" s="545"/>
      <c r="BCH35" s="545"/>
      <c r="BCI35" s="545"/>
      <c r="BCJ35" s="545"/>
      <c r="BCK35" s="545"/>
      <c r="BCL35" s="545"/>
      <c r="BCM35" s="545"/>
      <c r="BCN35" s="545"/>
      <c r="BCO35" s="545"/>
      <c r="BCP35" s="545"/>
      <c r="BCQ35" s="545"/>
      <c r="BCR35" s="545"/>
      <c r="BCS35" s="545"/>
      <c r="BCT35" s="545"/>
      <c r="BCU35" s="545"/>
      <c r="BCV35" s="545"/>
      <c r="BCW35" s="545"/>
      <c r="BCX35" s="545"/>
      <c r="BCY35" s="545"/>
      <c r="BCZ35" s="545"/>
      <c r="BDA35" s="545"/>
      <c r="BDB35" s="545"/>
      <c r="BDC35" s="545"/>
      <c r="BDD35" s="545"/>
      <c r="BDE35" s="545"/>
      <c r="BDF35" s="545"/>
      <c r="BDG35" s="545"/>
      <c r="BDH35" s="545"/>
      <c r="BDI35" s="545"/>
      <c r="BDJ35" s="545"/>
      <c r="BDK35" s="545"/>
      <c r="BDL35" s="545"/>
      <c r="BDM35" s="545"/>
      <c r="BDN35" s="545"/>
      <c r="BDO35" s="545"/>
      <c r="BDP35" s="545"/>
      <c r="BDQ35" s="545"/>
      <c r="BDR35" s="545"/>
      <c r="BDS35" s="545"/>
      <c r="BDT35" s="545"/>
      <c r="BDU35" s="545"/>
      <c r="BDV35" s="545"/>
      <c r="BDW35" s="545"/>
      <c r="BDX35" s="545"/>
      <c r="BDY35" s="545"/>
      <c r="BDZ35" s="545"/>
      <c r="BEA35" s="545"/>
      <c r="BEB35" s="545"/>
      <c r="BEC35" s="545"/>
      <c r="BED35" s="545"/>
      <c r="BEE35" s="545"/>
      <c r="BEF35" s="545"/>
      <c r="BEG35" s="545"/>
      <c r="BEH35" s="545"/>
      <c r="BEI35" s="545"/>
      <c r="BEJ35" s="545"/>
      <c r="BEK35" s="545"/>
      <c r="BEL35" s="545"/>
      <c r="BEM35" s="545"/>
      <c r="BEN35" s="545"/>
      <c r="BEO35" s="545"/>
      <c r="BEP35" s="545"/>
      <c r="BEQ35" s="545"/>
      <c r="BER35" s="545"/>
      <c r="BES35" s="545"/>
      <c r="BET35" s="545"/>
      <c r="BEU35" s="545"/>
      <c r="BEV35" s="545"/>
      <c r="BEW35" s="545"/>
      <c r="BEX35" s="545"/>
      <c r="BEY35" s="545"/>
      <c r="BEZ35" s="545"/>
      <c r="BFA35" s="545"/>
      <c r="BFB35" s="545"/>
      <c r="BFC35" s="545"/>
      <c r="BFD35" s="545"/>
      <c r="BFE35" s="545"/>
      <c r="BFF35" s="545"/>
      <c r="BFG35" s="545"/>
      <c r="BFH35" s="545"/>
      <c r="BFI35" s="545"/>
      <c r="BFJ35" s="545"/>
      <c r="BFK35" s="545"/>
      <c r="BFL35" s="545"/>
      <c r="BFM35" s="545"/>
      <c r="BFN35" s="545"/>
      <c r="BFO35" s="545"/>
      <c r="BFP35" s="545"/>
      <c r="BFQ35" s="545"/>
      <c r="BFR35" s="545"/>
      <c r="BFS35" s="545"/>
      <c r="BFT35" s="545"/>
      <c r="BFU35" s="545"/>
      <c r="BFV35" s="545"/>
      <c r="BFW35" s="545"/>
      <c r="BFX35" s="545"/>
      <c r="BFY35" s="545"/>
      <c r="BFZ35" s="545"/>
      <c r="BGA35" s="545"/>
      <c r="BGB35" s="545"/>
      <c r="BGC35" s="545"/>
      <c r="BGD35" s="545"/>
      <c r="BGE35" s="545"/>
      <c r="BGF35" s="545"/>
      <c r="BGG35" s="545"/>
      <c r="BGH35" s="545"/>
      <c r="BGI35" s="545"/>
      <c r="BGJ35" s="545"/>
      <c r="BGK35" s="545"/>
      <c r="BGL35" s="545"/>
      <c r="BGM35" s="545"/>
      <c r="BGN35" s="545"/>
      <c r="BGO35" s="545"/>
      <c r="BGP35" s="545"/>
      <c r="BGQ35" s="545"/>
      <c r="BGR35" s="545"/>
      <c r="BGS35" s="545"/>
      <c r="BGT35" s="545"/>
      <c r="BGU35" s="545"/>
      <c r="BGV35" s="545"/>
      <c r="BGW35" s="545"/>
      <c r="BGX35" s="545"/>
      <c r="BGY35" s="545"/>
      <c r="BGZ35" s="545"/>
      <c r="BHA35" s="545"/>
      <c r="BHB35" s="545"/>
      <c r="BHC35" s="545"/>
      <c r="BHD35" s="545"/>
      <c r="BHE35" s="545"/>
      <c r="BHF35" s="545"/>
      <c r="BHG35" s="545"/>
      <c r="BHH35" s="545"/>
      <c r="BHI35" s="545"/>
      <c r="BHJ35" s="545"/>
      <c r="BHK35" s="545"/>
      <c r="BHL35" s="545"/>
      <c r="BHM35" s="545"/>
      <c r="BHN35" s="545"/>
      <c r="BHO35" s="545"/>
      <c r="BHP35" s="545"/>
      <c r="BHQ35" s="545"/>
      <c r="BHR35" s="545"/>
      <c r="BHS35" s="545"/>
      <c r="BHT35" s="545"/>
      <c r="BHU35" s="545"/>
      <c r="BHV35" s="545"/>
      <c r="BHW35" s="545"/>
      <c r="BHX35" s="545"/>
      <c r="BHY35" s="545"/>
      <c r="BHZ35" s="545"/>
      <c r="BIA35" s="545"/>
      <c r="BIB35" s="545"/>
      <c r="BIC35" s="545"/>
      <c r="BID35" s="545"/>
      <c r="BIE35" s="545"/>
      <c r="BIF35" s="545"/>
      <c r="BIG35" s="545"/>
      <c r="BIH35" s="545"/>
      <c r="BII35" s="545"/>
      <c r="BIJ35" s="545"/>
      <c r="BIK35" s="545"/>
      <c r="BIL35" s="545"/>
      <c r="BIM35" s="545"/>
      <c r="BIN35" s="545"/>
      <c r="BIO35" s="545"/>
      <c r="BIP35" s="545"/>
      <c r="BIQ35" s="545"/>
      <c r="BIR35" s="545"/>
      <c r="BIS35" s="545"/>
      <c r="BIT35" s="545"/>
      <c r="BIU35" s="545"/>
      <c r="BIV35" s="545"/>
      <c r="BIW35" s="545"/>
      <c r="BIX35" s="545"/>
      <c r="BIY35" s="545"/>
      <c r="BIZ35" s="545"/>
      <c r="BJA35" s="545"/>
      <c r="BJB35" s="545"/>
      <c r="BJC35" s="545"/>
      <c r="BJD35" s="545"/>
      <c r="BJE35" s="545"/>
      <c r="BJF35" s="545"/>
      <c r="BJG35" s="545"/>
      <c r="BJH35" s="545"/>
      <c r="BJI35" s="545"/>
      <c r="BJJ35" s="545"/>
      <c r="BJK35" s="545"/>
      <c r="BJL35" s="545"/>
      <c r="BJM35" s="545"/>
      <c r="BJN35" s="545"/>
      <c r="BJO35" s="545"/>
      <c r="BJP35" s="545"/>
      <c r="BJQ35" s="545"/>
      <c r="BJR35" s="545"/>
      <c r="BJS35" s="545"/>
      <c r="BJT35" s="545"/>
      <c r="BJU35" s="545"/>
      <c r="BJV35" s="545"/>
      <c r="BJW35" s="545"/>
      <c r="BJX35" s="545"/>
      <c r="BJY35" s="545"/>
      <c r="BJZ35" s="545"/>
      <c r="BKA35" s="545"/>
      <c r="BKB35" s="545"/>
      <c r="BKC35" s="545"/>
      <c r="BKD35" s="545"/>
      <c r="BKE35" s="545"/>
      <c r="BKF35" s="545"/>
      <c r="BKG35" s="545"/>
      <c r="BKH35" s="545"/>
      <c r="BKI35" s="545"/>
      <c r="BKJ35" s="545"/>
      <c r="BKK35" s="545"/>
      <c r="BKL35" s="545"/>
      <c r="BKM35" s="545"/>
      <c r="BKN35" s="545"/>
      <c r="BKO35" s="545"/>
      <c r="BKP35" s="545"/>
      <c r="BKQ35" s="545"/>
      <c r="BKR35" s="545"/>
      <c r="BKS35" s="545"/>
      <c r="BKT35" s="545"/>
      <c r="BKU35" s="545"/>
      <c r="BKV35" s="545"/>
      <c r="BKW35" s="545"/>
      <c r="BKX35" s="545"/>
      <c r="BKY35" s="545"/>
      <c r="BKZ35" s="545"/>
      <c r="BLA35" s="545"/>
      <c r="BLB35" s="545"/>
      <c r="BLC35" s="545"/>
      <c r="BLD35" s="545"/>
      <c r="BLE35" s="545"/>
      <c r="BLF35" s="545"/>
      <c r="BLG35" s="545"/>
      <c r="BLH35" s="545"/>
      <c r="BLI35" s="545"/>
      <c r="BLJ35" s="545"/>
      <c r="BLK35" s="545"/>
      <c r="BLL35" s="545"/>
      <c r="BLM35" s="545"/>
      <c r="BLN35" s="545"/>
      <c r="BLO35" s="545"/>
      <c r="BLP35" s="545"/>
      <c r="BLQ35" s="545"/>
      <c r="BLR35" s="545"/>
      <c r="BLS35" s="545"/>
      <c r="BLT35" s="545"/>
      <c r="BLU35" s="545"/>
      <c r="BLV35" s="545"/>
      <c r="BLW35" s="545"/>
      <c r="BLX35" s="545"/>
      <c r="BLY35" s="545"/>
      <c r="BLZ35" s="545"/>
      <c r="BMA35" s="545"/>
      <c r="BMB35" s="545"/>
      <c r="BMC35" s="545"/>
      <c r="BMD35" s="545"/>
      <c r="BME35" s="545"/>
      <c r="BMF35" s="545"/>
      <c r="BMG35" s="545"/>
      <c r="BMH35" s="545"/>
      <c r="BMI35" s="545"/>
      <c r="BMJ35" s="545"/>
      <c r="BMK35" s="545"/>
      <c r="BML35" s="545"/>
      <c r="BMM35" s="545"/>
      <c r="BMN35" s="545"/>
      <c r="BMO35" s="545"/>
      <c r="BMP35" s="545"/>
      <c r="BMQ35" s="545"/>
      <c r="BMR35" s="545"/>
      <c r="BMS35" s="545"/>
      <c r="BMT35" s="545"/>
      <c r="BMU35" s="545"/>
      <c r="BMV35" s="545"/>
      <c r="BMW35" s="545"/>
      <c r="BMX35" s="545"/>
      <c r="BMY35" s="545"/>
      <c r="BMZ35" s="545"/>
      <c r="BNA35" s="545"/>
      <c r="BNB35" s="545"/>
      <c r="BNC35" s="545"/>
      <c r="BND35" s="545"/>
      <c r="BNE35" s="545"/>
      <c r="BNF35" s="545"/>
      <c r="BNG35" s="545"/>
      <c r="BNH35" s="545"/>
      <c r="BNI35" s="545"/>
      <c r="BNJ35" s="545"/>
      <c r="BNK35" s="545"/>
      <c r="BNL35" s="545"/>
      <c r="BNM35" s="545"/>
      <c r="BNN35" s="545"/>
      <c r="BNO35" s="545"/>
      <c r="BNP35" s="545"/>
      <c r="BNQ35" s="545"/>
      <c r="BNR35" s="545"/>
      <c r="BNS35" s="545"/>
      <c r="BNT35" s="545"/>
      <c r="BNU35" s="545"/>
      <c r="BNV35" s="545"/>
      <c r="BNW35" s="545"/>
      <c r="BNX35" s="545"/>
      <c r="BNY35" s="545"/>
      <c r="BNZ35" s="545"/>
      <c r="BOA35" s="545"/>
      <c r="BOB35" s="545"/>
      <c r="BOC35" s="545"/>
      <c r="BOD35" s="545"/>
      <c r="BOE35" s="545"/>
      <c r="BOF35" s="545"/>
      <c r="BOG35" s="545"/>
      <c r="BOH35" s="545"/>
      <c r="BOI35" s="545"/>
      <c r="BOJ35" s="545"/>
      <c r="BOK35" s="545"/>
      <c r="BOL35" s="545"/>
      <c r="BOM35" s="545"/>
      <c r="BON35" s="545"/>
      <c r="BOO35" s="545"/>
      <c r="BOP35" s="545"/>
      <c r="BOQ35" s="545"/>
      <c r="BOR35" s="545"/>
      <c r="BOS35" s="545"/>
      <c r="BOT35" s="545"/>
      <c r="BOU35" s="545"/>
      <c r="BOV35" s="545"/>
      <c r="BOW35" s="545"/>
      <c r="BOX35" s="545"/>
      <c r="BOY35" s="545"/>
      <c r="BOZ35" s="545"/>
      <c r="BPA35" s="545"/>
      <c r="BPB35" s="545"/>
      <c r="BPC35" s="545"/>
      <c r="BPD35" s="545"/>
      <c r="BPE35" s="545"/>
      <c r="BPF35" s="545"/>
      <c r="BPG35" s="545"/>
      <c r="BPH35" s="545"/>
      <c r="BPI35" s="545"/>
      <c r="BPJ35" s="545"/>
      <c r="BPK35" s="545"/>
      <c r="BPL35" s="545"/>
      <c r="BPM35" s="545"/>
      <c r="BPN35" s="545"/>
      <c r="BPO35" s="545"/>
      <c r="BPP35" s="545"/>
      <c r="BPQ35" s="545"/>
      <c r="BPR35" s="545"/>
      <c r="BPS35" s="545"/>
      <c r="BPT35" s="545"/>
      <c r="BPU35" s="545"/>
      <c r="BPV35" s="545"/>
      <c r="BPW35" s="545"/>
      <c r="BPX35" s="545"/>
      <c r="BPY35" s="545"/>
      <c r="BPZ35" s="545"/>
      <c r="BQA35" s="545"/>
      <c r="BQB35" s="545"/>
      <c r="BQC35" s="545"/>
      <c r="BQD35" s="545"/>
      <c r="BQE35" s="545"/>
      <c r="BQF35" s="545"/>
      <c r="BQG35" s="545"/>
      <c r="BQH35" s="545"/>
      <c r="BQI35" s="545"/>
      <c r="BQJ35" s="545"/>
      <c r="BQK35" s="545"/>
      <c r="BQL35" s="545"/>
      <c r="BQM35" s="545"/>
      <c r="BQN35" s="545"/>
      <c r="BQO35" s="545"/>
      <c r="BQP35" s="545"/>
      <c r="BQQ35" s="545"/>
      <c r="BQR35" s="545"/>
      <c r="BQS35" s="545"/>
      <c r="BQT35" s="545"/>
      <c r="BQU35" s="545"/>
      <c r="BQV35" s="545"/>
      <c r="BQW35" s="545"/>
      <c r="BQX35" s="545"/>
      <c r="BQY35" s="545"/>
      <c r="BQZ35" s="545"/>
      <c r="BRA35" s="545"/>
      <c r="BRB35" s="545"/>
      <c r="BRC35" s="545"/>
      <c r="BRD35" s="545"/>
      <c r="BRE35" s="545"/>
      <c r="BRF35" s="545"/>
      <c r="BRG35" s="545"/>
      <c r="BRH35" s="545"/>
      <c r="BRI35" s="545"/>
      <c r="BRJ35" s="545"/>
      <c r="BRK35" s="545"/>
      <c r="BRL35" s="545"/>
      <c r="BRM35" s="545"/>
      <c r="BRN35" s="545"/>
      <c r="BRO35" s="545"/>
      <c r="BRP35" s="545"/>
      <c r="BRQ35" s="545"/>
      <c r="BRR35" s="545"/>
      <c r="BRS35" s="545"/>
      <c r="BRT35" s="545"/>
      <c r="BRU35" s="545"/>
      <c r="BRV35" s="545"/>
      <c r="BRW35" s="545"/>
      <c r="BRX35" s="545"/>
      <c r="BRY35" s="545"/>
      <c r="BRZ35" s="545"/>
      <c r="BSA35" s="545"/>
      <c r="BSB35" s="545"/>
      <c r="BSC35" s="545"/>
      <c r="BSD35" s="545"/>
      <c r="BSE35" s="545"/>
      <c r="BSF35" s="545"/>
      <c r="BSG35" s="545"/>
      <c r="BSH35" s="545"/>
      <c r="BSI35" s="545"/>
      <c r="BSJ35" s="545"/>
      <c r="BSK35" s="545"/>
      <c r="BSL35" s="545"/>
      <c r="BSM35" s="545"/>
      <c r="BSN35" s="545"/>
      <c r="BSO35" s="545"/>
      <c r="BSP35" s="545"/>
      <c r="BSQ35" s="545"/>
      <c r="BSR35" s="545"/>
      <c r="BSS35" s="545"/>
      <c r="BST35" s="545"/>
      <c r="BSU35" s="545"/>
      <c r="BSV35" s="545"/>
      <c r="BSW35" s="545"/>
      <c r="BSX35" s="545"/>
      <c r="BSY35" s="545"/>
      <c r="BSZ35" s="545"/>
      <c r="BTA35" s="545"/>
      <c r="BTB35" s="545"/>
      <c r="BTC35" s="545"/>
      <c r="BTD35" s="545"/>
      <c r="BTE35" s="545"/>
      <c r="BTF35" s="545"/>
      <c r="BTG35" s="545"/>
      <c r="BTH35" s="545"/>
      <c r="BTI35" s="545"/>
      <c r="BTJ35" s="545"/>
      <c r="BTK35" s="545"/>
      <c r="BTL35" s="545"/>
      <c r="BTM35" s="545"/>
      <c r="BTN35" s="545"/>
      <c r="BTO35" s="545"/>
      <c r="BTP35" s="545"/>
      <c r="BTQ35" s="545"/>
      <c r="BTR35" s="545"/>
      <c r="BTS35" s="545"/>
      <c r="BTT35" s="545"/>
      <c r="BTU35" s="545"/>
      <c r="BTV35" s="545"/>
      <c r="BTW35" s="545"/>
      <c r="BTX35" s="545"/>
      <c r="BTY35" s="545"/>
      <c r="BTZ35" s="545"/>
      <c r="BUA35" s="545"/>
      <c r="BUB35" s="545"/>
      <c r="BUC35" s="545"/>
      <c r="BUD35" s="545"/>
      <c r="BUE35" s="545"/>
      <c r="BUF35" s="545"/>
      <c r="BUG35" s="545"/>
      <c r="BUH35" s="545"/>
      <c r="BUI35" s="545"/>
      <c r="BUJ35" s="545"/>
      <c r="BUK35" s="545"/>
      <c r="BUL35" s="545"/>
      <c r="BUM35" s="545"/>
      <c r="BUN35" s="545"/>
      <c r="BUO35" s="545"/>
      <c r="BUP35" s="545"/>
      <c r="BUQ35" s="545"/>
      <c r="BUR35" s="545"/>
      <c r="BUS35" s="545"/>
      <c r="BUT35" s="545"/>
      <c r="BUU35" s="545"/>
      <c r="BUV35" s="545"/>
      <c r="BUW35" s="545"/>
      <c r="BUX35" s="545"/>
      <c r="BUY35" s="545"/>
      <c r="BUZ35" s="545"/>
      <c r="BVA35" s="545"/>
      <c r="BVB35" s="545"/>
      <c r="BVC35" s="545"/>
      <c r="BVD35" s="545"/>
      <c r="BVE35" s="545"/>
      <c r="BVF35" s="545"/>
      <c r="BVG35" s="545"/>
      <c r="BVH35" s="545"/>
      <c r="BVI35" s="545"/>
      <c r="BVJ35" s="545"/>
      <c r="BVK35" s="545"/>
      <c r="BVL35" s="545"/>
      <c r="BVM35" s="545"/>
      <c r="BVN35" s="545"/>
      <c r="BVO35" s="545"/>
      <c r="BVP35" s="545"/>
      <c r="BVQ35" s="545"/>
      <c r="BVR35" s="545"/>
      <c r="BVS35" s="545"/>
      <c r="BVT35" s="545"/>
      <c r="BVU35" s="545"/>
      <c r="BVV35" s="545"/>
      <c r="BVW35" s="545"/>
      <c r="BVX35" s="545"/>
      <c r="BVY35" s="545"/>
      <c r="BVZ35" s="545"/>
      <c r="BWA35" s="545"/>
      <c r="BWB35" s="545"/>
      <c r="BWC35" s="545"/>
      <c r="BWD35" s="545"/>
      <c r="BWE35" s="545"/>
      <c r="BWF35" s="545"/>
      <c r="BWG35" s="545"/>
      <c r="BWH35" s="545"/>
      <c r="BWI35" s="545"/>
      <c r="BWJ35" s="545"/>
      <c r="BWK35" s="545"/>
      <c r="BWL35" s="545"/>
      <c r="BWM35" s="545"/>
      <c r="BWN35" s="545"/>
      <c r="BWO35" s="545"/>
      <c r="BWP35" s="545"/>
      <c r="BWQ35" s="545"/>
      <c r="BWR35" s="545"/>
      <c r="BWS35" s="545"/>
      <c r="BWT35" s="545"/>
      <c r="BWU35" s="545"/>
      <c r="BWV35" s="545"/>
      <c r="BWW35" s="545"/>
      <c r="BWX35" s="545"/>
      <c r="BWY35" s="545"/>
      <c r="BWZ35" s="545"/>
      <c r="BXA35" s="545"/>
      <c r="BXB35" s="545"/>
      <c r="BXC35" s="545"/>
      <c r="BXD35" s="545"/>
      <c r="BXE35" s="545"/>
      <c r="BXF35" s="545"/>
      <c r="BXG35" s="545"/>
      <c r="BXH35" s="545"/>
      <c r="BXI35" s="545"/>
      <c r="BXJ35" s="545"/>
      <c r="BXK35" s="545"/>
      <c r="BXL35" s="545"/>
      <c r="BXM35" s="545"/>
      <c r="BXN35" s="545"/>
      <c r="BXO35" s="545"/>
      <c r="BXP35" s="545"/>
      <c r="BXQ35" s="545"/>
      <c r="BXR35" s="545"/>
      <c r="BXS35" s="545"/>
      <c r="BXT35" s="545"/>
      <c r="BXU35" s="545"/>
      <c r="BXV35" s="545"/>
      <c r="BXW35" s="545"/>
      <c r="BXX35" s="545"/>
      <c r="BXY35" s="545"/>
      <c r="BXZ35" s="545"/>
      <c r="BYA35" s="545"/>
      <c r="BYB35" s="545"/>
      <c r="BYC35" s="545"/>
      <c r="BYD35" s="545"/>
      <c r="BYE35" s="545"/>
      <c r="BYF35" s="545"/>
      <c r="BYG35" s="545"/>
      <c r="BYH35" s="545"/>
      <c r="BYI35" s="545"/>
      <c r="BYJ35" s="545"/>
      <c r="BYK35" s="545"/>
      <c r="BYL35" s="545"/>
      <c r="BYM35" s="545"/>
      <c r="BYN35" s="545"/>
      <c r="BYO35" s="545"/>
      <c r="BYP35" s="545"/>
      <c r="BYQ35" s="545"/>
      <c r="BYR35" s="545"/>
      <c r="BYS35" s="545"/>
      <c r="BYT35" s="545"/>
      <c r="BYU35" s="545"/>
      <c r="BYV35" s="545"/>
      <c r="BYW35" s="545"/>
      <c r="BYX35" s="545"/>
      <c r="BYY35" s="545"/>
      <c r="BYZ35" s="545"/>
      <c r="BZA35" s="545"/>
      <c r="BZB35" s="545"/>
      <c r="BZC35" s="545"/>
      <c r="BZD35" s="545"/>
      <c r="BZE35" s="545"/>
      <c r="BZF35" s="545"/>
      <c r="BZG35" s="545"/>
      <c r="BZH35" s="545"/>
      <c r="BZI35" s="545"/>
      <c r="BZJ35" s="545"/>
      <c r="BZK35" s="545"/>
      <c r="BZL35" s="545"/>
      <c r="BZM35" s="545"/>
      <c r="BZN35" s="545"/>
      <c r="BZO35" s="545"/>
      <c r="BZP35" s="545"/>
      <c r="BZQ35" s="545"/>
      <c r="BZR35" s="545"/>
      <c r="BZS35" s="545"/>
      <c r="BZT35" s="545"/>
      <c r="BZU35" s="545"/>
      <c r="BZV35" s="545"/>
      <c r="BZW35" s="545"/>
      <c r="BZX35" s="545"/>
      <c r="BZY35" s="545"/>
      <c r="BZZ35" s="545"/>
      <c r="CAA35" s="545"/>
      <c r="CAB35" s="545"/>
      <c r="CAC35" s="545"/>
      <c r="CAD35" s="545"/>
      <c r="CAE35" s="545"/>
      <c r="CAF35" s="545"/>
      <c r="CAG35" s="545"/>
      <c r="CAH35" s="545"/>
      <c r="CAI35" s="545"/>
      <c r="CAJ35" s="545"/>
      <c r="CAK35" s="545"/>
      <c r="CAL35" s="545"/>
      <c r="CAM35" s="545"/>
      <c r="CAN35" s="545"/>
      <c r="CAO35" s="545"/>
      <c r="CAP35" s="545"/>
      <c r="CAQ35" s="545"/>
      <c r="CAR35" s="545"/>
      <c r="CAS35" s="545"/>
      <c r="CAT35" s="545"/>
      <c r="CAU35" s="545"/>
      <c r="CAV35" s="545"/>
      <c r="CAW35" s="545"/>
      <c r="CAX35" s="545"/>
      <c r="CAY35" s="545"/>
      <c r="CAZ35" s="545"/>
      <c r="CBA35" s="545"/>
      <c r="CBB35" s="545"/>
      <c r="CBC35" s="545"/>
      <c r="CBD35" s="545"/>
      <c r="CBE35" s="545"/>
      <c r="CBF35" s="545"/>
      <c r="CBG35" s="545"/>
      <c r="CBH35" s="545"/>
      <c r="CBI35" s="545"/>
      <c r="CBJ35" s="545"/>
      <c r="CBK35" s="545"/>
      <c r="CBL35" s="545"/>
      <c r="CBM35" s="545"/>
      <c r="CBN35" s="545"/>
      <c r="CBO35" s="545"/>
      <c r="CBP35" s="545"/>
      <c r="CBQ35" s="545"/>
      <c r="CBR35" s="545"/>
      <c r="CBS35" s="545"/>
      <c r="CBT35" s="545"/>
      <c r="CBU35" s="545"/>
      <c r="CBV35" s="545"/>
      <c r="CBW35" s="545"/>
      <c r="CBX35" s="545"/>
      <c r="CBY35" s="545"/>
      <c r="CBZ35" s="545"/>
      <c r="CCA35" s="545"/>
      <c r="CCB35" s="545"/>
      <c r="CCC35" s="545"/>
      <c r="CCD35" s="545"/>
      <c r="CCE35" s="545"/>
      <c r="CCF35" s="545"/>
      <c r="CCG35" s="545"/>
      <c r="CCH35" s="545"/>
      <c r="CCI35" s="545"/>
      <c r="CCJ35" s="545"/>
      <c r="CCK35" s="545"/>
      <c r="CCL35" s="545"/>
      <c r="CCM35" s="545"/>
      <c r="CCN35" s="545"/>
      <c r="CCO35" s="545"/>
      <c r="CCP35" s="545"/>
      <c r="CCQ35" s="545"/>
      <c r="CCR35" s="545"/>
      <c r="CCS35" s="545"/>
      <c r="CCT35" s="545"/>
      <c r="CCU35" s="545"/>
      <c r="CCV35" s="545"/>
      <c r="CCW35" s="545"/>
      <c r="CCX35" s="545"/>
      <c r="CCY35" s="545"/>
      <c r="CCZ35" s="545"/>
      <c r="CDA35" s="545"/>
      <c r="CDB35" s="545"/>
      <c r="CDC35" s="545"/>
      <c r="CDD35" s="545"/>
      <c r="CDE35" s="545"/>
      <c r="CDF35" s="545"/>
      <c r="CDG35" s="545"/>
      <c r="CDH35" s="545"/>
      <c r="CDI35" s="545"/>
      <c r="CDJ35" s="545"/>
      <c r="CDK35" s="545"/>
      <c r="CDL35" s="545"/>
      <c r="CDM35" s="545"/>
      <c r="CDN35" s="545"/>
      <c r="CDO35" s="545"/>
      <c r="CDP35" s="545"/>
      <c r="CDQ35" s="545"/>
      <c r="CDR35" s="545"/>
      <c r="CDS35" s="545"/>
      <c r="CDT35" s="545"/>
      <c r="CDU35" s="545"/>
      <c r="CDV35" s="545"/>
      <c r="CDW35" s="545"/>
      <c r="CDX35" s="545"/>
      <c r="CDY35" s="545"/>
      <c r="CDZ35" s="545"/>
      <c r="CEA35" s="545"/>
      <c r="CEB35" s="545"/>
      <c r="CEC35" s="545"/>
      <c r="CED35" s="545"/>
      <c r="CEE35" s="545"/>
      <c r="CEF35" s="545"/>
      <c r="CEG35" s="545"/>
      <c r="CEH35" s="545"/>
      <c r="CEI35" s="545"/>
      <c r="CEJ35" s="545"/>
      <c r="CEK35" s="545"/>
      <c r="CEL35" s="545"/>
      <c r="CEM35" s="545"/>
      <c r="CEN35" s="545"/>
      <c r="CEO35" s="545"/>
      <c r="CEP35" s="545"/>
      <c r="CEQ35" s="545"/>
      <c r="CER35" s="545"/>
      <c r="CES35" s="545"/>
      <c r="CET35" s="545"/>
      <c r="CEU35" s="545"/>
      <c r="CEV35" s="545"/>
      <c r="CEW35" s="545"/>
      <c r="CEX35" s="545"/>
      <c r="CEY35" s="545"/>
      <c r="CEZ35" s="545"/>
      <c r="CFA35" s="545"/>
      <c r="CFB35" s="545"/>
      <c r="CFC35" s="545"/>
      <c r="CFD35" s="545"/>
      <c r="CFE35" s="545"/>
      <c r="CFF35" s="545"/>
      <c r="CFG35" s="545"/>
      <c r="CFH35" s="545"/>
      <c r="CFI35" s="545"/>
      <c r="CFJ35" s="545"/>
      <c r="CFK35" s="545"/>
      <c r="CFL35" s="545"/>
      <c r="CFM35" s="545"/>
      <c r="CFN35" s="545"/>
      <c r="CFO35" s="545"/>
      <c r="CFP35" s="545"/>
      <c r="CFQ35" s="545"/>
      <c r="CFR35" s="545"/>
      <c r="CFS35" s="545"/>
      <c r="CFT35" s="545"/>
      <c r="CFU35" s="545"/>
      <c r="CFV35" s="545"/>
      <c r="CFW35" s="545"/>
      <c r="CFX35" s="545"/>
      <c r="CFY35" s="545"/>
      <c r="CFZ35" s="545"/>
      <c r="CGA35" s="545"/>
      <c r="CGB35" s="545"/>
      <c r="CGC35" s="545"/>
      <c r="CGD35" s="545"/>
      <c r="CGE35" s="545"/>
      <c r="CGF35" s="545"/>
      <c r="CGG35" s="545"/>
      <c r="CGH35" s="545"/>
      <c r="CGI35" s="545"/>
      <c r="CGJ35" s="545"/>
      <c r="CGK35" s="545"/>
      <c r="CGL35" s="545"/>
      <c r="CGM35" s="545"/>
      <c r="CGN35" s="545"/>
      <c r="CGO35" s="545"/>
      <c r="CGP35" s="545"/>
      <c r="CGQ35" s="545"/>
      <c r="CGR35" s="545"/>
      <c r="CGS35" s="545"/>
      <c r="CGT35" s="545"/>
      <c r="CGU35" s="545"/>
      <c r="CGV35" s="545"/>
      <c r="CGW35" s="545"/>
      <c r="CGX35" s="545"/>
      <c r="CGY35" s="545"/>
      <c r="CGZ35" s="545"/>
      <c r="CHA35" s="545"/>
      <c r="CHB35" s="545"/>
      <c r="CHC35" s="545"/>
      <c r="CHD35" s="545"/>
      <c r="CHE35" s="545"/>
      <c r="CHF35" s="545"/>
      <c r="CHG35" s="545"/>
      <c r="CHH35" s="545"/>
      <c r="CHI35" s="545"/>
      <c r="CHJ35" s="545"/>
      <c r="CHK35" s="545"/>
      <c r="CHL35" s="545"/>
      <c r="CHM35" s="545"/>
      <c r="CHN35" s="545"/>
      <c r="CHO35" s="545"/>
      <c r="CHP35" s="545"/>
      <c r="CHQ35" s="545"/>
      <c r="CHR35" s="545"/>
      <c r="CHS35" s="545"/>
      <c r="CHT35" s="545"/>
      <c r="CHU35" s="545"/>
      <c r="CHV35" s="545"/>
      <c r="CHW35" s="545"/>
      <c r="CHX35" s="545"/>
      <c r="CHY35" s="545"/>
      <c r="CHZ35" s="545"/>
      <c r="CIA35" s="545"/>
      <c r="CIB35" s="545"/>
      <c r="CIC35" s="545"/>
      <c r="CID35" s="545"/>
      <c r="CIE35" s="545"/>
      <c r="CIF35" s="545"/>
      <c r="CIG35" s="545"/>
      <c r="CIH35" s="545"/>
      <c r="CII35" s="545"/>
      <c r="CIJ35" s="545"/>
      <c r="CIK35" s="545"/>
      <c r="CIL35" s="545"/>
      <c r="CIM35" s="545"/>
      <c r="CIN35" s="545"/>
      <c r="CIO35" s="545"/>
      <c r="CIP35" s="545"/>
      <c r="CIQ35" s="545"/>
      <c r="CIR35" s="545"/>
      <c r="CIS35" s="545"/>
      <c r="CIT35" s="545"/>
      <c r="CIU35" s="545"/>
      <c r="CIV35" s="545"/>
      <c r="CIW35" s="545"/>
      <c r="CIX35" s="545"/>
      <c r="CIY35" s="545"/>
      <c r="CIZ35" s="545"/>
      <c r="CJA35" s="545"/>
      <c r="CJB35" s="545"/>
      <c r="CJC35" s="545"/>
      <c r="CJD35" s="545"/>
      <c r="CJE35" s="545"/>
      <c r="CJF35" s="545"/>
      <c r="CJG35" s="545"/>
      <c r="CJH35" s="545"/>
      <c r="CJI35" s="545"/>
      <c r="CJJ35" s="545"/>
      <c r="CJK35" s="545"/>
      <c r="CJL35" s="545"/>
      <c r="CJM35" s="545"/>
      <c r="CJN35" s="545"/>
      <c r="CJO35" s="545"/>
      <c r="CJP35" s="545"/>
      <c r="CJQ35" s="545"/>
      <c r="CJR35" s="545"/>
      <c r="CJS35" s="545"/>
      <c r="CJT35" s="545"/>
      <c r="CJU35" s="545"/>
      <c r="CJV35" s="545"/>
      <c r="CJW35" s="545"/>
      <c r="CJX35" s="545"/>
      <c r="CJY35" s="545"/>
      <c r="CJZ35" s="545"/>
      <c r="CKA35" s="545"/>
      <c r="CKB35" s="545"/>
      <c r="CKC35" s="545"/>
      <c r="CKD35" s="545"/>
      <c r="CKE35" s="545"/>
      <c r="CKF35" s="545"/>
      <c r="CKG35" s="545"/>
      <c r="CKH35" s="545"/>
      <c r="CKI35" s="545"/>
      <c r="CKJ35" s="545"/>
      <c r="CKK35" s="545"/>
      <c r="CKL35" s="545"/>
      <c r="CKM35" s="545"/>
      <c r="CKN35" s="545"/>
      <c r="CKO35" s="545"/>
      <c r="CKP35" s="545"/>
      <c r="CKQ35" s="545"/>
      <c r="CKR35" s="545"/>
      <c r="CKS35" s="545"/>
      <c r="CKT35" s="545"/>
      <c r="CKU35" s="545"/>
      <c r="CKV35" s="545"/>
      <c r="CKW35" s="545"/>
      <c r="CKX35" s="545"/>
      <c r="CKY35" s="545"/>
      <c r="CKZ35" s="545"/>
      <c r="CLA35" s="545"/>
      <c r="CLB35" s="545"/>
      <c r="CLC35" s="545"/>
      <c r="CLD35" s="545"/>
      <c r="CLE35" s="545"/>
      <c r="CLF35" s="545"/>
      <c r="CLG35" s="545"/>
      <c r="CLH35" s="545"/>
      <c r="CLI35" s="545"/>
      <c r="CLJ35" s="545"/>
      <c r="CLK35" s="545"/>
      <c r="CLL35" s="545"/>
      <c r="CLM35" s="545"/>
      <c r="CLN35" s="545"/>
      <c r="CLO35" s="545"/>
      <c r="CLP35" s="545"/>
      <c r="CLQ35" s="545"/>
      <c r="CLR35" s="545"/>
      <c r="CLS35" s="545"/>
      <c r="CLT35" s="545"/>
      <c r="CLU35" s="545"/>
      <c r="CLV35" s="545"/>
      <c r="CLW35" s="545"/>
      <c r="CLX35" s="545"/>
      <c r="CLY35" s="545"/>
      <c r="CLZ35" s="545"/>
      <c r="CMA35" s="545"/>
      <c r="CMB35" s="545"/>
      <c r="CMC35" s="545"/>
      <c r="CMD35" s="545"/>
      <c r="CME35" s="545"/>
      <c r="CMF35" s="545"/>
      <c r="CMG35" s="545"/>
      <c r="CMH35" s="545"/>
      <c r="CMI35" s="545"/>
      <c r="CMJ35" s="545"/>
      <c r="CMK35" s="545"/>
      <c r="CML35" s="545"/>
      <c r="CMM35" s="545"/>
      <c r="CMN35" s="545"/>
      <c r="CMO35" s="545"/>
      <c r="CMP35" s="545"/>
      <c r="CMQ35" s="545"/>
      <c r="CMR35" s="545"/>
      <c r="CMS35" s="545"/>
      <c r="CMT35" s="545"/>
      <c r="CMU35" s="545"/>
      <c r="CMV35" s="545"/>
      <c r="CMW35" s="545"/>
      <c r="CMX35" s="545"/>
      <c r="CMY35" s="545"/>
      <c r="CMZ35" s="545"/>
      <c r="CNA35" s="545"/>
      <c r="CNB35" s="545"/>
      <c r="CNC35" s="545"/>
      <c r="CND35" s="545"/>
      <c r="CNE35" s="545"/>
      <c r="CNF35" s="545"/>
      <c r="CNG35" s="545"/>
      <c r="CNH35" s="545"/>
      <c r="CNI35" s="545"/>
      <c r="CNJ35" s="545"/>
      <c r="CNK35" s="545"/>
      <c r="CNL35" s="545"/>
      <c r="CNM35" s="545"/>
      <c r="CNN35" s="545"/>
      <c r="CNO35" s="545"/>
      <c r="CNP35" s="545"/>
      <c r="CNQ35" s="545"/>
      <c r="CNR35" s="545"/>
      <c r="CNS35" s="545"/>
      <c r="CNT35" s="545"/>
      <c r="CNU35" s="545"/>
      <c r="CNV35" s="545"/>
      <c r="CNW35" s="545"/>
      <c r="CNX35" s="545"/>
      <c r="CNY35" s="545"/>
      <c r="CNZ35" s="545"/>
      <c r="COA35" s="545"/>
      <c r="COB35" s="545"/>
      <c r="COC35" s="545"/>
      <c r="COD35" s="545"/>
      <c r="COE35" s="545"/>
      <c r="COF35" s="545"/>
      <c r="COG35" s="545"/>
      <c r="COH35" s="545"/>
      <c r="COI35" s="545"/>
      <c r="COJ35" s="545"/>
      <c r="COK35" s="545"/>
      <c r="COL35" s="545"/>
      <c r="COM35" s="545"/>
      <c r="CON35" s="545"/>
      <c r="COO35" s="545"/>
      <c r="COP35" s="545"/>
      <c r="COQ35" s="545"/>
      <c r="COR35" s="545"/>
      <c r="COS35" s="545"/>
      <c r="COT35" s="545"/>
      <c r="COU35" s="545"/>
      <c r="COV35" s="545"/>
      <c r="COW35" s="545"/>
      <c r="COX35" s="545"/>
      <c r="COY35" s="545"/>
      <c r="COZ35" s="545"/>
      <c r="CPA35" s="545"/>
      <c r="CPB35" s="545"/>
      <c r="CPC35" s="545"/>
      <c r="CPD35" s="545"/>
      <c r="CPE35" s="545"/>
      <c r="CPF35" s="545"/>
      <c r="CPG35" s="545"/>
      <c r="CPH35" s="545"/>
      <c r="CPI35" s="545"/>
      <c r="CPJ35" s="545"/>
      <c r="CPK35" s="545"/>
      <c r="CPL35" s="545"/>
      <c r="CPM35" s="545"/>
      <c r="CPN35" s="545"/>
      <c r="CPO35" s="545"/>
      <c r="CPP35" s="545"/>
      <c r="CPQ35" s="545"/>
      <c r="CPR35" s="545"/>
      <c r="CPS35" s="545"/>
      <c r="CPT35" s="545"/>
      <c r="CPU35" s="545"/>
      <c r="CPV35" s="545"/>
      <c r="CPW35" s="545"/>
      <c r="CPX35" s="545"/>
      <c r="CPY35" s="545"/>
      <c r="CPZ35" s="545"/>
      <c r="CQA35" s="545"/>
      <c r="CQB35" s="545"/>
      <c r="CQC35" s="545"/>
      <c r="CQD35" s="545"/>
      <c r="CQE35" s="545"/>
      <c r="CQF35" s="545"/>
      <c r="CQG35" s="545"/>
      <c r="CQH35" s="545"/>
      <c r="CQI35" s="545"/>
      <c r="CQJ35" s="545"/>
      <c r="CQK35" s="545"/>
      <c r="CQL35" s="545"/>
      <c r="CQM35" s="545"/>
      <c r="CQN35" s="545"/>
      <c r="CQO35" s="545"/>
      <c r="CQP35" s="545"/>
      <c r="CQQ35" s="545"/>
      <c r="CQR35" s="545"/>
      <c r="CQS35" s="545"/>
      <c r="CQT35" s="545"/>
      <c r="CQU35" s="545"/>
      <c r="CQV35" s="545"/>
      <c r="CQW35" s="545"/>
      <c r="CQX35" s="545"/>
      <c r="CQY35" s="545"/>
      <c r="CQZ35" s="545"/>
      <c r="CRA35" s="545"/>
      <c r="CRB35" s="545"/>
      <c r="CRC35" s="545"/>
      <c r="CRD35" s="545"/>
      <c r="CRE35" s="545"/>
      <c r="CRF35" s="545"/>
      <c r="CRG35" s="545"/>
      <c r="CRH35" s="545"/>
      <c r="CRI35" s="545"/>
      <c r="CRJ35" s="545"/>
      <c r="CRK35" s="545"/>
      <c r="CRL35" s="545"/>
      <c r="CRM35" s="545"/>
      <c r="CRN35" s="545"/>
      <c r="CRO35" s="545"/>
      <c r="CRP35" s="545"/>
      <c r="CRQ35" s="545"/>
      <c r="CRR35" s="545"/>
      <c r="CRS35" s="545"/>
      <c r="CRT35" s="545"/>
      <c r="CRU35" s="545"/>
      <c r="CRV35" s="545"/>
      <c r="CRW35" s="545"/>
      <c r="CRX35" s="545"/>
      <c r="CRY35" s="545"/>
      <c r="CRZ35" s="545"/>
      <c r="CSA35" s="545"/>
      <c r="CSB35" s="545"/>
      <c r="CSC35" s="545"/>
      <c r="CSD35" s="545"/>
      <c r="CSE35" s="545"/>
      <c r="CSF35" s="545"/>
      <c r="CSG35" s="545"/>
      <c r="CSH35" s="545"/>
      <c r="CSI35" s="545"/>
      <c r="CSJ35" s="545"/>
      <c r="CSK35" s="545"/>
      <c r="CSL35" s="545"/>
      <c r="CSM35" s="545"/>
      <c r="CSN35" s="545"/>
      <c r="CSO35" s="545"/>
      <c r="CSP35" s="545"/>
      <c r="CSQ35" s="545"/>
      <c r="CSR35" s="545"/>
      <c r="CSS35" s="545"/>
      <c r="CST35" s="545"/>
      <c r="CSU35" s="545"/>
      <c r="CSV35" s="545"/>
      <c r="CSW35" s="545"/>
      <c r="CSX35" s="545"/>
      <c r="CSY35" s="545"/>
      <c r="CSZ35" s="545"/>
      <c r="CTA35" s="545"/>
      <c r="CTB35" s="545"/>
      <c r="CTC35" s="545"/>
      <c r="CTD35" s="545"/>
      <c r="CTE35" s="545"/>
      <c r="CTF35" s="545"/>
      <c r="CTG35" s="545"/>
      <c r="CTH35" s="545"/>
      <c r="CTI35" s="545"/>
      <c r="CTJ35" s="545"/>
      <c r="CTK35" s="545"/>
      <c r="CTL35" s="545"/>
      <c r="CTM35" s="545"/>
      <c r="CTN35" s="545"/>
      <c r="CTO35" s="545"/>
      <c r="CTP35" s="545"/>
      <c r="CTQ35" s="545"/>
      <c r="CTR35" s="545"/>
      <c r="CTS35" s="545"/>
      <c r="CTT35" s="545"/>
      <c r="CTU35" s="545"/>
      <c r="CTV35" s="545"/>
      <c r="CTW35" s="545"/>
      <c r="CTX35" s="545"/>
      <c r="CTY35" s="545"/>
      <c r="CTZ35" s="545"/>
      <c r="CUA35" s="545"/>
      <c r="CUB35" s="545"/>
      <c r="CUC35" s="545"/>
      <c r="CUD35" s="545"/>
      <c r="CUE35" s="545"/>
      <c r="CUF35" s="545"/>
      <c r="CUG35" s="545"/>
      <c r="CUH35" s="545"/>
      <c r="CUI35" s="545"/>
      <c r="CUJ35" s="545"/>
      <c r="CUK35" s="545"/>
      <c r="CUL35" s="545"/>
      <c r="CUM35" s="545"/>
      <c r="CUN35" s="545"/>
      <c r="CUO35" s="545"/>
      <c r="CUP35" s="545"/>
      <c r="CUQ35" s="545"/>
      <c r="CUR35" s="545"/>
      <c r="CUS35" s="545"/>
      <c r="CUT35" s="545"/>
      <c r="CUU35" s="545"/>
      <c r="CUV35" s="545"/>
      <c r="CUW35" s="545"/>
      <c r="CUX35" s="545"/>
      <c r="CUY35" s="545"/>
      <c r="CUZ35" s="545"/>
      <c r="CVA35" s="545"/>
      <c r="CVB35" s="545"/>
      <c r="CVC35" s="545"/>
      <c r="CVD35" s="545"/>
      <c r="CVE35" s="545"/>
      <c r="CVF35" s="545"/>
      <c r="CVG35" s="545"/>
      <c r="CVH35" s="545"/>
      <c r="CVI35" s="545"/>
      <c r="CVJ35" s="545"/>
      <c r="CVK35" s="545"/>
      <c r="CVL35" s="545"/>
      <c r="CVM35" s="545"/>
      <c r="CVN35" s="545"/>
      <c r="CVO35" s="545"/>
      <c r="CVP35" s="545"/>
      <c r="CVQ35" s="545"/>
      <c r="CVR35" s="545"/>
      <c r="CVS35" s="545"/>
      <c r="CVT35" s="545"/>
      <c r="CVU35" s="545"/>
      <c r="CVV35" s="545"/>
      <c r="CVW35" s="545"/>
      <c r="CVX35" s="545"/>
      <c r="CVY35" s="545"/>
      <c r="CVZ35" s="545"/>
      <c r="CWA35" s="545"/>
      <c r="CWB35" s="545"/>
      <c r="CWC35" s="545"/>
      <c r="CWD35" s="545"/>
      <c r="CWE35" s="545"/>
      <c r="CWF35" s="545"/>
      <c r="CWG35" s="545"/>
      <c r="CWH35" s="545"/>
      <c r="CWI35" s="545"/>
      <c r="CWJ35" s="545"/>
      <c r="CWK35" s="545"/>
      <c r="CWL35" s="545"/>
      <c r="CWM35" s="545"/>
      <c r="CWN35" s="545"/>
      <c r="CWO35" s="545"/>
      <c r="CWP35" s="545"/>
      <c r="CWQ35" s="545"/>
      <c r="CWR35" s="545"/>
      <c r="CWS35" s="545"/>
      <c r="CWT35" s="545"/>
      <c r="CWU35" s="545"/>
      <c r="CWV35" s="545"/>
      <c r="CWW35" s="545"/>
      <c r="CWX35" s="545"/>
      <c r="CWY35" s="545"/>
      <c r="CWZ35" s="545"/>
      <c r="CXA35" s="545"/>
      <c r="CXB35" s="545"/>
      <c r="CXC35" s="545"/>
      <c r="CXD35" s="545"/>
      <c r="CXE35" s="545"/>
      <c r="CXF35" s="545"/>
      <c r="CXG35" s="545"/>
      <c r="CXH35" s="545"/>
      <c r="CXI35" s="545"/>
      <c r="CXJ35" s="545"/>
      <c r="CXK35" s="545"/>
      <c r="CXL35" s="545"/>
      <c r="CXM35" s="545"/>
      <c r="CXN35" s="545"/>
      <c r="CXO35" s="545"/>
      <c r="CXP35" s="545"/>
      <c r="CXQ35" s="545"/>
      <c r="CXR35" s="545"/>
      <c r="CXS35" s="545"/>
      <c r="CXT35" s="545"/>
      <c r="CXU35" s="545"/>
      <c r="CXV35" s="545"/>
      <c r="CXW35" s="545"/>
      <c r="CXX35" s="545"/>
      <c r="CXY35" s="545"/>
      <c r="CXZ35" s="545"/>
      <c r="CYA35" s="545"/>
      <c r="CYB35" s="545"/>
      <c r="CYC35" s="545"/>
      <c r="CYD35" s="545"/>
      <c r="CYE35" s="545"/>
      <c r="CYF35" s="545"/>
      <c r="CYG35" s="545"/>
      <c r="CYH35" s="545"/>
      <c r="CYI35" s="545"/>
      <c r="CYJ35" s="545"/>
      <c r="CYK35" s="545"/>
      <c r="CYL35" s="545"/>
      <c r="CYM35" s="545"/>
      <c r="CYN35" s="545"/>
      <c r="CYO35" s="545"/>
      <c r="CYP35" s="545"/>
      <c r="CYQ35" s="545"/>
      <c r="CYR35" s="545"/>
      <c r="CYS35" s="545"/>
      <c r="CYT35" s="545"/>
      <c r="CYU35" s="545"/>
      <c r="CYV35" s="545"/>
      <c r="CYW35" s="545"/>
      <c r="CYX35" s="545"/>
      <c r="CYY35" s="545"/>
      <c r="CYZ35" s="545"/>
      <c r="CZA35" s="545"/>
      <c r="CZB35" s="545"/>
      <c r="CZC35" s="545"/>
      <c r="CZD35" s="545"/>
      <c r="CZE35" s="545"/>
      <c r="CZF35" s="545"/>
      <c r="CZG35" s="545"/>
      <c r="CZH35" s="545"/>
      <c r="CZI35" s="545"/>
      <c r="CZJ35" s="545"/>
      <c r="CZK35" s="545"/>
      <c r="CZL35" s="545"/>
      <c r="CZM35" s="545"/>
      <c r="CZN35" s="545"/>
      <c r="CZO35" s="545"/>
      <c r="CZP35" s="545"/>
      <c r="CZQ35" s="545"/>
      <c r="CZR35" s="545"/>
      <c r="CZS35" s="545"/>
      <c r="CZT35" s="545"/>
      <c r="CZU35" s="545"/>
      <c r="CZV35" s="545"/>
      <c r="CZW35" s="545"/>
      <c r="CZX35" s="545"/>
      <c r="CZY35" s="545"/>
      <c r="CZZ35" s="545"/>
      <c r="DAA35" s="545"/>
      <c r="DAB35" s="545"/>
      <c r="DAC35" s="545"/>
      <c r="DAD35" s="545"/>
      <c r="DAE35" s="545"/>
      <c r="DAF35" s="545"/>
      <c r="DAG35" s="545"/>
      <c r="DAH35" s="545"/>
      <c r="DAI35" s="545"/>
      <c r="DAJ35" s="545"/>
      <c r="DAK35" s="545"/>
      <c r="DAL35" s="545"/>
      <c r="DAM35" s="545"/>
      <c r="DAN35" s="545"/>
      <c r="DAO35" s="545"/>
      <c r="DAP35" s="545"/>
      <c r="DAQ35" s="545"/>
      <c r="DAR35" s="545"/>
      <c r="DAS35" s="545"/>
      <c r="DAT35" s="545"/>
      <c r="DAU35" s="545"/>
      <c r="DAV35" s="545"/>
      <c r="DAW35" s="545"/>
      <c r="DAX35" s="545"/>
      <c r="DAY35" s="545"/>
      <c r="DAZ35" s="545"/>
      <c r="DBA35" s="545"/>
      <c r="DBB35" s="545"/>
      <c r="DBC35" s="545"/>
      <c r="DBD35" s="545"/>
      <c r="DBE35" s="545"/>
      <c r="DBF35" s="545"/>
      <c r="DBG35" s="545"/>
      <c r="DBH35" s="545"/>
      <c r="DBI35" s="545"/>
      <c r="DBJ35" s="545"/>
      <c r="DBK35" s="545"/>
      <c r="DBL35" s="545"/>
      <c r="DBM35" s="545"/>
      <c r="DBN35" s="545"/>
      <c r="DBO35" s="545"/>
      <c r="DBP35" s="545"/>
      <c r="DBQ35" s="545"/>
      <c r="DBR35" s="545"/>
      <c r="DBS35" s="545"/>
      <c r="DBT35" s="545"/>
      <c r="DBU35" s="545"/>
      <c r="DBV35" s="545"/>
      <c r="DBW35" s="545"/>
      <c r="DBX35" s="545"/>
      <c r="DBY35" s="545"/>
      <c r="DBZ35" s="545"/>
      <c r="DCA35" s="545"/>
      <c r="DCB35" s="545"/>
      <c r="DCC35" s="545"/>
      <c r="DCD35" s="545"/>
      <c r="DCE35" s="545"/>
      <c r="DCF35" s="545"/>
      <c r="DCG35" s="545"/>
      <c r="DCH35" s="545"/>
      <c r="DCI35" s="545"/>
      <c r="DCJ35" s="545"/>
      <c r="DCK35" s="545"/>
      <c r="DCL35" s="545"/>
      <c r="DCM35" s="545"/>
      <c r="DCN35" s="545"/>
      <c r="DCO35" s="545"/>
      <c r="DCP35" s="545"/>
      <c r="DCQ35" s="545"/>
      <c r="DCR35" s="545"/>
      <c r="DCS35" s="545"/>
      <c r="DCT35" s="545"/>
      <c r="DCU35" s="545"/>
      <c r="DCV35" s="545"/>
      <c r="DCW35" s="545"/>
      <c r="DCX35" s="545"/>
      <c r="DCY35" s="545"/>
      <c r="DCZ35" s="545"/>
      <c r="DDA35" s="545"/>
      <c r="DDB35" s="545"/>
      <c r="DDC35" s="545"/>
      <c r="DDD35" s="545"/>
      <c r="DDE35" s="545"/>
      <c r="DDF35" s="545"/>
      <c r="DDG35" s="545"/>
      <c r="DDH35" s="545"/>
      <c r="DDI35" s="545"/>
      <c r="DDJ35" s="545"/>
      <c r="DDK35" s="545"/>
      <c r="DDL35" s="545"/>
      <c r="DDM35" s="545"/>
      <c r="DDN35" s="545"/>
      <c r="DDO35" s="545"/>
      <c r="DDP35" s="545"/>
      <c r="DDQ35" s="545"/>
      <c r="DDR35" s="545"/>
      <c r="DDS35" s="545"/>
      <c r="DDT35" s="545"/>
      <c r="DDU35" s="545"/>
      <c r="DDV35" s="545"/>
      <c r="DDW35" s="545"/>
      <c r="DDX35" s="545"/>
      <c r="DDY35" s="545"/>
      <c r="DDZ35" s="545"/>
      <c r="DEA35" s="545"/>
      <c r="DEB35" s="545"/>
      <c r="DEC35" s="545"/>
      <c r="DED35" s="545"/>
      <c r="DEE35" s="545"/>
      <c r="DEF35" s="545"/>
      <c r="DEG35" s="545"/>
      <c r="DEH35" s="545"/>
      <c r="DEI35" s="545"/>
      <c r="DEJ35" s="545"/>
      <c r="DEK35" s="545"/>
      <c r="DEL35" s="545"/>
      <c r="DEM35" s="545"/>
      <c r="DEN35" s="545"/>
      <c r="DEO35" s="545"/>
      <c r="DEP35" s="545"/>
      <c r="DEQ35" s="545"/>
      <c r="DER35" s="545"/>
      <c r="DES35" s="545"/>
      <c r="DET35" s="545"/>
      <c r="DEU35" s="545"/>
      <c r="DEV35" s="545"/>
      <c r="DEW35" s="545"/>
      <c r="DEX35" s="545"/>
      <c r="DEY35" s="545"/>
      <c r="DEZ35" s="545"/>
      <c r="DFA35" s="545"/>
      <c r="DFB35" s="545"/>
      <c r="DFC35" s="545"/>
      <c r="DFD35" s="545"/>
      <c r="DFE35" s="545"/>
      <c r="DFF35" s="545"/>
      <c r="DFG35" s="545"/>
      <c r="DFH35" s="545"/>
      <c r="DFI35" s="545"/>
      <c r="DFJ35" s="545"/>
      <c r="DFK35" s="545"/>
      <c r="DFL35" s="545"/>
      <c r="DFM35" s="545"/>
      <c r="DFN35" s="545"/>
      <c r="DFO35" s="545"/>
      <c r="DFP35" s="545"/>
      <c r="DFQ35" s="545"/>
      <c r="DFR35" s="545"/>
      <c r="DFS35" s="545"/>
      <c r="DFT35" s="545"/>
      <c r="DFU35" s="545"/>
      <c r="DFV35" s="545"/>
      <c r="DFW35" s="545"/>
      <c r="DFX35" s="545"/>
      <c r="DFY35" s="545"/>
      <c r="DFZ35" s="545"/>
      <c r="DGA35" s="545"/>
      <c r="DGB35" s="545"/>
      <c r="DGC35" s="545"/>
      <c r="DGD35" s="545"/>
      <c r="DGE35" s="545"/>
      <c r="DGF35" s="545"/>
      <c r="DGG35" s="545"/>
      <c r="DGH35" s="545"/>
      <c r="DGI35" s="545"/>
      <c r="DGJ35" s="545"/>
      <c r="DGK35" s="545"/>
      <c r="DGL35" s="545"/>
      <c r="DGM35" s="545"/>
      <c r="DGN35" s="545"/>
      <c r="DGO35" s="545"/>
      <c r="DGP35" s="545"/>
      <c r="DGQ35" s="545"/>
      <c r="DGR35" s="545"/>
      <c r="DGS35" s="545"/>
      <c r="DGT35" s="545"/>
      <c r="DGU35" s="545"/>
      <c r="DGV35" s="545"/>
      <c r="DGW35" s="545"/>
      <c r="DGX35" s="545"/>
      <c r="DGY35" s="545"/>
      <c r="DGZ35" s="545"/>
      <c r="DHA35" s="545"/>
      <c r="DHB35" s="545"/>
      <c r="DHC35" s="545"/>
      <c r="DHD35" s="545"/>
      <c r="DHE35" s="545"/>
      <c r="DHF35" s="545"/>
      <c r="DHG35" s="545"/>
      <c r="DHH35" s="545"/>
      <c r="DHI35" s="545"/>
      <c r="DHJ35" s="545"/>
      <c r="DHK35" s="545"/>
      <c r="DHL35" s="545"/>
      <c r="DHM35" s="545"/>
      <c r="DHN35" s="545"/>
      <c r="DHO35" s="545"/>
      <c r="DHP35" s="545"/>
      <c r="DHQ35" s="545"/>
      <c r="DHR35" s="545"/>
      <c r="DHS35" s="545"/>
      <c r="DHT35" s="545"/>
      <c r="DHU35" s="545"/>
      <c r="DHV35" s="545"/>
      <c r="DHW35" s="545"/>
      <c r="DHX35" s="545"/>
      <c r="DHY35" s="545"/>
      <c r="DHZ35" s="545"/>
      <c r="DIA35" s="545"/>
      <c r="DIB35" s="545"/>
      <c r="DIC35" s="545"/>
      <c r="DID35" s="545"/>
      <c r="DIE35" s="545"/>
      <c r="DIF35" s="545"/>
      <c r="DIG35" s="545"/>
      <c r="DIH35" s="545"/>
      <c r="DII35" s="545"/>
      <c r="DIJ35" s="545"/>
      <c r="DIK35" s="545"/>
      <c r="DIL35" s="545"/>
      <c r="DIM35" s="545"/>
      <c r="DIN35" s="545"/>
      <c r="DIO35" s="545"/>
      <c r="DIP35" s="545"/>
      <c r="DIQ35" s="545"/>
      <c r="DIR35" s="545"/>
      <c r="DIS35" s="545"/>
      <c r="DIT35" s="545"/>
      <c r="DIU35" s="545"/>
      <c r="DIV35" s="545"/>
      <c r="DIW35" s="545"/>
      <c r="DIX35" s="545"/>
      <c r="DIY35" s="545"/>
      <c r="DIZ35" s="545"/>
      <c r="DJA35" s="545"/>
      <c r="DJB35" s="545"/>
      <c r="DJC35" s="545"/>
      <c r="DJD35" s="545"/>
      <c r="DJE35" s="545"/>
      <c r="DJF35" s="545"/>
      <c r="DJG35" s="545"/>
      <c r="DJH35" s="545"/>
      <c r="DJI35" s="545"/>
      <c r="DJJ35" s="545"/>
      <c r="DJK35" s="545"/>
      <c r="DJL35" s="545"/>
      <c r="DJM35" s="545"/>
      <c r="DJN35" s="545"/>
      <c r="DJO35" s="545"/>
      <c r="DJP35" s="545"/>
      <c r="DJQ35" s="545"/>
      <c r="DJR35" s="545"/>
      <c r="DJS35" s="545"/>
      <c r="DJT35" s="545"/>
      <c r="DJU35" s="545"/>
      <c r="DJV35" s="545"/>
      <c r="DJW35" s="545"/>
      <c r="DJX35" s="545"/>
      <c r="DJY35" s="545"/>
      <c r="DJZ35" s="545"/>
      <c r="DKA35" s="545"/>
      <c r="DKB35" s="545"/>
      <c r="DKC35" s="545"/>
      <c r="DKD35" s="545"/>
      <c r="DKE35" s="545"/>
      <c r="DKF35" s="545"/>
      <c r="DKG35" s="545"/>
      <c r="DKH35" s="545"/>
      <c r="DKI35" s="545"/>
      <c r="DKJ35" s="545"/>
      <c r="DKK35" s="545"/>
      <c r="DKL35" s="545"/>
      <c r="DKM35" s="545"/>
      <c r="DKN35" s="545"/>
      <c r="DKO35" s="545"/>
      <c r="DKP35" s="545"/>
      <c r="DKQ35" s="545"/>
      <c r="DKR35" s="545"/>
      <c r="DKS35" s="545"/>
      <c r="DKT35" s="545"/>
      <c r="DKU35" s="545"/>
      <c r="DKV35" s="545"/>
      <c r="DKW35" s="545"/>
      <c r="DKX35" s="545"/>
      <c r="DKY35" s="545"/>
      <c r="DKZ35" s="545"/>
      <c r="DLA35" s="545"/>
      <c r="DLB35" s="545"/>
      <c r="DLC35" s="545"/>
      <c r="DLD35" s="545"/>
      <c r="DLE35" s="545"/>
      <c r="DLF35" s="545"/>
      <c r="DLG35" s="545"/>
      <c r="DLH35" s="545"/>
      <c r="DLI35" s="545"/>
      <c r="DLJ35" s="545"/>
      <c r="DLK35" s="545"/>
      <c r="DLL35" s="545"/>
      <c r="DLM35" s="545"/>
      <c r="DLN35" s="545"/>
      <c r="DLO35" s="545"/>
      <c r="DLP35" s="545"/>
      <c r="DLQ35" s="545"/>
      <c r="DLR35" s="545"/>
      <c r="DLS35" s="545"/>
      <c r="DLT35" s="545"/>
      <c r="DLU35" s="545"/>
      <c r="DLV35" s="545"/>
      <c r="DLW35" s="545"/>
      <c r="DLX35" s="545"/>
      <c r="DLY35" s="545"/>
      <c r="DLZ35" s="545"/>
      <c r="DMA35" s="545"/>
      <c r="DMB35" s="545"/>
      <c r="DMC35" s="545"/>
      <c r="DMD35" s="545"/>
      <c r="DME35" s="545"/>
      <c r="DMF35" s="545"/>
      <c r="DMG35" s="545"/>
      <c r="DMH35" s="545"/>
      <c r="DMI35" s="545"/>
      <c r="DMJ35" s="545"/>
      <c r="DMK35" s="545"/>
      <c r="DML35" s="545"/>
      <c r="DMM35" s="545"/>
      <c r="DMN35" s="545"/>
      <c r="DMO35" s="545"/>
      <c r="DMP35" s="545"/>
      <c r="DMQ35" s="545"/>
      <c r="DMR35" s="545"/>
      <c r="DMS35" s="545"/>
      <c r="DMT35" s="545"/>
      <c r="DMU35" s="545"/>
      <c r="DMV35" s="545"/>
      <c r="DMW35" s="545"/>
      <c r="DMX35" s="545"/>
      <c r="DMY35" s="545"/>
      <c r="DMZ35" s="545"/>
      <c r="DNA35" s="545"/>
      <c r="DNB35" s="545"/>
      <c r="DNC35" s="545"/>
      <c r="DND35" s="545"/>
      <c r="DNE35" s="545"/>
      <c r="DNF35" s="545"/>
      <c r="DNG35" s="545"/>
      <c r="DNH35" s="545"/>
      <c r="DNI35" s="545"/>
      <c r="DNJ35" s="545"/>
      <c r="DNK35" s="545"/>
      <c r="DNL35" s="545"/>
      <c r="DNM35" s="545"/>
      <c r="DNN35" s="545"/>
      <c r="DNO35" s="545"/>
      <c r="DNP35" s="545"/>
      <c r="DNQ35" s="545"/>
      <c r="DNR35" s="545"/>
      <c r="DNS35" s="545"/>
      <c r="DNT35" s="545"/>
      <c r="DNU35" s="545"/>
      <c r="DNV35" s="545"/>
      <c r="DNW35" s="545"/>
      <c r="DNX35" s="545"/>
      <c r="DNY35" s="545"/>
      <c r="DNZ35" s="545"/>
      <c r="DOA35" s="545"/>
      <c r="DOB35" s="545"/>
      <c r="DOC35" s="545"/>
      <c r="DOD35" s="545"/>
      <c r="DOE35" s="545"/>
      <c r="DOF35" s="545"/>
      <c r="DOG35" s="545"/>
      <c r="DOH35" s="545"/>
      <c r="DOI35" s="545"/>
      <c r="DOJ35" s="545"/>
      <c r="DOK35" s="545"/>
      <c r="DOL35" s="545"/>
      <c r="DOM35" s="545"/>
      <c r="DON35" s="545"/>
      <c r="DOO35" s="545"/>
      <c r="DOP35" s="545"/>
      <c r="DOQ35" s="545"/>
      <c r="DOR35" s="545"/>
      <c r="DOS35" s="545"/>
      <c r="DOT35" s="545"/>
      <c r="DOU35" s="545"/>
      <c r="DOV35" s="545"/>
      <c r="DOW35" s="545"/>
      <c r="DOX35" s="545"/>
      <c r="DOY35" s="545"/>
      <c r="DOZ35" s="545"/>
      <c r="DPA35" s="545"/>
      <c r="DPB35" s="545"/>
      <c r="DPC35" s="545"/>
      <c r="DPD35" s="545"/>
      <c r="DPE35" s="545"/>
      <c r="DPF35" s="545"/>
      <c r="DPG35" s="545"/>
      <c r="DPH35" s="545"/>
      <c r="DPI35" s="545"/>
      <c r="DPJ35" s="545"/>
      <c r="DPK35" s="545"/>
      <c r="DPL35" s="545"/>
      <c r="DPM35" s="545"/>
      <c r="DPN35" s="545"/>
      <c r="DPO35" s="545"/>
      <c r="DPP35" s="545"/>
      <c r="DPQ35" s="545"/>
      <c r="DPR35" s="545"/>
      <c r="DPS35" s="545"/>
      <c r="DPT35" s="545"/>
      <c r="DPU35" s="545"/>
      <c r="DPV35" s="545"/>
      <c r="DPW35" s="545"/>
      <c r="DPX35" s="545"/>
      <c r="DPY35" s="545"/>
      <c r="DPZ35" s="545"/>
      <c r="DQA35" s="545"/>
      <c r="DQB35" s="545"/>
      <c r="DQC35" s="545"/>
      <c r="DQD35" s="545"/>
      <c r="DQE35" s="545"/>
      <c r="DQF35" s="545"/>
      <c r="DQG35" s="545"/>
      <c r="DQH35" s="545"/>
      <c r="DQI35" s="545"/>
      <c r="DQJ35" s="545"/>
      <c r="DQK35" s="545"/>
      <c r="DQL35" s="545"/>
      <c r="DQM35" s="545"/>
      <c r="DQN35" s="545"/>
      <c r="DQO35" s="545"/>
      <c r="DQP35" s="545"/>
      <c r="DQQ35" s="545"/>
      <c r="DQR35" s="545"/>
      <c r="DQS35" s="545"/>
      <c r="DQT35" s="545"/>
      <c r="DQU35" s="545"/>
      <c r="DQV35" s="545"/>
      <c r="DQW35" s="545"/>
      <c r="DQX35" s="545"/>
      <c r="DQY35" s="545"/>
      <c r="DQZ35" s="545"/>
      <c r="DRA35" s="545"/>
      <c r="DRB35" s="545"/>
      <c r="DRC35" s="545"/>
      <c r="DRD35" s="545"/>
      <c r="DRE35" s="545"/>
      <c r="DRF35" s="545"/>
      <c r="DRG35" s="545"/>
      <c r="DRH35" s="545"/>
      <c r="DRI35" s="545"/>
      <c r="DRJ35" s="545"/>
      <c r="DRK35" s="545"/>
      <c r="DRL35" s="545"/>
      <c r="DRM35" s="545"/>
      <c r="DRN35" s="545"/>
      <c r="DRO35" s="545"/>
      <c r="DRP35" s="545"/>
      <c r="DRQ35" s="545"/>
      <c r="DRR35" s="545"/>
      <c r="DRS35" s="545"/>
      <c r="DRT35" s="545"/>
      <c r="DRU35" s="545"/>
      <c r="DRV35" s="545"/>
      <c r="DRW35" s="545"/>
      <c r="DRX35" s="545"/>
      <c r="DRY35" s="545"/>
      <c r="DRZ35" s="545"/>
      <c r="DSA35" s="545"/>
      <c r="DSB35" s="545"/>
      <c r="DSC35" s="545"/>
      <c r="DSD35" s="545"/>
      <c r="DSE35" s="545"/>
      <c r="DSF35" s="545"/>
      <c r="DSG35" s="545"/>
      <c r="DSH35" s="545"/>
      <c r="DSI35" s="545"/>
      <c r="DSJ35" s="545"/>
      <c r="DSK35" s="545"/>
      <c r="DSL35" s="545"/>
      <c r="DSM35" s="545"/>
      <c r="DSN35" s="545"/>
      <c r="DSO35" s="545"/>
      <c r="DSP35" s="545"/>
      <c r="DSQ35" s="545"/>
      <c r="DSR35" s="545"/>
      <c r="DSS35" s="545"/>
      <c r="DST35" s="545"/>
      <c r="DSU35" s="545"/>
      <c r="DSV35" s="545"/>
      <c r="DSW35" s="545"/>
      <c r="DSX35" s="545"/>
      <c r="DSY35" s="545"/>
      <c r="DSZ35" s="545"/>
      <c r="DTA35" s="545"/>
      <c r="DTB35" s="545"/>
      <c r="DTC35" s="545"/>
      <c r="DTD35" s="545"/>
      <c r="DTE35" s="545"/>
      <c r="DTF35" s="545"/>
      <c r="DTG35" s="545"/>
      <c r="DTH35" s="545"/>
      <c r="DTI35" s="545"/>
      <c r="DTJ35" s="545"/>
      <c r="DTK35" s="545"/>
      <c r="DTL35" s="545"/>
      <c r="DTM35" s="545"/>
      <c r="DTN35" s="545"/>
      <c r="DTO35" s="545"/>
      <c r="DTP35" s="545"/>
      <c r="DTQ35" s="545"/>
      <c r="DTR35" s="545"/>
      <c r="DTS35" s="545"/>
      <c r="DTT35" s="545"/>
      <c r="DTU35" s="545"/>
      <c r="DTV35" s="545"/>
      <c r="DTW35" s="545"/>
      <c r="DTX35" s="545"/>
      <c r="DTY35" s="545"/>
      <c r="DTZ35" s="545"/>
      <c r="DUA35" s="545"/>
      <c r="DUB35" s="545"/>
      <c r="DUC35" s="545"/>
      <c r="DUD35" s="545"/>
      <c r="DUE35" s="545"/>
      <c r="DUF35" s="545"/>
      <c r="DUG35" s="545"/>
      <c r="DUH35" s="545"/>
      <c r="DUI35" s="545"/>
      <c r="DUJ35" s="545"/>
      <c r="DUK35" s="545"/>
      <c r="DUL35" s="545"/>
      <c r="DUM35" s="545"/>
      <c r="DUN35" s="545"/>
      <c r="DUO35" s="545"/>
      <c r="DUP35" s="545"/>
      <c r="DUQ35" s="545"/>
      <c r="DUR35" s="545"/>
      <c r="DUS35" s="545"/>
      <c r="DUT35" s="545"/>
      <c r="DUU35" s="545"/>
      <c r="DUV35" s="545"/>
      <c r="DUW35" s="545"/>
      <c r="DUX35" s="545"/>
      <c r="DUY35" s="545"/>
      <c r="DUZ35" s="545"/>
      <c r="DVA35" s="545"/>
      <c r="DVB35" s="545"/>
      <c r="DVC35" s="545"/>
      <c r="DVD35" s="545"/>
      <c r="DVE35" s="545"/>
      <c r="DVF35" s="545"/>
      <c r="DVG35" s="545"/>
      <c r="DVH35" s="545"/>
      <c r="DVI35" s="545"/>
      <c r="DVJ35" s="545"/>
      <c r="DVK35" s="545"/>
      <c r="DVL35" s="545"/>
      <c r="DVM35" s="545"/>
      <c r="DVN35" s="545"/>
      <c r="DVO35" s="545"/>
      <c r="DVP35" s="545"/>
      <c r="DVQ35" s="545"/>
      <c r="DVR35" s="545"/>
      <c r="DVS35" s="545"/>
      <c r="DVT35" s="545"/>
      <c r="DVU35" s="545"/>
      <c r="DVV35" s="545"/>
      <c r="DVW35" s="545"/>
      <c r="DVX35" s="545"/>
      <c r="DVY35" s="545"/>
      <c r="DVZ35" s="545"/>
      <c r="DWA35" s="545"/>
      <c r="DWB35" s="545"/>
      <c r="DWC35" s="545"/>
      <c r="DWD35" s="545"/>
      <c r="DWE35" s="545"/>
      <c r="DWF35" s="545"/>
      <c r="DWG35" s="545"/>
      <c r="DWH35" s="545"/>
      <c r="DWI35" s="545"/>
      <c r="DWJ35" s="545"/>
      <c r="DWK35" s="545"/>
      <c r="DWL35" s="545"/>
      <c r="DWM35" s="545"/>
      <c r="DWN35" s="545"/>
      <c r="DWO35" s="545"/>
      <c r="DWP35" s="545"/>
      <c r="DWQ35" s="545"/>
      <c r="DWR35" s="545"/>
      <c r="DWS35" s="545"/>
      <c r="DWT35" s="545"/>
      <c r="DWU35" s="545"/>
      <c r="DWV35" s="545"/>
      <c r="DWW35" s="545"/>
      <c r="DWX35" s="545"/>
      <c r="DWY35" s="545"/>
      <c r="DWZ35" s="545"/>
      <c r="DXA35" s="545"/>
      <c r="DXB35" s="545"/>
      <c r="DXC35" s="545"/>
      <c r="DXD35" s="545"/>
      <c r="DXE35" s="545"/>
      <c r="DXF35" s="545"/>
      <c r="DXG35" s="545"/>
      <c r="DXH35" s="545"/>
      <c r="DXI35" s="545"/>
      <c r="DXJ35" s="545"/>
      <c r="DXK35" s="545"/>
      <c r="DXL35" s="545"/>
      <c r="DXM35" s="545"/>
      <c r="DXN35" s="545"/>
      <c r="DXO35" s="545"/>
      <c r="DXP35" s="545"/>
      <c r="DXQ35" s="545"/>
      <c r="DXR35" s="545"/>
      <c r="DXS35" s="545"/>
      <c r="DXT35" s="545"/>
      <c r="DXU35" s="545"/>
      <c r="DXV35" s="545"/>
      <c r="DXW35" s="545"/>
      <c r="DXX35" s="545"/>
      <c r="DXY35" s="545"/>
      <c r="DXZ35" s="545"/>
      <c r="DYA35" s="545"/>
      <c r="DYB35" s="545"/>
      <c r="DYC35" s="545"/>
      <c r="DYD35" s="545"/>
      <c r="DYE35" s="545"/>
      <c r="DYF35" s="545"/>
      <c r="DYG35" s="545"/>
      <c r="DYH35" s="545"/>
      <c r="DYI35" s="545"/>
      <c r="DYJ35" s="545"/>
      <c r="DYK35" s="545"/>
      <c r="DYL35" s="545"/>
      <c r="DYM35" s="545"/>
      <c r="DYN35" s="545"/>
      <c r="DYO35" s="545"/>
      <c r="DYP35" s="545"/>
      <c r="DYQ35" s="545"/>
      <c r="DYR35" s="545"/>
      <c r="DYS35" s="545"/>
      <c r="DYT35" s="545"/>
      <c r="DYU35" s="545"/>
      <c r="DYV35" s="545"/>
      <c r="DYW35" s="545"/>
      <c r="DYX35" s="545"/>
      <c r="DYY35" s="545"/>
      <c r="DYZ35" s="545"/>
      <c r="DZA35" s="545"/>
      <c r="DZB35" s="545"/>
      <c r="DZC35" s="545"/>
      <c r="DZD35" s="545"/>
      <c r="DZE35" s="545"/>
      <c r="DZF35" s="545"/>
      <c r="DZG35" s="545"/>
      <c r="DZH35" s="545"/>
      <c r="DZI35" s="545"/>
      <c r="DZJ35" s="545"/>
      <c r="DZK35" s="545"/>
      <c r="DZL35" s="545"/>
      <c r="DZM35" s="545"/>
      <c r="DZN35" s="545"/>
      <c r="DZO35" s="545"/>
      <c r="DZP35" s="545"/>
      <c r="DZQ35" s="545"/>
      <c r="DZR35" s="545"/>
      <c r="DZS35" s="545"/>
      <c r="DZT35" s="545"/>
      <c r="DZU35" s="545"/>
      <c r="DZV35" s="545"/>
      <c r="DZW35" s="545"/>
      <c r="DZX35" s="545"/>
      <c r="DZY35" s="545"/>
      <c r="DZZ35" s="545"/>
      <c r="EAA35" s="545"/>
      <c r="EAB35" s="545"/>
      <c r="EAC35" s="545"/>
      <c r="EAD35" s="545"/>
      <c r="EAE35" s="545"/>
      <c r="EAF35" s="545"/>
      <c r="EAG35" s="545"/>
      <c r="EAH35" s="545"/>
      <c r="EAI35" s="545"/>
      <c r="EAJ35" s="545"/>
      <c r="EAK35" s="545"/>
      <c r="EAL35" s="545"/>
      <c r="EAM35" s="545"/>
      <c r="EAN35" s="545"/>
      <c r="EAO35" s="545"/>
      <c r="EAP35" s="545"/>
      <c r="EAQ35" s="545"/>
      <c r="EAR35" s="545"/>
      <c r="EAS35" s="545"/>
      <c r="EAT35" s="545"/>
      <c r="EAU35" s="545"/>
      <c r="EAV35" s="545"/>
      <c r="EAW35" s="545"/>
      <c r="EAX35" s="545"/>
      <c r="EAY35" s="545"/>
      <c r="EAZ35" s="545"/>
      <c r="EBA35" s="545"/>
      <c r="EBB35" s="545"/>
      <c r="EBC35" s="545"/>
      <c r="EBD35" s="545"/>
      <c r="EBE35" s="545"/>
      <c r="EBF35" s="545"/>
      <c r="EBG35" s="545"/>
      <c r="EBH35" s="545"/>
      <c r="EBI35" s="545"/>
      <c r="EBJ35" s="545"/>
      <c r="EBK35" s="545"/>
      <c r="EBL35" s="545"/>
      <c r="EBM35" s="545"/>
      <c r="EBN35" s="545"/>
      <c r="EBO35" s="545"/>
      <c r="EBP35" s="545"/>
      <c r="EBQ35" s="545"/>
      <c r="EBR35" s="545"/>
      <c r="EBS35" s="545"/>
      <c r="EBT35" s="545"/>
      <c r="EBU35" s="545"/>
      <c r="EBV35" s="545"/>
      <c r="EBW35" s="545"/>
      <c r="EBX35" s="545"/>
      <c r="EBY35" s="545"/>
      <c r="EBZ35" s="545"/>
      <c r="ECA35" s="545"/>
      <c r="ECB35" s="545"/>
      <c r="ECC35" s="545"/>
      <c r="ECD35" s="545"/>
      <c r="ECE35" s="545"/>
      <c r="ECF35" s="545"/>
      <c r="ECG35" s="545"/>
      <c r="ECH35" s="545"/>
      <c r="ECI35" s="545"/>
      <c r="ECJ35" s="545"/>
      <c r="ECK35" s="545"/>
      <c r="ECL35" s="545"/>
      <c r="ECM35" s="545"/>
      <c r="ECN35" s="545"/>
      <c r="ECO35" s="545"/>
      <c r="ECP35" s="545"/>
      <c r="ECQ35" s="545"/>
      <c r="ECR35" s="545"/>
      <c r="ECS35" s="545"/>
      <c r="ECT35" s="545"/>
      <c r="ECU35" s="545"/>
      <c r="ECV35" s="545"/>
      <c r="ECW35" s="545"/>
      <c r="ECX35" s="545"/>
      <c r="ECY35" s="545"/>
      <c r="ECZ35" s="545"/>
      <c r="EDA35" s="545"/>
      <c r="EDB35" s="545"/>
      <c r="EDC35" s="545"/>
      <c r="EDD35" s="545"/>
      <c r="EDE35" s="545"/>
      <c r="EDF35" s="545"/>
      <c r="EDG35" s="545"/>
      <c r="EDH35" s="545"/>
      <c r="EDI35" s="545"/>
      <c r="EDJ35" s="545"/>
      <c r="EDK35" s="545"/>
      <c r="EDL35" s="545"/>
      <c r="EDM35" s="545"/>
      <c r="EDN35" s="545"/>
      <c r="EDO35" s="545"/>
      <c r="EDP35" s="545"/>
      <c r="EDQ35" s="545"/>
      <c r="EDR35" s="545"/>
      <c r="EDS35" s="545"/>
      <c r="EDT35" s="545"/>
      <c r="EDU35" s="545"/>
      <c r="EDV35" s="545"/>
      <c r="EDW35" s="545"/>
      <c r="EDX35" s="545"/>
      <c r="EDY35" s="545"/>
      <c r="EDZ35" s="545"/>
      <c r="EEA35" s="545"/>
      <c r="EEB35" s="545"/>
      <c r="EEC35" s="545"/>
      <c r="EED35" s="545"/>
      <c r="EEE35" s="545"/>
      <c r="EEF35" s="545"/>
      <c r="EEG35" s="545"/>
      <c r="EEH35" s="545"/>
      <c r="EEI35" s="545"/>
      <c r="EEJ35" s="545"/>
      <c r="EEK35" s="545"/>
      <c r="EEL35" s="545"/>
      <c r="EEM35" s="545"/>
      <c r="EEN35" s="545"/>
      <c r="EEO35" s="545"/>
      <c r="EEP35" s="545"/>
      <c r="EEQ35" s="545"/>
      <c r="EER35" s="545"/>
      <c r="EES35" s="545"/>
      <c r="EET35" s="545"/>
      <c r="EEU35" s="545"/>
      <c r="EEV35" s="545"/>
      <c r="EEW35" s="545"/>
      <c r="EEX35" s="545"/>
      <c r="EEY35" s="545"/>
      <c r="EEZ35" s="545"/>
      <c r="EFA35" s="545"/>
      <c r="EFB35" s="545"/>
      <c r="EFC35" s="545"/>
      <c r="EFD35" s="545"/>
      <c r="EFE35" s="545"/>
      <c r="EFF35" s="545"/>
      <c r="EFG35" s="545"/>
      <c r="EFH35" s="545"/>
      <c r="EFI35" s="545"/>
      <c r="EFJ35" s="545"/>
      <c r="EFK35" s="545"/>
      <c r="EFL35" s="545"/>
      <c r="EFM35" s="545"/>
      <c r="EFN35" s="545"/>
      <c r="EFO35" s="545"/>
      <c r="EFP35" s="545"/>
      <c r="EFQ35" s="545"/>
      <c r="EFR35" s="545"/>
      <c r="EFS35" s="545"/>
      <c r="EFT35" s="545"/>
      <c r="EFU35" s="545"/>
      <c r="EFV35" s="545"/>
      <c r="EFW35" s="545"/>
      <c r="EFX35" s="545"/>
      <c r="EFY35" s="545"/>
      <c r="EFZ35" s="545"/>
      <c r="EGA35" s="545"/>
      <c r="EGB35" s="545"/>
      <c r="EGC35" s="545"/>
      <c r="EGD35" s="545"/>
      <c r="EGE35" s="545"/>
      <c r="EGF35" s="545"/>
      <c r="EGG35" s="545"/>
      <c r="EGH35" s="545"/>
      <c r="EGI35" s="545"/>
      <c r="EGJ35" s="545"/>
      <c r="EGK35" s="545"/>
      <c r="EGL35" s="545"/>
      <c r="EGM35" s="545"/>
      <c r="EGN35" s="545"/>
      <c r="EGO35" s="545"/>
      <c r="EGP35" s="545"/>
      <c r="EGQ35" s="545"/>
      <c r="EGR35" s="545"/>
      <c r="EGS35" s="545"/>
      <c r="EGT35" s="545"/>
      <c r="EGU35" s="545"/>
      <c r="EGV35" s="545"/>
      <c r="EGW35" s="545"/>
      <c r="EGX35" s="545"/>
      <c r="EGY35" s="545"/>
      <c r="EGZ35" s="545"/>
      <c r="EHA35" s="545"/>
      <c r="EHB35" s="545"/>
      <c r="EHC35" s="545"/>
      <c r="EHD35" s="545"/>
      <c r="EHE35" s="545"/>
      <c r="EHF35" s="545"/>
      <c r="EHG35" s="545"/>
      <c r="EHH35" s="545"/>
      <c r="EHI35" s="545"/>
      <c r="EHJ35" s="545"/>
      <c r="EHK35" s="545"/>
      <c r="EHL35" s="545"/>
      <c r="EHM35" s="545"/>
      <c r="EHN35" s="545"/>
      <c r="EHO35" s="545"/>
      <c r="EHP35" s="545"/>
      <c r="EHQ35" s="545"/>
      <c r="EHR35" s="545"/>
      <c r="EHS35" s="545"/>
      <c r="EHT35" s="545"/>
      <c r="EHU35" s="545"/>
      <c r="EHV35" s="545"/>
      <c r="EHW35" s="545"/>
      <c r="EHX35" s="545"/>
      <c r="EHY35" s="545"/>
      <c r="EHZ35" s="545"/>
      <c r="EIA35" s="545"/>
      <c r="EIB35" s="545"/>
      <c r="EIC35" s="545"/>
      <c r="EID35" s="545"/>
      <c r="EIE35" s="545"/>
      <c r="EIF35" s="545"/>
      <c r="EIG35" s="545"/>
      <c r="EIH35" s="545"/>
      <c r="EII35" s="545"/>
      <c r="EIJ35" s="545"/>
      <c r="EIK35" s="545"/>
      <c r="EIL35" s="545"/>
      <c r="EIM35" s="545"/>
      <c r="EIN35" s="545"/>
      <c r="EIO35" s="545"/>
      <c r="EIP35" s="545"/>
      <c r="EIQ35" s="545"/>
      <c r="EIR35" s="545"/>
      <c r="EIS35" s="545"/>
      <c r="EIT35" s="545"/>
      <c r="EIU35" s="545"/>
      <c r="EIV35" s="545"/>
      <c r="EIW35" s="545"/>
      <c r="EIX35" s="545"/>
      <c r="EIY35" s="545"/>
      <c r="EIZ35" s="545"/>
      <c r="EJA35" s="545"/>
      <c r="EJB35" s="545"/>
      <c r="EJC35" s="545"/>
      <c r="EJD35" s="545"/>
      <c r="EJE35" s="545"/>
      <c r="EJF35" s="545"/>
      <c r="EJG35" s="545"/>
      <c r="EJH35" s="545"/>
      <c r="EJI35" s="545"/>
      <c r="EJJ35" s="545"/>
      <c r="EJK35" s="545"/>
      <c r="EJL35" s="545"/>
      <c r="EJM35" s="545"/>
      <c r="EJN35" s="545"/>
      <c r="EJO35" s="545"/>
      <c r="EJP35" s="545"/>
      <c r="EJQ35" s="545"/>
      <c r="EJR35" s="545"/>
      <c r="EJS35" s="545"/>
      <c r="EJT35" s="545"/>
      <c r="EJU35" s="545"/>
      <c r="EJV35" s="545"/>
      <c r="EJW35" s="545"/>
      <c r="EJX35" s="545"/>
      <c r="EJY35" s="545"/>
      <c r="EJZ35" s="545"/>
      <c r="EKA35" s="545"/>
      <c r="EKB35" s="545"/>
      <c r="EKC35" s="545"/>
      <c r="EKD35" s="545"/>
      <c r="EKE35" s="545"/>
      <c r="EKF35" s="545"/>
      <c r="EKG35" s="545"/>
      <c r="EKH35" s="545"/>
      <c r="EKI35" s="545"/>
      <c r="EKJ35" s="545"/>
      <c r="EKK35" s="545"/>
      <c r="EKL35" s="545"/>
      <c r="EKM35" s="545"/>
      <c r="EKN35" s="545"/>
      <c r="EKO35" s="545"/>
      <c r="EKP35" s="545"/>
      <c r="EKQ35" s="545"/>
      <c r="EKR35" s="545"/>
      <c r="EKS35" s="545"/>
      <c r="EKT35" s="545"/>
      <c r="EKU35" s="545"/>
      <c r="EKV35" s="545"/>
      <c r="EKW35" s="545"/>
      <c r="EKX35" s="545"/>
      <c r="EKY35" s="545"/>
      <c r="EKZ35" s="545"/>
      <c r="ELA35" s="545"/>
      <c r="ELB35" s="545"/>
      <c r="ELC35" s="545"/>
      <c r="ELD35" s="545"/>
      <c r="ELE35" s="545"/>
      <c r="ELF35" s="545"/>
      <c r="ELG35" s="545"/>
      <c r="ELH35" s="545"/>
      <c r="ELI35" s="545"/>
      <c r="ELJ35" s="545"/>
      <c r="ELK35" s="545"/>
      <c r="ELL35" s="545"/>
      <c r="ELM35" s="545"/>
      <c r="ELN35" s="545"/>
      <c r="ELO35" s="545"/>
      <c r="ELP35" s="545"/>
      <c r="ELQ35" s="545"/>
      <c r="ELR35" s="545"/>
      <c r="ELS35" s="545"/>
      <c r="ELT35" s="545"/>
      <c r="ELU35" s="545"/>
      <c r="ELV35" s="545"/>
      <c r="ELW35" s="545"/>
      <c r="ELX35" s="545"/>
      <c r="ELY35" s="545"/>
      <c r="ELZ35" s="545"/>
      <c r="EMA35" s="545"/>
      <c r="EMB35" s="545"/>
      <c r="EMC35" s="545"/>
      <c r="EMD35" s="545"/>
      <c r="EME35" s="545"/>
      <c r="EMF35" s="545"/>
      <c r="EMG35" s="545"/>
      <c r="EMH35" s="545"/>
      <c r="EMI35" s="545"/>
      <c r="EMJ35" s="545"/>
      <c r="EMK35" s="545"/>
      <c r="EML35" s="545"/>
      <c r="EMM35" s="545"/>
      <c r="EMN35" s="545"/>
      <c r="EMO35" s="545"/>
      <c r="EMP35" s="545"/>
      <c r="EMQ35" s="545"/>
      <c r="EMR35" s="545"/>
      <c r="EMS35" s="545"/>
      <c r="EMT35" s="545"/>
      <c r="EMU35" s="545"/>
      <c r="EMV35" s="545"/>
      <c r="EMW35" s="545"/>
      <c r="EMX35" s="545"/>
      <c r="EMY35" s="545"/>
      <c r="EMZ35" s="545"/>
      <c r="ENA35" s="545"/>
      <c r="ENB35" s="545"/>
      <c r="ENC35" s="545"/>
      <c r="END35" s="545"/>
      <c r="ENE35" s="545"/>
      <c r="ENF35" s="545"/>
      <c r="ENG35" s="545"/>
      <c r="ENH35" s="545"/>
      <c r="ENI35" s="545"/>
      <c r="ENJ35" s="545"/>
      <c r="ENK35" s="545"/>
      <c r="ENL35" s="545"/>
      <c r="ENM35" s="545"/>
      <c r="ENN35" s="545"/>
      <c r="ENO35" s="545"/>
      <c r="ENP35" s="545"/>
      <c r="ENQ35" s="545"/>
      <c r="ENR35" s="545"/>
      <c r="ENS35" s="545"/>
      <c r="ENT35" s="545"/>
      <c r="ENU35" s="545"/>
      <c r="ENV35" s="545"/>
      <c r="ENW35" s="545"/>
      <c r="ENX35" s="545"/>
      <c r="ENY35" s="545"/>
      <c r="ENZ35" s="545"/>
      <c r="EOA35" s="545"/>
      <c r="EOB35" s="545"/>
      <c r="EOC35" s="545"/>
      <c r="EOD35" s="545"/>
      <c r="EOE35" s="545"/>
      <c r="EOF35" s="545"/>
      <c r="EOG35" s="545"/>
      <c r="EOH35" s="545"/>
      <c r="EOI35" s="545"/>
      <c r="EOJ35" s="545"/>
      <c r="EOK35" s="545"/>
      <c r="EOL35" s="545"/>
      <c r="EOM35" s="545"/>
      <c r="EON35" s="545"/>
      <c r="EOO35" s="545"/>
      <c r="EOP35" s="545"/>
      <c r="EOQ35" s="545"/>
      <c r="EOR35" s="545"/>
      <c r="EOS35" s="545"/>
      <c r="EOT35" s="545"/>
      <c r="EOU35" s="545"/>
      <c r="EOV35" s="545"/>
      <c r="EOW35" s="545"/>
      <c r="EOX35" s="545"/>
      <c r="EOY35" s="545"/>
      <c r="EOZ35" s="545"/>
      <c r="EPA35" s="545"/>
      <c r="EPB35" s="545"/>
      <c r="EPC35" s="545"/>
      <c r="EPD35" s="545"/>
      <c r="EPE35" s="545"/>
      <c r="EPF35" s="545"/>
      <c r="EPG35" s="545"/>
      <c r="EPH35" s="545"/>
      <c r="EPI35" s="545"/>
      <c r="EPJ35" s="545"/>
      <c r="EPK35" s="545"/>
      <c r="EPL35" s="545"/>
      <c r="EPM35" s="545"/>
      <c r="EPN35" s="545"/>
      <c r="EPO35" s="545"/>
      <c r="EPP35" s="545"/>
      <c r="EPQ35" s="545"/>
      <c r="EPR35" s="545"/>
      <c r="EPS35" s="545"/>
      <c r="EPT35" s="545"/>
      <c r="EPU35" s="545"/>
      <c r="EPV35" s="545"/>
      <c r="EPW35" s="545"/>
      <c r="EPX35" s="545"/>
      <c r="EPY35" s="545"/>
      <c r="EPZ35" s="545"/>
      <c r="EQA35" s="545"/>
      <c r="EQB35" s="545"/>
      <c r="EQC35" s="545"/>
      <c r="EQD35" s="545"/>
      <c r="EQE35" s="545"/>
      <c r="EQF35" s="545"/>
      <c r="EQG35" s="545"/>
      <c r="EQH35" s="545"/>
      <c r="EQI35" s="545"/>
      <c r="EQJ35" s="545"/>
      <c r="EQK35" s="545"/>
      <c r="EQL35" s="545"/>
      <c r="EQM35" s="545"/>
      <c r="EQN35" s="545"/>
      <c r="EQO35" s="545"/>
      <c r="EQP35" s="545"/>
      <c r="EQQ35" s="545"/>
      <c r="EQR35" s="545"/>
      <c r="EQS35" s="545"/>
      <c r="EQT35" s="545"/>
      <c r="EQU35" s="545"/>
      <c r="EQV35" s="545"/>
      <c r="EQW35" s="545"/>
      <c r="EQX35" s="545"/>
      <c r="EQY35" s="545"/>
      <c r="EQZ35" s="545"/>
      <c r="ERA35" s="545"/>
      <c r="ERB35" s="545"/>
      <c r="ERC35" s="545"/>
      <c r="ERD35" s="545"/>
      <c r="ERE35" s="545"/>
      <c r="ERF35" s="545"/>
      <c r="ERG35" s="545"/>
      <c r="ERH35" s="545"/>
      <c r="ERI35" s="545"/>
      <c r="ERJ35" s="545"/>
      <c r="ERK35" s="545"/>
      <c r="ERL35" s="545"/>
      <c r="ERM35" s="545"/>
      <c r="ERN35" s="545"/>
      <c r="ERO35" s="545"/>
      <c r="ERP35" s="545"/>
      <c r="ERQ35" s="545"/>
      <c r="ERR35" s="545"/>
      <c r="ERS35" s="545"/>
      <c r="ERT35" s="545"/>
      <c r="ERU35" s="545"/>
      <c r="ERV35" s="545"/>
      <c r="ERW35" s="545"/>
      <c r="ERX35" s="545"/>
      <c r="ERY35" s="545"/>
      <c r="ERZ35" s="545"/>
      <c r="ESA35" s="545"/>
      <c r="ESB35" s="545"/>
      <c r="ESC35" s="545"/>
      <c r="ESD35" s="545"/>
      <c r="ESE35" s="545"/>
      <c r="ESF35" s="545"/>
      <c r="ESG35" s="545"/>
      <c r="ESH35" s="545"/>
      <c r="ESI35" s="545"/>
      <c r="ESJ35" s="545"/>
      <c r="ESK35" s="545"/>
      <c r="ESL35" s="545"/>
      <c r="ESM35" s="545"/>
      <c r="ESN35" s="545"/>
      <c r="ESO35" s="545"/>
      <c r="ESP35" s="545"/>
      <c r="ESQ35" s="545"/>
      <c r="ESR35" s="545"/>
      <c r="ESS35" s="545"/>
      <c r="EST35" s="545"/>
      <c r="ESU35" s="545"/>
      <c r="ESV35" s="545"/>
      <c r="ESW35" s="545"/>
      <c r="ESX35" s="545"/>
      <c r="ESY35" s="545"/>
      <c r="ESZ35" s="545"/>
      <c r="ETA35" s="545"/>
      <c r="ETB35" s="545"/>
      <c r="ETC35" s="545"/>
      <c r="ETD35" s="545"/>
      <c r="ETE35" s="545"/>
      <c r="ETF35" s="545"/>
      <c r="ETG35" s="545"/>
      <c r="ETH35" s="545"/>
      <c r="ETI35" s="545"/>
      <c r="ETJ35" s="545"/>
      <c r="ETK35" s="545"/>
      <c r="ETL35" s="545"/>
      <c r="ETM35" s="545"/>
      <c r="ETN35" s="545"/>
      <c r="ETO35" s="545"/>
      <c r="ETP35" s="545"/>
      <c r="ETQ35" s="545"/>
      <c r="ETR35" s="545"/>
      <c r="ETS35" s="545"/>
      <c r="ETT35" s="545"/>
      <c r="ETU35" s="545"/>
      <c r="ETV35" s="545"/>
      <c r="ETW35" s="545"/>
      <c r="ETX35" s="545"/>
      <c r="ETY35" s="545"/>
      <c r="ETZ35" s="545"/>
      <c r="EUA35" s="545"/>
      <c r="EUB35" s="545"/>
      <c r="EUC35" s="545"/>
      <c r="EUD35" s="545"/>
      <c r="EUE35" s="545"/>
      <c r="EUF35" s="545"/>
      <c r="EUG35" s="545"/>
      <c r="EUH35" s="545"/>
      <c r="EUI35" s="545"/>
      <c r="EUJ35" s="545"/>
      <c r="EUK35" s="545"/>
      <c r="EUL35" s="545"/>
      <c r="EUM35" s="545"/>
      <c r="EUN35" s="545"/>
      <c r="EUO35" s="545"/>
      <c r="EUP35" s="545"/>
      <c r="EUQ35" s="545"/>
      <c r="EUR35" s="545"/>
      <c r="EUS35" s="545"/>
      <c r="EUT35" s="545"/>
      <c r="EUU35" s="545"/>
      <c r="EUV35" s="545"/>
      <c r="EUW35" s="545"/>
      <c r="EUX35" s="545"/>
      <c r="EUY35" s="545"/>
      <c r="EUZ35" s="545"/>
      <c r="EVA35" s="545"/>
      <c r="EVB35" s="545"/>
      <c r="EVC35" s="545"/>
      <c r="EVD35" s="545"/>
      <c r="EVE35" s="545"/>
      <c r="EVF35" s="545"/>
      <c r="EVG35" s="545"/>
      <c r="EVH35" s="545"/>
      <c r="EVI35" s="545"/>
      <c r="EVJ35" s="545"/>
      <c r="EVK35" s="545"/>
      <c r="EVL35" s="545"/>
      <c r="EVM35" s="545"/>
      <c r="EVN35" s="545"/>
      <c r="EVO35" s="545"/>
      <c r="EVP35" s="545"/>
      <c r="EVQ35" s="545"/>
      <c r="EVR35" s="545"/>
      <c r="EVS35" s="545"/>
      <c r="EVT35" s="545"/>
      <c r="EVU35" s="545"/>
      <c r="EVV35" s="545"/>
      <c r="EVW35" s="545"/>
      <c r="EVX35" s="545"/>
      <c r="EVY35" s="545"/>
      <c r="EVZ35" s="545"/>
      <c r="EWA35" s="545"/>
      <c r="EWB35" s="545"/>
      <c r="EWC35" s="545"/>
      <c r="EWD35" s="545"/>
      <c r="EWE35" s="545"/>
      <c r="EWF35" s="545"/>
      <c r="EWG35" s="545"/>
      <c r="EWH35" s="545"/>
      <c r="EWI35" s="545"/>
      <c r="EWJ35" s="545"/>
      <c r="EWK35" s="545"/>
      <c r="EWL35" s="545"/>
      <c r="EWM35" s="545"/>
      <c r="EWN35" s="545"/>
      <c r="EWO35" s="545"/>
      <c r="EWP35" s="545"/>
      <c r="EWQ35" s="545"/>
      <c r="EWR35" s="545"/>
      <c r="EWS35" s="545"/>
      <c r="EWT35" s="545"/>
      <c r="EWU35" s="545"/>
      <c r="EWV35" s="545"/>
      <c r="EWW35" s="545"/>
      <c r="EWX35" s="545"/>
      <c r="EWY35" s="545"/>
      <c r="EWZ35" s="545"/>
      <c r="EXA35" s="545"/>
      <c r="EXB35" s="545"/>
      <c r="EXC35" s="545"/>
      <c r="EXD35" s="545"/>
      <c r="EXE35" s="545"/>
      <c r="EXF35" s="545"/>
      <c r="EXG35" s="545"/>
      <c r="EXH35" s="545"/>
      <c r="EXI35" s="545"/>
      <c r="EXJ35" s="545"/>
      <c r="EXK35" s="545"/>
      <c r="EXL35" s="545"/>
      <c r="EXM35" s="545"/>
      <c r="EXN35" s="545"/>
      <c r="EXO35" s="545"/>
      <c r="EXP35" s="545"/>
      <c r="EXQ35" s="545"/>
      <c r="EXR35" s="545"/>
      <c r="EXS35" s="545"/>
      <c r="EXT35" s="545"/>
      <c r="EXU35" s="545"/>
      <c r="EXV35" s="545"/>
      <c r="EXW35" s="545"/>
      <c r="EXX35" s="545"/>
      <c r="EXY35" s="545"/>
      <c r="EXZ35" s="545"/>
      <c r="EYA35" s="545"/>
      <c r="EYB35" s="545"/>
      <c r="EYC35" s="545"/>
      <c r="EYD35" s="545"/>
      <c r="EYE35" s="545"/>
      <c r="EYF35" s="545"/>
      <c r="EYG35" s="545"/>
      <c r="EYH35" s="545"/>
      <c r="EYI35" s="545"/>
      <c r="EYJ35" s="545"/>
      <c r="EYK35" s="545"/>
      <c r="EYL35" s="545"/>
      <c r="EYM35" s="545"/>
      <c r="EYN35" s="545"/>
      <c r="EYO35" s="545"/>
      <c r="EYP35" s="545"/>
      <c r="EYQ35" s="545"/>
      <c r="EYR35" s="545"/>
      <c r="EYS35" s="545"/>
      <c r="EYT35" s="545"/>
      <c r="EYU35" s="545"/>
      <c r="EYV35" s="545"/>
      <c r="EYW35" s="545"/>
      <c r="EYX35" s="545"/>
      <c r="EYY35" s="545"/>
      <c r="EYZ35" s="545"/>
      <c r="EZA35" s="545"/>
      <c r="EZB35" s="545"/>
      <c r="EZC35" s="545"/>
      <c r="EZD35" s="545"/>
      <c r="EZE35" s="545"/>
      <c r="EZF35" s="545"/>
      <c r="EZG35" s="545"/>
      <c r="EZH35" s="545"/>
      <c r="EZI35" s="545"/>
      <c r="EZJ35" s="545"/>
      <c r="EZK35" s="545"/>
      <c r="EZL35" s="545"/>
      <c r="EZM35" s="545"/>
      <c r="EZN35" s="545"/>
      <c r="EZO35" s="545"/>
      <c r="EZP35" s="545"/>
      <c r="EZQ35" s="545"/>
      <c r="EZR35" s="545"/>
      <c r="EZS35" s="545"/>
      <c r="EZT35" s="545"/>
      <c r="EZU35" s="545"/>
      <c r="EZV35" s="545"/>
      <c r="EZW35" s="545"/>
      <c r="EZX35" s="545"/>
      <c r="EZY35" s="545"/>
      <c r="EZZ35" s="545"/>
      <c r="FAA35" s="545"/>
      <c r="FAB35" s="545"/>
      <c r="FAC35" s="545"/>
      <c r="FAD35" s="545"/>
      <c r="FAE35" s="545"/>
      <c r="FAF35" s="545"/>
      <c r="FAG35" s="545"/>
      <c r="FAH35" s="545"/>
      <c r="FAI35" s="545"/>
      <c r="FAJ35" s="545"/>
      <c r="FAK35" s="545"/>
      <c r="FAL35" s="545"/>
      <c r="FAM35" s="545"/>
      <c r="FAN35" s="545"/>
      <c r="FAO35" s="545"/>
      <c r="FAP35" s="545"/>
      <c r="FAQ35" s="545"/>
      <c r="FAR35" s="545"/>
      <c r="FAS35" s="545"/>
      <c r="FAT35" s="545"/>
      <c r="FAU35" s="545"/>
      <c r="FAV35" s="545"/>
      <c r="FAW35" s="545"/>
      <c r="FAX35" s="545"/>
      <c r="FAY35" s="545"/>
      <c r="FAZ35" s="545"/>
      <c r="FBA35" s="545"/>
      <c r="FBB35" s="545"/>
      <c r="FBC35" s="545"/>
      <c r="FBD35" s="545"/>
      <c r="FBE35" s="545"/>
      <c r="FBF35" s="545"/>
      <c r="FBG35" s="545"/>
      <c r="FBH35" s="545"/>
      <c r="FBI35" s="545"/>
      <c r="FBJ35" s="545"/>
      <c r="FBK35" s="545"/>
      <c r="FBL35" s="545"/>
      <c r="FBM35" s="545"/>
      <c r="FBN35" s="545"/>
      <c r="FBO35" s="545"/>
      <c r="FBP35" s="545"/>
      <c r="FBQ35" s="545"/>
      <c r="FBR35" s="545"/>
      <c r="FBS35" s="545"/>
      <c r="FBT35" s="545"/>
      <c r="FBU35" s="545"/>
      <c r="FBV35" s="545"/>
      <c r="FBW35" s="545"/>
      <c r="FBX35" s="545"/>
      <c r="FBY35" s="545"/>
      <c r="FBZ35" s="545"/>
      <c r="FCA35" s="545"/>
      <c r="FCB35" s="545"/>
      <c r="FCC35" s="545"/>
      <c r="FCD35" s="545"/>
      <c r="FCE35" s="545"/>
      <c r="FCF35" s="545"/>
      <c r="FCG35" s="545"/>
      <c r="FCH35" s="545"/>
      <c r="FCI35" s="545"/>
      <c r="FCJ35" s="545"/>
      <c r="FCK35" s="545"/>
      <c r="FCL35" s="545"/>
      <c r="FCM35" s="545"/>
      <c r="FCN35" s="545"/>
      <c r="FCO35" s="545"/>
      <c r="FCP35" s="545"/>
      <c r="FCQ35" s="545"/>
      <c r="FCR35" s="545"/>
      <c r="FCS35" s="545"/>
      <c r="FCT35" s="545"/>
      <c r="FCU35" s="545"/>
      <c r="FCV35" s="545"/>
      <c r="FCW35" s="545"/>
      <c r="FCX35" s="545"/>
      <c r="FCY35" s="545"/>
      <c r="FCZ35" s="545"/>
      <c r="FDA35" s="545"/>
      <c r="FDB35" s="545"/>
      <c r="FDC35" s="545"/>
      <c r="FDD35" s="545"/>
      <c r="FDE35" s="545"/>
      <c r="FDF35" s="545"/>
      <c r="FDG35" s="545"/>
      <c r="FDH35" s="545"/>
      <c r="FDI35" s="545"/>
      <c r="FDJ35" s="545"/>
      <c r="FDK35" s="545"/>
      <c r="FDL35" s="545"/>
      <c r="FDM35" s="545"/>
      <c r="FDN35" s="545"/>
      <c r="FDO35" s="545"/>
      <c r="FDP35" s="545"/>
      <c r="FDQ35" s="545"/>
      <c r="FDR35" s="545"/>
      <c r="FDS35" s="545"/>
      <c r="FDT35" s="545"/>
      <c r="FDU35" s="545"/>
      <c r="FDV35" s="545"/>
      <c r="FDW35" s="545"/>
      <c r="FDX35" s="545"/>
      <c r="FDY35" s="545"/>
      <c r="FDZ35" s="545"/>
      <c r="FEA35" s="545"/>
      <c r="FEB35" s="545"/>
      <c r="FEC35" s="545"/>
      <c r="FED35" s="545"/>
      <c r="FEE35" s="545"/>
      <c r="FEF35" s="545"/>
      <c r="FEG35" s="545"/>
      <c r="FEH35" s="545"/>
      <c r="FEI35" s="545"/>
      <c r="FEJ35" s="545"/>
      <c r="FEK35" s="545"/>
      <c r="FEL35" s="545"/>
      <c r="FEM35" s="545"/>
      <c r="FEN35" s="545"/>
      <c r="FEO35" s="545"/>
      <c r="FEP35" s="545"/>
      <c r="FEQ35" s="545"/>
      <c r="FER35" s="545"/>
      <c r="FES35" s="545"/>
      <c r="FET35" s="545"/>
      <c r="FEU35" s="545"/>
      <c r="FEV35" s="545"/>
      <c r="FEW35" s="545"/>
      <c r="FEX35" s="545"/>
      <c r="FEY35" s="545"/>
      <c r="FEZ35" s="545"/>
      <c r="FFA35" s="545"/>
      <c r="FFB35" s="545"/>
      <c r="FFC35" s="545"/>
      <c r="FFD35" s="545"/>
      <c r="FFE35" s="545"/>
      <c r="FFF35" s="545"/>
      <c r="FFG35" s="545"/>
      <c r="FFH35" s="545"/>
      <c r="FFI35" s="545"/>
      <c r="FFJ35" s="545"/>
      <c r="FFK35" s="545"/>
      <c r="FFL35" s="545"/>
      <c r="FFM35" s="545"/>
      <c r="FFN35" s="545"/>
      <c r="FFO35" s="545"/>
      <c r="FFP35" s="545"/>
      <c r="FFQ35" s="545"/>
      <c r="FFR35" s="545"/>
      <c r="FFS35" s="545"/>
      <c r="FFT35" s="545"/>
      <c r="FFU35" s="545"/>
      <c r="FFV35" s="545"/>
      <c r="FFW35" s="545"/>
      <c r="FFX35" s="545"/>
      <c r="FFY35" s="545"/>
      <c r="FFZ35" s="545"/>
      <c r="FGA35" s="545"/>
      <c r="FGB35" s="545"/>
      <c r="FGC35" s="545"/>
      <c r="FGD35" s="545"/>
      <c r="FGE35" s="545"/>
      <c r="FGF35" s="545"/>
      <c r="FGG35" s="545"/>
      <c r="FGH35" s="545"/>
      <c r="FGI35" s="545"/>
      <c r="FGJ35" s="545"/>
      <c r="FGK35" s="545"/>
      <c r="FGL35" s="545"/>
      <c r="FGM35" s="545"/>
      <c r="FGN35" s="545"/>
      <c r="FGO35" s="545"/>
      <c r="FGP35" s="545"/>
      <c r="FGQ35" s="545"/>
      <c r="FGR35" s="545"/>
      <c r="FGS35" s="545"/>
      <c r="FGT35" s="545"/>
      <c r="FGU35" s="545"/>
      <c r="FGV35" s="545"/>
      <c r="FGW35" s="545"/>
      <c r="FGX35" s="545"/>
      <c r="FGY35" s="545"/>
      <c r="FGZ35" s="545"/>
      <c r="FHA35" s="545"/>
      <c r="FHB35" s="545"/>
      <c r="FHC35" s="545"/>
      <c r="FHD35" s="545"/>
      <c r="FHE35" s="545"/>
      <c r="FHF35" s="545"/>
      <c r="FHG35" s="545"/>
      <c r="FHH35" s="545"/>
      <c r="FHI35" s="545"/>
      <c r="FHJ35" s="545"/>
      <c r="FHK35" s="545"/>
      <c r="FHL35" s="545"/>
      <c r="FHM35" s="545"/>
      <c r="FHN35" s="545"/>
      <c r="FHO35" s="545"/>
      <c r="FHP35" s="545"/>
      <c r="FHQ35" s="545"/>
      <c r="FHR35" s="545"/>
      <c r="FHS35" s="545"/>
      <c r="FHT35" s="545"/>
      <c r="FHU35" s="545"/>
      <c r="FHV35" s="545"/>
      <c r="FHW35" s="545"/>
      <c r="FHX35" s="545"/>
      <c r="FHY35" s="545"/>
      <c r="FHZ35" s="545"/>
      <c r="FIA35" s="545"/>
      <c r="FIB35" s="545"/>
      <c r="FIC35" s="545"/>
      <c r="FID35" s="545"/>
      <c r="FIE35" s="545"/>
      <c r="FIF35" s="545"/>
      <c r="FIG35" s="545"/>
      <c r="FIH35" s="545"/>
      <c r="FII35" s="545"/>
      <c r="FIJ35" s="545"/>
      <c r="FIK35" s="545"/>
      <c r="FIL35" s="545"/>
      <c r="FIM35" s="545"/>
      <c r="FIN35" s="545"/>
      <c r="FIO35" s="545"/>
      <c r="FIP35" s="545"/>
      <c r="FIQ35" s="545"/>
      <c r="FIR35" s="545"/>
      <c r="FIS35" s="545"/>
      <c r="FIT35" s="545"/>
      <c r="FIU35" s="545"/>
      <c r="FIV35" s="545"/>
      <c r="FIW35" s="545"/>
      <c r="FIX35" s="545"/>
      <c r="FIY35" s="545"/>
      <c r="FIZ35" s="545"/>
      <c r="FJA35" s="545"/>
      <c r="FJB35" s="545"/>
      <c r="FJC35" s="545"/>
      <c r="FJD35" s="545"/>
      <c r="FJE35" s="545"/>
      <c r="FJF35" s="545"/>
      <c r="FJG35" s="545"/>
      <c r="FJH35" s="545"/>
      <c r="FJI35" s="545"/>
      <c r="FJJ35" s="545"/>
      <c r="FJK35" s="545"/>
      <c r="FJL35" s="545"/>
      <c r="FJM35" s="545"/>
      <c r="FJN35" s="545"/>
      <c r="FJO35" s="545"/>
      <c r="FJP35" s="545"/>
      <c r="FJQ35" s="545"/>
      <c r="FJR35" s="545"/>
      <c r="FJS35" s="545"/>
      <c r="FJT35" s="545"/>
      <c r="FJU35" s="545"/>
      <c r="FJV35" s="545"/>
      <c r="FJW35" s="545"/>
      <c r="FJX35" s="545"/>
      <c r="FJY35" s="545"/>
      <c r="FJZ35" s="545"/>
      <c r="FKA35" s="545"/>
      <c r="FKB35" s="545"/>
      <c r="FKC35" s="545"/>
      <c r="FKD35" s="545"/>
      <c r="FKE35" s="545"/>
      <c r="FKF35" s="545"/>
      <c r="FKG35" s="545"/>
      <c r="FKH35" s="545"/>
      <c r="FKI35" s="545"/>
      <c r="FKJ35" s="545"/>
      <c r="FKK35" s="545"/>
      <c r="FKL35" s="545"/>
      <c r="FKM35" s="545"/>
      <c r="FKN35" s="545"/>
      <c r="FKO35" s="545"/>
      <c r="FKP35" s="545"/>
      <c r="FKQ35" s="545"/>
      <c r="FKR35" s="545"/>
      <c r="FKS35" s="545"/>
      <c r="FKT35" s="545"/>
      <c r="FKU35" s="545"/>
      <c r="FKV35" s="545"/>
      <c r="FKW35" s="545"/>
      <c r="FKX35" s="545"/>
      <c r="FKY35" s="545"/>
      <c r="FKZ35" s="545"/>
      <c r="FLA35" s="545"/>
      <c r="FLB35" s="545"/>
      <c r="FLC35" s="545"/>
      <c r="FLD35" s="545"/>
      <c r="FLE35" s="545"/>
      <c r="FLF35" s="545"/>
      <c r="FLG35" s="545"/>
      <c r="FLH35" s="545"/>
      <c r="FLI35" s="545"/>
      <c r="FLJ35" s="545"/>
      <c r="FLK35" s="545"/>
      <c r="FLL35" s="545"/>
      <c r="FLM35" s="545"/>
      <c r="FLN35" s="545"/>
      <c r="FLO35" s="545"/>
      <c r="FLP35" s="545"/>
      <c r="FLQ35" s="545"/>
      <c r="FLR35" s="545"/>
      <c r="FLS35" s="545"/>
      <c r="FLT35" s="545"/>
      <c r="FLU35" s="545"/>
      <c r="FLV35" s="545"/>
      <c r="FLW35" s="545"/>
      <c r="FLX35" s="545"/>
      <c r="FLY35" s="545"/>
      <c r="FLZ35" s="545"/>
      <c r="FMA35" s="545"/>
      <c r="FMB35" s="545"/>
      <c r="FMC35" s="545"/>
      <c r="FMD35" s="545"/>
      <c r="FME35" s="545"/>
      <c r="FMF35" s="545"/>
      <c r="FMG35" s="545"/>
      <c r="FMH35" s="545"/>
      <c r="FMI35" s="545"/>
      <c r="FMJ35" s="545"/>
      <c r="FMK35" s="545"/>
      <c r="FML35" s="545"/>
      <c r="FMM35" s="545"/>
      <c r="FMN35" s="545"/>
      <c r="FMO35" s="545"/>
      <c r="FMP35" s="545"/>
      <c r="FMQ35" s="545"/>
      <c r="FMR35" s="545"/>
      <c r="FMS35" s="545"/>
      <c r="FMT35" s="545"/>
      <c r="FMU35" s="545"/>
      <c r="FMV35" s="545"/>
      <c r="FMW35" s="545"/>
      <c r="FMX35" s="545"/>
      <c r="FMY35" s="545"/>
      <c r="FMZ35" s="545"/>
      <c r="FNA35" s="545"/>
      <c r="FNB35" s="545"/>
      <c r="FNC35" s="545"/>
      <c r="FND35" s="545"/>
      <c r="FNE35" s="545"/>
      <c r="FNF35" s="545"/>
      <c r="FNG35" s="545"/>
      <c r="FNH35" s="545"/>
      <c r="FNI35" s="545"/>
      <c r="FNJ35" s="545"/>
      <c r="FNK35" s="545"/>
      <c r="FNL35" s="545"/>
      <c r="FNM35" s="545"/>
      <c r="FNN35" s="545"/>
      <c r="FNO35" s="545"/>
      <c r="FNP35" s="545"/>
      <c r="FNQ35" s="545"/>
      <c r="FNR35" s="545"/>
      <c r="FNS35" s="545"/>
      <c r="FNT35" s="545"/>
      <c r="FNU35" s="545"/>
      <c r="FNV35" s="545"/>
      <c r="FNW35" s="545"/>
      <c r="FNX35" s="545"/>
      <c r="FNY35" s="545"/>
      <c r="FNZ35" s="545"/>
      <c r="FOA35" s="545"/>
      <c r="FOB35" s="545"/>
      <c r="FOC35" s="545"/>
      <c r="FOD35" s="545"/>
      <c r="FOE35" s="545"/>
      <c r="FOF35" s="545"/>
      <c r="FOG35" s="545"/>
      <c r="FOH35" s="545"/>
      <c r="FOI35" s="545"/>
      <c r="FOJ35" s="545"/>
      <c r="FOK35" s="545"/>
      <c r="FOL35" s="545"/>
      <c r="FOM35" s="545"/>
      <c r="FON35" s="545"/>
      <c r="FOO35" s="545"/>
      <c r="FOP35" s="545"/>
      <c r="FOQ35" s="545"/>
      <c r="FOR35" s="545"/>
      <c r="FOS35" s="545"/>
      <c r="FOT35" s="545"/>
      <c r="FOU35" s="545"/>
      <c r="FOV35" s="545"/>
      <c r="FOW35" s="545"/>
      <c r="FOX35" s="545"/>
      <c r="FOY35" s="545"/>
      <c r="FOZ35" s="545"/>
      <c r="FPA35" s="545"/>
      <c r="FPB35" s="545"/>
      <c r="FPC35" s="545"/>
      <c r="FPD35" s="545"/>
      <c r="FPE35" s="545"/>
      <c r="FPF35" s="545"/>
      <c r="FPG35" s="545"/>
      <c r="FPH35" s="545"/>
      <c r="FPI35" s="545"/>
      <c r="FPJ35" s="545"/>
      <c r="FPK35" s="545"/>
      <c r="FPL35" s="545"/>
      <c r="FPM35" s="545"/>
      <c r="FPN35" s="545"/>
      <c r="FPO35" s="545"/>
      <c r="FPP35" s="545"/>
      <c r="FPQ35" s="545"/>
      <c r="FPR35" s="545"/>
      <c r="FPS35" s="545"/>
      <c r="FPT35" s="545"/>
      <c r="FPU35" s="545"/>
      <c r="FPV35" s="545"/>
      <c r="FPW35" s="545"/>
      <c r="FPX35" s="545"/>
      <c r="FPY35" s="545"/>
      <c r="FPZ35" s="545"/>
      <c r="FQA35" s="545"/>
      <c r="FQB35" s="545"/>
      <c r="FQC35" s="545"/>
      <c r="FQD35" s="545"/>
      <c r="FQE35" s="545"/>
      <c r="FQF35" s="545"/>
      <c r="FQG35" s="545"/>
      <c r="FQH35" s="545"/>
      <c r="FQI35" s="545"/>
      <c r="FQJ35" s="545"/>
      <c r="FQK35" s="545"/>
      <c r="FQL35" s="545"/>
      <c r="FQM35" s="545"/>
      <c r="FQN35" s="545"/>
      <c r="FQO35" s="545"/>
      <c r="FQP35" s="545"/>
      <c r="FQQ35" s="545"/>
      <c r="FQR35" s="545"/>
      <c r="FQS35" s="545"/>
      <c r="FQT35" s="545"/>
      <c r="FQU35" s="545"/>
      <c r="FQV35" s="545"/>
      <c r="FQW35" s="545"/>
      <c r="FQX35" s="545"/>
      <c r="FQY35" s="545"/>
      <c r="FQZ35" s="545"/>
      <c r="FRA35" s="545"/>
      <c r="FRB35" s="545"/>
      <c r="FRC35" s="545"/>
      <c r="FRD35" s="545"/>
      <c r="FRE35" s="545"/>
      <c r="FRF35" s="545"/>
      <c r="FRG35" s="545"/>
      <c r="FRH35" s="545"/>
      <c r="FRI35" s="545"/>
      <c r="FRJ35" s="545"/>
      <c r="FRK35" s="545"/>
      <c r="FRL35" s="545"/>
      <c r="FRM35" s="545"/>
      <c r="FRN35" s="545"/>
      <c r="FRO35" s="545"/>
      <c r="FRP35" s="545"/>
      <c r="FRQ35" s="545"/>
      <c r="FRR35" s="545"/>
      <c r="FRS35" s="545"/>
      <c r="FRT35" s="545"/>
      <c r="FRU35" s="545"/>
      <c r="FRV35" s="545"/>
      <c r="FRW35" s="545"/>
      <c r="FRX35" s="545"/>
      <c r="FRY35" s="545"/>
      <c r="FRZ35" s="545"/>
      <c r="FSA35" s="545"/>
      <c r="FSB35" s="545"/>
      <c r="FSC35" s="545"/>
      <c r="FSD35" s="545"/>
      <c r="FSE35" s="545"/>
      <c r="FSF35" s="545"/>
      <c r="FSG35" s="545"/>
      <c r="FSH35" s="545"/>
      <c r="FSI35" s="545"/>
      <c r="FSJ35" s="545"/>
      <c r="FSK35" s="545"/>
      <c r="FSL35" s="545"/>
      <c r="FSM35" s="545"/>
      <c r="FSN35" s="545"/>
      <c r="FSO35" s="545"/>
      <c r="FSP35" s="545"/>
      <c r="FSQ35" s="545"/>
      <c r="FSR35" s="545"/>
      <c r="FSS35" s="545"/>
      <c r="FST35" s="545"/>
      <c r="FSU35" s="545"/>
      <c r="FSV35" s="545"/>
      <c r="FSW35" s="545"/>
      <c r="FSX35" s="545"/>
      <c r="FSY35" s="545"/>
      <c r="FSZ35" s="545"/>
      <c r="FTA35" s="545"/>
      <c r="FTB35" s="545"/>
      <c r="FTC35" s="545"/>
      <c r="FTD35" s="545"/>
      <c r="FTE35" s="545"/>
      <c r="FTF35" s="545"/>
      <c r="FTG35" s="545"/>
      <c r="FTH35" s="545"/>
      <c r="FTI35" s="545"/>
      <c r="FTJ35" s="545"/>
      <c r="FTK35" s="545"/>
      <c r="FTL35" s="545"/>
      <c r="FTM35" s="545"/>
      <c r="FTN35" s="545"/>
      <c r="FTO35" s="545"/>
      <c r="FTP35" s="545"/>
      <c r="FTQ35" s="545"/>
      <c r="FTR35" s="545"/>
      <c r="FTS35" s="545"/>
      <c r="FTT35" s="545"/>
      <c r="FTU35" s="545"/>
      <c r="FTV35" s="545"/>
      <c r="FTW35" s="545"/>
      <c r="FTX35" s="545"/>
      <c r="FTY35" s="545"/>
      <c r="FTZ35" s="545"/>
      <c r="FUA35" s="545"/>
      <c r="FUB35" s="545"/>
      <c r="FUC35" s="545"/>
      <c r="FUD35" s="545"/>
      <c r="FUE35" s="545"/>
      <c r="FUF35" s="545"/>
      <c r="FUG35" s="545"/>
      <c r="FUH35" s="545"/>
      <c r="FUI35" s="545"/>
      <c r="FUJ35" s="545"/>
      <c r="FUK35" s="545"/>
      <c r="FUL35" s="545"/>
      <c r="FUM35" s="545"/>
      <c r="FUN35" s="545"/>
      <c r="FUO35" s="545"/>
      <c r="FUP35" s="545"/>
      <c r="FUQ35" s="545"/>
      <c r="FUR35" s="545"/>
      <c r="FUS35" s="545"/>
      <c r="FUT35" s="545"/>
      <c r="FUU35" s="545"/>
      <c r="FUV35" s="545"/>
      <c r="FUW35" s="545"/>
      <c r="FUX35" s="545"/>
      <c r="FUY35" s="545"/>
      <c r="FUZ35" s="545"/>
      <c r="FVA35" s="545"/>
      <c r="FVB35" s="545"/>
      <c r="FVC35" s="545"/>
      <c r="FVD35" s="545"/>
      <c r="FVE35" s="545"/>
      <c r="FVF35" s="545"/>
      <c r="FVG35" s="545"/>
      <c r="FVH35" s="545"/>
      <c r="FVI35" s="545"/>
      <c r="FVJ35" s="545"/>
      <c r="FVK35" s="545"/>
      <c r="FVL35" s="545"/>
      <c r="FVM35" s="545"/>
      <c r="FVN35" s="545"/>
      <c r="FVO35" s="545"/>
      <c r="FVP35" s="545"/>
      <c r="FVQ35" s="545"/>
      <c r="FVR35" s="545"/>
      <c r="FVS35" s="545"/>
      <c r="FVT35" s="545"/>
      <c r="FVU35" s="545"/>
      <c r="FVV35" s="545"/>
      <c r="FVW35" s="545"/>
      <c r="FVX35" s="545"/>
      <c r="FVY35" s="545"/>
      <c r="FVZ35" s="545"/>
      <c r="FWA35" s="545"/>
      <c r="FWB35" s="545"/>
      <c r="FWC35" s="545"/>
      <c r="FWD35" s="545"/>
      <c r="FWE35" s="545"/>
      <c r="FWF35" s="545"/>
      <c r="FWG35" s="545"/>
      <c r="FWH35" s="545"/>
      <c r="FWI35" s="545"/>
      <c r="FWJ35" s="545"/>
      <c r="FWK35" s="545"/>
      <c r="FWL35" s="545"/>
      <c r="FWM35" s="545"/>
      <c r="FWN35" s="545"/>
      <c r="FWO35" s="545"/>
      <c r="FWP35" s="545"/>
      <c r="FWQ35" s="545"/>
      <c r="FWR35" s="545"/>
      <c r="FWS35" s="545"/>
      <c r="FWT35" s="545"/>
      <c r="FWU35" s="545"/>
      <c r="FWV35" s="545"/>
      <c r="FWW35" s="545"/>
      <c r="FWX35" s="545"/>
      <c r="FWY35" s="545"/>
      <c r="FWZ35" s="545"/>
      <c r="FXA35" s="545"/>
      <c r="FXB35" s="545"/>
      <c r="FXC35" s="545"/>
      <c r="FXD35" s="545"/>
      <c r="FXE35" s="545"/>
      <c r="FXF35" s="545"/>
      <c r="FXG35" s="545"/>
      <c r="FXH35" s="545"/>
      <c r="FXI35" s="545"/>
      <c r="FXJ35" s="545"/>
      <c r="FXK35" s="545"/>
      <c r="FXL35" s="545"/>
      <c r="FXM35" s="545"/>
      <c r="FXN35" s="545"/>
      <c r="FXO35" s="545"/>
      <c r="FXP35" s="545"/>
      <c r="FXQ35" s="545"/>
      <c r="FXR35" s="545"/>
      <c r="FXS35" s="545"/>
      <c r="FXT35" s="545"/>
      <c r="FXU35" s="545"/>
      <c r="FXV35" s="545"/>
      <c r="FXW35" s="545"/>
      <c r="FXX35" s="545"/>
      <c r="FXY35" s="545"/>
      <c r="FXZ35" s="545"/>
      <c r="FYA35" s="545"/>
      <c r="FYB35" s="545"/>
      <c r="FYC35" s="545"/>
      <c r="FYD35" s="545"/>
      <c r="FYE35" s="545"/>
      <c r="FYF35" s="545"/>
      <c r="FYG35" s="545"/>
      <c r="FYH35" s="545"/>
      <c r="FYI35" s="545"/>
      <c r="FYJ35" s="545"/>
      <c r="FYK35" s="545"/>
      <c r="FYL35" s="545"/>
      <c r="FYM35" s="545"/>
      <c r="FYN35" s="545"/>
      <c r="FYO35" s="545"/>
      <c r="FYP35" s="545"/>
      <c r="FYQ35" s="545"/>
      <c r="FYR35" s="545"/>
      <c r="FYS35" s="545"/>
      <c r="FYT35" s="545"/>
      <c r="FYU35" s="545"/>
      <c r="FYV35" s="545"/>
      <c r="FYW35" s="545"/>
      <c r="FYX35" s="545"/>
      <c r="FYY35" s="545"/>
      <c r="FYZ35" s="545"/>
      <c r="FZA35" s="545"/>
      <c r="FZB35" s="545"/>
      <c r="FZC35" s="545"/>
      <c r="FZD35" s="545"/>
      <c r="FZE35" s="545"/>
      <c r="FZF35" s="545"/>
      <c r="FZG35" s="545"/>
      <c r="FZH35" s="545"/>
      <c r="FZI35" s="545"/>
      <c r="FZJ35" s="545"/>
      <c r="FZK35" s="545"/>
      <c r="FZL35" s="545"/>
      <c r="FZM35" s="545"/>
      <c r="FZN35" s="545"/>
      <c r="FZO35" s="545"/>
      <c r="FZP35" s="545"/>
      <c r="FZQ35" s="545"/>
      <c r="FZR35" s="545"/>
      <c r="FZS35" s="545"/>
      <c r="FZT35" s="545"/>
      <c r="FZU35" s="545"/>
      <c r="FZV35" s="545"/>
      <c r="FZW35" s="545"/>
      <c r="FZX35" s="545"/>
      <c r="FZY35" s="545"/>
      <c r="FZZ35" s="545"/>
      <c r="GAA35" s="545"/>
      <c r="GAB35" s="545"/>
      <c r="GAC35" s="545"/>
      <c r="GAD35" s="545"/>
      <c r="GAE35" s="545"/>
      <c r="GAF35" s="545"/>
      <c r="GAG35" s="545"/>
      <c r="GAH35" s="545"/>
      <c r="GAI35" s="545"/>
      <c r="GAJ35" s="545"/>
      <c r="GAK35" s="545"/>
      <c r="GAL35" s="545"/>
      <c r="GAM35" s="545"/>
      <c r="GAN35" s="545"/>
      <c r="GAO35" s="545"/>
      <c r="GAP35" s="545"/>
      <c r="GAQ35" s="545"/>
      <c r="GAR35" s="545"/>
      <c r="GAS35" s="545"/>
      <c r="GAT35" s="545"/>
      <c r="GAU35" s="545"/>
      <c r="GAV35" s="545"/>
      <c r="GAW35" s="545"/>
      <c r="GAX35" s="545"/>
      <c r="GAY35" s="545"/>
      <c r="GAZ35" s="545"/>
      <c r="GBA35" s="545"/>
      <c r="GBB35" s="545"/>
      <c r="GBC35" s="545"/>
      <c r="GBD35" s="545"/>
      <c r="GBE35" s="545"/>
      <c r="GBF35" s="545"/>
      <c r="GBG35" s="545"/>
      <c r="GBH35" s="545"/>
      <c r="GBI35" s="545"/>
      <c r="GBJ35" s="545"/>
      <c r="GBK35" s="545"/>
      <c r="GBL35" s="545"/>
      <c r="GBM35" s="545"/>
      <c r="GBN35" s="545"/>
      <c r="GBO35" s="545"/>
      <c r="GBP35" s="545"/>
      <c r="GBQ35" s="545"/>
      <c r="GBR35" s="545"/>
      <c r="GBS35" s="545"/>
      <c r="GBT35" s="545"/>
      <c r="GBU35" s="545"/>
      <c r="GBV35" s="545"/>
      <c r="GBW35" s="545"/>
      <c r="GBX35" s="545"/>
      <c r="GBY35" s="545"/>
      <c r="GBZ35" s="545"/>
      <c r="GCA35" s="545"/>
      <c r="GCB35" s="545"/>
      <c r="GCC35" s="545"/>
      <c r="GCD35" s="545"/>
      <c r="GCE35" s="545"/>
      <c r="GCF35" s="545"/>
      <c r="GCG35" s="545"/>
      <c r="GCH35" s="545"/>
      <c r="GCI35" s="545"/>
      <c r="GCJ35" s="545"/>
      <c r="GCK35" s="545"/>
      <c r="GCL35" s="545"/>
      <c r="GCM35" s="545"/>
      <c r="GCN35" s="545"/>
      <c r="GCO35" s="545"/>
      <c r="GCP35" s="545"/>
      <c r="GCQ35" s="545"/>
      <c r="GCR35" s="545"/>
      <c r="GCS35" s="545"/>
      <c r="GCT35" s="545"/>
      <c r="GCU35" s="545"/>
      <c r="GCV35" s="545"/>
      <c r="GCW35" s="545"/>
      <c r="GCX35" s="545"/>
      <c r="GCY35" s="545"/>
      <c r="GCZ35" s="545"/>
      <c r="GDA35" s="545"/>
      <c r="GDB35" s="545"/>
      <c r="GDC35" s="545"/>
      <c r="GDD35" s="545"/>
      <c r="GDE35" s="545"/>
      <c r="GDF35" s="545"/>
      <c r="GDG35" s="545"/>
      <c r="GDH35" s="545"/>
      <c r="GDI35" s="545"/>
      <c r="GDJ35" s="545"/>
      <c r="GDK35" s="545"/>
      <c r="GDL35" s="545"/>
      <c r="GDM35" s="545"/>
      <c r="GDN35" s="545"/>
      <c r="GDO35" s="545"/>
      <c r="GDP35" s="545"/>
      <c r="GDQ35" s="545"/>
      <c r="GDR35" s="545"/>
      <c r="GDS35" s="545"/>
      <c r="GDT35" s="545"/>
      <c r="GDU35" s="545"/>
      <c r="GDV35" s="545"/>
      <c r="GDW35" s="545"/>
      <c r="GDX35" s="545"/>
      <c r="GDY35" s="545"/>
      <c r="GDZ35" s="545"/>
      <c r="GEA35" s="545"/>
      <c r="GEB35" s="545"/>
      <c r="GEC35" s="545"/>
      <c r="GED35" s="545"/>
      <c r="GEE35" s="545"/>
      <c r="GEF35" s="545"/>
      <c r="GEG35" s="545"/>
      <c r="GEH35" s="545"/>
      <c r="GEI35" s="545"/>
      <c r="GEJ35" s="545"/>
      <c r="GEK35" s="545"/>
      <c r="GEL35" s="545"/>
      <c r="GEM35" s="545"/>
      <c r="GEN35" s="545"/>
      <c r="GEO35" s="545"/>
      <c r="GEP35" s="545"/>
      <c r="GEQ35" s="545"/>
      <c r="GER35" s="545"/>
      <c r="GES35" s="545"/>
      <c r="GET35" s="545"/>
      <c r="GEU35" s="545"/>
      <c r="GEV35" s="545"/>
      <c r="GEW35" s="545"/>
      <c r="GEX35" s="545"/>
      <c r="GEY35" s="545"/>
      <c r="GEZ35" s="545"/>
      <c r="GFA35" s="545"/>
      <c r="GFB35" s="545"/>
      <c r="GFC35" s="545"/>
      <c r="GFD35" s="545"/>
      <c r="GFE35" s="545"/>
      <c r="GFF35" s="545"/>
      <c r="GFG35" s="545"/>
      <c r="GFH35" s="545"/>
      <c r="GFI35" s="545"/>
      <c r="GFJ35" s="545"/>
      <c r="GFK35" s="545"/>
      <c r="GFL35" s="545"/>
      <c r="GFM35" s="545"/>
      <c r="GFN35" s="545"/>
      <c r="GFO35" s="545"/>
      <c r="GFP35" s="545"/>
      <c r="GFQ35" s="545"/>
      <c r="GFR35" s="545"/>
      <c r="GFS35" s="545"/>
      <c r="GFT35" s="545"/>
      <c r="GFU35" s="545"/>
      <c r="GFV35" s="545"/>
      <c r="GFW35" s="545"/>
      <c r="GFX35" s="545"/>
      <c r="GFY35" s="545"/>
      <c r="GFZ35" s="545"/>
      <c r="GGA35" s="545"/>
      <c r="GGB35" s="545"/>
      <c r="GGC35" s="545"/>
      <c r="GGD35" s="545"/>
      <c r="GGE35" s="545"/>
      <c r="GGF35" s="545"/>
      <c r="GGG35" s="545"/>
      <c r="GGH35" s="545"/>
      <c r="GGI35" s="545"/>
      <c r="GGJ35" s="545"/>
      <c r="GGK35" s="545"/>
      <c r="GGL35" s="545"/>
      <c r="GGM35" s="545"/>
      <c r="GGN35" s="545"/>
      <c r="GGO35" s="545"/>
      <c r="GGP35" s="545"/>
      <c r="GGQ35" s="545"/>
      <c r="GGR35" s="545"/>
      <c r="GGS35" s="545"/>
      <c r="GGT35" s="545"/>
      <c r="GGU35" s="545"/>
      <c r="GGV35" s="545"/>
      <c r="GGW35" s="545"/>
      <c r="GGX35" s="545"/>
      <c r="GGY35" s="545"/>
      <c r="GGZ35" s="545"/>
      <c r="GHA35" s="545"/>
      <c r="GHB35" s="545"/>
      <c r="GHC35" s="545"/>
      <c r="GHD35" s="545"/>
      <c r="GHE35" s="545"/>
      <c r="GHF35" s="545"/>
      <c r="GHG35" s="545"/>
      <c r="GHH35" s="545"/>
      <c r="GHI35" s="545"/>
      <c r="GHJ35" s="545"/>
      <c r="GHK35" s="545"/>
      <c r="GHL35" s="545"/>
      <c r="GHM35" s="545"/>
      <c r="GHN35" s="545"/>
      <c r="GHO35" s="545"/>
      <c r="GHP35" s="545"/>
      <c r="GHQ35" s="545"/>
      <c r="GHR35" s="545"/>
      <c r="GHS35" s="545"/>
      <c r="GHT35" s="545"/>
      <c r="GHU35" s="545"/>
      <c r="GHV35" s="545"/>
      <c r="GHW35" s="545"/>
      <c r="GHX35" s="545"/>
      <c r="GHY35" s="545"/>
      <c r="GHZ35" s="545"/>
      <c r="GIA35" s="545"/>
      <c r="GIB35" s="545"/>
      <c r="GIC35" s="545"/>
      <c r="GID35" s="545"/>
      <c r="GIE35" s="545"/>
      <c r="GIF35" s="545"/>
      <c r="GIG35" s="545"/>
      <c r="GIH35" s="545"/>
      <c r="GII35" s="545"/>
      <c r="GIJ35" s="545"/>
      <c r="GIK35" s="545"/>
      <c r="GIL35" s="545"/>
      <c r="GIM35" s="545"/>
      <c r="GIN35" s="545"/>
      <c r="GIO35" s="545"/>
      <c r="GIP35" s="545"/>
      <c r="GIQ35" s="545"/>
      <c r="GIR35" s="545"/>
      <c r="GIS35" s="545"/>
      <c r="GIT35" s="545"/>
      <c r="GIU35" s="545"/>
      <c r="GIV35" s="545"/>
      <c r="GIW35" s="545"/>
      <c r="GIX35" s="545"/>
      <c r="GIY35" s="545"/>
      <c r="GIZ35" s="545"/>
      <c r="GJA35" s="545"/>
      <c r="GJB35" s="545"/>
      <c r="GJC35" s="545"/>
      <c r="GJD35" s="545"/>
      <c r="GJE35" s="545"/>
      <c r="GJF35" s="545"/>
      <c r="GJG35" s="545"/>
      <c r="GJH35" s="545"/>
      <c r="GJI35" s="545"/>
      <c r="GJJ35" s="545"/>
      <c r="GJK35" s="545"/>
      <c r="GJL35" s="545"/>
      <c r="GJM35" s="545"/>
      <c r="GJN35" s="545"/>
      <c r="GJO35" s="545"/>
      <c r="GJP35" s="545"/>
      <c r="GJQ35" s="545"/>
      <c r="GJR35" s="545"/>
      <c r="GJS35" s="545"/>
      <c r="GJT35" s="545"/>
      <c r="GJU35" s="545"/>
      <c r="GJV35" s="545"/>
      <c r="GJW35" s="545"/>
      <c r="GJX35" s="545"/>
      <c r="GJY35" s="545"/>
      <c r="GJZ35" s="545"/>
      <c r="GKA35" s="545"/>
      <c r="GKB35" s="545"/>
      <c r="GKC35" s="545"/>
      <c r="GKD35" s="545"/>
      <c r="GKE35" s="545"/>
      <c r="GKF35" s="545"/>
      <c r="GKG35" s="545"/>
      <c r="GKH35" s="545"/>
      <c r="GKI35" s="545"/>
      <c r="GKJ35" s="545"/>
      <c r="GKK35" s="545"/>
      <c r="GKL35" s="545"/>
      <c r="GKM35" s="545"/>
      <c r="GKN35" s="545"/>
      <c r="GKO35" s="545"/>
      <c r="GKP35" s="545"/>
      <c r="GKQ35" s="545"/>
      <c r="GKR35" s="545"/>
      <c r="GKS35" s="545"/>
      <c r="GKT35" s="545"/>
      <c r="GKU35" s="545"/>
      <c r="GKV35" s="545"/>
      <c r="GKW35" s="545"/>
      <c r="GKX35" s="545"/>
      <c r="GKY35" s="545"/>
      <c r="GKZ35" s="545"/>
      <c r="GLA35" s="545"/>
      <c r="GLB35" s="545"/>
      <c r="GLC35" s="545"/>
      <c r="GLD35" s="545"/>
      <c r="GLE35" s="545"/>
      <c r="GLF35" s="545"/>
      <c r="GLG35" s="545"/>
      <c r="GLH35" s="545"/>
      <c r="GLI35" s="545"/>
      <c r="GLJ35" s="545"/>
      <c r="GLK35" s="545"/>
      <c r="GLL35" s="545"/>
      <c r="GLM35" s="545"/>
      <c r="GLN35" s="545"/>
      <c r="GLO35" s="545"/>
      <c r="GLP35" s="545"/>
      <c r="GLQ35" s="545"/>
      <c r="GLR35" s="545"/>
      <c r="GLS35" s="545"/>
      <c r="GLT35" s="545"/>
      <c r="GLU35" s="545"/>
      <c r="GLV35" s="545"/>
      <c r="GLW35" s="545"/>
      <c r="GLX35" s="545"/>
      <c r="GLY35" s="545"/>
      <c r="GLZ35" s="545"/>
      <c r="GMA35" s="545"/>
      <c r="GMB35" s="545"/>
      <c r="GMC35" s="545"/>
      <c r="GMD35" s="545"/>
      <c r="GME35" s="545"/>
      <c r="GMF35" s="545"/>
      <c r="GMG35" s="545"/>
      <c r="GMH35" s="545"/>
      <c r="GMI35" s="545"/>
      <c r="GMJ35" s="545"/>
      <c r="GMK35" s="545"/>
      <c r="GML35" s="545"/>
      <c r="GMM35" s="545"/>
      <c r="GMN35" s="545"/>
      <c r="GMO35" s="545"/>
      <c r="GMP35" s="545"/>
      <c r="GMQ35" s="545"/>
      <c r="GMR35" s="545"/>
      <c r="GMS35" s="545"/>
      <c r="GMT35" s="545"/>
      <c r="GMU35" s="545"/>
      <c r="GMV35" s="545"/>
      <c r="GMW35" s="545"/>
      <c r="GMX35" s="545"/>
      <c r="GMY35" s="545"/>
      <c r="GMZ35" s="545"/>
      <c r="GNA35" s="545"/>
      <c r="GNB35" s="545"/>
      <c r="GNC35" s="545"/>
      <c r="GND35" s="545"/>
      <c r="GNE35" s="545"/>
      <c r="GNF35" s="545"/>
      <c r="GNG35" s="545"/>
      <c r="GNH35" s="545"/>
      <c r="GNI35" s="545"/>
      <c r="GNJ35" s="545"/>
      <c r="GNK35" s="545"/>
      <c r="GNL35" s="545"/>
      <c r="GNM35" s="545"/>
      <c r="GNN35" s="545"/>
      <c r="GNO35" s="545"/>
      <c r="GNP35" s="545"/>
      <c r="GNQ35" s="545"/>
      <c r="GNR35" s="545"/>
      <c r="GNS35" s="545"/>
      <c r="GNT35" s="545"/>
      <c r="GNU35" s="545"/>
      <c r="GNV35" s="545"/>
      <c r="GNW35" s="545"/>
      <c r="GNX35" s="545"/>
      <c r="GNY35" s="545"/>
      <c r="GNZ35" s="545"/>
      <c r="GOA35" s="545"/>
      <c r="GOB35" s="545"/>
      <c r="GOC35" s="545"/>
      <c r="GOD35" s="545"/>
      <c r="GOE35" s="545"/>
      <c r="GOF35" s="545"/>
      <c r="GOG35" s="545"/>
      <c r="GOH35" s="545"/>
      <c r="GOI35" s="545"/>
      <c r="GOJ35" s="545"/>
      <c r="GOK35" s="545"/>
      <c r="GOL35" s="545"/>
      <c r="GOM35" s="545"/>
      <c r="GON35" s="545"/>
      <c r="GOO35" s="545"/>
      <c r="GOP35" s="545"/>
      <c r="GOQ35" s="545"/>
      <c r="GOR35" s="545"/>
      <c r="GOS35" s="545"/>
      <c r="GOT35" s="545"/>
      <c r="GOU35" s="545"/>
      <c r="GOV35" s="545"/>
      <c r="GOW35" s="545"/>
      <c r="GOX35" s="545"/>
      <c r="GOY35" s="545"/>
      <c r="GOZ35" s="545"/>
      <c r="GPA35" s="545"/>
      <c r="GPB35" s="545"/>
      <c r="GPC35" s="545"/>
      <c r="GPD35" s="545"/>
      <c r="GPE35" s="545"/>
      <c r="GPF35" s="545"/>
      <c r="GPG35" s="545"/>
      <c r="GPH35" s="545"/>
      <c r="GPI35" s="545"/>
      <c r="GPJ35" s="545"/>
      <c r="GPK35" s="545"/>
      <c r="GPL35" s="545"/>
      <c r="GPM35" s="545"/>
      <c r="GPN35" s="545"/>
      <c r="GPO35" s="545"/>
      <c r="GPP35" s="545"/>
      <c r="GPQ35" s="545"/>
      <c r="GPR35" s="545"/>
      <c r="GPS35" s="545"/>
      <c r="GPT35" s="545"/>
      <c r="GPU35" s="545"/>
      <c r="GPV35" s="545"/>
      <c r="GPW35" s="545"/>
      <c r="GPX35" s="545"/>
      <c r="GPY35" s="545"/>
      <c r="GPZ35" s="545"/>
      <c r="GQA35" s="545"/>
      <c r="GQB35" s="545"/>
      <c r="GQC35" s="545"/>
      <c r="GQD35" s="545"/>
      <c r="GQE35" s="545"/>
      <c r="GQF35" s="545"/>
      <c r="GQG35" s="545"/>
      <c r="GQH35" s="545"/>
      <c r="GQI35" s="545"/>
      <c r="GQJ35" s="545"/>
      <c r="GQK35" s="545"/>
      <c r="GQL35" s="545"/>
      <c r="GQM35" s="545"/>
      <c r="GQN35" s="545"/>
      <c r="GQO35" s="545"/>
      <c r="GQP35" s="545"/>
      <c r="GQQ35" s="545"/>
      <c r="GQR35" s="545"/>
      <c r="GQS35" s="545"/>
      <c r="GQT35" s="545"/>
      <c r="GQU35" s="545"/>
      <c r="GQV35" s="545"/>
      <c r="GQW35" s="545"/>
      <c r="GQX35" s="545"/>
      <c r="GQY35" s="545"/>
      <c r="GQZ35" s="545"/>
      <c r="GRA35" s="545"/>
      <c r="GRB35" s="545"/>
      <c r="GRC35" s="545"/>
      <c r="GRD35" s="545"/>
      <c r="GRE35" s="545"/>
      <c r="GRF35" s="545"/>
      <c r="GRG35" s="545"/>
      <c r="GRH35" s="545"/>
      <c r="GRI35" s="545"/>
      <c r="GRJ35" s="545"/>
      <c r="GRK35" s="545"/>
      <c r="GRL35" s="545"/>
      <c r="GRM35" s="545"/>
      <c r="GRN35" s="545"/>
      <c r="GRO35" s="545"/>
      <c r="GRP35" s="545"/>
      <c r="GRQ35" s="545"/>
      <c r="GRR35" s="545"/>
      <c r="GRS35" s="545"/>
      <c r="GRT35" s="545"/>
      <c r="GRU35" s="545"/>
      <c r="GRV35" s="545"/>
      <c r="GRW35" s="545"/>
      <c r="GRX35" s="545"/>
      <c r="GRY35" s="545"/>
      <c r="GRZ35" s="545"/>
      <c r="GSA35" s="545"/>
      <c r="GSB35" s="545"/>
      <c r="GSC35" s="545"/>
      <c r="GSD35" s="545"/>
      <c r="GSE35" s="545"/>
      <c r="GSF35" s="545"/>
      <c r="GSG35" s="545"/>
      <c r="GSH35" s="545"/>
      <c r="GSI35" s="545"/>
      <c r="GSJ35" s="545"/>
      <c r="GSK35" s="545"/>
      <c r="GSL35" s="545"/>
      <c r="GSM35" s="545"/>
      <c r="GSN35" s="545"/>
      <c r="GSO35" s="545"/>
      <c r="GSP35" s="545"/>
      <c r="GSQ35" s="545"/>
      <c r="GSR35" s="545"/>
      <c r="GSS35" s="545"/>
      <c r="GST35" s="545"/>
      <c r="GSU35" s="545"/>
      <c r="GSV35" s="545"/>
      <c r="GSW35" s="545"/>
      <c r="GSX35" s="545"/>
      <c r="GSY35" s="545"/>
      <c r="GSZ35" s="545"/>
      <c r="GTA35" s="545"/>
      <c r="GTB35" s="545"/>
      <c r="GTC35" s="545"/>
      <c r="GTD35" s="545"/>
      <c r="GTE35" s="545"/>
      <c r="GTF35" s="545"/>
      <c r="GTG35" s="545"/>
      <c r="GTH35" s="545"/>
      <c r="GTI35" s="545"/>
      <c r="GTJ35" s="545"/>
      <c r="GTK35" s="545"/>
      <c r="GTL35" s="545"/>
      <c r="GTM35" s="545"/>
      <c r="GTN35" s="545"/>
      <c r="GTO35" s="545"/>
      <c r="GTP35" s="545"/>
      <c r="GTQ35" s="545"/>
      <c r="GTR35" s="545"/>
      <c r="GTS35" s="545"/>
      <c r="GTT35" s="545"/>
      <c r="GTU35" s="545"/>
      <c r="GTV35" s="545"/>
      <c r="GTW35" s="545"/>
      <c r="GTX35" s="545"/>
      <c r="GTY35" s="545"/>
      <c r="GTZ35" s="545"/>
      <c r="GUA35" s="545"/>
      <c r="GUB35" s="545"/>
      <c r="GUC35" s="545"/>
      <c r="GUD35" s="545"/>
      <c r="GUE35" s="545"/>
      <c r="GUF35" s="545"/>
      <c r="GUG35" s="545"/>
      <c r="GUH35" s="545"/>
      <c r="GUI35" s="545"/>
      <c r="GUJ35" s="545"/>
      <c r="GUK35" s="545"/>
      <c r="GUL35" s="545"/>
      <c r="GUM35" s="545"/>
      <c r="GUN35" s="545"/>
      <c r="GUO35" s="545"/>
      <c r="GUP35" s="545"/>
      <c r="GUQ35" s="545"/>
      <c r="GUR35" s="545"/>
      <c r="GUS35" s="545"/>
      <c r="GUT35" s="545"/>
      <c r="GUU35" s="545"/>
      <c r="GUV35" s="545"/>
      <c r="GUW35" s="545"/>
      <c r="GUX35" s="545"/>
      <c r="GUY35" s="545"/>
      <c r="GUZ35" s="545"/>
      <c r="GVA35" s="545"/>
      <c r="GVB35" s="545"/>
      <c r="GVC35" s="545"/>
      <c r="GVD35" s="545"/>
      <c r="GVE35" s="545"/>
      <c r="GVF35" s="545"/>
      <c r="GVG35" s="545"/>
      <c r="GVH35" s="545"/>
      <c r="GVI35" s="545"/>
      <c r="GVJ35" s="545"/>
      <c r="GVK35" s="545"/>
      <c r="GVL35" s="545"/>
      <c r="GVM35" s="545"/>
      <c r="GVN35" s="545"/>
      <c r="GVO35" s="545"/>
      <c r="GVP35" s="545"/>
      <c r="GVQ35" s="545"/>
      <c r="GVR35" s="545"/>
      <c r="GVS35" s="545"/>
      <c r="GVT35" s="545"/>
      <c r="GVU35" s="545"/>
      <c r="GVV35" s="545"/>
      <c r="GVW35" s="545"/>
      <c r="GVX35" s="545"/>
      <c r="GVY35" s="545"/>
      <c r="GVZ35" s="545"/>
      <c r="GWA35" s="545"/>
      <c r="GWB35" s="545"/>
      <c r="GWC35" s="545"/>
      <c r="GWD35" s="545"/>
      <c r="GWE35" s="545"/>
      <c r="GWF35" s="545"/>
      <c r="GWG35" s="545"/>
      <c r="GWH35" s="545"/>
      <c r="GWI35" s="545"/>
      <c r="GWJ35" s="545"/>
      <c r="GWK35" s="545"/>
      <c r="GWL35" s="545"/>
      <c r="GWM35" s="545"/>
      <c r="GWN35" s="545"/>
      <c r="GWO35" s="545"/>
      <c r="GWP35" s="545"/>
      <c r="GWQ35" s="545"/>
      <c r="GWR35" s="545"/>
      <c r="GWS35" s="545"/>
      <c r="GWT35" s="545"/>
      <c r="GWU35" s="545"/>
      <c r="GWV35" s="545"/>
      <c r="GWW35" s="545"/>
      <c r="GWX35" s="545"/>
      <c r="GWY35" s="545"/>
      <c r="GWZ35" s="545"/>
      <c r="GXA35" s="545"/>
      <c r="GXB35" s="545"/>
      <c r="GXC35" s="545"/>
      <c r="GXD35" s="545"/>
      <c r="GXE35" s="545"/>
      <c r="GXF35" s="545"/>
      <c r="GXG35" s="545"/>
      <c r="GXH35" s="545"/>
      <c r="GXI35" s="545"/>
      <c r="GXJ35" s="545"/>
      <c r="GXK35" s="545"/>
      <c r="GXL35" s="545"/>
      <c r="GXM35" s="545"/>
      <c r="GXN35" s="545"/>
      <c r="GXO35" s="545"/>
      <c r="GXP35" s="545"/>
      <c r="GXQ35" s="545"/>
      <c r="GXR35" s="545"/>
      <c r="GXS35" s="545"/>
      <c r="GXT35" s="545"/>
      <c r="GXU35" s="545"/>
      <c r="GXV35" s="545"/>
      <c r="GXW35" s="545"/>
      <c r="GXX35" s="545"/>
      <c r="GXY35" s="545"/>
      <c r="GXZ35" s="545"/>
      <c r="GYA35" s="545"/>
      <c r="GYB35" s="545"/>
      <c r="GYC35" s="545"/>
      <c r="GYD35" s="545"/>
      <c r="GYE35" s="545"/>
      <c r="GYF35" s="545"/>
      <c r="GYG35" s="545"/>
      <c r="GYH35" s="545"/>
      <c r="GYI35" s="545"/>
      <c r="GYJ35" s="545"/>
      <c r="GYK35" s="545"/>
      <c r="GYL35" s="545"/>
      <c r="GYM35" s="545"/>
      <c r="GYN35" s="545"/>
      <c r="GYO35" s="545"/>
      <c r="GYP35" s="545"/>
      <c r="GYQ35" s="545"/>
      <c r="GYR35" s="545"/>
      <c r="GYS35" s="545"/>
      <c r="GYT35" s="545"/>
      <c r="GYU35" s="545"/>
      <c r="GYV35" s="545"/>
      <c r="GYW35" s="545"/>
      <c r="GYX35" s="545"/>
      <c r="GYY35" s="545"/>
      <c r="GYZ35" s="545"/>
      <c r="GZA35" s="545"/>
      <c r="GZB35" s="545"/>
      <c r="GZC35" s="545"/>
      <c r="GZD35" s="545"/>
      <c r="GZE35" s="545"/>
      <c r="GZF35" s="545"/>
      <c r="GZG35" s="545"/>
      <c r="GZH35" s="545"/>
      <c r="GZI35" s="545"/>
      <c r="GZJ35" s="545"/>
      <c r="GZK35" s="545"/>
      <c r="GZL35" s="545"/>
      <c r="GZM35" s="545"/>
      <c r="GZN35" s="545"/>
      <c r="GZO35" s="545"/>
      <c r="GZP35" s="545"/>
      <c r="GZQ35" s="545"/>
      <c r="GZR35" s="545"/>
      <c r="GZS35" s="545"/>
      <c r="GZT35" s="545"/>
      <c r="GZU35" s="545"/>
      <c r="GZV35" s="545"/>
      <c r="GZW35" s="545"/>
      <c r="GZX35" s="545"/>
      <c r="GZY35" s="545"/>
      <c r="GZZ35" s="545"/>
      <c r="HAA35" s="545"/>
      <c r="HAB35" s="545"/>
      <c r="HAC35" s="545"/>
      <c r="HAD35" s="545"/>
      <c r="HAE35" s="545"/>
      <c r="HAF35" s="545"/>
      <c r="HAG35" s="545"/>
      <c r="HAH35" s="545"/>
      <c r="HAI35" s="545"/>
      <c r="HAJ35" s="545"/>
      <c r="HAK35" s="545"/>
      <c r="HAL35" s="545"/>
      <c r="HAM35" s="545"/>
      <c r="HAN35" s="545"/>
      <c r="HAO35" s="545"/>
      <c r="HAP35" s="545"/>
      <c r="HAQ35" s="545"/>
      <c r="HAR35" s="545"/>
      <c r="HAS35" s="545"/>
      <c r="HAT35" s="545"/>
      <c r="HAU35" s="545"/>
      <c r="HAV35" s="545"/>
      <c r="HAW35" s="545"/>
      <c r="HAX35" s="545"/>
      <c r="HAY35" s="545"/>
      <c r="HAZ35" s="545"/>
      <c r="HBA35" s="545"/>
      <c r="HBB35" s="545"/>
      <c r="HBC35" s="545"/>
      <c r="HBD35" s="545"/>
      <c r="HBE35" s="545"/>
      <c r="HBF35" s="545"/>
      <c r="HBG35" s="545"/>
      <c r="HBH35" s="545"/>
      <c r="HBI35" s="545"/>
      <c r="HBJ35" s="545"/>
      <c r="HBK35" s="545"/>
      <c r="HBL35" s="545"/>
      <c r="HBM35" s="545"/>
      <c r="HBN35" s="545"/>
      <c r="HBO35" s="545"/>
      <c r="HBP35" s="545"/>
      <c r="HBQ35" s="545"/>
      <c r="HBR35" s="545"/>
      <c r="HBS35" s="545"/>
      <c r="HBT35" s="545"/>
      <c r="HBU35" s="545"/>
      <c r="HBV35" s="545"/>
      <c r="HBW35" s="545"/>
      <c r="HBX35" s="545"/>
      <c r="HBY35" s="545"/>
      <c r="HBZ35" s="545"/>
      <c r="HCA35" s="545"/>
      <c r="HCB35" s="545"/>
      <c r="HCC35" s="545"/>
      <c r="HCD35" s="545"/>
      <c r="HCE35" s="545"/>
      <c r="HCF35" s="545"/>
      <c r="HCG35" s="545"/>
      <c r="HCH35" s="545"/>
      <c r="HCI35" s="545"/>
      <c r="HCJ35" s="545"/>
      <c r="HCK35" s="545"/>
      <c r="HCL35" s="545"/>
      <c r="HCM35" s="545"/>
      <c r="HCN35" s="545"/>
      <c r="HCO35" s="545"/>
      <c r="HCP35" s="545"/>
      <c r="HCQ35" s="545"/>
      <c r="HCR35" s="545"/>
      <c r="HCS35" s="545"/>
      <c r="HCT35" s="545"/>
      <c r="HCU35" s="545"/>
      <c r="HCV35" s="545"/>
      <c r="HCW35" s="545"/>
      <c r="HCX35" s="545"/>
      <c r="HCY35" s="545"/>
      <c r="HCZ35" s="545"/>
      <c r="HDA35" s="545"/>
      <c r="HDB35" s="545"/>
      <c r="HDC35" s="545"/>
      <c r="HDD35" s="545"/>
      <c r="HDE35" s="545"/>
      <c r="HDF35" s="545"/>
      <c r="HDG35" s="545"/>
      <c r="HDH35" s="545"/>
      <c r="HDI35" s="545"/>
      <c r="HDJ35" s="545"/>
      <c r="HDK35" s="545"/>
      <c r="HDL35" s="545"/>
      <c r="HDM35" s="545"/>
      <c r="HDN35" s="545"/>
      <c r="HDO35" s="545"/>
      <c r="HDP35" s="545"/>
      <c r="HDQ35" s="545"/>
      <c r="HDR35" s="545"/>
      <c r="HDS35" s="545"/>
      <c r="HDT35" s="545"/>
      <c r="HDU35" s="545"/>
      <c r="HDV35" s="545"/>
      <c r="HDW35" s="545"/>
      <c r="HDX35" s="545"/>
      <c r="HDY35" s="545"/>
      <c r="HDZ35" s="545"/>
      <c r="HEA35" s="545"/>
      <c r="HEB35" s="545"/>
      <c r="HEC35" s="545"/>
      <c r="HED35" s="545"/>
      <c r="HEE35" s="545"/>
      <c r="HEF35" s="545"/>
      <c r="HEG35" s="545"/>
      <c r="HEH35" s="545"/>
      <c r="HEI35" s="545"/>
      <c r="HEJ35" s="545"/>
      <c r="HEK35" s="545"/>
      <c r="HEL35" s="545"/>
      <c r="HEM35" s="545"/>
      <c r="HEN35" s="545"/>
      <c r="HEO35" s="545"/>
      <c r="HEP35" s="545"/>
      <c r="HEQ35" s="545"/>
      <c r="HER35" s="545"/>
      <c r="HES35" s="545"/>
      <c r="HET35" s="545"/>
      <c r="HEU35" s="545"/>
      <c r="HEV35" s="545"/>
      <c r="HEW35" s="545"/>
      <c r="HEX35" s="545"/>
      <c r="HEY35" s="545"/>
      <c r="HEZ35" s="545"/>
      <c r="HFA35" s="545"/>
      <c r="HFB35" s="545"/>
      <c r="HFC35" s="545"/>
      <c r="HFD35" s="545"/>
      <c r="HFE35" s="545"/>
      <c r="HFF35" s="545"/>
      <c r="HFG35" s="545"/>
      <c r="HFH35" s="545"/>
      <c r="HFI35" s="545"/>
      <c r="HFJ35" s="545"/>
      <c r="HFK35" s="545"/>
      <c r="HFL35" s="545"/>
      <c r="HFM35" s="545"/>
      <c r="HFN35" s="545"/>
      <c r="HFO35" s="545"/>
      <c r="HFP35" s="545"/>
      <c r="HFQ35" s="545"/>
      <c r="HFR35" s="545"/>
      <c r="HFS35" s="545"/>
      <c r="HFT35" s="545"/>
      <c r="HFU35" s="545"/>
      <c r="HFV35" s="545"/>
      <c r="HFW35" s="545"/>
      <c r="HFX35" s="545"/>
      <c r="HFY35" s="545"/>
      <c r="HFZ35" s="545"/>
      <c r="HGA35" s="545"/>
      <c r="HGB35" s="545"/>
      <c r="HGC35" s="545"/>
      <c r="HGD35" s="545"/>
      <c r="HGE35" s="545"/>
      <c r="HGF35" s="545"/>
      <c r="HGG35" s="545"/>
      <c r="HGH35" s="545"/>
      <c r="HGI35" s="545"/>
      <c r="HGJ35" s="545"/>
      <c r="HGK35" s="545"/>
      <c r="HGL35" s="545"/>
      <c r="HGM35" s="545"/>
      <c r="HGN35" s="545"/>
      <c r="HGO35" s="545"/>
      <c r="HGP35" s="545"/>
      <c r="HGQ35" s="545"/>
      <c r="HGR35" s="545"/>
      <c r="HGS35" s="545"/>
      <c r="HGT35" s="545"/>
      <c r="HGU35" s="545"/>
      <c r="HGV35" s="545"/>
      <c r="HGW35" s="545"/>
      <c r="HGX35" s="545"/>
      <c r="HGY35" s="545"/>
      <c r="HGZ35" s="545"/>
      <c r="HHA35" s="545"/>
      <c r="HHB35" s="545"/>
      <c r="HHC35" s="545"/>
      <c r="HHD35" s="545"/>
      <c r="HHE35" s="545"/>
      <c r="HHF35" s="545"/>
      <c r="HHG35" s="545"/>
      <c r="HHH35" s="545"/>
      <c r="HHI35" s="545"/>
      <c r="HHJ35" s="545"/>
      <c r="HHK35" s="545"/>
      <c r="HHL35" s="545"/>
      <c r="HHM35" s="545"/>
      <c r="HHN35" s="545"/>
      <c r="HHO35" s="545"/>
      <c r="HHP35" s="545"/>
      <c r="HHQ35" s="545"/>
      <c r="HHR35" s="545"/>
      <c r="HHS35" s="545"/>
      <c r="HHT35" s="545"/>
      <c r="HHU35" s="545"/>
      <c r="HHV35" s="545"/>
      <c r="HHW35" s="545"/>
      <c r="HHX35" s="545"/>
      <c r="HHY35" s="545"/>
      <c r="HHZ35" s="545"/>
      <c r="HIA35" s="545"/>
      <c r="HIB35" s="545"/>
      <c r="HIC35" s="545"/>
      <c r="HID35" s="545"/>
      <c r="HIE35" s="545"/>
      <c r="HIF35" s="545"/>
      <c r="HIG35" s="545"/>
      <c r="HIH35" s="545"/>
      <c r="HII35" s="545"/>
      <c r="HIJ35" s="545"/>
      <c r="HIK35" s="545"/>
      <c r="HIL35" s="545"/>
      <c r="HIM35" s="545"/>
      <c r="HIN35" s="545"/>
      <c r="HIO35" s="545"/>
      <c r="HIP35" s="545"/>
      <c r="HIQ35" s="545"/>
      <c r="HIR35" s="545"/>
      <c r="HIS35" s="545"/>
      <c r="HIT35" s="545"/>
      <c r="HIU35" s="545"/>
      <c r="HIV35" s="545"/>
      <c r="HIW35" s="545"/>
      <c r="HIX35" s="545"/>
      <c r="HIY35" s="545"/>
      <c r="HIZ35" s="545"/>
      <c r="HJA35" s="545"/>
      <c r="HJB35" s="545"/>
      <c r="HJC35" s="545"/>
      <c r="HJD35" s="545"/>
      <c r="HJE35" s="545"/>
      <c r="HJF35" s="545"/>
      <c r="HJG35" s="545"/>
      <c r="HJH35" s="545"/>
      <c r="HJI35" s="545"/>
      <c r="HJJ35" s="545"/>
      <c r="HJK35" s="545"/>
      <c r="HJL35" s="545"/>
      <c r="HJM35" s="545"/>
      <c r="HJN35" s="545"/>
      <c r="HJO35" s="545"/>
      <c r="HJP35" s="545"/>
      <c r="HJQ35" s="545"/>
      <c r="HJR35" s="545"/>
      <c r="HJS35" s="545"/>
      <c r="HJT35" s="545"/>
      <c r="HJU35" s="545"/>
      <c r="HJV35" s="545"/>
      <c r="HJW35" s="545"/>
      <c r="HJX35" s="545"/>
      <c r="HJY35" s="545"/>
      <c r="HJZ35" s="545"/>
      <c r="HKA35" s="545"/>
      <c r="HKB35" s="545"/>
      <c r="HKC35" s="545"/>
      <c r="HKD35" s="545"/>
      <c r="HKE35" s="545"/>
      <c r="HKF35" s="545"/>
      <c r="HKG35" s="545"/>
      <c r="HKH35" s="545"/>
      <c r="HKI35" s="545"/>
      <c r="HKJ35" s="545"/>
      <c r="HKK35" s="545"/>
      <c r="HKL35" s="545"/>
      <c r="HKM35" s="545"/>
      <c r="HKN35" s="545"/>
      <c r="HKO35" s="545"/>
      <c r="HKP35" s="545"/>
      <c r="HKQ35" s="545"/>
      <c r="HKR35" s="545"/>
      <c r="HKS35" s="545"/>
      <c r="HKT35" s="545"/>
      <c r="HKU35" s="545"/>
      <c r="HKV35" s="545"/>
      <c r="HKW35" s="545"/>
      <c r="HKX35" s="545"/>
      <c r="HKY35" s="545"/>
      <c r="HKZ35" s="545"/>
      <c r="HLA35" s="545"/>
      <c r="HLB35" s="545"/>
      <c r="HLC35" s="545"/>
      <c r="HLD35" s="545"/>
      <c r="HLE35" s="545"/>
      <c r="HLF35" s="545"/>
      <c r="HLG35" s="545"/>
      <c r="HLH35" s="545"/>
      <c r="HLI35" s="545"/>
      <c r="HLJ35" s="545"/>
      <c r="HLK35" s="545"/>
      <c r="HLL35" s="545"/>
      <c r="HLM35" s="545"/>
      <c r="HLN35" s="545"/>
      <c r="HLO35" s="545"/>
      <c r="HLP35" s="545"/>
      <c r="HLQ35" s="545"/>
      <c r="HLR35" s="545"/>
      <c r="HLS35" s="545"/>
      <c r="HLT35" s="545"/>
      <c r="HLU35" s="545"/>
      <c r="HLV35" s="545"/>
      <c r="HLW35" s="545"/>
      <c r="HLX35" s="545"/>
      <c r="HLY35" s="545"/>
      <c r="HLZ35" s="545"/>
      <c r="HMA35" s="545"/>
      <c r="HMB35" s="545"/>
      <c r="HMC35" s="545"/>
      <c r="HMD35" s="545"/>
      <c r="HME35" s="545"/>
      <c r="HMF35" s="545"/>
      <c r="HMG35" s="545"/>
      <c r="HMH35" s="545"/>
      <c r="HMI35" s="545"/>
      <c r="HMJ35" s="545"/>
      <c r="HMK35" s="545"/>
      <c r="HML35" s="545"/>
      <c r="HMM35" s="545"/>
      <c r="HMN35" s="545"/>
      <c r="HMO35" s="545"/>
      <c r="HMP35" s="545"/>
      <c r="HMQ35" s="545"/>
      <c r="HMR35" s="545"/>
      <c r="HMS35" s="545"/>
      <c r="HMT35" s="545"/>
      <c r="HMU35" s="545"/>
      <c r="HMV35" s="545"/>
      <c r="HMW35" s="545"/>
      <c r="HMX35" s="545"/>
      <c r="HMY35" s="545"/>
      <c r="HMZ35" s="545"/>
      <c r="HNA35" s="545"/>
      <c r="HNB35" s="545"/>
      <c r="HNC35" s="545"/>
      <c r="HND35" s="545"/>
      <c r="HNE35" s="545"/>
      <c r="HNF35" s="545"/>
      <c r="HNG35" s="545"/>
      <c r="HNH35" s="545"/>
      <c r="HNI35" s="545"/>
      <c r="HNJ35" s="545"/>
      <c r="HNK35" s="545"/>
      <c r="HNL35" s="545"/>
      <c r="HNM35" s="545"/>
      <c r="HNN35" s="545"/>
      <c r="HNO35" s="545"/>
      <c r="HNP35" s="545"/>
      <c r="HNQ35" s="545"/>
      <c r="HNR35" s="545"/>
      <c r="HNS35" s="545"/>
      <c r="HNT35" s="545"/>
      <c r="HNU35" s="545"/>
      <c r="HNV35" s="545"/>
      <c r="HNW35" s="545"/>
      <c r="HNX35" s="545"/>
      <c r="HNY35" s="545"/>
      <c r="HNZ35" s="545"/>
      <c r="HOA35" s="545"/>
      <c r="HOB35" s="545"/>
      <c r="HOC35" s="545"/>
      <c r="HOD35" s="545"/>
      <c r="HOE35" s="545"/>
      <c r="HOF35" s="545"/>
      <c r="HOG35" s="545"/>
      <c r="HOH35" s="545"/>
      <c r="HOI35" s="545"/>
      <c r="HOJ35" s="545"/>
      <c r="HOK35" s="545"/>
      <c r="HOL35" s="545"/>
      <c r="HOM35" s="545"/>
      <c r="HON35" s="545"/>
      <c r="HOO35" s="545"/>
      <c r="HOP35" s="545"/>
      <c r="HOQ35" s="545"/>
      <c r="HOR35" s="545"/>
      <c r="HOS35" s="545"/>
      <c r="HOT35" s="545"/>
      <c r="HOU35" s="545"/>
      <c r="HOV35" s="545"/>
      <c r="HOW35" s="545"/>
      <c r="HOX35" s="545"/>
      <c r="HOY35" s="545"/>
      <c r="HOZ35" s="545"/>
      <c r="HPA35" s="545"/>
      <c r="HPB35" s="545"/>
      <c r="HPC35" s="545"/>
      <c r="HPD35" s="545"/>
      <c r="HPE35" s="545"/>
      <c r="HPF35" s="545"/>
      <c r="HPG35" s="545"/>
      <c r="HPH35" s="545"/>
      <c r="HPI35" s="545"/>
      <c r="HPJ35" s="545"/>
      <c r="HPK35" s="545"/>
      <c r="HPL35" s="545"/>
      <c r="HPM35" s="545"/>
      <c r="HPN35" s="545"/>
      <c r="HPO35" s="545"/>
      <c r="HPP35" s="545"/>
      <c r="HPQ35" s="545"/>
      <c r="HPR35" s="545"/>
      <c r="HPS35" s="545"/>
      <c r="HPT35" s="545"/>
      <c r="HPU35" s="545"/>
      <c r="HPV35" s="545"/>
      <c r="HPW35" s="545"/>
      <c r="HPX35" s="545"/>
      <c r="HPY35" s="545"/>
      <c r="HPZ35" s="545"/>
      <c r="HQA35" s="545"/>
      <c r="HQB35" s="545"/>
      <c r="HQC35" s="545"/>
      <c r="HQD35" s="545"/>
      <c r="HQE35" s="545"/>
      <c r="HQF35" s="545"/>
      <c r="HQG35" s="545"/>
      <c r="HQH35" s="545"/>
      <c r="HQI35" s="545"/>
      <c r="HQJ35" s="545"/>
      <c r="HQK35" s="545"/>
      <c r="HQL35" s="545"/>
      <c r="HQM35" s="545"/>
      <c r="HQN35" s="545"/>
      <c r="HQO35" s="545"/>
      <c r="HQP35" s="545"/>
      <c r="HQQ35" s="545"/>
      <c r="HQR35" s="545"/>
      <c r="HQS35" s="545"/>
      <c r="HQT35" s="545"/>
      <c r="HQU35" s="545"/>
      <c r="HQV35" s="545"/>
      <c r="HQW35" s="545"/>
      <c r="HQX35" s="545"/>
      <c r="HQY35" s="545"/>
      <c r="HQZ35" s="545"/>
      <c r="HRA35" s="545"/>
      <c r="HRB35" s="545"/>
      <c r="HRC35" s="545"/>
      <c r="HRD35" s="545"/>
      <c r="HRE35" s="545"/>
      <c r="HRF35" s="545"/>
      <c r="HRG35" s="545"/>
      <c r="HRH35" s="545"/>
      <c r="HRI35" s="545"/>
      <c r="HRJ35" s="545"/>
      <c r="HRK35" s="545"/>
      <c r="HRL35" s="545"/>
      <c r="HRM35" s="545"/>
      <c r="HRN35" s="545"/>
      <c r="HRO35" s="545"/>
      <c r="HRP35" s="545"/>
      <c r="HRQ35" s="545"/>
      <c r="HRR35" s="545"/>
      <c r="HRS35" s="545"/>
      <c r="HRT35" s="545"/>
      <c r="HRU35" s="545"/>
      <c r="HRV35" s="545"/>
      <c r="HRW35" s="545"/>
      <c r="HRX35" s="545"/>
      <c r="HRY35" s="545"/>
      <c r="HRZ35" s="545"/>
      <c r="HSA35" s="545"/>
      <c r="HSB35" s="545"/>
      <c r="HSC35" s="545"/>
      <c r="HSD35" s="545"/>
      <c r="HSE35" s="545"/>
      <c r="HSF35" s="545"/>
      <c r="HSG35" s="545"/>
      <c r="HSH35" s="545"/>
      <c r="HSI35" s="545"/>
      <c r="HSJ35" s="545"/>
      <c r="HSK35" s="545"/>
      <c r="HSL35" s="545"/>
      <c r="HSM35" s="545"/>
      <c r="HSN35" s="545"/>
      <c r="HSO35" s="545"/>
      <c r="HSP35" s="545"/>
      <c r="HSQ35" s="545"/>
      <c r="HSR35" s="545"/>
      <c r="HSS35" s="545"/>
      <c r="HST35" s="545"/>
      <c r="HSU35" s="545"/>
      <c r="HSV35" s="545"/>
      <c r="HSW35" s="545"/>
      <c r="HSX35" s="545"/>
      <c r="HSY35" s="545"/>
      <c r="HSZ35" s="545"/>
      <c r="HTA35" s="545"/>
      <c r="HTB35" s="545"/>
      <c r="HTC35" s="545"/>
      <c r="HTD35" s="545"/>
      <c r="HTE35" s="545"/>
      <c r="HTF35" s="545"/>
      <c r="HTG35" s="545"/>
      <c r="HTH35" s="545"/>
      <c r="HTI35" s="545"/>
      <c r="HTJ35" s="545"/>
      <c r="HTK35" s="545"/>
      <c r="HTL35" s="545"/>
      <c r="HTM35" s="545"/>
      <c r="HTN35" s="545"/>
      <c r="HTO35" s="545"/>
      <c r="HTP35" s="545"/>
      <c r="HTQ35" s="545"/>
      <c r="HTR35" s="545"/>
      <c r="HTS35" s="545"/>
      <c r="HTT35" s="545"/>
      <c r="HTU35" s="545"/>
      <c r="HTV35" s="545"/>
      <c r="HTW35" s="545"/>
      <c r="HTX35" s="545"/>
      <c r="HTY35" s="545"/>
      <c r="HTZ35" s="545"/>
      <c r="HUA35" s="545"/>
      <c r="HUB35" s="545"/>
      <c r="HUC35" s="545"/>
      <c r="HUD35" s="545"/>
      <c r="HUE35" s="545"/>
      <c r="HUF35" s="545"/>
      <c r="HUG35" s="545"/>
      <c r="HUH35" s="545"/>
      <c r="HUI35" s="545"/>
      <c r="HUJ35" s="545"/>
      <c r="HUK35" s="545"/>
      <c r="HUL35" s="545"/>
      <c r="HUM35" s="545"/>
      <c r="HUN35" s="545"/>
      <c r="HUO35" s="545"/>
      <c r="HUP35" s="545"/>
      <c r="HUQ35" s="545"/>
      <c r="HUR35" s="545"/>
      <c r="HUS35" s="545"/>
      <c r="HUT35" s="545"/>
      <c r="HUU35" s="545"/>
      <c r="HUV35" s="545"/>
      <c r="HUW35" s="545"/>
      <c r="HUX35" s="545"/>
      <c r="HUY35" s="545"/>
      <c r="HUZ35" s="545"/>
      <c r="HVA35" s="545"/>
      <c r="HVB35" s="545"/>
      <c r="HVC35" s="545"/>
      <c r="HVD35" s="545"/>
      <c r="HVE35" s="545"/>
      <c r="HVF35" s="545"/>
      <c r="HVG35" s="545"/>
      <c r="HVH35" s="545"/>
      <c r="HVI35" s="545"/>
      <c r="HVJ35" s="545"/>
      <c r="HVK35" s="545"/>
      <c r="HVL35" s="545"/>
      <c r="HVM35" s="545"/>
      <c r="HVN35" s="545"/>
      <c r="HVO35" s="545"/>
      <c r="HVP35" s="545"/>
      <c r="HVQ35" s="545"/>
      <c r="HVR35" s="545"/>
      <c r="HVS35" s="545"/>
      <c r="HVT35" s="545"/>
      <c r="HVU35" s="545"/>
      <c r="HVV35" s="545"/>
      <c r="HVW35" s="545"/>
      <c r="HVX35" s="545"/>
      <c r="HVY35" s="545"/>
      <c r="HVZ35" s="545"/>
      <c r="HWA35" s="545"/>
      <c r="HWB35" s="545"/>
      <c r="HWC35" s="545"/>
      <c r="HWD35" s="545"/>
      <c r="HWE35" s="545"/>
      <c r="HWF35" s="545"/>
      <c r="HWG35" s="545"/>
      <c r="HWH35" s="545"/>
      <c r="HWI35" s="545"/>
      <c r="HWJ35" s="545"/>
      <c r="HWK35" s="545"/>
      <c r="HWL35" s="545"/>
      <c r="HWM35" s="545"/>
      <c r="HWN35" s="545"/>
      <c r="HWO35" s="545"/>
      <c r="HWP35" s="545"/>
      <c r="HWQ35" s="545"/>
      <c r="HWR35" s="545"/>
      <c r="HWS35" s="545"/>
      <c r="HWT35" s="545"/>
      <c r="HWU35" s="545"/>
      <c r="HWV35" s="545"/>
      <c r="HWW35" s="545"/>
      <c r="HWX35" s="545"/>
      <c r="HWY35" s="545"/>
      <c r="HWZ35" s="545"/>
      <c r="HXA35" s="545"/>
      <c r="HXB35" s="545"/>
      <c r="HXC35" s="545"/>
      <c r="HXD35" s="545"/>
      <c r="HXE35" s="545"/>
      <c r="HXF35" s="545"/>
      <c r="HXG35" s="545"/>
      <c r="HXH35" s="545"/>
      <c r="HXI35" s="545"/>
      <c r="HXJ35" s="545"/>
      <c r="HXK35" s="545"/>
      <c r="HXL35" s="545"/>
      <c r="HXM35" s="545"/>
      <c r="HXN35" s="545"/>
      <c r="HXO35" s="545"/>
      <c r="HXP35" s="545"/>
      <c r="HXQ35" s="545"/>
      <c r="HXR35" s="545"/>
      <c r="HXS35" s="545"/>
      <c r="HXT35" s="545"/>
      <c r="HXU35" s="545"/>
      <c r="HXV35" s="545"/>
      <c r="HXW35" s="545"/>
      <c r="HXX35" s="545"/>
      <c r="HXY35" s="545"/>
      <c r="HXZ35" s="545"/>
      <c r="HYA35" s="545"/>
      <c r="HYB35" s="545"/>
      <c r="HYC35" s="545"/>
      <c r="HYD35" s="545"/>
      <c r="HYE35" s="545"/>
      <c r="HYF35" s="545"/>
      <c r="HYG35" s="545"/>
      <c r="HYH35" s="545"/>
      <c r="HYI35" s="545"/>
      <c r="HYJ35" s="545"/>
      <c r="HYK35" s="545"/>
      <c r="HYL35" s="545"/>
      <c r="HYM35" s="545"/>
      <c r="HYN35" s="545"/>
      <c r="HYO35" s="545"/>
      <c r="HYP35" s="545"/>
      <c r="HYQ35" s="545"/>
      <c r="HYR35" s="545"/>
      <c r="HYS35" s="545"/>
      <c r="HYT35" s="545"/>
      <c r="HYU35" s="545"/>
      <c r="HYV35" s="545"/>
      <c r="HYW35" s="545"/>
      <c r="HYX35" s="545"/>
      <c r="HYY35" s="545"/>
      <c r="HYZ35" s="545"/>
      <c r="HZA35" s="545"/>
      <c r="HZB35" s="545"/>
      <c r="HZC35" s="545"/>
      <c r="HZD35" s="545"/>
      <c r="HZE35" s="545"/>
      <c r="HZF35" s="545"/>
      <c r="HZG35" s="545"/>
      <c r="HZH35" s="545"/>
      <c r="HZI35" s="545"/>
      <c r="HZJ35" s="545"/>
      <c r="HZK35" s="545"/>
      <c r="HZL35" s="545"/>
      <c r="HZM35" s="545"/>
      <c r="HZN35" s="545"/>
      <c r="HZO35" s="545"/>
      <c r="HZP35" s="545"/>
      <c r="HZQ35" s="545"/>
      <c r="HZR35" s="545"/>
      <c r="HZS35" s="545"/>
      <c r="HZT35" s="545"/>
      <c r="HZU35" s="545"/>
      <c r="HZV35" s="545"/>
      <c r="HZW35" s="545"/>
      <c r="HZX35" s="545"/>
      <c r="HZY35" s="545"/>
      <c r="HZZ35" s="545"/>
      <c r="IAA35" s="545"/>
      <c r="IAB35" s="545"/>
      <c r="IAC35" s="545"/>
      <c r="IAD35" s="545"/>
      <c r="IAE35" s="545"/>
      <c r="IAF35" s="545"/>
      <c r="IAG35" s="545"/>
      <c r="IAH35" s="545"/>
      <c r="IAI35" s="545"/>
      <c r="IAJ35" s="545"/>
      <c r="IAK35" s="545"/>
      <c r="IAL35" s="545"/>
      <c r="IAM35" s="545"/>
      <c r="IAN35" s="545"/>
      <c r="IAO35" s="545"/>
      <c r="IAP35" s="545"/>
      <c r="IAQ35" s="545"/>
      <c r="IAR35" s="545"/>
      <c r="IAS35" s="545"/>
      <c r="IAT35" s="545"/>
      <c r="IAU35" s="545"/>
      <c r="IAV35" s="545"/>
      <c r="IAW35" s="545"/>
      <c r="IAX35" s="545"/>
      <c r="IAY35" s="545"/>
      <c r="IAZ35" s="545"/>
      <c r="IBA35" s="545"/>
      <c r="IBB35" s="545"/>
      <c r="IBC35" s="545"/>
      <c r="IBD35" s="545"/>
      <c r="IBE35" s="545"/>
      <c r="IBF35" s="545"/>
      <c r="IBG35" s="545"/>
      <c r="IBH35" s="545"/>
      <c r="IBI35" s="545"/>
      <c r="IBJ35" s="545"/>
      <c r="IBK35" s="545"/>
      <c r="IBL35" s="545"/>
      <c r="IBM35" s="545"/>
      <c r="IBN35" s="545"/>
      <c r="IBO35" s="545"/>
      <c r="IBP35" s="545"/>
      <c r="IBQ35" s="545"/>
      <c r="IBR35" s="545"/>
      <c r="IBS35" s="545"/>
      <c r="IBT35" s="545"/>
      <c r="IBU35" s="545"/>
      <c r="IBV35" s="545"/>
      <c r="IBW35" s="545"/>
      <c r="IBX35" s="545"/>
      <c r="IBY35" s="545"/>
      <c r="IBZ35" s="545"/>
      <c r="ICA35" s="545"/>
      <c r="ICB35" s="545"/>
      <c r="ICC35" s="545"/>
      <c r="ICD35" s="545"/>
      <c r="ICE35" s="545"/>
      <c r="ICF35" s="545"/>
      <c r="ICG35" s="545"/>
      <c r="ICH35" s="545"/>
      <c r="ICI35" s="545"/>
      <c r="ICJ35" s="545"/>
      <c r="ICK35" s="545"/>
      <c r="ICL35" s="545"/>
      <c r="ICM35" s="545"/>
      <c r="ICN35" s="545"/>
      <c r="ICO35" s="545"/>
      <c r="ICP35" s="545"/>
      <c r="ICQ35" s="545"/>
      <c r="ICR35" s="545"/>
      <c r="ICS35" s="545"/>
      <c r="ICT35" s="545"/>
      <c r="ICU35" s="545"/>
      <c r="ICV35" s="545"/>
      <c r="ICW35" s="545"/>
      <c r="ICX35" s="545"/>
      <c r="ICY35" s="545"/>
      <c r="ICZ35" s="545"/>
      <c r="IDA35" s="545"/>
      <c r="IDB35" s="545"/>
      <c r="IDC35" s="545"/>
      <c r="IDD35" s="545"/>
      <c r="IDE35" s="545"/>
      <c r="IDF35" s="545"/>
      <c r="IDG35" s="545"/>
      <c r="IDH35" s="545"/>
      <c r="IDI35" s="545"/>
      <c r="IDJ35" s="545"/>
      <c r="IDK35" s="545"/>
      <c r="IDL35" s="545"/>
      <c r="IDM35" s="545"/>
      <c r="IDN35" s="545"/>
      <c r="IDO35" s="545"/>
      <c r="IDP35" s="545"/>
      <c r="IDQ35" s="545"/>
      <c r="IDR35" s="545"/>
      <c r="IDS35" s="545"/>
      <c r="IDT35" s="545"/>
      <c r="IDU35" s="545"/>
      <c r="IDV35" s="545"/>
      <c r="IDW35" s="545"/>
      <c r="IDX35" s="545"/>
      <c r="IDY35" s="545"/>
      <c r="IDZ35" s="545"/>
      <c r="IEA35" s="545"/>
      <c r="IEB35" s="545"/>
      <c r="IEC35" s="545"/>
      <c r="IED35" s="545"/>
      <c r="IEE35" s="545"/>
      <c r="IEF35" s="545"/>
      <c r="IEG35" s="545"/>
      <c r="IEH35" s="545"/>
      <c r="IEI35" s="545"/>
      <c r="IEJ35" s="545"/>
      <c r="IEK35" s="545"/>
      <c r="IEL35" s="545"/>
      <c r="IEM35" s="545"/>
      <c r="IEN35" s="545"/>
      <c r="IEO35" s="545"/>
      <c r="IEP35" s="545"/>
      <c r="IEQ35" s="545"/>
      <c r="IER35" s="545"/>
      <c r="IES35" s="545"/>
      <c r="IET35" s="545"/>
      <c r="IEU35" s="545"/>
      <c r="IEV35" s="545"/>
      <c r="IEW35" s="545"/>
      <c r="IEX35" s="545"/>
      <c r="IEY35" s="545"/>
      <c r="IEZ35" s="545"/>
      <c r="IFA35" s="545"/>
      <c r="IFB35" s="545"/>
      <c r="IFC35" s="545"/>
      <c r="IFD35" s="545"/>
      <c r="IFE35" s="545"/>
      <c r="IFF35" s="545"/>
      <c r="IFG35" s="545"/>
      <c r="IFH35" s="545"/>
      <c r="IFI35" s="545"/>
      <c r="IFJ35" s="545"/>
      <c r="IFK35" s="545"/>
      <c r="IFL35" s="545"/>
      <c r="IFM35" s="545"/>
      <c r="IFN35" s="545"/>
      <c r="IFO35" s="545"/>
      <c r="IFP35" s="545"/>
      <c r="IFQ35" s="545"/>
      <c r="IFR35" s="545"/>
      <c r="IFS35" s="545"/>
      <c r="IFT35" s="545"/>
      <c r="IFU35" s="545"/>
      <c r="IFV35" s="545"/>
      <c r="IFW35" s="545"/>
      <c r="IFX35" s="545"/>
      <c r="IFY35" s="545"/>
      <c r="IFZ35" s="545"/>
      <c r="IGA35" s="545"/>
      <c r="IGB35" s="545"/>
      <c r="IGC35" s="545"/>
      <c r="IGD35" s="545"/>
      <c r="IGE35" s="545"/>
      <c r="IGF35" s="545"/>
      <c r="IGG35" s="545"/>
      <c r="IGH35" s="545"/>
      <c r="IGI35" s="545"/>
      <c r="IGJ35" s="545"/>
      <c r="IGK35" s="545"/>
      <c r="IGL35" s="545"/>
      <c r="IGM35" s="545"/>
      <c r="IGN35" s="545"/>
      <c r="IGO35" s="545"/>
      <c r="IGP35" s="545"/>
      <c r="IGQ35" s="545"/>
      <c r="IGR35" s="545"/>
      <c r="IGS35" s="545"/>
      <c r="IGT35" s="545"/>
      <c r="IGU35" s="545"/>
      <c r="IGV35" s="545"/>
      <c r="IGW35" s="545"/>
      <c r="IGX35" s="545"/>
      <c r="IGY35" s="545"/>
      <c r="IGZ35" s="545"/>
      <c r="IHA35" s="545"/>
      <c r="IHB35" s="545"/>
      <c r="IHC35" s="545"/>
      <c r="IHD35" s="545"/>
      <c r="IHE35" s="545"/>
      <c r="IHF35" s="545"/>
      <c r="IHG35" s="545"/>
      <c r="IHH35" s="545"/>
      <c r="IHI35" s="545"/>
      <c r="IHJ35" s="545"/>
      <c r="IHK35" s="545"/>
      <c r="IHL35" s="545"/>
      <c r="IHM35" s="545"/>
      <c r="IHN35" s="545"/>
      <c r="IHO35" s="545"/>
      <c r="IHP35" s="545"/>
      <c r="IHQ35" s="545"/>
      <c r="IHR35" s="545"/>
      <c r="IHS35" s="545"/>
      <c r="IHT35" s="545"/>
      <c r="IHU35" s="545"/>
      <c r="IHV35" s="545"/>
      <c r="IHW35" s="545"/>
      <c r="IHX35" s="545"/>
      <c r="IHY35" s="545"/>
      <c r="IHZ35" s="545"/>
      <c r="IIA35" s="545"/>
      <c r="IIB35" s="545"/>
      <c r="IIC35" s="545"/>
      <c r="IID35" s="545"/>
      <c r="IIE35" s="545"/>
      <c r="IIF35" s="545"/>
      <c r="IIG35" s="545"/>
      <c r="IIH35" s="545"/>
      <c r="III35" s="545"/>
      <c r="IIJ35" s="545"/>
      <c r="IIK35" s="545"/>
      <c r="IIL35" s="545"/>
      <c r="IIM35" s="545"/>
      <c r="IIN35" s="545"/>
      <c r="IIO35" s="545"/>
      <c r="IIP35" s="545"/>
      <c r="IIQ35" s="545"/>
      <c r="IIR35" s="545"/>
      <c r="IIS35" s="545"/>
      <c r="IIT35" s="545"/>
      <c r="IIU35" s="545"/>
      <c r="IIV35" s="545"/>
      <c r="IIW35" s="545"/>
      <c r="IIX35" s="545"/>
      <c r="IIY35" s="545"/>
      <c r="IIZ35" s="545"/>
      <c r="IJA35" s="545"/>
      <c r="IJB35" s="545"/>
      <c r="IJC35" s="545"/>
      <c r="IJD35" s="545"/>
      <c r="IJE35" s="545"/>
      <c r="IJF35" s="545"/>
      <c r="IJG35" s="545"/>
      <c r="IJH35" s="545"/>
      <c r="IJI35" s="545"/>
      <c r="IJJ35" s="545"/>
      <c r="IJK35" s="545"/>
      <c r="IJL35" s="545"/>
      <c r="IJM35" s="545"/>
      <c r="IJN35" s="545"/>
      <c r="IJO35" s="545"/>
      <c r="IJP35" s="545"/>
      <c r="IJQ35" s="545"/>
      <c r="IJR35" s="545"/>
      <c r="IJS35" s="545"/>
      <c r="IJT35" s="545"/>
      <c r="IJU35" s="545"/>
      <c r="IJV35" s="545"/>
      <c r="IJW35" s="545"/>
      <c r="IJX35" s="545"/>
      <c r="IJY35" s="545"/>
      <c r="IJZ35" s="545"/>
      <c r="IKA35" s="545"/>
      <c r="IKB35" s="545"/>
      <c r="IKC35" s="545"/>
      <c r="IKD35" s="545"/>
      <c r="IKE35" s="545"/>
      <c r="IKF35" s="545"/>
      <c r="IKG35" s="545"/>
      <c r="IKH35" s="545"/>
      <c r="IKI35" s="545"/>
      <c r="IKJ35" s="545"/>
      <c r="IKK35" s="545"/>
      <c r="IKL35" s="545"/>
      <c r="IKM35" s="545"/>
      <c r="IKN35" s="545"/>
      <c r="IKO35" s="545"/>
      <c r="IKP35" s="545"/>
      <c r="IKQ35" s="545"/>
      <c r="IKR35" s="545"/>
      <c r="IKS35" s="545"/>
      <c r="IKT35" s="545"/>
      <c r="IKU35" s="545"/>
      <c r="IKV35" s="545"/>
      <c r="IKW35" s="545"/>
      <c r="IKX35" s="545"/>
      <c r="IKY35" s="545"/>
      <c r="IKZ35" s="545"/>
      <c r="ILA35" s="545"/>
      <c r="ILB35" s="545"/>
      <c r="ILC35" s="545"/>
      <c r="ILD35" s="545"/>
      <c r="ILE35" s="545"/>
      <c r="ILF35" s="545"/>
      <c r="ILG35" s="545"/>
      <c r="ILH35" s="545"/>
      <c r="ILI35" s="545"/>
      <c r="ILJ35" s="545"/>
      <c r="ILK35" s="545"/>
      <c r="ILL35" s="545"/>
      <c r="ILM35" s="545"/>
      <c r="ILN35" s="545"/>
      <c r="ILO35" s="545"/>
      <c r="ILP35" s="545"/>
      <c r="ILQ35" s="545"/>
      <c r="ILR35" s="545"/>
      <c r="ILS35" s="545"/>
      <c r="ILT35" s="545"/>
      <c r="ILU35" s="545"/>
      <c r="ILV35" s="545"/>
      <c r="ILW35" s="545"/>
      <c r="ILX35" s="545"/>
      <c r="ILY35" s="545"/>
      <c r="ILZ35" s="545"/>
      <c r="IMA35" s="545"/>
      <c r="IMB35" s="545"/>
      <c r="IMC35" s="545"/>
      <c r="IMD35" s="545"/>
      <c r="IME35" s="545"/>
      <c r="IMF35" s="545"/>
      <c r="IMG35" s="545"/>
      <c r="IMH35" s="545"/>
      <c r="IMI35" s="545"/>
      <c r="IMJ35" s="545"/>
      <c r="IMK35" s="545"/>
      <c r="IML35" s="545"/>
      <c r="IMM35" s="545"/>
      <c r="IMN35" s="545"/>
      <c r="IMO35" s="545"/>
      <c r="IMP35" s="545"/>
      <c r="IMQ35" s="545"/>
      <c r="IMR35" s="545"/>
      <c r="IMS35" s="545"/>
      <c r="IMT35" s="545"/>
      <c r="IMU35" s="545"/>
      <c r="IMV35" s="545"/>
      <c r="IMW35" s="545"/>
      <c r="IMX35" s="545"/>
      <c r="IMY35" s="545"/>
      <c r="IMZ35" s="545"/>
      <c r="INA35" s="545"/>
      <c r="INB35" s="545"/>
      <c r="INC35" s="545"/>
      <c r="IND35" s="545"/>
      <c r="INE35" s="545"/>
      <c r="INF35" s="545"/>
      <c r="ING35" s="545"/>
      <c r="INH35" s="545"/>
      <c r="INI35" s="545"/>
      <c r="INJ35" s="545"/>
      <c r="INK35" s="545"/>
      <c r="INL35" s="545"/>
      <c r="INM35" s="545"/>
      <c r="INN35" s="545"/>
      <c r="INO35" s="545"/>
      <c r="INP35" s="545"/>
      <c r="INQ35" s="545"/>
      <c r="INR35" s="545"/>
      <c r="INS35" s="545"/>
      <c r="INT35" s="545"/>
      <c r="INU35" s="545"/>
      <c r="INV35" s="545"/>
      <c r="INW35" s="545"/>
      <c r="INX35" s="545"/>
      <c r="INY35" s="545"/>
      <c r="INZ35" s="545"/>
      <c r="IOA35" s="545"/>
      <c r="IOB35" s="545"/>
      <c r="IOC35" s="545"/>
      <c r="IOD35" s="545"/>
      <c r="IOE35" s="545"/>
      <c r="IOF35" s="545"/>
      <c r="IOG35" s="545"/>
      <c r="IOH35" s="545"/>
      <c r="IOI35" s="545"/>
      <c r="IOJ35" s="545"/>
      <c r="IOK35" s="545"/>
      <c r="IOL35" s="545"/>
      <c r="IOM35" s="545"/>
      <c r="ION35" s="545"/>
      <c r="IOO35" s="545"/>
      <c r="IOP35" s="545"/>
      <c r="IOQ35" s="545"/>
      <c r="IOR35" s="545"/>
      <c r="IOS35" s="545"/>
      <c r="IOT35" s="545"/>
      <c r="IOU35" s="545"/>
      <c r="IOV35" s="545"/>
      <c r="IOW35" s="545"/>
      <c r="IOX35" s="545"/>
      <c r="IOY35" s="545"/>
      <c r="IOZ35" s="545"/>
      <c r="IPA35" s="545"/>
      <c r="IPB35" s="545"/>
      <c r="IPC35" s="545"/>
      <c r="IPD35" s="545"/>
      <c r="IPE35" s="545"/>
      <c r="IPF35" s="545"/>
      <c r="IPG35" s="545"/>
      <c r="IPH35" s="545"/>
      <c r="IPI35" s="545"/>
      <c r="IPJ35" s="545"/>
      <c r="IPK35" s="545"/>
      <c r="IPL35" s="545"/>
      <c r="IPM35" s="545"/>
      <c r="IPN35" s="545"/>
      <c r="IPO35" s="545"/>
      <c r="IPP35" s="545"/>
      <c r="IPQ35" s="545"/>
      <c r="IPR35" s="545"/>
      <c r="IPS35" s="545"/>
      <c r="IPT35" s="545"/>
      <c r="IPU35" s="545"/>
      <c r="IPV35" s="545"/>
      <c r="IPW35" s="545"/>
      <c r="IPX35" s="545"/>
      <c r="IPY35" s="545"/>
      <c r="IPZ35" s="545"/>
      <c r="IQA35" s="545"/>
      <c r="IQB35" s="545"/>
      <c r="IQC35" s="545"/>
      <c r="IQD35" s="545"/>
      <c r="IQE35" s="545"/>
      <c r="IQF35" s="545"/>
      <c r="IQG35" s="545"/>
      <c r="IQH35" s="545"/>
      <c r="IQI35" s="545"/>
      <c r="IQJ35" s="545"/>
      <c r="IQK35" s="545"/>
      <c r="IQL35" s="545"/>
      <c r="IQM35" s="545"/>
      <c r="IQN35" s="545"/>
      <c r="IQO35" s="545"/>
      <c r="IQP35" s="545"/>
      <c r="IQQ35" s="545"/>
      <c r="IQR35" s="545"/>
      <c r="IQS35" s="545"/>
      <c r="IQT35" s="545"/>
      <c r="IQU35" s="545"/>
      <c r="IQV35" s="545"/>
      <c r="IQW35" s="545"/>
      <c r="IQX35" s="545"/>
      <c r="IQY35" s="545"/>
      <c r="IQZ35" s="545"/>
      <c r="IRA35" s="545"/>
      <c r="IRB35" s="545"/>
      <c r="IRC35" s="545"/>
      <c r="IRD35" s="545"/>
      <c r="IRE35" s="545"/>
      <c r="IRF35" s="545"/>
      <c r="IRG35" s="545"/>
      <c r="IRH35" s="545"/>
      <c r="IRI35" s="545"/>
      <c r="IRJ35" s="545"/>
      <c r="IRK35" s="545"/>
      <c r="IRL35" s="545"/>
      <c r="IRM35" s="545"/>
      <c r="IRN35" s="545"/>
      <c r="IRO35" s="545"/>
      <c r="IRP35" s="545"/>
      <c r="IRQ35" s="545"/>
      <c r="IRR35" s="545"/>
      <c r="IRS35" s="545"/>
      <c r="IRT35" s="545"/>
      <c r="IRU35" s="545"/>
      <c r="IRV35" s="545"/>
      <c r="IRW35" s="545"/>
      <c r="IRX35" s="545"/>
      <c r="IRY35" s="545"/>
      <c r="IRZ35" s="545"/>
      <c r="ISA35" s="545"/>
      <c r="ISB35" s="545"/>
      <c r="ISC35" s="545"/>
      <c r="ISD35" s="545"/>
      <c r="ISE35" s="545"/>
      <c r="ISF35" s="545"/>
      <c r="ISG35" s="545"/>
      <c r="ISH35" s="545"/>
      <c r="ISI35" s="545"/>
      <c r="ISJ35" s="545"/>
      <c r="ISK35" s="545"/>
      <c r="ISL35" s="545"/>
      <c r="ISM35" s="545"/>
      <c r="ISN35" s="545"/>
      <c r="ISO35" s="545"/>
      <c r="ISP35" s="545"/>
      <c r="ISQ35" s="545"/>
      <c r="ISR35" s="545"/>
      <c r="ISS35" s="545"/>
      <c r="IST35" s="545"/>
      <c r="ISU35" s="545"/>
      <c r="ISV35" s="545"/>
      <c r="ISW35" s="545"/>
      <c r="ISX35" s="545"/>
      <c r="ISY35" s="545"/>
      <c r="ISZ35" s="545"/>
      <c r="ITA35" s="545"/>
      <c r="ITB35" s="545"/>
      <c r="ITC35" s="545"/>
      <c r="ITD35" s="545"/>
      <c r="ITE35" s="545"/>
      <c r="ITF35" s="545"/>
      <c r="ITG35" s="545"/>
      <c r="ITH35" s="545"/>
      <c r="ITI35" s="545"/>
      <c r="ITJ35" s="545"/>
      <c r="ITK35" s="545"/>
      <c r="ITL35" s="545"/>
      <c r="ITM35" s="545"/>
      <c r="ITN35" s="545"/>
      <c r="ITO35" s="545"/>
      <c r="ITP35" s="545"/>
      <c r="ITQ35" s="545"/>
      <c r="ITR35" s="545"/>
      <c r="ITS35" s="545"/>
      <c r="ITT35" s="545"/>
      <c r="ITU35" s="545"/>
      <c r="ITV35" s="545"/>
      <c r="ITW35" s="545"/>
      <c r="ITX35" s="545"/>
      <c r="ITY35" s="545"/>
      <c r="ITZ35" s="545"/>
      <c r="IUA35" s="545"/>
      <c r="IUB35" s="545"/>
      <c r="IUC35" s="545"/>
      <c r="IUD35" s="545"/>
      <c r="IUE35" s="545"/>
      <c r="IUF35" s="545"/>
      <c r="IUG35" s="545"/>
      <c r="IUH35" s="545"/>
      <c r="IUI35" s="545"/>
      <c r="IUJ35" s="545"/>
      <c r="IUK35" s="545"/>
      <c r="IUL35" s="545"/>
      <c r="IUM35" s="545"/>
      <c r="IUN35" s="545"/>
      <c r="IUO35" s="545"/>
      <c r="IUP35" s="545"/>
      <c r="IUQ35" s="545"/>
      <c r="IUR35" s="545"/>
      <c r="IUS35" s="545"/>
      <c r="IUT35" s="545"/>
      <c r="IUU35" s="545"/>
      <c r="IUV35" s="545"/>
      <c r="IUW35" s="545"/>
      <c r="IUX35" s="545"/>
      <c r="IUY35" s="545"/>
      <c r="IUZ35" s="545"/>
      <c r="IVA35" s="545"/>
      <c r="IVB35" s="545"/>
      <c r="IVC35" s="545"/>
      <c r="IVD35" s="545"/>
      <c r="IVE35" s="545"/>
      <c r="IVF35" s="545"/>
      <c r="IVG35" s="545"/>
      <c r="IVH35" s="545"/>
      <c r="IVI35" s="545"/>
      <c r="IVJ35" s="545"/>
      <c r="IVK35" s="545"/>
      <c r="IVL35" s="545"/>
      <c r="IVM35" s="545"/>
      <c r="IVN35" s="545"/>
      <c r="IVO35" s="545"/>
      <c r="IVP35" s="545"/>
      <c r="IVQ35" s="545"/>
      <c r="IVR35" s="545"/>
      <c r="IVS35" s="545"/>
      <c r="IVT35" s="545"/>
      <c r="IVU35" s="545"/>
      <c r="IVV35" s="545"/>
      <c r="IVW35" s="545"/>
      <c r="IVX35" s="545"/>
      <c r="IVY35" s="545"/>
      <c r="IVZ35" s="545"/>
      <c r="IWA35" s="545"/>
      <c r="IWB35" s="545"/>
      <c r="IWC35" s="545"/>
      <c r="IWD35" s="545"/>
      <c r="IWE35" s="545"/>
      <c r="IWF35" s="545"/>
      <c r="IWG35" s="545"/>
      <c r="IWH35" s="545"/>
      <c r="IWI35" s="545"/>
      <c r="IWJ35" s="545"/>
      <c r="IWK35" s="545"/>
      <c r="IWL35" s="545"/>
      <c r="IWM35" s="545"/>
      <c r="IWN35" s="545"/>
      <c r="IWO35" s="545"/>
      <c r="IWP35" s="545"/>
      <c r="IWQ35" s="545"/>
      <c r="IWR35" s="545"/>
      <c r="IWS35" s="545"/>
      <c r="IWT35" s="545"/>
      <c r="IWU35" s="545"/>
      <c r="IWV35" s="545"/>
      <c r="IWW35" s="545"/>
      <c r="IWX35" s="545"/>
      <c r="IWY35" s="545"/>
      <c r="IWZ35" s="545"/>
      <c r="IXA35" s="545"/>
      <c r="IXB35" s="545"/>
      <c r="IXC35" s="545"/>
      <c r="IXD35" s="545"/>
      <c r="IXE35" s="545"/>
      <c r="IXF35" s="545"/>
      <c r="IXG35" s="545"/>
      <c r="IXH35" s="545"/>
      <c r="IXI35" s="545"/>
      <c r="IXJ35" s="545"/>
      <c r="IXK35" s="545"/>
      <c r="IXL35" s="545"/>
      <c r="IXM35" s="545"/>
      <c r="IXN35" s="545"/>
      <c r="IXO35" s="545"/>
      <c r="IXP35" s="545"/>
      <c r="IXQ35" s="545"/>
      <c r="IXR35" s="545"/>
      <c r="IXS35" s="545"/>
      <c r="IXT35" s="545"/>
      <c r="IXU35" s="545"/>
      <c r="IXV35" s="545"/>
      <c r="IXW35" s="545"/>
      <c r="IXX35" s="545"/>
      <c r="IXY35" s="545"/>
      <c r="IXZ35" s="545"/>
      <c r="IYA35" s="545"/>
      <c r="IYB35" s="545"/>
      <c r="IYC35" s="545"/>
      <c r="IYD35" s="545"/>
      <c r="IYE35" s="545"/>
      <c r="IYF35" s="545"/>
      <c r="IYG35" s="545"/>
      <c r="IYH35" s="545"/>
      <c r="IYI35" s="545"/>
      <c r="IYJ35" s="545"/>
      <c r="IYK35" s="545"/>
      <c r="IYL35" s="545"/>
      <c r="IYM35" s="545"/>
      <c r="IYN35" s="545"/>
      <c r="IYO35" s="545"/>
      <c r="IYP35" s="545"/>
      <c r="IYQ35" s="545"/>
      <c r="IYR35" s="545"/>
      <c r="IYS35" s="545"/>
      <c r="IYT35" s="545"/>
      <c r="IYU35" s="545"/>
      <c r="IYV35" s="545"/>
      <c r="IYW35" s="545"/>
      <c r="IYX35" s="545"/>
      <c r="IYY35" s="545"/>
      <c r="IYZ35" s="545"/>
      <c r="IZA35" s="545"/>
      <c r="IZB35" s="545"/>
      <c r="IZC35" s="545"/>
      <c r="IZD35" s="545"/>
      <c r="IZE35" s="545"/>
      <c r="IZF35" s="545"/>
      <c r="IZG35" s="545"/>
      <c r="IZH35" s="545"/>
      <c r="IZI35" s="545"/>
      <c r="IZJ35" s="545"/>
      <c r="IZK35" s="545"/>
      <c r="IZL35" s="545"/>
      <c r="IZM35" s="545"/>
      <c r="IZN35" s="545"/>
      <c r="IZO35" s="545"/>
      <c r="IZP35" s="545"/>
      <c r="IZQ35" s="545"/>
      <c r="IZR35" s="545"/>
      <c r="IZS35" s="545"/>
      <c r="IZT35" s="545"/>
      <c r="IZU35" s="545"/>
      <c r="IZV35" s="545"/>
      <c r="IZW35" s="545"/>
      <c r="IZX35" s="545"/>
      <c r="IZY35" s="545"/>
      <c r="IZZ35" s="545"/>
      <c r="JAA35" s="545"/>
      <c r="JAB35" s="545"/>
      <c r="JAC35" s="545"/>
      <c r="JAD35" s="545"/>
      <c r="JAE35" s="545"/>
      <c r="JAF35" s="545"/>
      <c r="JAG35" s="545"/>
      <c r="JAH35" s="545"/>
      <c r="JAI35" s="545"/>
      <c r="JAJ35" s="545"/>
      <c r="JAK35" s="545"/>
      <c r="JAL35" s="545"/>
      <c r="JAM35" s="545"/>
      <c r="JAN35" s="545"/>
      <c r="JAO35" s="545"/>
      <c r="JAP35" s="545"/>
      <c r="JAQ35" s="545"/>
      <c r="JAR35" s="545"/>
      <c r="JAS35" s="545"/>
      <c r="JAT35" s="545"/>
      <c r="JAU35" s="545"/>
      <c r="JAV35" s="545"/>
      <c r="JAW35" s="545"/>
      <c r="JAX35" s="545"/>
      <c r="JAY35" s="545"/>
      <c r="JAZ35" s="545"/>
      <c r="JBA35" s="545"/>
      <c r="JBB35" s="545"/>
      <c r="JBC35" s="545"/>
      <c r="JBD35" s="545"/>
      <c r="JBE35" s="545"/>
      <c r="JBF35" s="545"/>
      <c r="JBG35" s="545"/>
      <c r="JBH35" s="545"/>
      <c r="JBI35" s="545"/>
      <c r="JBJ35" s="545"/>
      <c r="JBK35" s="545"/>
      <c r="JBL35" s="545"/>
      <c r="JBM35" s="545"/>
      <c r="JBN35" s="545"/>
      <c r="JBO35" s="545"/>
      <c r="JBP35" s="545"/>
      <c r="JBQ35" s="545"/>
      <c r="JBR35" s="545"/>
      <c r="JBS35" s="545"/>
      <c r="JBT35" s="545"/>
      <c r="JBU35" s="545"/>
      <c r="JBV35" s="545"/>
      <c r="JBW35" s="545"/>
      <c r="JBX35" s="545"/>
      <c r="JBY35" s="545"/>
      <c r="JBZ35" s="545"/>
      <c r="JCA35" s="545"/>
      <c r="JCB35" s="545"/>
      <c r="JCC35" s="545"/>
      <c r="JCD35" s="545"/>
      <c r="JCE35" s="545"/>
      <c r="JCF35" s="545"/>
      <c r="JCG35" s="545"/>
      <c r="JCH35" s="545"/>
      <c r="JCI35" s="545"/>
      <c r="JCJ35" s="545"/>
      <c r="JCK35" s="545"/>
      <c r="JCL35" s="545"/>
      <c r="JCM35" s="545"/>
      <c r="JCN35" s="545"/>
      <c r="JCO35" s="545"/>
      <c r="JCP35" s="545"/>
      <c r="JCQ35" s="545"/>
      <c r="JCR35" s="545"/>
      <c r="JCS35" s="545"/>
      <c r="JCT35" s="545"/>
      <c r="JCU35" s="545"/>
      <c r="JCV35" s="545"/>
      <c r="JCW35" s="545"/>
      <c r="JCX35" s="545"/>
      <c r="JCY35" s="545"/>
      <c r="JCZ35" s="545"/>
      <c r="JDA35" s="545"/>
      <c r="JDB35" s="545"/>
      <c r="JDC35" s="545"/>
      <c r="JDD35" s="545"/>
      <c r="JDE35" s="545"/>
      <c r="JDF35" s="545"/>
      <c r="JDG35" s="545"/>
      <c r="JDH35" s="545"/>
      <c r="JDI35" s="545"/>
      <c r="JDJ35" s="545"/>
      <c r="JDK35" s="545"/>
      <c r="JDL35" s="545"/>
      <c r="JDM35" s="545"/>
      <c r="JDN35" s="545"/>
      <c r="JDO35" s="545"/>
      <c r="JDP35" s="545"/>
      <c r="JDQ35" s="545"/>
      <c r="JDR35" s="545"/>
      <c r="JDS35" s="545"/>
      <c r="JDT35" s="545"/>
      <c r="JDU35" s="545"/>
      <c r="JDV35" s="545"/>
      <c r="JDW35" s="545"/>
      <c r="JDX35" s="545"/>
      <c r="JDY35" s="545"/>
      <c r="JDZ35" s="545"/>
      <c r="JEA35" s="545"/>
      <c r="JEB35" s="545"/>
      <c r="JEC35" s="545"/>
      <c r="JED35" s="545"/>
      <c r="JEE35" s="545"/>
      <c r="JEF35" s="545"/>
      <c r="JEG35" s="545"/>
      <c r="JEH35" s="545"/>
      <c r="JEI35" s="545"/>
      <c r="JEJ35" s="545"/>
      <c r="JEK35" s="545"/>
      <c r="JEL35" s="545"/>
      <c r="JEM35" s="545"/>
      <c r="JEN35" s="545"/>
      <c r="JEO35" s="545"/>
      <c r="JEP35" s="545"/>
      <c r="JEQ35" s="545"/>
      <c r="JER35" s="545"/>
      <c r="JES35" s="545"/>
      <c r="JET35" s="545"/>
      <c r="JEU35" s="545"/>
      <c r="JEV35" s="545"/>
      <c r="JEW35" s="545"/>
      <c r="JEX35" s="545"/>
      <c r="JEY35" s="545"/>
      <c r="JEZ35" s="545"/>
      <c r="JFA35" s="545"/>
      <c r="JFB35" s="545"/>
      <c r="JFC35" s="545"/>
      <c r="JFD35" s="545"/>
      <c r="JFE35" s="545"/>
      <c r="JFF35" s="545"/>
      <c r="JFG35" s="545"/>
      <c r="JFH35" s="545"/>
      <c r="JFI35" s="545"/>
      <c r="JFJ35" s="545"/>
      <c r="JFK35" s="545"/>
      <c r="JFL35" s="545"/>
      <c r="JFM35" s="545"/>
      <c r="JFN35" s="545"/>
      <c r="JFO35" s="545"/>
      <c r="JFP35" s="545"/>
      <c r="JFQ35" s="545"/>
      <c r="JFR35" s="545"/>
      <c r="JFS35" s="545"/>
      <c r="JFT35" s="545"/>
      <c r="JFU35" s="545"/>
      <c r="JFV35" s="545"/>
      <c r="JFW35" s="545"/>
      <c r="JFX35" s="545"/>
      <c r="JFY35" s="545"/>
      <c r="JFZ35" s="545"/>
      <c r="JGA35" s="545"/>
      <c r="JGB35" s="545"/>
      <c r="JGC35" s="545"/>
      <c r="JGD35" s="545"/>
      <c r="JGE35" s="545"/>
      <c r="JGF35" s="545"/>
      <c r="JGG35" s="545"/>
      <c r="JGH35" s="545"/>
      <c r="JGI35" s="545"/>
      <c r="JGJ35" s="545"/>
      <c r="JGK35" s="545"/>
      <c r="JGL35" s="545"/>
      <c r="JGM35" s="545"/>
      <c r="JGN35" s="545"/>
      <c r="JGO35" s="545"/>
      <c r="JGP35" s="545"/>
      <c r="JGQ35" s="545"/>
      <c r="JGR35" s="545"/>
      <c r="JGS35" s="545"/>
      <c r="JGT35" s="545"/>
      <c r="JGU35" s="545"/>
      <c r="JGV35" s="545"/>
      <c r="JGW35" s="545"/>
      <c r="JGX35" s="545"/>
      <c r="JGY35" s="545"/>
      <c r="JGZ35" s="545"/>
      <c r="JHA35" s="545"/>
      <c r="JHB35" s="545"/>
      <c r="JHC35" s="545"/>
      <c r="JHD35" s="545"/>
      <c r="JHE35" s="545"/>
      <c r="JHF35" s="545"/>
      <c r="JHG35" s="545"/>
      <c r="JHH35" s="545"/>
      <c r="JHI35" s="545"/>
      <c r="JHJ35" s="545"/>
      <c r="JHK35" s="545"/>
      <c r="JHL35" s="545"/>
      <c r="JHM35" s="545"/>
      <c r="JHN35" s="545"/>
      <c r="JHO35" s="545"/>
      <c r="JHP35" s="545"/>
      <c r="JHQ35" s="545"/>
      <c r="JHR35" s="545"/>
      <c r="JHS35" s="545"/>
      <c r="JHT35" s="545"/>
      <c r="JHU35" s="545"/>
      <c r="JHV35" s="545"/>
      <c r="JHW35" s="545"/>
      <c r="JHX35" s="545"/>
      <c r="JHY35" s="545"/>
      <c r="JHZ35" s="545"/>
      <c r="JIA35" s="545"/>
      <c r="JIB35" s="545"/>
      <c r="JIC35" s="545"/>
      <c r="JID35" s="545"/>
      <c r="JIE35" s="545"/>
      <c r="JIF35" s="545"/>
      <c r="JIG35" s="545"/>
      <c r="JIH35" s="545"/>
      <c r="JII35" s="545"/>
      <c r="JIJ35" s="545"/>
      <c r="JIK35" s="545"/>
      <c r="JIL35" s="545"/>
      <c r="JIM35" s="545"/>
      <c r="JIN35" s="545"/>
      <c r="JIO35" s="545"/>
      <c r="JIP35" s="545"/>
      <c r="JIQ35" s="545"/>
      <c r="JIR35" s="545"/>
      <c r="JIS35" s="545"/>
      <c r="JIT35" s="545"/>
      <c r="JIU35" s="545"/>
      <c r="JIV35" s="545"/>
      <c r="JIW35" s="545"/>
      <c r="JIX35" s="545"/>
      <c r="JIY35" s="545"/>
      <c r="JIZ35" s="545"/>
      <c r="JJA35" s="545"/>
      <c r="JJB35" s="545"/>
      <c r="JJC35" s="545"/>
      <c r="JJD35" s="545"/>
      <c r="JJE35" s="545"/>
      <c r="JJF35" s="545"/>
      <c r="JJG35" s="545"/>
      <c r="JJH35" s="545"/>
      <c r="JJI35" s="545"/>
      <c r="JJJ35" s="545"/>
      <c r="JJK35" s="545"/>
      <c r="JJL35" s="545"/>
      <c r="JJM35" s="545"/>
      <c r="JJN35" s="545"/>
      <c r="JJO35" s="545"/>
      <c r="JJP35" s="545"/>
      <c r="JJQ35" s="545"/>
      <c r="JJR35" s="545"/>
      <c r="JJS35" s="545"/>
      <c r="JJT35" s="545"/>
      <c r="JJU35" s="545"/>
      <c r="JJV35" s="545"/>
      <c r="JJW35" s="545"/>
      <c r="JJX35" s="545"/>
      <c r="JJY35" s="545"/>
      <c r="JJZ35" s="545"/>
      <c r="JKA35" s="545"/>
      <c r="JKB35" s="545"/>
      <c r="JKC35" s="545"/>
      <c r="JKD35" s="545"/>
      <c r="JKE35" s="545"/>
      <c r="JKF35" s="545"/>
      <c r="JKG35" s="545"/>
      <c r="JKH35" s="545"/>
      <c r="JKI35" s="545"/>
      <c r="JKJ35" s="545"/>
      <c r="JKK35" s="545"/>
      <c r="JKL35" s="545"/>
      <c r="JKM35" s="545"/>
      <c r="JKN35" s="545"/>
      <c r="JKO35" s="545"/>
      <c r="JKP35" s="545"/>
      <c r="JKQ35" s="545"/>
      <c r="JKR35" s="545"/>
      <c r="JKS35" s="545"/>
      <c r="JKT35" s="545"/>
      <c r="JKU35" s="545"/>
      <c r="JKV35" s="545"/>
      <c r="JKW35" s="545"/>
      <c r="JKX35" s="545"/>
      <c r="JKY35" s="545"/>
      <c r="JKZ35" s="545"/>
      <c r="JLA35" s="545"/>
      <c r="JLB35" s="545"/>
      <c r="JLC35" s="545"/>
      <c r="JLD35" s="545"/>
      <c r="JLE35" s="545"/>
      <c r="JLF35" s="545"/>
      <c r="JLG35" s="545"/>
      <c r="JLH35" s="545"/>
      <c r="JLI35" s="545"/>
      <c r="JLJ35" s="545"/>
      <c r="JLK35" s="545"/>
      <c r="JLL35" s="545"/>
      <c r="JLM35" s="545"/>
      <c r="JLN35" s="545"/>
      <c r="JLO35" s="545"/>
      <c r="JLP35" s="545"/>
      <c r="JLQ35" s="545"/>
      <c r="JLR35" s="545"/>
      <c r="JLS35" s="545"/>
      <c r="JLT35" s="545"/>
      <c r="JLU35" s="545"/>
      <c r="JLV35" s="545"/>
      <c r="JLW35" s="545"/>
      <c r="JLX35" s="545"/>
      <c r="JLY35" s="545"/>
      <c r="JLZ35" s="545"/>
      <c r="JMA35" s="545"/>
      <c r="JMB35" s="545"/>
      <c r="JMC35" s="545"/>
      <c r="JMD35" s="545"/>
      <c r="JME35" s="545"/>
      <c r="JMF35" s="545"/>
      <c r="JMG35" s="545"/>
      <c r="JMH35" s="545"/>
      <c r="JMI35" s="545"/>
      <c r="JMJ35" s="545"/>
      <c r="JMK35" s="545"/>
      <c r="JML35" s="545"/>
      <c r="JMM35" s="545"/>
      <c r="JMN35" s="545"/>
      <c r="JMO35" s="545"/>
      <c r="JMP35" s="545"/>
      <c r="JMQ35" s="545"/>
      <c r="JMR35" s="545"/>
      <c r="JMS35" s="545"/>
      <c r="JMT35" s="545"/>
      <c r="JMU35" s="545"/>
      <c r="JMV35" s="545"/>
      <c r="JMW35" s="545"/>
      <c r="JMX35" s="545"/>
      <c r="JMY35" s="545"/>
      <c r="JMZ35" s="545"/>
      <c r="JNA35" s="545"/>
      <c r="JNB35" s="545"/>
      <c r="JNC35" s="545"/>
      <c r="JND35" s="545"/>
      <c r="JNE35" s="545"/>
      <c r="JNF35" s="545"/>
      <c r="JNG35" s="545"/>
      <c r="JNH35" s="545"/>
      <c r="JNI35" s="545"/>
      <c r="JNJ35" s="545"/>
      <c r="JNK35" s="545"/>
      <c r="JNL35" s="545"/>
      <c r="JNM35" s="545"/>
      <c r="JNN35" s="545"/>
      <c r="JNO35" s="545"/>
      <c r="JNP35" s="545"/>
      <c r="JNQ35" s="545"/>
      <c r="JNR35" s="545"/>
      <c r="JNS35" s="545"/>
      <c r="JNT35" s="545"/>
      <c r="JNU35" s="545"/>
      <c r="JNV35" s="545"/>
      <c r="JNW35" s="545"/>
      <c r="JNX35" s="545"/>
      <c r="JNY35" s="545"/>
      <c r="JNZ35" s="545"/>
      <c r="JOA35" s="545"/>
      <c r="JOB35" s="545"/>
      <c r="JOC35" s="545"/>
      <c r="JOD35" s="545"/>
      <c r="JOE35" s="545"/>
      <c r="JOF35" s="545"/>
      <c r="JOG35" s="545"/>
      <c r="JOH35" s="545"/>
      <c r="JOI35" s="545"/>
      <c r="JOJ35" s="545"/>
      <c r="JOK35" s="545"/>
      <c r="JOL35" s="545"/>
      <c r="JOM35" s="545"/>
      <c r="JON35" s="545"/>
      <c r="JOO35" s="545"/>
      <c r="JOP35" s="545"/>
      <c r="JOQ35" s="545"/>
      <c r="JOR35" s="545"/>
      <c r="JOS35" s="545"/>
      <c r="JOT35" s="545"/>
      <c r="JOU35" s="545"/>
      <c r="JOV35" s="545"/>
      <c r="JOW35" s="545"/>
      <c r="JOX35" s="545"/>
      <c r="JOY35" s="545"/>
      <c r="JOZ35" s="545"/>
      <c r="JPA35" s="545"/>
      <c r="JPB35" s="545"/>
      <c r="JPC35" s="545"/>
      <c r="JPD35" s="545"/>
      <c r="JPE35" s="545"/>
      <c r="JPF35" s="545"/>
      <c r="JPG35" s="545"/>
      <c r="JPH35" s="545"/>
      <c r="JPI35" s="545"/>
      <c r="JPJ35" s="545"/>
      <c r="JPK35" s="545"/>
      <c r="JPL35" s="545"/>
      <c r="JPM35" s="545"/>
      <c r="JPN35" s="545"/>
      <c r="JPO35" s="545"/>
      <c r="JPP35" s="545"/>
      <c r="JPQ35" s="545"/>
      <c r="JPR35" s="545"/>
      <c r="JPS35" s="545"/>
      <c r="JPT35" s="545"/>
      <c r="JPU35" s="545"/>
      <c r="JPV35" s="545"/>
      <c r="JPW35" s="545"/>
      <c r="JPX35" s="545"/>
      <c r="JPY35" s="545"/>
      <c r="JPZ35" s="545"/>
      <c r="JQA35" s="545"/>
      <c r="JQB35" s="545"/>
      <c r="JQC35" s="545"/>
      <c r="JQD35" s="545"/>
      <c r="JQE35" s="545"/>
      <c r="JQF35" s="545"/>
      <c r="JQG35" s="545"/>
      <c r="JQH35" s="545"/>
      <c r="JQI35" s="545"/>
      <c r="JQJ35" s="545"/>
      <c r="JQK35" s="545"/>
      <c r="JQL35" s="545"/>
      <c r="JQM35" s="545"/>
      <c r="JQN35" s="545"/>
      <c r="JQO35" s="545"/>
      <c r="JQP35" s="545"/>
      <c r="JQQ35" s="545"/>
      <c r="JQR35" s="545"/>
      <c r="JQS35" s="545"/>
      <c r="JQT35" s="545"/>
      <c r="JQU35" s="545"/>
      <c r="JQV35" s="545"/>
      <c r="JQW35" s="545"/>
      <c r="JQX35" s="545"/>
      <c r="JQY35" s="545"/>
      <c r="JQZ35" s="545"/>
      <c r="JRA35" s="545"/>
      <c r="JRB35" s="545"/>
      <c r="JRC35" s="545"/>
      <c r="JRD35" s="545"/>
      <c r="JRE35" s="545"/>
      <c r="JRF35" s="545"/>
      <c r="JRG35" s="545"/>
      <c r="JRH35" s="545"/>
      <c r="JRI35" s="545"/>
      <c r="JRJ35" s="545"/>
      <c r="JRK35" s="545"/>
      <c r="JRL35" s="545"/>
      <c r="JRM35" s="545"/>
      <c r="JRN35" s="545"/>
      <c r="JRO35" s="545"/>
      <c r="JRP35" s="545"/>
      <c r="JRQ35" s="545"/>
      <c r="JRR35" s="545"/>
      <c r="JRS35" s="545"/>
      <c r="JRT35" s="545"/>
      <c r="JRU35" s="545"/>
      <c r="JRV35" s="545"/>
      <c r="JRW35" s="545"/>
      <c r="JRX35" s="545"/>
      <c r="JRY35" s="545"/>
      <c r="JRZ35" s="545"/>
      <c r="JSA35" s="545"/>
      <c r="JSB35" s="545"/>
      <c r="JSC35" s="545"/>
      <c r="JSD35" s="545"/>
      <c r="JSE35" s="545"/>
      <c r="JSF35" s="545"/>
      <c r="JSG35" s="545"/>
      <c r="JSH35" s="545"/>
      <c r="JSI35" s="545"/>
      <c r="JSJ35" s="545"/>
      <c r="JSK35" s="545"/>
      <c r="JSL35" s="545"/>
      <c r="JSM35" s="545"/>
      <c r="JSN35" s="545"/>
      <c r="JSO35" s="545"/>
      <c r="JSP35" s="545"/>
      <c r="JSQ35" s="545"/>
      <c r="JSR35" s="545"/>
      <c r="JSS35" s="545"/>
      <c r="JST35" s="545"/>
      <c r="JSU35" s="545"/>
      <c r="JSV35" s="545"/>
      <c r="JSW35" s="545"/>
      <c r="JSX35" s="545"/>
      <c r="JSY35" s="545"/>
      <c r="JSZ35" s="545"/>
      <c r="JTA35" s="545"/>
      <c r="JTB35" s="545"/>
      <c r="JTC35" s="545"/>
      <c r="JTD35" s="545"/>
      <c r="JTE35" s="545"/>
      <c r="JTF35" s="545"/>
      <c r="JTG35" s="545"/>
      <c r="JTH35" s="545"/>
      <c r="JTI35" s="545"/>
      <c r="JTJ35" s="545"/>
      <c r="JTK35" s="545"/>
      <c r="JTL35" s="545"/>
      <c r="JTM35" s="545"/>
      <c r="JTN35" s="545"/>
      <c r="JTO35" s="545"/>
      <c r="JTP35" s="545"/>
      <c r="JTQ35" s="545"/>
      <c r="JTR35" s="545"/>
      <c r="JTS35" s="545"/>
      <c r="JTT35" s="545"/>
      <c r="JTU35" s="545"/>
      <c r="JTV35" s="545"/>
      <c r="JTW35" s="545"/>
      <c r="JTX35" s="545"/>
      <c r="JTY35" s="545"/>
      <c r="JTZ35" s="545"/>
      <c r="JUA35" s="545"/>
      <c r="JUB35" s="545"/>
      <c r="JUC35" s="545"/>
      <c r="JUD35" s="545"/>
      <c r="JUE35" s="545"/>
      <c r="JUF35" s="545"/>
      <c r="JUG35" s="545"/>
      <c r="JUH35" s="545"/>
      <c r="JUI35" s="545"/>
      <c r="JUJ35" s="545"/>
      <c r="JUK35" s="545"/>
      <c r="JUL35" s="545"/>
      <c r="JUM35" s="545"/>
      <c r="JUN35" s="545"/>
      <c r="JUO35" s="545"/>
      <c r="JUP35" s="545"/>
      <c r="JUQ35" s="545"/>
      <c r="JUR35" s="545"/>
      <c r="JUS35" s="545"/>
      <c r="JUT35" s="545"/>
      <c r="JUU35" s="545"/>
      <c r="JUV35" s="545"/>
      <c r="JUW35" s="545"/>
      <c r="JUX35" s="545"/>
      <c r="JUY35" s="545"/>
      <c r="JUZ35" s="545"/>
      <c r="JVA35" s="545"/>
      <c r="JVB35" s="545"/>
      <c r="JVC35" s="545"/>
      <c r="JVD35" s="545"/>
      <c r="JVE35" s="545"/>
      <c r="JVF35" s="545"/>
      <c r="JVG35" s="545"/>
      <c r="JVH35" s="545"/>
      <c r="JVI35" s="545"/>
      <c r="JVJ35" s="545"/>
      <c r="JVK35" s="545"/>
      <c r="JVL35" s="545"/>
      <c r="JVM35" s="545"/>
      <c r="JVN35" s="545"/>
      <c r="JVO35" s="545"/>
      <c r="JVP35" s="545"/>
      <c r="JVQ35" s="545"/>
      <c r="JVR35" s="545"/>
      <c r="JVS35" s="545"/>
      <c r="JVT35" s="545"/>
      <c r="JVU35" s="545"/>
      <c r="JVV35" s="545"/>
      <c r="JVW35" s="545"/>
      <c r="JVX35" s="545"/>
      <c r="JVY35" s="545"/>
      <c r="JVZ35" s="545"/>
      <c r="JWA35" s="545"/>
      <c r="JWB35" s="545"/>
      <c r="JWC35" s="545"/>
      <c r="JWD35" s="545"/>
      <c r="JWE35" s="545"/>
      <c r="JWF35" s="545"/>
      <c r="JWG35" s="545"/>
      <c r="JWH35" s="545"/>
      <c r="JWI35" s="545"/>
      <c r="JWJ35" s="545"/>
      <c r="JWK35" s="545"/>
      <c r="JWL35" s="545"/>
      <c r="JWM35" s="545"/>
      <c r="JWN35" s="545"/>
      <c r="JWO35" s="545"/>
      <c r="JWP35" s="545"/>
      <c r="JWQ35" s="545"/>
      <c r="JWR35" s="545"/>
      <c r="JWS35" s="545"/>
      <c r="JWT35" s="545"/>
      <c r="JWU35" s="545"/>
      <c r="JWV35" s="545"/>
      <c r="JWW35" s="545"/>
      <c r="JWX35" s="545"/>
      <c r="JWY35" s="545"/>
      <c r="JWZ35" s="545"/>
      <c r="JXA35" s="545"/>
      <c r="JXB35" s="545"/>
      <c r="JXC35" s="545"/>
      <c r="JXD35" s="545"/>
      <c r="JXE35" s="545"/>
      <c r="JXF35" s="545"/>
      <c r="JXG35" s="545"/>
      <c r="JXH35" s="545"/>
      <c r="JXI35" s="545"/>
      <c r="JXJ35" s="545"/>
      <c r="JXK35" s="545"/>
      <c r="JXL35" s="545"/>
      <c r="JXM35" s="545"/>
      <c r="JXN35" s="545"/>
      <c r="JXO35" s="545"/>
      <c r="JXP35" s="545"/>
      <c r="JXQ35" s="545"/>
      <c r="JXR35" s="545"/>
      <c r="JXS35" s="545"/>
      <c r="JXT35" s="545"/>
      <c r="JXU35" s="545"/>
      <c r="JXV35" s="545"/>
      <c r="JXW35" s="545"/>
      <c r="JXX35" s="545"/>
      <c r="JXY35" s="545"/>
      <c r="JXZ35" s="545"/>
      <c r="JYA35" s="545"/>
      <c r="JYB35" s="545"/>
      <c r="JYC35" s="545"/>
      <c r="JYD35" s="545"/>
      <c r="JYE35" s="545"/>
      <c r="JYF35" s="545"/>
      <c r="JYG35" s="545"/>
      <c r="JYH35" s="545"/>
      <c r="JYI35" s="545"/>
      <c r="JYJ35" s="545"/>
      <c r="JYK35" s="545"/>
      <c r="JYL35" s="545"/>
      <c r="JYM35" s="545"/>
      <c r="JYN35" s="545"/>
      <c r="JYO35" s="545"/>
      <c r="JYP35" s="545"/>
      <c r="JYQ35" s="545"/>
      <c r="JYR35" s="545"/>
      <c r="JYS35" s="545"/>
      <c r="JYT35" s="545"/>
      <c r="JYU35" s="545"/>
      <c r="JYV35" s="545"/>
      <c r="JYW35" s="545"/>
      <c r="JYX35" s="545"/>
      <c r="JYY35" s="545"/>
      <c r="JYZ35" s="545"/>
      <c r="JZA35" s="545"/>
      <c r="JZB35" s="545"/>
      <c r="JZC35" s="545"/>
      <c r="JZD35" s="545"/>
      <c r="JZE35" s="545"/>
      <c r="JZF35" s="545"/>
      <c r="JZG35" s="545"/>
      <c r="JZH35" s="545"/>
      <c r="JZI35" s="545"/>
      <c r="JZJ35" s="545"/>
      <c r="JZK35" s="545"/>
      <c r="JZL35" s="545"/>
      <c r="JZM35" s="545"/>
      <c r="JZN35" s="545"/>
      <c r="JZO35" s="545"/>
      <c r="JZP35" s="545"/>
      <c r="JZQ35" s="545"/>
      <c r="JZR35" s="545"/>
      <c r="JZS35" s="545"/>
      <c r="JZT35" s="545"/>
      <c r="JZU35" s="545"/>
      <c r="JZV35" s="545"/>
      <c r="JZW35" s="545"/>
      <c r="JZX35" s="545"/>
      <c r="JZY35" s="545"/>
      <c r="JZZ35" s="545"/>
      <c r="KAA35" s="545"/>
      <c r="KAB35" s="545"/>
      <c r="KAC35" s="545"/>
      <c r="KAD35" s="545"/>
      <c r="KAE35" s="545"/>
      <c r="KAF35" s="545"/>
      <c r="KAG35" s="545"/>
      <c r="KAH35" s="545"/>
      <c r="KAI35" s="545"/>
      <c r="KAJ35" s="545"/>
      <c r="KAK35" s="545"/>
      <c r="KAL35" s="545"/>
      <c r="KAM35" s="545"/>
      <c r="KAN35" s="545"/>
      <c r="KAO35" s="545"/>
      <c r="KAP35" s="545"/>
      <c r="KAQ35" s="545"/>
      <c r="KAR35" s="545"/>
      <c r="KAS35" s="545"/>
      <c r="KAT35" s="545"/>
      <c r="KAU35" s="545"/>
      <c r="KAV35" s="545"/>
      <c r="KAW35" s="545"/>
      <c r="KAX35" s="545"/>
      <c r="KAY35" s="545"/>
      <c r="KAZ35" s="545"/>
      <c r="KBA35" s="545"/>
      <c r="KBB35" s="545"/>
      <c r="KBC35" s="545"/>
      <c r="KBD35" s="545"/>
      <c r="KBE35" s="545"/>
      <c r="KBF35" s="545"/>
      <c r="KBG35" s="545"/>
      <c r="KBH35" s="545"/>
      <c r="KBI35" s="545"/>
      <c r="KBJ35" s="545"/>
      <c r="KBK35" s="545"/>
      <c r="KBL35" s="545"/>
      <c r="KBM35" s="545"/>
      <c r="KBN35" s="545"/>
      <c r="KBO35" s="545"/>
      <c r="KBP35" s="545"/>
      <c r="KBQ35" s="545"/>
      <c r="KBR35" s="545"/>
      <c r="KBS35" s="545"/>
      <c r="KBT35" s="545"/>
      <c r="KBU35" s="545"/>
      <c r="KBV35" s="545"/>
      <c r="KBW35" s="545"/>
      <c r="KBX35" s="545"/>
      <c r="KBY35" s="545"/>
      <c r="KBZ35" s="545"/>
      <c r="KCA35" s="545"/>
      <c r="KCB35" s="545"/>
      <c r="KCC35" s="545"/>
      <c r="KCD35" s="545"/>
      <c r="KCE35" s="545"/>
      <c r="KCF35" s="545"/>
      <c r="KCG35" s="545"/>
      <c r="KCH35" s="545"/>
      <c r="KCI35" s="545"/>
      <c r="KCJ35" s="545"/>
      <c r="KCK35" s="545"/>
      <c r="KCL35" s="545"/>
      <c r="KCM35" s="545"/>
      <c r="KCN35" s="545"/>
      <c r="KCO35" s="545"/>
      <c r="KCP35" s="545"/>
      <c r="KCQ35" s="545"/>
      <c r="KCR35" s="545"/>
      <c r="KCS35" s="545"/>
      <c r="KCT35" s="545"/>
      <c r="KCU35" s="545"/>
      <c r="KCV35" s="545"/>
      <c r="KCW35" s="545"/>
      <c r="KCX35" s="545"/>
      <c r="KCY35" s="545"/>
      <c r="KCZ35" s="545"/>
      <c r="KDA35" s="545"/>
      <c r="KDB35" s="545"/>
      <c r="KDC35" s="545"/>
      <c r="KDD35" s="545"/>
      <c r="KDE35" s="545"/>
      <c r="KDF35" s="545"/>
      <c r="KDG35" s="545"/>
      <c r="KDH35" s="545"/>
      <c r="KDI35" s="545"/>
      <c r="KDJ35" s="545"/>
      <c r="KDK35" s="545"/>
      <c r="KDL35" s="545"/>
      <c r="KDM35" s="545"/>
      <c r="KDN35" s="545"/>
      <c r="KDO35" s="545"/>
      <c r="KDP35" s="545"/>
      <c r="KDQ35" s="545"/>
      <c r="KDR35" s="545"/>
      <c r="KDS35" s="545"/>
      <c r="KDT35" s="545"/>
      <c r="KDU35" s="545"/>
      <c r="KDV35" s="545"/>
      <c r="KDW35" s="545"/>
      <c r="KDX35" s="545"/>
      <c r="KDY35" s="545"/>
      <c r="KDZ35" s="545"/>
      <c r="KEA35" s="545"/>
      <c r="KEB35" s="545"/>
      <c r="KEC35" s="545"/>
      <c r="KED35" s="545"/>
      <c r="KEE35" s="545"/>
      <c r="KEF35" s="545"/>
      <c r="KEG35" s="545"/>
      <c r="KEH35" s="545"/>
      <c r="KEI35" s="545"/>
      <c r="KEJ35" s="545"/>
      <c r="KEK35" s="545"/>
      <c r="KEL35" s="545"/>
      <c r="KEM35" s="545"/>
      <c r="KEN35" s="545"/>
      <c r="KEO35" s="545"/>
      <c r="KEP35" s="545"/>
      <c r="KEQ35" s="545"/>
      <c r="KER35" s="545"/>
      <c r="KES35" s="545"/>
      <c r="KET35" s="545"/>
      <c r="KEU35" s="545"/>
      <c r="KEV35" s="545"/>
      <c r="KEW35" s="545"/>
      <c r="KEX35" s="545"/>
      <c r="KEY35" s="545"/>
      <c r="KEZ35" s="545"/>
      <c r="KFA35" s="545"/>
      <c r="KFB35" s="545"/>
      <c r="KFC35" s="545"/>
      <c r="KFD35" s="545"/>
      <c r="KFE35" s="545"/>
      <c r="KFF35" s="545"/>
      <c r="KFG35" s="545"/>
      <c r="KFH35" s="545"/>
      <c r="KFI35" s="545"/>
      <c r="KFJ35" s="545"/>
      <c r="KFK35" s="545"/>
      <c r="KFL35" s="545"/>
      <c r="KFM35" s="545"/>
      <c r="KFN35" s="545"/>
      <c r="KFO35" s="545"/>
      <c r="KFP35" s="545"/>
      <c r="KFQ35" s="545"/>
      <c r="KFR35" s="545"/>
      <c r="KFS35" s="545"/>
      <c r="KFT35" s="545"/>
      <c r="KFU35" s="545"/>
      <c r="KFV35" s="545"/>
      <c r="KFW35" s="545"/>
      <c r="KFX35" s="545"/>
      <c r="KFY35" s="545"/>
      <c r="KFZ35" s="545"/>
      <c r="KGA35" s="545"/>
      <c r="KGB35" s="545"/>
      <c r="KGC35" s="545"/>
      <c r="KGD35" s="545"/>
      <c r="KGE35" s="545"/>
      <c r="KGF35" s="545"/>
      <c r="KGG35" s="545"/>
      <c r="KGH35" s="545"/>
      <c r="KGI35" s="545"/>
      <c r="KGJ35" s="545"/>
      <c r="KGK35" s="545"/>
      <c r="KGL35" s="545"/>
      <c r="KGM35" s="545"/>
      <c r="KGN35" s="545"/>
      <c r="KGO35" s="545"/>
      <c r="KGP35" s="545"/>
      <c r="KGQ35" s="545"/>
      <c r="KGR35" s="545"/>
      <c r="KGS35" s="545"/>
      <c r="KGT35" s="545"/>
      <c r="KGU35" s="545"/>
      <c r="KGV35" s="545"/>
      <c r="KGW35" s="545"/>
      <c r="KGX35" s="545"/>
      <c r="KGY35" s="545"/>
      <c r="KGZ35" s="545"/>
      <c r="KHA35" s="545"/>
      <c r="KHB35" s="545"/>
      <c r="KHC35" s="545"/>
      <c r="KHD35" s="545"/>
      <c r="KHE35" s="545"/>
      <c r="KHF35" s="545"/>
      <c r="KHG35" s="545"/>
      <c r="KHH35" s="545"/>
      <c r="KHI35" s="545"/>
      <c r="KHJ35" s="545"/>
      <c r="KHK35" s="545"/>
      <c r="KHL35" s="545"/>
      <c r="KHM35" s="545"/>
      <c r="KHN35" s="545"/>
      <c r="KHO35" s="545"/>
      <c r="KHP35" s="545"/>
      <c r="KHQ35" s="545"/>
      <c r="KHR35" s="545"/>
      <c r="KHS35" s="545"/>
      <c r="KHT35" s="545"/>
      <c r="KHU35" s="545"/>
      <c r="KHV35" s="545"/>
      <c r="KHW35" s="545"/>
      <c r="KHX35" s="545"/>
      <c r="KHY35" s="545"/>
      <c r="KHZ35" s="545"/>
      <c r="KIA35" s="545"/>
      <c r="KIB35" s="545"/>
      <c r="KIC35" s="545"/>
      <c r="KID35" s="545"/>
      <c r="KIE35" s="545"/>
      <c r="KIF35" s="545"/>
      <c r="KIG35" s="545"/>
      <c r="KIH35" s="545"/>
      <c r="KII35" s="545"/>
      <c r="KIJ35" s="545"/>
      <c r="KIK35" s="545"/>
      <c r="KIL35" s="545"/>
      <c r="KIM35" s="545"/>
      <c r="KIN35" s="545"/>
      <c r="KIO35" s="545"/>
      <c r="KIP35" s="545"/>
      <c r="KIQ35" s="545"/>
      <c r="KIR35" s="545"/>
      <c r="KIS35" s="545"/>
      <c r="KIT35" s="545"/>
      <c r="KIU35" s="545"/>
      <c r="KIV35" s="545"/>
      <c r="KIW35" s="545"/>
      <c r="KIX35" s="545"/>
      <c r="KIY35" s="545"/>
      <c r="KIZ35" s="545"/>
      <c r="KJA35" s="545"/>
      <c r="KJB35" s="545"/>
      <c r="KJC35" s="545"/>
      <c r="KJD35" s="545"/>
      <c r="KJE35" s="545"/>
      <c r="KJF35" s="545"/>
      <c r="KJG35" s="545"/>
      <c r="KJH35" s="545"/>
      <c r="KJI35" s="545"/>
      <c r="KJJ35" s="545"/>
      <c r="KJK35" s="545"/>
      <c r="KJL35" s="545"/>
      <c r="KJM35" s="545"/>
      <c r="KJN35" s="545"/>
      <c r="KJO35" s="545"/>
      <c r="KJP35" s="545"/>
      <c r="KJQ35" s="545"/>
      <c r="KJR35" s="545"/>
      <c r="KJS35" s="545"/>
      <c r="KJT35" s="545"/>
      <c r="KJU35" s="545"/>
      <c r="KJV35" s="545"/>
      <c r="KJW35" s="545"/>
      <c r="KJX35" s="545"/>
      <c r="KJY35" s="545"/>
      <c r="KJZ35" s="545"/>
      <c r="KKA35" s="545"/>
      <c r="KKB35" s="545"/>
      <c r="KKC35" s="545"/>
      <c r="KKD35" s="545"/>
      <c r="KKE35" s="545"/>
      <c r="KKF35" s="545"/>
      <c r="KKG35" s="545"/>
      <c r="KKH35" s="545"/>
      <c r="KKI35" s="545"/>
      <c r="KKJ35" s="545"/>
      <c r="KKK35" s="545"/>
      <c r="KKL35" s="545"/>
      <c r="KKM35" s="545"/>
      <c r="KKN35" s="545"/>
      <c r="KKO35" s="545"/>
      <c r="KKP35" s="545"/>
      <c r="KKQ35" s="545"/>
      <c r="KKR35" s="545"/>
      <c r="KKS35" s="545"/>
      <c r="KKT35" s="545"/>
      <c r="KKU35" s="545"/>
      <c r="KKV35" s="545"/>
      <c r="KKW35" s="545"/>
      <c r="KKX35" s="545"/>
      <c r="KKY35" s="545"/>
      <c r="KKZ35" s="545"/>
      <c r="KLA35" s="545"/>
      <c r="KLB35" s="545"/>
      <c r="KLC35" s="545"/>
      <c r="KLD35" s="545"/>
      <c r="KLE35" s="545"/>
      <c r="KLF35" s="545"/>
      <c r="KLG35" s="545"/>
      <c r="KLH35" s="545"/>
      <c r="KLI35" s="545"/>
      <c r="KLJ35" s="545"/>
      <c r="KLK35" s="545"/>
      <c r="KLL35" s="545"/>
      <c r="KLM35" s="545"/>
      <c r="KLN35" s="545"/>
      <c r="KLO35" s="545"/>
      <c r="KLP35" s="545"/>
      <c r="KLQ35" s="545"/>
      <c r="KLR35" s="545"/>
      <c r="KLS35" s="545"/>
      <c r="KLT35" s="545"/>
      <c r="KLU35" s="545"/>
      <c r="KLV35" s="545"/>
      <c r="KLW35" s="545"/>
      <c r="KLX35" s="545"/>
      <c r="KLY35" s="545"/>
      <c r="KLZ35" s="545"/>
      <c r="KMA35" s="545"/>
      <c r="KMB35" s="545"/>
      <c r="KMC35" s="545"/>
      <c r="KMD35" s="545"/>
      <c r="KME35" s="545"/>
      <c r="KMF35" s="545"/>
      <c r="KMG35" s="545"/>
      <c r="KMH35" s="545"/>
      <c r="KMI35" s="545"/>
      <c r="KMJ35" s="545"/>
      <c r="KMK35" s="545"/>
      <c r="KML35" s="545"/>
      <c r="KMM35" s="545"/>
      <c r="KMN35" s="545"/>
      <c r="KMO35" s="545"/>
      <c r="KMP35" s="545"/>
      <c r="KMQ35" s="545"/>
      <c r="KMR35" s="545"/>
      <c r="KMS35" s="545"/>
      <c r="KMT35" s="545"/>
      <c r="KMU35" s="545"/>
      <c r="KMV35" s="545"/>
      <c r="KMW35" s="545"/>
      <c r="KMX35" s="545"/>
      <c r="KMY35" s="545"/>
      <c r="KMZ35" s="545"/>
      <c r="KNA35" s="545"/>
      <c r="KNB35" s="545"/>
      <c r="KNC35" s="545"/>
      <c r="KND35" s="545"/>
      <c r="KNE35" s="545"/>
      <c r="KNF35" s="545"/>
      <c r="KNG35" s="545"/>
      <c r="KNH35" s="545"/>
      <c r="KNI35" s="545"/>
      <c r="KNJ35" s="545"/>
      <c r="KNK35" s="545"/>
      <c r="KNL35" s="545"/>
      <c r="KNM35" s="545"/>
      <c r="KNN35" s="545"/>
      <c r="KNO35" s="545"/>
      <c r="KNP35" s="545"/>
      <c r="KNQ35" s="545"/>
      <c r="KNR35" s="545"/>
      <c r="KNS35" s="545"/>
      <c r="KNT35" s="545"/>
      <c r="KNU35" s="545"/>
      <c r="KNV35" s="545"/>
      <c r="KNW35" s="545"/>
      <c r="KNX35" s="545"/>
      <c r="KNY35" s="545"/>
      <c r="KNZ35" s="545"/>
      <c r="KOA35" s="545"/>
      <c r="KOB35" s="545"/>
      <c r="KOC35" s="545"/>
      <c r="KOD35" s="545"/>
      <c r="KOE35" s="545"/>
      <c r="KOF35" s="545"/>
      <c r="KOG35" s="545"/>
      <c r="KOH35" s="545"/>
      <c r="KOI35" s="545"/>
      <c r="KOJ35" s="545"/>
      <c r="KOK35" s="545"/>
      <c r="KOL35" s="545"/>
      <c r="KOM35" s="545"/>
      <c r="KON35" s="545"/>
      <c r="KOO35" s="545"/>
      <c r="KOP35" s="545"/>
      <c r="KOQ35" s="545"/>
      <c r="KOR35" s="545"/>
      <c r="KOS35" s="545"/>
      <c r="KOT35" s="545"/>
      <c r="KOU35" s="545"/>
      <c r="KOV35" s="545"/>
      <c r="KOW35" s="545"/>
      <c r="KOX35" s="545"/>
      <c r="KOY35" s="545"/>
      <c r="KOZ35" s="545"/>
      <c r="KPA35" s="545"/>
      <c r="KPB35" s="545"/>
      <c r="KPC35" s="545"/>
      <c r="KPD35" s="545"/>
      <c r="KPE35" s="545"/>
      <c r="KPF35" s="545"/>
      <c r="KPG35" s="545"/>
      <c r="KPH35" s="545"/>
      <c r="KPI35" s="545"/>
      <c r="KPJ35" s="545"/>
      <c r="KPK35" s="545"/>
      <c r="KPL35" s="545"/>
      <c r="KPM35" s="545"/>
      <c r="KPN35" s="545"/>
      <c r="KPO35" s="545"/>
      <c r="KPP35" s="545"/>
      <c r="KPQ35" s="545"/>
      <c r="KPR35" s="545"/>
      <c r="KPS35" s="545"/>
      <c r="KPT35" s="545"/>
      <c r="KPU35" s="545"/>
      <c r="KPV35" s="545"/>
      <c r="KPW35" s="545"/>
      <c r="KPX35" s="545"/>
      <c r="KPY35" s="545"/>
      <c r="KPZ35" s="545"/>
      <c r="KQA35" s="545"/>
      <c r="KQB35" s="545"/>
      <c r="KQC35" s="545"/>
      <c r="KQD35" s="545"/>
      <c r="KQE35" s="545"/>
      <c r="KQF35" s="545"/>
      <c r="KQG35" s="545"/>
      <c r="KQH35" s="545"/>
      <c r="KQI35" s="545"/>
      <c r="KQJ35" s="545"/>
      <c r="KQK35" s="545"/>
      <c r="KQL35" s="545"/>
      <c r="KQM35" s="545"/>
      <c r="KQN35" s="545"/>
      <c r="KQO35" s="545"/>
      <c r="KQP35" s="545"/>
      <c r="KQQ35" s="545"/>
      <c r="KQR35" s="545"/>
      <c r="KQS35" s="545"/>
      <c r="KQT35" s="545"/>
      <c r="KQU35" s="545"/>
      <c r="KQV35" s="545"/>
      <c r="KQW35" s="545"/>
      <c r="KQX35" s="545"/>
      <c r="KQY35" s="545"/>
      <c r="KQZ35" s="545"/>
      <c r="KRA35" s="545"/>
      <c r="KRB35" s="545"/>
      <c r="KRC35" s="545"/>
      <c r="KRD35" s="545"/>
      <c r="KRE35" s="545"/>
      <c r="KRF35" s="545"/>
      <c r="KRG35" s="545"/>
      <c r="KRH35" s="545"/>
      <c r="KRI35" s="545"/>
      <c r="KRJ35" s="545"/>
      <c r="KRK35" s="545"/>
      <c r="KRL35" s="545"/>
      <c r="KRM35" s="545"/>
      <c r="KRN35" s="545"/>
      <c r="KRO35" s="545"/>
      <c r="KRP35" s="545"/>
      <c r="KRQ35" s="545"/>
      <c r="KRR35" s="545"/>
      <c r="KRS35" s="545"/>
      <c r="KRT35" s="545"/>
      <c r="KRU35" s="545"/>
      <c r="KRV35" s="545"/>
      <c r="KRW35" s="545"/>
      <c r="KRX35" s="545"/>
      <c r="KRY35" s="545"/>
      <c r="KRZ35" s="545"/>
      <c r="KSA35" s="545"/>
      <c r="KSB35" s="545"/>
      <c r="KSC35" s="545"/>
      <c r="KSD35" s="545"/>
      <c r="KSE35" s="545"/>
      <c r="KSF35" s="545"/>
      <c r="KSG35" s="545"/>
      <c r="KSH35" s="545"/>
      <c r="KSI35" s="545"/>
      <c r="KSJ35" s="545"/>
      <c r="KSK35" s="545"/>
      <c r="KSL35" s="545"/>
      <c r="KSM35" s="545"/>
      <c r="KSN35" s="545"/>
      <c r="KSO35" s="545"/>
      <c r="KSP35" s="545"/>
      <c r="KSQ35" s="545"/>
      <c r="KSR35" s="545"/>
      <c r="KSS35" s="545"/>
      <c r="KST35" s="545"/>
      <c r="KSU35" s="545"/>
      <c r="KSV35" s="545"/>
      <c r="KSW35" s="545"/>
      <c r="KSX35" s="545"/>
      <c r="KSY35" s="545"/>
      <c r="KSZ35" s="545"/>
      <c r="KTA35" s="545"/>
      <c r="KTB35" s="545"/>
      <c r="KTC35" s="545"/>
      <c r="KTD35" s="545"/>
      <c r="KTE35" s="545"/>
      <c r="KTF35" s="545"/>
      <c r="KTG35" s="545"/>
      <c r="KTH35" s="545"/>
      <c r="KTI35" s="545"/>
      <c r="KTJ35" s="545"/>
      <c r="KTK35" s="545"/>
      <c r="KTL35" s="545"/>
      <c r="KTM35" s="545"/>
      <c r="KTN35" s="545"/>
      <c r="KTO35" s="545"/>
      <c r="KTP35" s="545"/>
      <c r="KTQ35" s="545"/>
      <c r="KTR35" s="545"/>
      <c r="KTS35" s="545"/>
      <c r="KTT35" s="545"/>
      <c r="KTU35" s="545"/>
      <c r="KTV35" s="545"/>
      <c r="KTW35" s="545"/>
      <c r="KTX35" s="545"/>
      <c r="KTY35" s="545"/>
      <c r="KTZ35" s="545"/>
      <c r="KUA35" s="545"/>
      <c r="KUB35" s="545"/>
      <c r="KUC35" s="545"/>
      <c r="KUD35" s="545"/>
      <c r="KUE35" s="545"/>
      <c r="KUF35" s="545"/>
      <c r="KUG35" s="545"/>
      <c r="KUH35" s="545"/>
      <c r="KUI35" s="545"/>
      <c r="KUJ35" s="545"/>
      <c r="KUK35" s="545"/>
      <c r="KUL35" s="545"/>
      <c r="KUM35" s="545"/>
      <c r="KUN35" s="545"/>
      <c r="KUO35" s="545"/>
      <c r="KUP35" s="545"/>
      <c r="KUQ35" s="545"/>
      <c r="KUR35" s="545"/>
      <c r="KUS35" s="545"/>
      <c r="KUT35" s="545"/>
      <c r="KUU35" s="545"/>
      <c r="KUV35" s="545"/>
      <c r="KUW35" s="545"/>
      <c r="KUX35" s="545"/>
      <c r="KUY35" s="545"/>
      <c r="KUZ35" s="545"/>
      <c r="KVA35" s="545"/>
      <c r="KVB35" s="545"/>
      <c r="KVC35" s="545"/>
      <c r="KVD35" s="545"/>
      <c r="KVE35" s="545"/>
      <c r="KVF35" s="545"/>
      <c r="KVG35" s="545"/>
      <c r="KVH35" s="545"/>
      <c r="KVI35" s="545"/>
      <c r="KVJ35" s="545"/>
      <c r="KVK35" s="545"/>
      <c r="KVL35" s="545"/>
      <c r="KVM35" s="545"/>
      <c r="KVN35" s="545"/>
      <c r="KVO35" s="545"/>
      <c r="KVP35" s="545"/>
      <c r="KVQ35" s="545"/>
      <c r="KVR35" s="545"/>
      <c r="KVS35" s="545"/>
      <c r="KVT35" s="545"/>
      <c r="KVU35" s="545"/>
      <c r="KVV35" s="545"/>
      <c r="KVW35" s="545"/>
      <c r="KVX35" s="545"/>
      <c r="KVY35" s="545"/>
      <c r="KVZ35" s="545"/>
      <c r="KWA35" s="545"/>
      <c r="KWB35" s="545"/>
      <c r="KWC35" s="545"/>
      <c r="KWD35" s="545"/>
      <c r="KWE35" s="545"/>
      <c r="KWF35" s="545"/>
      <c r="KWG35" s="545"/>
      <c r="KWH35" s="545"/>
      <c r="KWI35" s="545"/>
      <c r="KWJ35" s="545"/>
      <c r="KWK35" s="545"/>
      <c r="KWL35" s="545"/>
      <c r="KWM35" s="545"/>
      <c r="KWN35" s="545"/>
      <c r="KWO35" s="545"/>
      <c r="KWP35" s="545"/>
      <c r="KWQ35" s="545"/>
      <c r="KWR35" s="545"/>
      <c r="KWS35" s="545"/>
      <c r="KWT35" s="545"/>
      <c r="KWU35" s="545"/>
      <c r="KWV35" s="545"/>
      <c r="KWW35" s="545"/>
      <c r="KWX35" s="545"/>
      <c r="KWY35" s="545"/>
      <c r="KWZ35" s="545"/>
      <c r="KXA35" s="545"/>
      <c r="KXB35" s="545"/>
      <c r="KXC35" s="545"/>
      <c r="KXD35" s="545"/>
      <c r="KXE35" s="545"/>
      <c r="KXF35" s="545"/>
      <c r="KXG35" s="545"/>
      <c r="KXH35" s="545"/>
      <c r="KXI35" s="545"/>
      <c r="KXJ35" s="545"/>
      <c r="KXK35" s="545"/>
      <c r="KXL35" s="545"/>
      <c r="KXM35" s="545"/>
      <c r="KXN35" s="545"/>
      <c r="KXO35" s="545"/>
      <c r="KXP35" s="545"/>
      <c r="KXQ35" s="545"/>
      <c r="KXR35" s="545"/>
      <c r="KXS35" s="545"/>
      <c r="KXT35" s="545"/>
      <c r="KXU35" s="545"/>
      <c r="KXV35" s="545"/>
      <c r="KXW35" s="545"/>
      <c r="KXX35" s="545"/>
      <c r="KXY35" s="545"/>
      <c r="KXZ35" s="545"/>
      <c r="KYA35" s="545"/>
      <c r="KYB35" s="545"/>
      <c r="KYC35" s="545"/>
      <c r="KYD35" s="545"/>
      <c r="KYE35" s="545"/>
      <c r="KYF35" s="545"/>
      <c r="KYG35" s="545"/>
      <c r="KYH35" s="545"/>
      <c r="KYI35" s="545"/>
      <c r="KYJ35" s="545"/>
      <c r="KYK35" s="545"/>
      <c r="KYL35" s="545"/>
      <c r="KYM35" s="545"/>
      <c r="KYN35" s="545"/>
      <c r="KYO35" s="545"/>
      <c r="KYP35" s="545"/>
      <c r="KYQ35" s="545"/>
      <c r="KYR35" s="545"/>
      <c r="KYS35" s="545"/>
      <c r="KYT35" s="545"/>
      <c r="KYU35" s="545"/>
      <c r="KYV35" s="545"/>
      <c r="KYW35" s="545"/>
      <c r="KYX35" s="545"/>
      <c r="KYY35" s="545"/>
      <c r="KYZ35" s="545"/>
      <c r="KZA35" s="545"/>
      <c r="KZB35" s="545"/>
      <c r="KZC35" s="545"/>
      <c r="KZD35" s="545"/>
      <c r="KZE35" s="545"/>
      <c r="KZF35" s="545"/>
      <c r="KZG35" s="545"/>
      <c r="KZH35" s="545"/>
      <c r="KZI35" s="545"/>
      <c r="KZJ35" s="545"/>
      <c r="KZK35" s="545"/>
      <c r="KZL35" s="545"/>
      <c r="KZM35" s="545"/>
      <c r="KZN35" s="545"/>
      <c r="KZO35" s="545"/>
      <c r="KZP35" s="545"/>
      <c r="KZQ35" s="545"/>
      <c r="KZR35" s="545"/>
      <c r="KZS35" s="545"/>
      <c r="KZT35" s="545"/>
      <c r="KZU35" s="545"/>
      <c r="KZV35" s="545"/>
      <c r="KZW35" s="545"/>
      <c r="KZX35" s="545"/>
      <c r="KZY35" s="545"/>
      <c r="KZZ35" s="545"/>
      <c r="LAA35" s="545"/>
      <c r="LAB35" s="545"/>
      <c r="LAC35" s="545"/>
      <c r="LAD35" s="545"/>
      <c r="LAE35" s="545"/>
      <c r="LAF35" s="545"/>
      <c r="LAG35" s="545"/>
      <c r="LAH35" s="545"/>
      <c r="LAI35" s="545"/>
      <c r="LAJ35" s="545"/>
      <c r="LAK35" s="545"/>
      <c r="LAL35" s="545"/>
      <c r="LAM35" s="545"/>
      <c r="LAN35" s="545"/>
      <c r="LAO35" s="545"/>
      <c r="LAP35" s="545"/>
      <c r="LAQ35" s="545"/>
      <c r="LAR35" s="545"/>
      <c r="LAS35" s="545"/>
      <c r="LAT35" s="545"/>
      <c r="LAU35" s="545"/>
      <c r="LAV35" s="545"/>
      <c r="LAW35" s="545"/>
      <c r="LAX35" s="545"/>
      <c r="LAY35" s="545"/>
      <c r="LAZ35" s="545"/>
      <c r="LBA35" s="545"/>
      <c r="LBB35" s="545"/>
      <c r="LBC35" s="545"/>
      <c r="LBD35" s="545"/>
      <c r="LBE35" s="545"/>
      <c r="LBF35" s="545"/>
      <c r="LBG35" s="545"/>
      <c r="LBH35" s="545"/>
      <c r="LBI35" s="545"/>
      <c r="LBJ35" s="545"/>
      <c r="LBK35" s="545"/>
      <c r="LBL35" s="545"/>
      <c r="LBM35" s="545"/>
      <c r="LBN35" s="545"/>
      <c r="LBO35" s="545"/>
      <c r="LBP35" s="545"/>
      <c r="LBQ35" s="545"/>
      <c r="LBR35" s="545"/>
      <c r="LBS35" s="545"/>
      <c r="LBT35" s="545"/>
      <c r="LBU35" s="545"/>
      <c r="LBV35" s="545"/>
      <c r="LBW35" s="545"/>
      <c r="LBX35" s="545"/>
      <c r="LBY35" s="545"/>
      <c r="LBZ35" s="545"/>
      <c r="LCA35" s="545"/>
      <c r="LCB35" s="545"/>
      <c r="LCC35" s="545"/>
      <c r="LCD35" s="545"/>
      <c r="LCE35" s="545"/>
      <c r="LCF35" s="545"/>
      <c r="LCG35" s="545"/>
      <c r="LCH35" s="545"/>
      <c r="LCI35" s="545"/>
      <c r="LCJ35" s="545"/>
      <c r="LCK35" s="545"/>
      <c r="LCL35" s="545"/>
      <c r="LCM35" s="545"/>
      <c r="LCN35" s="545"/>
      <c r="LCO35" s="545"/>
      <c r="LCP35" s="545"/>
      <c r="LCQ35" s="545"/>
      <c r="LCR35" s="545"/>
      <c r="LCS35" s="545"/>
      <c r="LCT35" s="545"/>
      <c r="LCU35" s="545"/>
      <c r="LCV35" s="545"/>
      <c r="LCW35" s="545"/>
      <c r="LCX35" s="545"/>
      <c r="LCY35" s="545"/>
      <c r="LCZ35" s="545"/>
      <c r="LDA35" s="545"/>
      <c r="LDB35" s="545"/>
      <c r="LDC35" s="545"/>
      <c r="LDD35" s="545"/>
      <c r="LDE35" s="545"/>
      <c r="LDF35" s="545"/>
      <c r="LDG35" s="545"/>
      <c r="LDH35" s="545"/>
      <c r="LDI35" s="545"/>
      <c r="LDJ35" s="545"/>
      <c r="LDK35" s="545"/>
      <c r="LDL35" s="545"/>
      <c r="LDM35" s="545"/>
      <c r="LDN35" s="545"/>
      <c r="LDO35" s="545"/>
      <c r="LDP35" s="545"/>
      <c r="LDQ35" s="545"/>
      <c r="LDR35" s="545"/>
      <c r="LDS35" s="545"/>
      <c r="LDT35" s="545"/>
      <c r="LDU35" s="545"/>
      <c r="LDV35" s="545"/>
      <c r="LDW35" s="545"/>
      <c r="LDX35" s="545"/>
      <c r="LDY35" s="545"/>
      <c r="LDZ35" s="545"/>
      <c r="LEA35" s="545"/>
      <c r="LEB35" s="545"/>
      <c r="LEC35" s="545"/>
      <c r="LED35" s="545"/>
      <c r="LEE35" s="545"/>
      <c r="LEF35" s="545"/>
      <c r="LEG35" s="545"/>
      <c r="LEH35" s="545"/>
      <c r="LEI35" s="545"/>
      <c r="LEJ35" s="545"/>
      <c r="LEK35" s="545"/>
      <c r="LEL35" s="545"/>
      <c r="LEM35" s="545"/>
      <c r="LEN35" s="545"/>
      <c r="LEO35" s="545"/>
      <c r="LEP35" s="545"/>
      <c r="LEQ35" s="545"/>
      <c r="LER35" s="545"/>
      <c r="LES35" s="545"/>
      <c r="LET35" s="545"/>
      <c r="LEU35" s="545"/>
      <c r="LEV35" s="545"/>
      <c r="LEW35" s="545"/>
      <c r="LEX35" s="545"/>
      <c r="LEY35" s="545"/>
      <c r="LEZ35" s="545"/>
      <c r="LFA35" s="545"/>
      <c r="LFB35" s="545"/>
      <c r="LFC35" s="545"/>
      <c r="LFD35" s="545"/>
      <c r="LFE35" s="545"/>
      <c r="LFF35" s="545"/>
      <c r="LFG35" s="545"/>
      <c r="LFH35" s="545"/>
      <c r="LFI35" s="545"/>
      <c r="LFJ35" s="545"/>
      <c r="LFK35" s="545"/>
      <c r="LFL35" s="545"/>
      <c r="LFM35" s="545"/>
      <c r="LFN35" s="545"/>
      <c r="LFO35" s="545"/>
      <c r="LFP35" s="545"/>
      <c r="LFQ35" s="545"/>
      <c r="LFR35" s="545"/>
      <c r="LFS35" s="545"/>
      <c r="LFT35" s="545"/>
      <c r="LFU35" s="545"/>
      <c r="LFV35" s="545"/>
      <c r="LFW35" s="545"/>
      <c r="LFX35" s="545"/>
      <c r="LFY35" s="545"/>
      <c r="LFZ35" s="545"/>
      <c r="LGA35" s="545"/>
      <c r="LGB35" s="545"/>
      <c r="LGC35" s="545"/>
      <c r="LGD35" s="545"/>
      <c r="LGE35" s="545"/>
      <c r="LGF35" s="545"/>
      <c r="LGG35" s="545"/>
      <c r="LGH35" s="545"/>
      <c r="LGI35" s="545"/>
      <c r="LGJ35" s="545"/>
      <c r="LGK35" s="545"/>
      <c r="LGL35" s="545"/>
      <c r="LGM35" s="545"/>
      <c r="LGN35" s="545"/>
      <c r="LGO35" s="545"/>
      <c r="LGP35" s="545"/>
      <c r="LGQ35" s="545"/>
      <c r="LGR35" s="545"/>
      <c r="LGS35" s="545"/>
      <c r="LGT35" s="545"/>
      <c r="LGU35" s="545"/>
      <c r="LGV35" s="545"/>
      <c r="LGW35" s="545"/>
      <c r="LGX35" s="545"/>
      <c r="LGY35" s="545"/>
      <c r="LGZ35" s="545"/>
      <c r="LHA35" s="545"/>
      <c r="LHB35" s="545"/>
      <c r="LHC35" s="545"/>
      <c r="LHD35" s="545"/>
      <c r="LHE35" s="545"/>
      <c r="LHF35" s="545"/>
      <c r="LHG35" s="545"/>
      <c r="LHH35" s="545"/>
      <c r="LHI35" s="545"/>
      <c r="LHJ35" s="545"/>
      <c r="LHK35" s="545"/>
      <c r="LHL35" s="545"/>
      <c r="LHM35" s="545"/>
      <c r="LHN35" s="545"/>
      <c r="LHO35" s="545"/>
      <c r="LHP35" s="545"/>
      <c r="LHQ35" s="545"/>
      <c r="LHR35" s="545"/>
      <c r="LHS35" s="545"/>
      <c r="LHT35" s="545"/>
      <c r="LHU35" s="545"/>
      <c r="LHV35" s="545"/>
      <c r="LHW35" s="545"/>
      <c r="LHX35" s="545"/>
      <c r="LHY35" s="545"/>
      <c r="LHZ35" s="545"/>
      <c r="LIA35" s="545"/>
      <c r="LIB35" s="545"/>
      <c r="LIC35" s="545"/>
      <c r="LID35" s="545"/>
      <c r="LIE35" s="545"/>
      <c r="LIF35" s="545"/>
      <c r="LIG35" s="545"/>
      <c r="LIH35" s="545"/>
      <c r="LII35" s="545"/>
      <c r="LIJ35" s="545"/>
      <c r="LIK35" s="545"/>
      <c r="LIL35" s="545"/>
      <c r="LIM35" s="545"/>
      <c r="LIN35" s="545"/>
      <c r="LIO35" s="545"/>
      <c r="LIP35" s="545"/>
      <c r="LIQ35" s="545"/>
      <c r="LIR35" s="545"/>
      <c r="LIS35" s="545"/>
      <c r="LIT35" s="545"/>
      <c r="LIU35" s="545"/>
      <c r="LIV35" s="545"/>
      <c r="LIW35" s="545"/>
      <c r="LIX35" s="545"/>
      <c r="LIY35" s="545"/>
      <c r="LIZ35" s="545"/>
      <c r="LJA35" s="545"/>
      <c r="LJB35" s="545"/>
      <c r="LJC35" s="545"/>
      <c r="LJD35" s="545"/>
      <c r="LJE35" s="545"/>
      <c r="LJF35" s="545"/>
      <c r="LJG35" s="545"/>
      <c r="LJH35" s="545"/>
      <c r="LJI35" s="545"/>
      <c r="LJJ35" s="545"/>
      <c r="LJK35" s="545"/>
      <c r="LJL35" s="545"/>
      <c r="LJM35" s="545"/>
      <c r="LJN35" s="545"/>
      <c r="LJO35" s="545"/>
      <c r="LJP35" s="545"/>
      <c r="LJQ35" s="545"/>
      <c r="LJR35" s="545"/>
      <c r="LJS35" s="545"/>
      <c r="LJT35" s="545"/>
      <c r="LJU35" s="545"/>
      <c r="LJV35" s="545"/>
      <c r="LJW35" s="545"/>
      <c r="LJX35" s="545"/>
      <c r="LJY35" s="545"/>
      <c r="LJZ35" s="545"/>
      <c r="LKA35" s="545"/>
      <c r="LKB35" s="545"/>
      <c r="LKC35" s="545"/>
      <c r="LKD35" s="545"/>
      <c r="LKE35" s="545"/>
      <c r="LKF35" s="545"/>
      <c r="LKG35" s="545"/>
      <c r="LKH35" s="545"/>
      <c r="LKI35" s="545"/>
      <c r="LKJ35" s="545"/>
      <c r="LKK35" s="545"/>
      <c r="LKL35" s="545"/>
      <c r="LKM35" s="545"/>
      <c r="LKN35" s="545"/>
      <c r="LKO35" s="545"/>
      <c r="LKP35" s="545"/>
      <c r="LKQ35" s="545"/>
      <c r="LKR35" s="545"/>
      <c r="LKS35" s="545"/>
      <c r="LKT35" s="545"/>
      <c r="LKU35" s="545"/>
      <c r="LKV35" s="545"/>
      <c r="LKW35" s="545"/>
      <c r="LKX35" s="545"/>
      <c r="LKY35" s="545"/>
      <c r="LKZ35" s="545"/>
      <c r="LLA35" s="545"/>
      <c r="LLB35" s="545"/>
      <c r="LLC35" s="545"/>
      <c r="LLD35" s="545"/>
      <c r="LLE35" s="545"/>
      <c r="LLF35" s="545"/>
      <c r="LLG35" s="545"/>
      <c r="LLH35" s="545"/>
      <c r="LLI35" s="545"/>
      <c r="LLJ35" s="545"/>
      <c r="LLK35" s="545"/>
      <c r="LLL35" s="545"/>
      <c r="LLM35" s="545"/>
      <c r="LLN35" s="545"/>
      <c r="LLO35" s="545"/>
      <c r="LLP35" s="545"/>
      <c r="LLQ35" s="545"/>
      <c r="LLR35" s="545"/>
      <c r="LLS35" s="545"/>
      <c r="LLT35" s="545"/>
      <c r="LLU35" s="545"/>
      <c r="LLV35" s="545"/>
      <c r="LLW35" s="545"/>
      <c r="LLX35" s="545"/>
      <c r="LLY35" s="545"/>
      <c r="LLZ35" s="545"/>
      <c r="LMA35" s="545"/>
      <c r="LMB35" s="545"/>
      <c r="LMC35" s="545"/>
      <c r="LMD35" s="545"/>
      <c r="LME35" s="545"/>
      <c r="LMF35" s="545"/>
      <c r="LMG35" s="545"/>
      <c r="LMH35" s="545"/>
      <c r="LMI35" s="545"/>
      <c r="LMJ35" s="545"/>
      <c r="LMK35" s="545"/>
      <c r="LML35" s="545"/>
      <c r="LMM35" s="545"/>
      <c r="LMN35" s="545"/>
      <c r="LMO35" s="545"/>
      <c r="LMP35" s="545"/>
      <c r="LMQ35" s="545"/>
      <c r="LMR35" s="545"/>
      <c r="LMS35" s="545"/>
      <c r="LMT35" s="545"/>
      <c r="LMU35" s="545"/>
      <c r="LMV35" s="545"/>
      <c r="LMW35" s="545"/>
      <c r="LMX35" s="545"/>
      <c r="LMY35" s="545"/>
      <c r="LMZ35" s="545"/>
      <c r="LNA35" s="545"/>
      <c r="LNB35" s="545"/>
      <c r="LNC35" s="545"/>
      <c r="LND35" s="545"/>
      <c r="LNE35" s="545"/>
      <c r="LNF35" s="545"/>
      <c r="LNG35" s="545"/>
      <c r="LNH35" s="545"/>
      <c r="LNI35" s="545"/>
      <c r="LNJ35" s="545"/>
      <c r="LNK35" s="545"/>
      <c r="LNL35" s="545"/>
      <c r="LNM35" s="545"/>
      <c r="LNN35" s="545"/>
      <c r="LNO35" s="545"/>
      <c r="LNP35" s="545"/>
      <c r="LNQ35" s="545"/>
      <c r="LNR35" s="545"/>
      <c r="LNS35" s="545"/>
      <c r="LNT35" s="545"/>
      <c r="LNU35" s="545"/>
      <c r="LNV35" s="545"/>
      <c r="LNW35" s="545"/>
      <c r="LNX35" s="545"/>
      <c r="LNY35" s="545"/>
      <c r="LNZ35" s="545"/>
      <c r="LOA35" s="545"/>
      <c r="LOB35" s="545"/>
      <c r="LOC35" s="545"/>
      <c r="LOD35" s="545"/>
      <c r="LOE35" s="545"/>
      <c r="LOF35" s="545"/>
      <c r="LOG35" s="545"/>
      <c r="LOH35" s="545"/>
      <c r="LOI35" s="545"/>
      <c r="LOJ35" s="545"/>
      <c r="LOK35" s="545"/>
      <c r="LOL35" s="545"/>
      <c r="LOM35" s="545"/>
      <c r="LON35" s="545"/>
      <c r="LOO35" s="545"/>
      <c r="LOP35" s="545"/>
      <c r="LOQ35" s="545"/>
      <c r="LOR35" s="545"/>
      <c r="LOS35" s="545"/>
      <c r="LOT35" s="545"/>
      <c r="LOU35" s="545"/>
      <c r="LOV35" s="545"/>
      <c r="LOW35" s="545"/>
      <c r="LOX35" s="545"/>
      <c r="LOY35" s="545"/>
      <c r="LOZ35" s="545"/>
      <c r="LPA35" s="545"/>
      <c r="LPB35" s="545"/>
      <c r="LPC35" s="545"/>
      <c r="LPD35" s="545"/>
      <c r="LPE35" s="545"/>
      <c r="LPF35" s="545"/>
      <c r="LPG35" s="545"/>
      <c r="LPH35" s="545"/>
      <c r="LPI35" s="545"/>
      <c r="LPJ35" s="545"/>
      <c r="LPK35" s="545"/>
      <c r="LPL35" s="545"/>
      <c r="LPM35" s="545"/>
      <c r="LPN35" s="545"/>
      <c r="LPO35" s="545"/>
      <c r="LPP35" s="545"/>
      <c r="LPQ35" s="545"/>
      <c r="LPR35" s="545"/>
      <c r="LPS35" s="545"/>
      <c r="LPT35" s="545"/>
      <c r="LPU35" s="545"/>
      <c r="LPV35" s="545"/>
      <c r="LPW35" s="545"/>
      <c r="LPX35" s="545"/>
      <c r="LPY35" s="545"/>
      <c r="LPZ35" s="545"/>
      <c r="LQA35" s="545"/>
      <c r="LQB35" s="545"/>
      <c r="LQC35" s="545"/>
      <c r="LQD35" s="545"/>
      <c r="LQE35" s="545"/>
      <c r="LQF35" s="545"/>
      <c r="LQG35" s="545"/>
      <c r="LQH35" s="545"/>
      <c r="LQI35" s="545"/>
      <c r="LQJ35" s="545"/>
      <c r="LQK35" s="545"/>
      <c r="LQL35" s="545"/>
      <c r="LQM35" s="545"/>
      <c r="LQN35" s="545"/>
      <c r="LQO35" s="545"/>
      <c r="LQP35" s="545"/>
      <c r="LQQ35" s="545"/>
      <c r="LQR35" s="545"/>
      <c r="LQS35" s="545"/>
      <c r="LQT35" s="545"/>
      <c r="LQU35" s="545"/>
      <c r="LQV35" s="545"/>
      <c r="LQW35" s="545"/>
      <c r="LQX35" s="545"/>
      <c r="LQY35" s="545"/>
      <c r="LQZ35" s="545"/>
      <c r="LRA35" s="545"/>
      <c r="LRB35" s="545"/>
      <c r="LRC35" s="545"/>
      <c r="LRD35" s="545"/>
      <c r="LRE35" s="545"/>
      <c r="LRF35" s="545"/>
      <c r="LRG35" s="545"/>
      <c r="LRH35" s="545"/>
      <c r="LRI35" s="545"/>
      <c r="LRJ35" s="545"/>
      <c r="LRK35" s="545"/>
      <c r="LRL35" s="545"/>
      <c r="LRM35" s="545"/>
      <c r="LRN35" s="545"/>
      <c r="LRO35" s="545"/>
      <c r="LRP35" s="545"/>
      <c r="LRQ35" s="545"/>
      <c r="LRR35" s="545"/>
      <c r="LRS35" s="545"/>
      <c r="LRT35" s="545"/>
      <c r="LRU35" s="545"/>
      <c r="LRV35" s="545"/>
      <c r="LRW35" s="545"/>
      <c r="LRX35" s="545"/>
      <c r="LRY35" s="545"/>
      <c r="LRZ35" s="545"/>
      <c r="LSA35" s="545"/>
      <c r="LSB35" s="545"/>
      <c r="LSC35" s="545"/>
      <c r="LSD35" s="545"/>
      <c r="LSE35" s="545"/>
      <c r="LSF35" s="545"/>
      <c r="LSG35" s="545"/>
      <c r="LSH35" s="545"/>
      <c r="LSI35" s="545"/>
      <c r="LSJ35" s="545"/>
      <c r="LSK35" s="545"/>
      <c r="LSL35" s="545"/>
      <c r="LSM35" s="545"/>
      <c r="LSN35" s="545"/>
      <c r="LSO35" s="545"/>
      <c r="LSP35" s="545"/>
      <c r="LSQ35" s="545"/>
      <c r="LSR35" s="545"/>
      <c r="LSS35" s="545"/>
      <c r="LST35" s="545"/>
      <c r="LSU35" s="545"/>
      <c r="LSV35" s="545"/>
      <c r="LSW35" s="545"/>
      <c r="LSX35" s="545"/>
      <c r="LSY35" s="545"/>
      <c r="LSZ35" s="545"/>
      <c r="LTA35" s="545"/>
      <c r="LTB35" s="545"/>
      <c r="LTC35" s="545"/>
      <c r="LTD35" s="545"/>
      <c r="LTE35" s="545"/>
      <c r="LTF35" s="545"/>
      <c r="LTG35" s="545"/>
      <c r="LTH35" s="545"/>
      <c r="LTI35" s="545"/>
      <c r="LTJ35" s="545"/>
      <c r="LTK35" s="545"/>
      <c r="LTL35" s="545"/>
      <c r="LTM35" s="545"/>
      <c r="LTN35" s="545"/>
      <c r="LTO35" s="545"/>
      <c r="LTP35" s="545"/>
      <c r="LTQ35" s="545"/>
      <c r="LTR35" s="545"/>
      <c r="LTS35" s="545"/>
      <c r="LTT35" s="545"/>
      <c r="LTU35" s="545"/>
      <c r="LTV35" s="545"/>
      <c r="LTW35" s="545"/>
      <c r="LTX35" s="545"/>
      <c r="LTY35" s="545"/>
      <c r="LTZ35" s="545"/>
      <c r="LUA35" s="545"/>
      <c r="LUB35" s="545"/>
      <c r="LUC35" s="545"/>
      <c r="LUD35" s="545"/>
      <c r="LUE35" s="545"/>
      <c r="LUF35" s="545"/>
      <c r="LUG35" s="545"/>
      <c r="LUH35" s="545"/>
      <c r="LUI35" s="545"/>
      <c r="LUJ35" s="545"/>
      <c r="LUK35" s="545"/>
      <c r="LUL35" s="545"/>
      <c r="LUM35" s="545"/>
      <c r="LUN35" s="545"/>
      <c r="LUO35" s="545"/>
      <c r="LUP35" s="545"/>
      <c r="LUQ35" s="545"/>
      <c r="LUR35" s="545"/>
      <c r="LUS35" s="545"/>
      <c r="LUT35" s="545"/>
      <c r="LUU35" s="545"/>
      <c r="LUV35" s="545"/>
      <c r="LUW35" s="545"/>
      <c r="LUX35" s="545"/>
      <c r="LUY35" s="545"/>
      <c r="LUZ35" s="545"/>
      <c r="LVA35" s="545"/>
      <c r="LVB35" s="545"/>
      <c r="LVC35" s="545"/>
      <c r="LVD35" s="545"/>
      <c r="LVE35" s="545"/>
      <c r="LVF35" s="545"/>
      <c r="LVG35" s="545"/>
      <c r="LVH35" s="545"/>
      <c r="LVI35" s="545"/>
      <c r="LVJ35" s="545"/>
      <c r="LVK35" s="545"/>
      <c r="LVL35" s="545"/>
      <c r="LVM35" s="545"/>
      <c r="LVN35" s="545"/>
      <c r="LVO35" s="545"/>
      <c r="LVP35" s="545"/>
      <c r="LVQ35" s="545"/>
      <c r="LVR35" s="545"/>
      <c r="LVS35" s="545"/>
      <c r="LVT35" s="545"/>
      <c r="LVU35" s="545"/>
      <c r="LVV35" s="545"/>
      <c r="LVW35" s="545"/>
      <c r="LVX35" s="545"/>
      <c r="LVY35" s="545"/>
      <c r="LVZ35" s="545"/>
      <c r="LWA35" s="545"/>
      <c r="LWB35" s="545"/>
      <c r="LWC35" s="545"/>
      <c r="LWD35" s="545"/>
      <c r="LWE35" s="545"/>
      <c r="LWF35" s="545"/>
      <c r="LWG35" s="545"/>
      <c r="LWH35" s="545"/>
      <c r="LWI35" s="545"/>
      <c r="LWJ35" s="545"/>
      <c r="LWK35" s="545"/>
      <c r="LWL35" s="545"/>
      <c r="LWM35" s="545"/>
      <c r="LWN35" s="545"/>
      <c r="LWO35" s="545"/>
      <c r="LWP35" s="545"/>
      <c r="LWQ35" s="545"/>
      <c r="LWR35" s="545"/>
      <c r="LWS35" s="545"/>
      <c r="LWT35" s="545"/>
      <c r="LWU35" s="545"/>
      <c r="LWV35" s="545"/>
      <c r="LWW35" s="545"/>
      <c r="LWX35" s="545"/>
      <c r="LWY35" s="545"/>
      <c r="LWZ35" s="545"/>
      <c r="LXA35" s="545"/>
      <c r="LXB35" s="545"/>
      <c r="LXC35" s="545"/>
      <c r="LXD35" s="545"/>
      <c r="LXE35" s="545"/>
      <c r="LXF35" s="545"/>
      <c r="LXG35" s="545"/>
      <c r="LXH35" s="545"/>
      <c r="LXI35" s="545"/>
      <c r="LXJ35" s="545"/>
      <c r="LXK35" s="545"/>
      <c r="LXL35" s="545"/>
      <c r="LXM35" s="545"/>
      <c r="LXN35" s="545"/>
      <c r="LXO35" s="545"/>
      <c r="LXP35" s="545"/>
      <c r="LXQ35" s="545"/>
      <c r="LXR35" s="545"/>
      <c r="LXS35" s="545"/>
      <c r="LXT35" s="545"/>
      <c r="LXU35" s="545"/>
      <c r="LXV35" s="545"/>
      <c r="LXW35" s="545"/>
      <c r="LXX35" s="545"/>
      <c r="LXY35" s="545"/>
      <c r="LXZ35" s="545"/>
      <c r="LYA35" s="545"/>
      <c r="LYB35" s="545"/>
      <c r="LYC35" s="545"/>
      <c r="LYD35" s="545"/>
      <c r="LYE35" s="545"/>
      <c r="LYF35" s="545"/>
      <c r="LYG35" s="545"/>
      <c r="LYH35" s="545"/>
      <c r="LYI35" s="545"/>
      <c r="LYJ35" s="545"/>
      <c r="LYK35" s="545"/>
      <c r="LYL35" s="545"/>
      <c r="LYM35" s="545"/>
      <c r="LYN35" s="545"/>
      <c r="LYO35" s="545"/>
      <c r="LYP35" s="545"/>
      <c r="LYQ35" s="545"/>
      <c r="LYR35" s="545"/>
      <c r="LYS35" s="545"/>
      <c r="LYT35" s="545"/>
      <c r="LYU35" s="545"/>
      <c r="LYV35" s="545"/>
      <c r="LYW35" s="545"/>
      <c r="LYX35" s="545"/>
      <c r="LYY35" s="545"/>
      <c r="LYZ35" s="545"/>
      <c r="LZA35" s="545"/>
      <c r="LZB35" s="545"/>
      <c r="LZC35" s="545"/>
      <c r="LZD35" s="545"/>
      <c r="LZE35" s="545"/>
      <c r="LZF35" s="545"/>
      <c r="LZG35" s="545"/>
      <c r="LZH35" s="545"/>
      <c r="LZI35" s="545"/>
      <c r="LZJ35" s="545"/>
      <c r="LZK35" s="545"/>
      <c r="LZL35" s="545"/>
      <c r="LZM35" s="545"/>
      <c r="LZN35" s="545"/>
      <c r="LZO35" s="545"/>
      <c r="LZP35" s="545"/>
      <c r="LZQ35" s="545"/>
      <c r="LZR35" s="545"/>
      <c r="LZS35" s="545"/>
      <c r="LZT35" s="545"/>
      <c r="LZU35" s="545"/>
      <c r="LZV35" s="545"/>
      <c r="LZW35" s="545"/>
      <c r="LZX35" s="545"/>
      <c r="LZY35" s="545"/>
      <c r="LZZ35" s="545"/>
      <c r="MAA35" s="545"/>
      <c r="MAB35" s="545"/>
      <c r="MAC35" s="545"/>
      <c r="MAD35" s="545"/>
      <c r="MAE35" s="545"/>
      <c r="MAF35" s="545"/>
      <c r="MAG35" s="545"/>
      <c r="MAH35" s="545"/>
      <c r="MAI35" s="545"/>
      <c r="MAJ35" s="545"/>
      <c r="MAK35" s="545"/>
      <c r="MAL35" s="545"/>
      <c r="MAM35" s="545"/>
      <c r="MAN35" s="545"/>
      <c r="MAO35" s="545"/>
      <c r="MAP35" s="545"/>
      <c r="MAQ35" s="545"/>
      <c r="MAR35" s="545"/>
      <c r="MAS35" s="545"/>
      <c r="MAT35" s="545"/>
      <c r="MAU35" s="545"/>
      <c r="MAV35" s="545"/>
      <c r="MAW35" s="545"/>
      <c r="MAX35" s="545"/>
      <c r="MAY35" s="545"/>
      <c r="MAZ35" s="545"/>
      <c r="MBA35" s="545"/>
      <c r="MBB35" s="545"/>
      <c r="MBC35" s="545"/>
      <c r="MBD35" s="545"/>
      <c r="MBE35" s="545"/>
      <c r="MBF35" s="545"/>
      <c r="MBG35" s="545"/>
      <c r="MBH35" s="545"/>
      <c r="MBI35" s="545"/>
      <c r="MBJ35" s="545"/>
      <c r="MBK35" s="545"/>
      <c r="MBL35" s="545"/>
      <c r="MBM35" s="545"/>
      <c r="MBN35" s="545"/>
      <c r="MBO35" s="545"/>
      <c r="MBP35" s="545"/>
      <c r="MBQ35" s="545"/>
      <c r="MBR35" s="545"/>
      <c r="MBS35" s="545"/>
      <c r="MBT35" s="545"/>
      <c r="MBU35" s="545"/>
      <c r="MBV35" s="545"/>
      <c r="MBW35" s="545"/>
      <c r="MBX35" s="545"/>
      <c r="MBY35" s="545"/>
      <c r="MBZ35" s="545"/>
      <c r="MCA35" s="545"/>
      <c r="MCB35" s="545"/>
      <c r="MCC35" s="545"/>
      <c r="MCD35" s="545"/>
      <c r="MCE35" s="545"/>
      <c r="MCF35" s="545"/>
      <c r="MCG35" s="545"/>
      <c r="MCH35" s="545"/>
      <c r="MCI35" s="545"/>
      <c r="MCJ35" s="545"/>
      <c r="MCK35" s="545"/>
      <c r="MCL35" s="545"/>
      <c r="MCM35" s="545"/>
      <c r="MCN35" s="545"/>
      <c r="MCO35" s="545"/>
      <c r="MCP35" s="545"/>
      <c r="MCQ35" s="545"/>
      <c r="MCR35" s="545"/>
      <c r="MCS35" s="545"/>
      <c r="MCT35" s="545"/>
      <c r="MCU35" s="545"/>
      <c r="MCV35" s="545"/>
      <c r="MCW35" s="545"/>
      <c r="MCX35" s="545"/>
      <c r="MCY35" s="545"/>
      <c r="MCZ35" s="545"/>
      <c r="MDA35" s="545"/>
      <c r="MDB35" s="545"/>
      <c r="MDC35" s="545"/>
      <c r="MDD35" s="545"/>
      <c r="MDE35" s="545"/>
      <c r="MDF35" s="545"/>
      <c r="MDG35" s="545"/>
      <c r="MDH35" s="545"/>
      <c r="MDI35" s="545"/>
      <c r="MDJ35" s="545"/>
      <c r="MDK35" s="545"/>
      <c r="MDL35" s="545"/>
      <c r="MDM35" s="545"/>
      <c r="MDN35" s="545"/>
      <c r="MDO35" s="545"/>
      <c r="MDP35" s="545"/>
      <c r="MDQ35" s="545"/>
      <c r="MDR35" s="545"/>
      <c r="MDS35" s="545"/>
      <c r="MDT35" s="545"/>
      <c r="MDU35" s="545"/>
      <c r="MDV35" s="545"/>
      <c r="MDW35" s="545"/>
      <c r="MDX35" s="545"/>
      <c r="MDY35" s="545"/>
      <c r="MDZ35" s="545"/>
      <c r="MEA35" s="545"/>
      <c r="MEB35" s="545"/>
      <c r="MEC35" s="545"/>
      <c r="MED35" s="545"/>
      <c r="MEE35" s="545"/>
      <c r="MEF35" s="545"/>
      <c r="MEG35" s="545"/>
      <c r="MEH35" s="545"/>
      <c r="MEI35" s="545"/>
      <c r="MEJ35" s="545"/>
      <c r="MEK35" s="545"/>
      <c r="MEL35" s="545"/>
      <c r="MEM35" s="545"/>
      <c r="MEN35" s="545"/>
      <c r="MEO35" s="545"/>
      <c r="MEP35" s="545"/>
      <c r="MEQ35" s="545"/>
      <c r="MER35" s="545"/>
      <c r="MES35" s="545"/>
      <c r="MET35" s="545"/>
      <c r="MEU35" s="545"/>
      <c r="MEV35" s="545"/>
      <c r="MEW35" s="545"/>
      <c r="MEX35" s="545"/>
      <c r="MEY35" s="545"/>
      <c r="MEZ35" s="545"/>
      <c r="MFA35" s="545"/>
      <c r="MFB35" s="545"/>
      <c r="MFC35" s="545"/>
      <c r="MFD35" s="545"/>
      <c r="MFE35" s="545"/>
      <c r="MFF35" s="545"/>
      <c r="MFG35" s="545"/>
      <c r="MFH35" s="545"/>
      <c r="MFI35" s="545"/>
      <c r="MFJ35" s="545"/>
      <c r="MFK35" s="545"/>
      <c r="MFL35" s="545"/>
      <c r="MFM35" s="545"/>
      <c r="MFN35" s="545"/>
      <c r="MFO35" s="545"/>
      <c r="MFP35" s="545"/>
      <c r="MFQ35" s="545"/>
      <c r="MFR35" s="545"/>
      <c r="MFS35" s="545"/>
      <c r="MFT35" s="545"/>
      <c r="MFU35" s="545"/>
      <c r="MFV35" s="545"/>
      <c r="MFW35" s="545"/>
      <c r="MFX35" s="545"/>
      <c r="MFY35" s="545"/>
      <c r="MFZ35" s="545"/>
      <c r="MGA35" s="545"/>
      <c r="MGB35" s="545"/>
      <c r="MGC35" s="545"/>
      <c r="MGD35" s="545"/>
      <c r="MGE35" s="545"/>
      <c r="MGF35" s="545"/>
      <c r="MGG35" s="545"/>
      <c r="MGH35" s="545"/>
      <c r="MGI35" s="545"/>
      <c r="MGJ35" s="545"/>
      <c r="MGK35" s="545"/>
      <c r="MGL35" s="545"/>
      <c r="MGM35" s="545"/>
      <c r="MGN35" s="545"/>
      <c r="MGO35" s="545"/>
      <c r="MGP35" s="545"/>
      <c r="MGQ35" s="545"/>
      <c r="MGR35" s="545"/>
      <c r="MGS35" s="545"/>
      <c r="MGT35" s="545"/>
      <c r="MGU35" s="545"/>
      <c r="MGV35" s="545"/>
      <c r="MGW35" s="545"/>
      <c r="MGX35" s="545"/>
      <c r="MGY35" s="545"/>
      <c r="MGZ35" s="545"/>
      <c r="MHA35" s="545"/>
      <c r="MHB35" s="545"/>
      <c r="MHC35" s="545"/>
      <c r="MHD35" s="545"/>
      <c r="MHE35" s="545"/>
      <c r="MHF35" s="545"/>
      <c r="MHG35" s="545"/>
      <c r="MHH35" s="545"/>
      <c r="MHI35" s="545"/>
      <c r="MHJ35" s="545"/>
      <c r="MHK35" s="545"/>
      <c r="MHL35" s="545"/>
      <c r="MHM35" s="545"/>
      <c r="MHN35" s="545"/>
      <c r="MHO35" s="545"/>
      <c r="MHP35" s="545"/>
      <c r="MHQ35" s="545"/>
      <c r="MHR35" s="545"/>
      <c r="MHS35" s="545"/>
      <c r="MHT35" s="545"/>
      <c r="MHU35" s="545"/>
      <c r="MHV35" s="545"/>
      <c r="MHW35" s="545"/>
      <c r="MHX35" s="545"/>
      <c r="MHY35" s="545"/>
      <c r="MHZ35" s="545"/>
      <c r="MIA35" s="545"/>
      <c r="MIB35" s="545"/>
      <c r="MIC35" s="545"/>
      <c r="MID35" s="545"/>
      <c r="MIE35" s="545"/>
      <c r="MIF35" s="545"/>
      <c r="MIG35" s="545"/>
      <c r="MIH35" s="545"/>
      <c r="MII35" s="545"/>
      <c r="MIJ35" s="545"/>
      <c r="MIK35" s="545"/>
      <c r="MIL35" s="545"/>
      <c r="MIM35" s="545"/>
      <c r="MIN35" s="545"/>
      <c r="MIO35" s="545"/>
      <c r="MIP35" s="545"/>
      <c r="MIQ35" s="545"/>
      <c r="MIR35" s="545"/>
      <c r="MIS35" s="545"/>
      <c r="MIT35" s="545"/>
      <c r="MIU35" s="545"/>
      <c r="MIV35" s="545"/>
      <c r="MIW35" s="545"/>
      <c r="MIX35" s="545"/>
      <c r="MIY35" s="545"/>
      <c r="MIZ35" s="545"/>
      <c r="MJA35" s="545"/>
      <c r="MJB35" s="545"/>
      <c r="MJC35" s="545"/>
      <c r="MJD35" s="545"/>
      <c r="MJE35" s="545"/>
      <c r="MJF35" s="545"/>
      <c r="MJG35" s="545"/>
      <c r="MJH35" s="545"/>
      <c r="MJI35" s="545"/>
      <c r="MJJ35" s="545"/>
      <c r="MJK35" s="545"/>
      <c r="MJL35" s="545"/>
      <c r="MJM35" s="545"/>
      <c r="MJN35" s="545"/>
      <c r="MJO35" s="545"/>
      <c r="MJP35" s="545"/>
      <c r="MJQ35" s="545"/>
      <c r="MJR35" s="545"/>
      <c r="MJS35" s="545"/>
      <c r="MJT35" s="545"/>
      <c r="MJU35" s="545"/>
      <c r="MJV35" s="545"/>
      <c r="MJW35" s="545"/>
      <c r="MJX35" s="545"/>
      <c r="MJY35" s="545"/>
      <c r="MJZ35" s="545"/>
      <c r="MKA35" s="545"/>
      <c r="MKB35" s="545"/>
      <c r="MKC35" s="545"/>
      <c r="MKD35" s="545"/>
      <c r="MKE35" s="545"/>
      <c r="MKF35" s="545"/>
      <c r="MKG35" s="545"/>
      <c r="MKH35" s="545"/>
      <c r="MKI35" s="545"/>
      <c r="MKJ35" s="545"/>
      <c r="MKK35" s="545"/>
      <c r="MKL35" s="545"/>
      <c r="MKM35" s="545"/>
      <c r="MKN35" s="545"/>
      <c r="MKO35" s="545"/>
      <c r="MKP35" s="545"/>
      <c r="MKQ35" s="545"/>
      <c r="MKR35" s="545"/>
      <c r="MKS35" s="545"/>
      <c r="MKT35" s="545"/>
      <c r="MKU35" s="545"/>
      <c r="MKV35" s="545"/>
      <c r="MKW35" s="545"/>
      <c r="MKX35" s="545"/>
      <c r="MKY35" s="545"/>
      <c r="MKZ35" s="545"/>
      <c r="MLA35" s="545"/>
      <c r="MLB35" s="545"/>
      <c r="MLC35" s="545"/>
      <c r="MLD35" s="545"/>
      <c r="MLE35" s="545"/>
      <c r="MLF35" s="545"/>
      <c r="MLG35" s="545"/>
      <c r="MLH35" s="545"/>
      <c r="MLI35" s="545"/>
      <c r="MLJ35" s="545"/>
      <c r="MLK35" s="545"/>
      <c r="MLL35" s="545"/>
      <c r="MLM35" s="545"/>
      <c r="MLN35" s="545"/>
      <c r="MLO35" s="545"/>
      <c r="MLP35" s="545"/>
      <c r="MLQ35" s="545"/>
      <c r="MLR35" s="545"/>
      <c r="MLS35" s="545"/>
      <c r="MLT35" s="545"/>
      <c r="MLU35" s="545"/>
      <c r="MLV35" s="545"/>
      <c r="MLW35" s="545"/>
      <c r="MLX35" s="545"/>
      <c r="MLY35" s="545"/>
      <c r="MLZ35" s="545"/>
      <c r="MMA35" s="545"/>
      <c r="MMB35" s="545"/>
      <c r="MMC35" s="545"/>
      <c r="MMD35" s="545"/>
      <c r="MME35" s="545"/>
      <c r="MMF35" s="545"/>
      <c r="MMG35" s="545"/>
      <c r="MMH35" s="545"/>
      <c r="MMI35" s="545"/>
      <c r="MMJ35" s="545"/>
      <c r="MMK35" s="545"/>
      <c r="MML35" s="545"/>
      <c r="MMM35" s="545"/>
      <c r="MMN35" s="545"/>
      <c r="MMO35" s="545"/>
      <c r="MMP35" s="545"/>
      <c r="MMQ35" s="545"/>
      <c r="MMR35" s="545"/>
      <c r="MMS35" s="545"/>
      <c r="MMT35" s="545"/>
      <c r="MMU35" s="545"/>
      <c r="MMV35" s="545"/>
      <c r="MMW35" s="545"/>
      <c r="MMX35" s="545"/>
      <c r="MMY35" s="545"/>
      <c r="MMZ35" s="545"/>
      <c r="MNA35" s="545"/>
      <c r="MNB35" s="545"/>
      <c r="MNC35" s="545"/>
      <c r="MND35" s="545"/>
      <c r="MNE35" s="545"/>
      <c r="MNF35" s="545"/>
      <c r="MNG35" s="545"/>
      <c r="MNH35" s="545"/>
      <c r="MNI35" s="545"/>
      <c r="MNJ35" s="545"/>
      <c r="MNK35" s="545"/>
      <c r="MNL35" s="545"/>
      <c r="MNM35" s="545"/>
      <c r="MNN35" s="545"/>
      <c r="MNO35" s="545"/>
      <c r="MNP35" s="545"/>
      <c r="MNQ35" s="545"/>
      <c r="MNR35" s="545"/>
      <c r="MNS35" s="545"/>
      <c r="MNT35" s="545"/>
      <c r="MNU35" s="545"/>
      <c r="MNV35" s="545"/>
      <c r="MNW35" s="545"/>
      <c r="MNX35" s="545"/>
      <c r="MNY35" s="545"/>
      <c r="MNZ35" s="545"/>
      <c r="MOA35" s="545"/>
      <c r="MOB35" s="545"/>
      <c r="MOC35" s="545"/>
      <c r="MOD35" s="545"/>
      <c r="MOE35" s="545"/>
      <c r="MOF35" s="545"/>
      <c r="MOG35" s="545"/>
      <c r="MOH35" s="545"/>
      <c r="MOI35" s="545"/>
      <c r="MOJ35" s="545"/>
      <c r="MOK35" s="545"/>
      <c r="MOL35" s="545"/>
      <c r="MOM35" s="545"/>
      <c r="MON35" s="545"/>
      <c r="MOO35" s="545"/>
      <c r="MOP35" s="545"/>
      <c r="MOQ35" s="545"/>
      <c r="MOR35" s="545"/>
      <c r="MOS35" s="545"/>
      <c r="MOT35" s="545"/>
      <c r="MOU35" s="545"/>
      <c r="MOV35" s="545"/>
      <c r="MOW35" s="545"/>
      <c r="MOX35" s="545"/>
      <c r="MOY35" s="545"/>
      <c r="MOZ35" s="545"/>
      <c r="MPA35" s="545"/>
      <c r="MPB35" s="545"/>
      <c r="MPC35" s="545"/>
      <c r="MPD35" s="545"/>
      <c r="MPE35" s="545"/>
      <c r="MPF35" s="545"/>
      <c r="MPG35" s="545"/>
      <c r="MPH35" s="545"/>
      <c r="MPI35" s="545"/>
      <c r="MPJ35" s="545"/>
      <c r="MPK35" s="545"/>
      <c r="MPL35" s="545"/>
      <c r="MPM35" s="545"/>
      <c r="MPN35" s="545"/>
      <c r="MPO35" s="545"/>
      <c r="MPP35" s="545"/>
      <c r="MPQ35" s="545"/>
      <c r="MPR35" s="545"/>
      <c r="MPS35" s="545"/>
      <c r="MPT35" s="545"/>
      <c r="MPU35" s="545"/>
      <c r="MPV35" s="545"/>
      <c r="MPW35" s="545"/>
      <c r="MPX35" s="545"/>
      <c r="MPY35" s="545"/>
      <c r="MPZ35" s="545"/>
      <c r="MQA35" s="545"/>
      <c r="MQB35" s="545"/>
      <c r="MQC35" s="545"/>
      <c r="MQD35" s="545"/>
      <c r="MQE35" s="545"/>
      <c r="MQF35" s="545"/>
      <c r="MQG35" s="545"/>
      <c r="MQH35" s="545"/>
      <c r="MQI35" s="545"/>
      <c r="MQJ35" s="545"/>
      <c r="MQK35" s="545"/>
      <c r="MQL35" s="545"/>
      <c r="MQM35" s="545"/>
      <c r="MQN35" s="545"/>
      <c r="MQO35" s="545"/>
      <c r="MQP35" s="545"/>
      <c r="MQQ35" s="545"/>
      <c r="MQR35" s="545"/>
      <c r="MQS35" s="545"/>
      <c r="MQT35" s="545"/>
      <c r="MQU35" s="545"/>
      <c r="MQV35" s="545"/>
      <c r="MQW35" s="545"/>
      <c r="MQX35" s="545"/>
      <c r="MQY35" s="545"/>
      <c r="MQZ35" s="545"/>
      <c r="MRA35" s="545"/>
      <c r="MRB35" s="545"/>
      <c r="MRC35" s="545"/>
      <c r="MRD35" s="545"/>
      <c r="MRE35" s="545"/>
      <c r="MRF35" s="545"/>
      <c r="MRG35" s="545"/>
      <c r="MRH35" s="545"/>
      <c r="MRI35" s="545"/>
      <c r="MRJ35" s="545"/>
      <c r="MRK35" s="545"/>
      <c r="MRL35" s="545"/>
      <c r="MRM35" s="545"/>
      <c r="MRN35" s="545"/>
      <c r="MRO35" s="545"/>
      <c r="MRP35" s="545"/>
      <c r="MRQ35" s="545"/>
      <c r="MRR35" s="545"/>
      <c r="MRS35" s="545"/>
      <c r="MRT35" s="545"/>
      <c r="MRU35" s="545"/>
      <c r="MRV35" s="545"/>
      <c r="MRW35" s="545"/>
      <c r="MRX35" s="545"/>
      <c r="MRY35" s="545"/>
      <c r="MRZ35" s="545"/>
      <c r="MSA35" s="545"/>
      <c r="MSB35" s="545"/>
      <c r="MSC35" s="545"/>
      <c r="MSD35" s="545"/>
      <c r="MSE35" s="545"/>
      <c r="MSF35" s="545"/>
      <c r="MSG35" s="545"/>
      <c r="MSH35" s="545"/>
      <c r="MSI35" s="545"/>
      <c r="MSJ35" s="545"/>
      <c r="MSK35" s="545"/>
      <c r="MSL35" s="545"/>
      <c r="MSM35" s="545"/>
      <c r="MSN35" s="545"/>
      <c r="MSO35" s="545"/>
      <c r="MSP35" s="545"/>
      <c r="MSQ35" s="545"/>
      <c r="MSR35" s="545"/>
      <c r="MSS35" s="545"/>
      <c r="MST35" s="545"/>
      <c r="MSU35" s="545"/>
      <c r="MSV35" s="545"/>
      <c r="MSW35" s="545"/>
      <c r="MSX35" s="545"/>
      <c r="MSY35" s="545"/>
      <c r="MSZ35" s="545"/>
      <c r="MTA35" s="545"/>
      <c r="MTB35" s="545"/>
      <c r="MTC35" s="545"/>
      <c r="MTD35" s="545"/>
      <c r="MTE35" s="545"/>
      <c r="MTF35" s="545"/>
      <c r="MTG35" s="545"/>
      <c r="MTH35" s="545"/>
      <c r="MTI35" s="545"/>
      <c r="MTJ35" s="545"/>
      <c r="MTK35" s="545"/>
      <c r="MTL35" s="545"/>
      <c r="MTM35" s="545"/>
      <c r="MTN35" s="545"/>
      <c r="MTO35" s="545"/>
      <c r="MTP35" s="545"/>
      <c r="MTQ35" s="545"/>
      <c r="MTR35" s="545"/>
      <c r="MTS35" s="545"/>
      <c r="MTT35" s="545"/>
      <c r="MTU35" s="545"/>
      <c r="MTV35" s="545"/>
      <c r="MTW35" s="545"/>
      <c r="MTX35" s="545"/>
      <c r="MTY35" s="545"/>
      <c r="MTZ35" s="545"/>
      <c r="MUA35" s="545"/>
      <c r="MUB35" s="545"/>
      <c r="MUC35" s="545"/>
      <c r="MUD35" s="545"/>
      <c r="MUE35" s="545"/>
      <c r="MUF35" s="545"/>
      <c r="MUG35" s="545"/>
      <c r="MUH35" s="545"/>
      <c r="MUI35" s="545"/>
      <c r="MUJ35" s="545"/>
      <c r="MUK35" s="545"/>
      <c r="MUL35" s="545"/>
      <c r="MUM35" s="545"/>
      <c r="MUN35" s="545"/>
      <c r="MUO35" s="545"/>
      <c r="MUP35" s="545"/>
      <c r="MUQ35" s="545"/>
      <c r="MUR35" s="545"/>
      <c r="MUS35" s="545"/>
      <c r="MUT35" s="545"/>
      <c r="MUU35" s="545"/>
      <c r="MUV35" s="545"/>
      <c r="MUW35" s="545"/>
      <c r="MUX35" s="545"/>
      <c r="MUY35" s="545"/>
      <c r="MUZ35" s="545"/>
      <c r="MVA35" s="545"/>
      <c r="MVB35" s="545"/>
      <c r="MVC35" s="545"/>
      <c r="MVD35" s="545"/>
      <c r="MVE35" s="545"/>
      <c r="MVF35" s="545"/>
      <c r="MVG35" s="545"/>
      <c r="MVH35" s="545"/>
      <c r="MVI35" s="545"/>
      <c r="MVJ35" s="545"/>
      <c r="MVK35" s="545"/>
      <c r="MVL35" s="545"/>
      <c r="MVM35" s="545"/>
      <c r="MVN35" s="545"/>
      <c r="MVO35" s="545"/>
      <c r="MVP35" s="545"/>
      <c r="MVQ35" s="545"/>
      <c r="MVR35" s="545"/>
      <c r="MVS35" s="545"/>
      <c r="MVT35" s="545"/>
      <c r="MVU35" s="545"/>
      <c r="MVV35" s="545"/>
      <c r="MVW35" s="545"/>
      <c r="MVX35" s="545"/>
      <c r="MVY35" s="545"/>
      <c r="MVZ35" s="545"/>
      <c r="MWA35" s="545"/>
      <c r="MWB35" s="545"/>
      <c r="MWC35" s="545"/>
      <c r="MWD35" s="545"/>
      <c r="MWE35" s="545"/>
      <c r="MWF35" s="545"/>
      <c r="MWG35" s="545"/>
      <c r="MWH35" s="545"/>
      <c r="MWI35" s="545"/>
      <c r="MWJ35" s="545"/>
      <c r="MWK35" s="545"/>
      <c r="MWL35" s="545"/>
      <c r="MWM35" s="545"/>
      <c r="MWN35" s="545"/>
      <c r="MWO35" s="545"/>
      <c r="MWP35" s="545"/>
      <c r="MWQ35" s="545"/>
      <c r="MWR35" s="545"/>
      <c r="MWS35" s="545"/>
      <c r="MWT35" s="545"/>
      <c r="MWU35" s="545"/>
      <c r="MWV35" s="545"/>
      <c r="MWW35" s="545"/>
      <c r="MWX35" s="545"/>
      <c r="MWY35" s="545"/>
      <c r="MWZ35" s="545"/>
      <c r="MXA35" s="545"/>
      <c r="MXB35" s="545"/>
      <c r="MXC35" s="545"/>
      <c r="MXD35" s="545"/>
      <c r="MXE35" s="545"/>
      <c r="MXF35" s="545"/>
      <c r="MXG35" s="545"/>
      <c r="MXH35" s="545"/>
      <c r="MXI35" s="545"/>
      <c r="MXJ35" s="545"/>
      <c r="MXK35" s="545"/>
      <c r="MXL35" s="545"/>
      <c r="MXM35" s="545"/>
      <c r="MXN35" s="545"/>
      <c r="MXO35" s="545"/>
      <c r="MXP35" s="545"/>
      <c r="MXQ35" s="545"/>
      <c r="MXR35" s="545"/>
      <c r="MXS35" s="545"/>
      <c r="MXT35" s="545"/>
      <c r="MXU35" s="545"/>
      <c r="MXV35" s="545"/>
      <c r="MXW35" s="545"/>
      <c r="MXX35" s="545"/>
      <c r="MXY35" s="545"/>
      <c r="MXZ35" s="545"/>
      <c r="MYA35" s="545"/>
      <c r="MYB35" s="545"/>
      <c r="MYC35" s="545"/>
      <c r="MYD35" s="545"/>
      <c r="MYE35" s="545"/>
      <c r="MYF35" s="545"/>
      <c r="MYG35" s="545"/>
      <c r="MYH35" s="545"/>
      <c r="MYI35" s="545"/>
      <c r="MYJ35" s="545"/>
      <c r="MYK35" s="545"/>
      <c r="MYL35" s="545"/>
      <c r="MYM35" s="545"/>
      <c r="MYN35" s="545"/>
      <c r="MYO35" s="545"/>
      <c r="MYP35" s="545"/>
      <c r="MYQ35" s="545"/>
      <c r="MYR35" s="545"/>
      <c r="MYS35" s="545"/>
      <c r="MYT35" s="545"/>
      <c r="MYU35" s="545"/>
      <c r="MYV35" s="545"/>
      <c r="MYW35" s="545"/>
      <c r="MYX35" s="545"/>
      <c r="MYY35" s="545"/>
      <c r="MYZ35" s="545"/>
      <c r="MZA35" s="545"/>
      <c r="MZB35" s="545"/>
      <c r="MZC35" s="545"/>
      <c r="MZD35" s="545"/>
      <c r="MZE35" s="545"/>
      <c r="MZF35" s="545"/>
      <c r="MZG35" s="545"/>
      <c r="MZH35" s="545"/>
      <c r="MZI35" s="545"/>
      <c r="MZJ35" s="545"/>
      <c r="MZK35" s="545"/>
      <c r="MZL35" s="545"/>
      <c r="MZM35" s="545"/>
      <c r="MZN35" s="545"/>
      <c r="MZO35" s="545"/>
      <c r="MZP35" s="545"/>
      <c r="MZQ35" s="545"/>
      <c r="MZR35" s="545"/>
      <c r="MZS35" s="545"/>
      <c r="MZT35" s="545"/>
      <c r="MZU35" s="545"/>
      <c r="MZV35" s="545"/>
      <c r="MZW35" s="545"/>
      <c r="MZX35" s="545"/>
      <c r="MZY35" s="545"/>
      <c r="MZZ35" s="545"/>
      <c r="NAA35" s="545"/>
      <c r="NAB35" s="545"/>
      <c r="NAC35" s="545"/>
      <c r="NAD35" s="545"/>
      <c r="NAE35" s="545"/>
      <c r="NAF35" s="545"/>
      <c r="NAG35" s="545"/>
      <c r="NAH35" s="545"/>
      <c r="NAI35" s="545"/>
      <c r="NAJ35" s="545"/>
      <c r="NAK35" s="545"/>
      <c r="NAL35" s="545"/>
      <c r="NAM35" s="545"/>
      <c r="NAN35" s="545"/>
      <c r="NAO35" s="545"/>
      <c r="NAP35" s="545"/>
      <c r="NAQ35" s="545"/>
      <c r="NAR35" s="545"/>
      <c r="NAS35" s="545"/>
      <c r="NAT35" s="545"/>
      <c r="NAU35" s="545"/>
      <c r="NAV35" s="545"/>
      <c r="NAW35" s="545"/>
      <c r="NAX35" s="545"/>
      <c r="NAY35" s="545"/>
      <c r="NAZ35" s="545"/>
      <c r="NBA35" s="545"/>
      <c r="NBB35" s="545"/>
      <c r="NBC35" s="545"/>
      <c r="NBD35" s="545"/>
      <c r="NBE35" s="545"/>
      <c r="NBF35" s="545"/>
      <c r="NBG35" s="545"/>
      <c r="NBH35" s="545"/>
      <c r="NBI35" s="545"/>
      <c r="NBJ35" s="545"/>
      <c r="NBK35" s="545"/>
      <c r="NBL35" s="545"/>
      <c r="NBM35" s="545"/>
      <c r="NBN35" s="545"/>
      <c r="NBO35" s="545"/>
      <c r="NBP35" s="545"/>
      <c r="NBQ35" s="545"/>
      <c r="NBR35" s="545"/>
      <c r="NBS35" s="545"/>
      <c r="NBT35" s="545"/>
      <c r="NBU35" s="545"/>
      <c r="NBV35" s="545"/>
      <c r="NBW35" s="545"/>
      <c r="NBX35" s="545"/>
      <c r="NBY35" s="545"/>
      <c r="NBZ35" s="545"/>
      <c r="NCA35" s="545"/>
      <c r="NCB35" s="545"/>
      <c r="NCC35" s="545"/>
      <c r="NCD35" s="545"/>
      <c r="NCE35" s="545"/>
      <c r="NCF35" s="545"/>
      <c r="NCG35" s="545"/>
      <c r="NCH35" s="545"/>
      <c r="NCI35" s="545"/>
      <c r="NCJ35" s="545"/>
      <c r="NCK35" s="545"/>
      <c r="NCL35" s="545"/>
      <c r="NCM35" s="545"/>
      <c r="NCN35" s="545"/>
      <c r="NCO35" s="545"/>
      <c r="NCP35" s="545"/>
      <c r="NCQ35" s="545"/>
      <c r="NCR35" s="545"/>
      <c r="NCS35" s="545"/>
      <c r="NCT35" s="545"/>
      <c r="NCU35" s="545"/>
      <c r="NCV35" s="545"/>
      <c r="NCW35" s="545"/>
      <c r="NCX35" s="545"/>
      <c r="NCY35" s="545"/>
      <c r="NCZ35" s="545"/>
      <c r="NDA35" s="545"/>
      <c r="NDB35" s="545"/>
      <c r="NDC35" s="545"/>
      <c r="NDD35" s="545"/>
      <c r="NDE35" s="545"/>
      <c r="NDF35" s="545"/>
      <c r="NDG35" s="545"/>
      <c r="NDH35" s="545"/>
      <c r="NDI35" s="545"/>
      <c r="NDJ35" s="545"/>
      <c r="NDK35" s="545"/>
      <c r="NDL35" s="545"/>
      <c r="NDM35" s="545"/>
      <c r="NDN35" s="545"/>
      <c r="NDO35" s="545"/>
      <c r="NDP35" s="545"/>
      <c r="NDQ35" s="545"/>
      <c r="NDR35" s="545"/>
      <c r="NDS35" s="545"/>
      <c r="NDT35" s="545"/>
      <c r="NDU35" s="545"/>
      <c r="NDV35" s="545"/>
      <c r="NDW35" s="545"/>
      <c r="NDX35" s="545"/>
      <c r="NDY35" s="545"/>
      <c r="NDZ35" s="545"/>
      <c r="NEA35" s="545"/>
      <c r="NEB35" s="545"/>
      <c r="NEC35" s="545"/>
      <c r="NED35" s="545"/>
      <c r="NEE35" s="545"/>
      <c r="NEF35" s="545"/>
      <c r="NEG35" s="545"/>
      <c r="NEH35" s="545"/>
      <c r="NEI35" s="545"/>
      <c r="NEJ35" s="545"/>
      <c r="NEK35" s="545"/>
      <c r="NEL35" s="545"/>
      <c r="NEM35" s="545"/>
      <c r="NEN35" s="545"/>
      <c r="NEO35" s="545"/>
      <c r="NEP35" s="545"/>
      <c r="NEQ35" s="545"/>
      <c r="NER35" s="545"/>
      <c r="NES35" s="545"/>
      <c r="NET35" s="545"/>
      <c r="NEU35" s="545"/>
      <c r="NEV35" s="545"/>
      <c r="NEW35" s="545"/>
      <c r="NEX35" s="545"/>
      <c r="NEY35" s="545"/>
      <c r="NEZ35" s="545"/>
      <c r="NFA35" s="545"/>
      <c r="NFB35" s="545"/>
      <c r="NFC35" s="545"/>
      <c r="NFD35" s="545"/>
      <c r="NFE35" s="545"/>
      <c r="NFF35" s="545"/>
      <c r="NFG35" s="545"/>
      <c r="NFH35" s="545"/>
      <c r="NFI35" s="545"/>
      <c r="NFJ35" s="545"/>
      <c r="NFK35" s="545"/>
      <c r="NFL35" s="545"/>
      <c r="NFM35" s="545"/>
      <c r="NFN35" s="545"/>
      <c r="NFO35" s="545"/>
      <c r="NFP35" s="545"/>
      <c r="NFQ35" s="545"/>
      <c r="NFR35" s="545"/>
      <c r="NFS35" s="545"/>
      <c r="NFT35" s="545"/>
      <c r="NFU35" s="545"/>
      <c r="NFV35" s="545"/>
      <c r="NFW35" s="545"/>
      <c r="NFX35" s="545"/>
      <c r="NFY35" s="545"/>
      <c r="NFZ35" s="545"/>
      <c r="NGA35" s="545"/>
      <c r="NGB35" s="545"/>
      <c r="NGC35" s="545"/>
      <c r="NGD35" s="545"/>
      <c r="NGE35" s="545"/>
      <c r="NGF35" s="545"/>
      <c r="NGG35" s="545"/>
      <c r="NGH35" s="545"/>
      <c r="NGI35" s="545"/>
      <c r="NGJ35" s="545"/>
      <c r="NGK35" s="545"/>
      <c r="NGL35" s="545"/>
      <c r="NGM35" s="545"/>
      <c r="NGN35" s="545"/>
      <c r="NGO35" s="545"/>
      <c r="NGP35" s="545"/>
      <c r="NGQ35" s="545"/>
      <c r="NGR35" s="545"/>
      <c r="NGS35" s="545"/>
      <c r="NGT35" s="545"/>
      <c r="NGU35" s="545"/>
      <c r="NGV35" s="545"/>
      <c r="NGW35" s="545"/>
      <c r="NGX35" s="545"/>
      <c r="NGY35" s="545"/>
      <c r="NGZ35" s="545"/>
      <c r="NHA35" s="545"/>
      <c r="NHB35" s="545"/>
      <c r="NHC35" s="545"/>
      <c r="NHD35" s="545"/>
      <c r="NHE35" s="545"/>
      <c r="NHF35" s="545"/>
      <c r="NHG35" s="545"/>
      <c r="NHH35" s="545"/>
      <c r="NHI35" s="545"/>
      <c r="NHJ35" s="545"/>
      <c r="NHK35" s="545"/>
      <c r="NHL35" s="545"/>
      <c r="NHM35" s="545"/>
      <c r="NHN35" s="545"/>
      <c r="NHO35" s="545"/>
      <c r="NHP35" s="545"/>
      <c r="NHQ35" s="545"/>
      <c r="NHR35" s="545"/>
      <c r="NHS35" s="545"/>
      <c r="NHT35" s="545"/>
      <c r="NHU35" s="545"/>
      <c r="NHV35" s="545"/>
      <c r="NHW35" s="545"/>
      <c r="NHX35" s="545"/>
      <c r="NHY35" s="545"/>
      <c r="NHZ35" s="545"/>
      <c r="NIA35" s="545"/>
      <c r="NIB35" s="545"/>
      <c r="NIC35" s="545"/>
      <c r="NID35" s="545"/>
      <c r="NIE35" s="545"/>
      <c r="NIF35" s="545"/>
      <c r="NIG35" s="545"/>
      <c r="NIH35" s="545"/>
      <c r="NII35" s="545"/>
      <c r="NIJ35" s="545"/>
      <c r="NIK35" s="545"/>
      <c r="NIL35" s="545"/>
      <c r="NIM35" s="545"/>
      <c r="NIN35" s="545"/>
      <c r="NIO35" s="545"/>
      <c r="NIP35" s="545"/>
      <c r="NIQ35" s="545"/>
      <c r="NIR35" s="545"/>
      <c r="NIS35" s="545"/>
      <c r="NIT35" s="545"/>
      <c r="NIU35" s="545"/>
      <c r="NIV35" s="545"/>
      <c r="NIW35" s="545"/>
      <c r="NIX35" s="545"/>
      <c r="NIY35" s="545"/>
      <c r="NIZ35" s="545"/>
      <c r="NJA35" s="545"/>
      <c r="NJB35" s="545"/>
      <c r="NJC35" s="545"/>
      <c r="NJD35" s="545"/>
      <c r="NJE35" s="545"/>
      <c r="NJF35" s="545"/>
      <c r="NJG35" s="545"/>
      <c r="NJH35" s="545"/>
      <c r="NJI35" s="545"/>
      <c r="NJJ35" s="545"/>
      <c r="NJK35" s="545"/>
      <c r="NJL35" s="545"/>
      <c r="NJM35" s="545"/>
      <c r="NJN35" s="545"/>
      <c r="NJO35" s="545"/>
      <c r="NJP35" s="545"/>
      <c r="NJQ35" s="545"/>
      <c r="NJR35" s="545"/>
      <c r="NJS35" s="545"/>
      <c r="NJT35" s="545"/>
      <c r="NJU35" s="545"/>
      <c r="NJV35" s="545"/>
      <c r="NJW35" s="545"/>
      <c r="NJX35" s="545"/>
      <c r="NJY35" s="545"/>
      <c r="NJZ35" s="545"/>
      <c r="NKA35" s="545"/>
      <c r="NKB35" s="545"/>
      <c r="NKC35" s="545"/>
      <c r="NKD35" s="545"/>
      <c r="NKE35" s="545"/>
      <c r="NKF35" s="545"/>
      <c r="NKG35" s="545"/>
      <c r="NKH35" s="545"/>
      <c r="NKI35" s="545"/>
      <c r="NKJ35" s="545"/>
      <c r="NKK35" s="545"/>
      <c r="NKL35" s="545"/>
      <c r="NKM35" s="545"/>
      <c r="NKN35" s="545"/>
      <c r="NKO35" s="545"/>
      <c r="NKP35" s="545"/>
      <c r="NKQ35" s="545"/>
      <c r="NKR35" s="545"/>
      <c r="NKS35" s="545"/>
      <c r="NKT35" s="545"/>
      <c r="NKU35" s="545"/>
      <c r="NKV35" s="545"/>
      <c r="NKW35" s="545"/>
      <c r="NKX35" s="545"/>
      <c r="NKY35" s="545"/>
      <c r="NKZ35" s="545"/>
      <c r="NLA35" s="545"/>
      <c r="NLB35" s="545"/>
      <c r="NLC35" s="545"/>
      <c r="NLD35" s="545"/>
      <c r="NLE35" s="545"/>
      <c r="NLF35" s="545"/>
      <c r="NLG35" s="545"/>
      <c r="NLH35" s="545"/>
      <c r="NLI35" s="545"/>
      <c r="NLJ35" s="545"/>
      <c r="NLK35" s="545"/>
      <c r="NLL35" s="545"/>
      <c r="NLM35" s="545"/>
      <c r="NLN35" s="545"/>
      <c r="NLO35" s="545"/>
      <c r="NLP35" s="545"/>
      <c r="NLQ35" s="545"/>
      <c r="NLR35" s="545"/>
      <c r="NLS35" s="545"/>
      <c r="NLT35" s="545"/>
      <c r="NLU35" s="545"/>
      <c r="NLV35" s="545"/>
      <c r="NLW35" s="545"/>
      <c r="NLX35" s="545"/>
      <c r="NLY35" s="545"/>
      <c r="NLZ35" s="545"/>
      <c r="NMA35" s="545"/>
      <c r="NMB35" s="545"/>
      <c r="NMC35" s="545"/>
      <c r="NMD35" s="545"/>
      <c r="NME35" s="545"/>
      <c r="NMF35" s="545"/>
      <c r="NMG35" s="545"/>
      <c r="NMH35" s="545"/>
      <c r="NMI35" s="545"/>
      <c r="NMJ35" s="545"/>
      <c r="NMK35" s="545"/>
      <c r="NML35" s="545"/>
      <c r="NMM35" s="545"/>
      <c r="NMN35" s="545"/>
      <c r="NMO35" s="545"/>
      <c r="NMP35" s="545"/>
      <c r="NMQ35" s="545"/>
      <c r="NMR35" s="545"/>
      <c r="NMS35" s="545"/>
      <c r="NMT35" s="545"/>
      <c r="NMU35" s="545"/>
      <c r="NMV35" s="545"/>
      <c r="NMW35" s="545"/>
      <c r="NMX35" s="545"/>
      <c r="NMY35" s="545"/>
      <c r="NMZ35" s="545"/>
      <c r="NNA35" s="545"/>
      <c r="NNB35" s="545"/>
      <c r="NNC35" s="545"/>
      <c r="NND35" s="545"/>
      <c r="NNE35" s="545"/>
      <c r="NNF35" s="545"/>
      <c r="NNG35" s="545"/>
      <c r="NNH35" s="545"/>
      <c r="NNI35" s="545"/>
      <c r="NNJ35" s="545"/>
      <c r="NNK35" s="545"/>
      <c r="NNL35" s="545"/>
      <c r="NNM35" s="545"/>
      <c r="NNN35" s="545"/>
      <c r="NNO35" s="545"/>
      <c r="NNP35" s="545"/>
      <c r="NNQ35" s="545"/>
      <c r="NNR35" s="545"/>
      <c r="NNS35" s="545"/>
      <c r="NNT35" s="545"/>
      <c r="NNU35" s="545"/>
      <c r="NNV35" s="545"/>
      <c r="NNW35" s="545"/>
      <c r="NNX35" s="545"/>
      <c r="NNY35" s="545"/>
      <c r="NNZ35" s="545"/>
      <c r="NOA35" s="545"/>
      <c r="NOB35" s="545"/>
      <c r="NOC35" s="545"/>
      <c r="NOD35" s="545"/>
      <c r="NOE35" s="545"/>
      <c r="NOF35" s="545"/>
      <c r="NOG35" s="545"/>
      <c r="NOH35" s="545"/>
      <c r="NOI35" s="545"/>
      <c r="NOJ35" s="545"/>
      <c r="NOK35" s="545"/>
      <c r="NOL35" s="545"/>
      <c r="NOM35" s="545"/>
      <c r="NON35" s="545"/>
      <c r="NOO35" s="545"/>
      <c r="NOP35" s="545"/>
      <c r="NOQ35" s="545"/>
      <c r="NOR35" s="545"/>
      <c r="NOS35" s="545"/>
      <c r="NOT35" s="545"/>
      <c r="NOU35" s="545"/>
      <c r="NOV35" s="545"/>
      <c r="NOW35" s="545"/>
      <c r="NOX35" s="545"/>
      <c r="NOY35" s="545"/>
      <c r="NOZ35" s="545"/>
      <c r="NPA35" s="545"/>
      <c r="NPB35" s="545"/>
      <c r="NPC35" s="545"/>
      <c r="NPD35" s="545"/>
      <c r="NPE35" s="545"/>
      <c r="NPF35" s="545"/>
      <c r="NPG35" s="545"/>
      <c r="NPH35" s="545"/>
      <c r="NPI35" s="545"/>
      <c r="NPJ35" s="545"/>
      <c r="NPK35" s="545"/>
      <c r="NPL35" s="545"/>
      <c r="NPM35" s="545"/>
      <c r="NPN35" s="545"/>
      <c r="NPO35" s="545"/>
      <c r="NPP35" s="545"/>
      <c r="NPQ35" s="545"/>
      <c r="NPR35" s="545"/>
      <c r="NPS35" s="545"/>
      <c r="NPT35" s="545"/>
      <c r="NPU35" s="545"/>
      <c r="NPV35" s="545"/>
      <c r="NPW35" s="545"/>
      <c r="NPX35" s="545"/>
      <c r="NPY35" s="545"/>
      <c r="NPZ35" s="545"/>
      <c r="NQA35" s="545"/>
      <c r="NQB35" s="545"/>
      <c r="NQC35" s="545"/>
      <c r="NQD35" s="545"/>
      <c r="NQE35" s="545"/>
      <c r="NQF35" s="545"/>
      <c r="NQG35" s="545"/>
      <c r="NQH35" s="545"/>
      <c r="NQI35" s="545"/>
      <c r="NQJ35" s="545"/>
      <c r="NQK35" s="545"/>
      <c r="NQL35" s="545"/>
      <c r="NQM35" s="545"/>
      <c r="NQN35" s="545"/>
      <c r="NQO35" s="545"/>
      <c r="NQP35" s="545"/>
      <c r="NQQ35" s="545"/>
      <c r="NQR35" s="545"/>
      <c r="NQS35" s="545"/>
      <c r="NQT35" s="545"/>
      <c r="NQU35" s="545"/>
      <c r="NQV35" s="545"/>
      <c r="NQW35" s="545"/>
      <c r="NQX35" s="545"/>
      <c r="NQY35" s="545"/>
      <c r="NQZ35" s="545"/>
      <c r="NRA35" s="545"/>
      <c r="NRB35" s="545"/>
      <c r="NRC35" s="545"/>
      <c r="NRD35" s="545"/>
      <c r="NRE35" s="545"/>
      <c r="NRF35" s="545"/>
      <c r="NRG35" s="545"/>
      <c r="NRH35" s="545"/>
      <c r="NRI35" s="545"/>
      <c r="NRJ35" s="545"/>
      <c r="NRK35" s="545"/>
      <c r="NRL35" s="545"/>
      <c r="NRM35" s="545"/>
      <c r="NRN35" s="545"/>
      <c r="NRO35" s="545"/>
      <c r="NRP35" s="545"/>
      <c r="NRQ35" s="545"/>
      <c r="NRR35" s="545"/>
      <c r="NRS35" s="545"/>
      <c r="NRT35" s="545"/>
      <c r="NRU35" s="545"/>
      <c r="NRV35" s="545"/>
      <c r="NRW35" s="545"/>
      <c r="NRX35" s="545"/>
      <c r="NRY35" s="545"/>
      <c r="NRZ35" s="545"/>
      <c r="NSA35" s="545"/>
      <c r="NSB35" s="545"/>
      <c r="NSC35" s="545"/>
      <c r="NSD35" s="545"/>
      <c r="NSE35" s="545"/>
      <c r="NSF35" s="545"/>
      <c r="NSG35" s="545"/>
      <c r="NSH35" s="545"/>
      <c r="NSI35" s="545"/>
      <c r="NSJ35" s="545"/>
      <c r="NSK35" s="545"/>
      <c r="NSL35" s="545"/>
      <c r="NSM35" s="545"/>
      <c r="NSN35" s="545"/>
      <c r="NSO35" s="545"/>
      <c r="NSP35" s="545"/>
      <c r="NSQ35" s="545"/>
      <c r="NSR35" s="545"/>
      <c r="NSS35" s="545"/>
      <c r="NST35" s="545"/>
      <c r="NSU35" s="545"/>
      <c r="NSV35" s="545"/>
      <c r="NSW35" s="545"/>
      <c r="NSX35" s="545"/>
      <c r="NSY35" s="545"/>
      <c r="NSZ35" s="545"/>
      <c r="NTA35" s="545"/>
      <c r="NTB35" s="545"/>
      <c r="NTC35" s="545"/>
      <c r="NTD35" s="545"/>
      <c r="NTE35" s="545"/>
      <c r="NTF35" s="545"/>
      <c r="NTG35" s="545"/>
      <c r="NTH35" s="545"/>
      <c r="NTI35" s="545"/>
      <c r="NTJ35" s="545"/>
      <c r="NTK35" s="545"/>
      <c r="NTL35" s="545"/>
      <c r="NTM35" s="545"/>
      <c r="NTN35" s="545"/>
      <c r="NTO35" s="545"/>
      <c r="NTP35" s="545"/>
      <c r="NTQ35" s="545"/>
      <c r="NTR35" s="545"/>
      <c r="NTS35" s="545"/>
      <c r="NTT35" s="545"/>
      <c r="NTU35" s="545"/>
      <c r="NTV35" s="545"/>
      <c r="NTW35" s="545"/>
      <c r="NTX35" s="545"/>
      <c r="NTY35" s="545"/>
      <c r="NTZ35" s="545"/>
      <c r="NUA35" s="545"/>
      <c r="NUB35" s="545"/>
      <c r="NUC35" s="545"/>
      <c r="NUD35" s="545"/>
      <c r="NUE35" s="545"/>
      <c r="NUF35" s="545"/>
      <c r="NUG35" s="545"/>
      <c r="NUH35" s="545"/>
      <c r="NUI35" s="545"/>
      <c r="NUJ35" s="545"/>
      <c r="NUK35" s="545"/>
      <c r="NUL35" s="545"/>
      <c r="NUM35" s="545"/>
      <c r="NUN35" s="545"/>
      <c r="NUO35" s="545"/>
      <c r="NUP35" s="545"/>
      <c r="NUQ35" s="545"/>
      <c r="NUR35" s="545"/>
      <c r="NUS35" s="545"/>
      <c r="NUT35" s="545"/>
      <c r="NUU35" s="545"/>
      <c r="NUV35" s="545"/>
      <c r="NUW35" s="545"/>
      <c r="NUX35" s="545"/>
      <c r="NUY35" s="545"/>
      <c r="NUZ35" s="545"/>
      <c r="NVA35" s="545"/>
      <c r="NVB35" s="545"/>
      <c r="NVC35" s="545"/>
      <c r="NVD35" s="545"/>
      <c r="NVE35" s="545"/>
      <c r="NVF35" s="545"/>
      <c r="NVG35" s="545"/>
      <c r="NVH35" s="545"/>
      <c r="NVI35" s="545"/>
      <c r="NVJ35" s="545"/>
      <c r="NVK35" s="545"/>
      <c r="NVL35" s="545"/>
      <c r="NVM35" s="545"/>
      <c r="NVN35" s="545"/>
      <c r="NVO35" s="545"/>
      <c r="NVP35" s="545"/>
      <c r="NVQ35" s="545"/>
      <c r="NVR35" s="545"/>
      <c r="NVS35" s="545"/>
      <c r="NVT35" s="545"/>
      <c r="NVU35" s="545"/>
      <c r="NVV35" s="545"/>
      <c r="NVW35" s="545"/>
      <c r="NVX35" s="545"/>
      <c r="NVY35" s="545"/>
      <c r="NVZ35" s="545"/>
      <c r="NWA35" s="545"/>
      <c r="NWB35" s="545"/>
      <c r="NWC35" s="545"/>
      <c r="NWD35" s="545"/>
      <c r="NWE35" s="545"/>
      <c r="NWF35" s="545"/>
      <c r="NWG35" s="545"/>
      <c r="NWH35" s="545"/>
      <c r="NWI35" s="545"/>
      <c r="NWJ35" s="545"/>
      <c r="NWK35" s="545"/>
      <c r="NWL35" s="545"/>
      <c r="NWM35" s="545"/>
      <c r="NWN35" s="545"/>
      <c r="NWO35" s="545"/>
      <c r="NWP35" s="545"/>
      <c r="NWQ35" s="545"/>
      <c r="NWR35" s="545"/>
      <c r="NWS35" s="545"/>
      <c r="NWT35" s="545"/>
      <c r="NWU35" s="545"/>
      <c r="NWV35" s="545"/>
      <c r="NWW35" s="545"/>
      <c r="NWX35" s="545"/>
      <c r="NWY35" s="545"/>
      <c r="NWZ35" s="545"/>
      <c r="NXA35" s="545"/>
      <c r="NXB35" s="545"/>
      <c r="NXC35" s="545"/>
      <c r="NXD35" s="545"/>
      <c r="NXE35" s="545"/>
      <c r="NXF35" s="545"/>
      <c r="NXG35" s="545"/>
      <c r="NXH35" s="545"/>
      <c r="NXI35" s="545"/>
      <c r="NXJ35" s="545"/>
      <c r="NXK35" s="545"/>
      <c r="NXL35" s="545"/>
      <c r="NXM35" s="545"/>
      <c r="NXN35" s="545"/>
      <c r="NXO35" s="545"/>
      <c r="NXP35" s="545"/>
      <c r="NXQ35" s="545"/>
      <c r="NXR35" s="545"/>
      <c r="NXS35" s="545"/>
      <c r="NXT35" s="545"/>
      <c r="NXU35" s="545"/>
      <c r="NXV35" s="545"/>
      <c r="NXW35" s="545"/>
      <c r="NXX35" s="545"/>
      <c r="NXY35" s="545"/>
      <c r="NXZ35" s="545"/>
      <c r="NYA35" s="545"/>
      <c r="NYB35" s="545"/>
      <c r="NYC35" s="545"/>
      <c r="NYD35" s="545"/>
      <c r="NYE35" s="545"/>
      <c r="NYF35" s="545"/>
      <c r="NYG35" s="545"/>
      <c r="NYH35" s="545"/>
      <c r="NYI35" s="545"/>
      <c r="NYJ35" s="545"/>
      <c r="NYK35" s="545"/>
      <c r="NYL35" s="545"/>
      <c r="NYM35" s="545"/>
      <c r="NYN35" s="545"/>
      <c r="NYO35" s="545"/>
      <c r="NYP35" s="545"/>
      <c r="NYQ35" s="545"/>
      <c r="NYR35" s="545"/>
      <c r="NYS35" s="545"/>
      <c r="NYT35" s="545"/>
      <c r="NYU35" s="545"/>
      <c r="NYV35" s="545"/>
      <c r="NYW35" s="545"/>
      <c r="NYX35" s="545"/>
      <c r="NYY35" s="545"/>
      <c r="NYZ35" s="545"/>
      <c r="NZA35" s="545"/>
      <c r="NZB35" s="545"/>
      <c r="NZC35" s="545"/>
      <c r="NZD35" s="545"/>
      <c r="NZE35" s="545"/>
      <c r="NZF35" s="545"/>
      <c r="NZG35" s="545"/>
      <c r="NZH35" s="545"/>
      <c r="NZI35" s="545"/>
      <c r="NZJ35" s="545"/>
      <c r="NZK35" s="545"/>
      <c r="NZL35" s="545"/>
      <c r="NZM35" s="545"/>
      <c r="NZN35" s="545"/>
      <c r="NZO35" s="545"/>
      <c r="NZP35" s="545"/>
      <c r="NZQ35" s="545"/>
      <c r="NZR35" s="545"/>
      <c r="NZS35" s="545"/>
      <c r="NZT35" s="545"/>
      <c r="NZU35" s="545"/>
      <c r="NZV35" s="545"/>
      <c r="NZW35" s="545"/>
      <c r="NZX35" s="545"/>
      <c r="NZY35" s="545"/>
      <c r="NZZ35" s="545"/>
      <c r="OAA35" s="545"/>
      <c r="OAB35" s="545"/>
      <c r="OAC35" s="545"/>
      <c r="OAD35" s="545"/>
      <c r="OAE35" s="545"/>
      <c r="OAF35" s="545"/>
      <c r="OAG35" s="545"/>
      <c r="OAH35" s="545"/>
      <c r="OAI35" s="545"/>
      <c r="OAJ35" s="545"/>
      <c r="OAK35" s="545"/>
      <c r="OAL35" s="545"/>
      <c r="OAM35" s="545"/>
      <c r="OAN35" s="545"/>
      <c r="OAO35" s="545"/>
      <c r="OAP35" s="545"/>
      <c r="OAQ35" s="545"/>
      <c r="OAR35" s="545"/>
      <c r="OAS35" s="545"/>
      <c r="OAT35" s="545"/>
      <c r="OAU35" s="545"/>
      <c r="OAV35" s="545"/>
      <c r="OAW35" s="545"/>
      <c r="OAX35" s="545"/>
      <c r="OAY35" s="545"/>
      <c r="OAZ35" s="545"/>
      <c r="OBA35" s="545"/>
      <c r="OBB35" s="545"/>
      <c r="OBC35" s="545"/>
      <c r="OBD35" s="545"/>
      <c r="OBE35" s="545"/>
      <c r="OBF35" s="545"/>
      <c r="OBG35" s="545"/>
      <c r="OBH35" s="545"/>
      <c r="OBI35" s="545"/>
      <c r="OBJ35" s="545"/>
      <c r="OBK35" s="545"/>
      <c r="OBL35" s="545"/>
      <c r="OBM35" s="545"/>
      <c r="OBN35" s="545"/>
      <c r="OBO35" s="545"/>
      <c r="OBP35" s="545"/>
      <c r="OBQ35" s="545"/>
      <c r="OBR35" s="545"/>
      <c r="OBS35" s="545"/>
      <c r="OBT35" s="545"/>
      <c r="OBU35" s="545"/>
      <c r="OBV35" s="545"/>
      <c r="OBW35" s="545"/>
      <c r="OBX35" s="545"/>
      <c r="OBY35" s="545"/>
      <c r="OBZ35" s="545"/>
      <c r="OCA35" s="545"/>
      <c r="OCB35" s="545"/>
      <c r="OCC35" s="545"/>
      <c r="OCD35" s="545"/>
      <c r="OCE35" s="545"/>
      <c r="OCF35" s="545"/>
      <c r="OCG35" s="545"/>
      <c r="OCH35" s="545"/>
      <c r="OCI35" s="545"/>
      <c r="OCJ35" s="545"/>
      <c r="OCK35" s="545"/>
      <c r="OCL35" s="545"/>
      <c r="OCM35" s="545"/>
      <c r="OCN35" s="545"/>
      <c r="OCO35" s="545"/>
      <c r="OCP35" s="545"/>
      <c r="OCQ35" s="545"/>
      <c r="OCR35" s="545"/>
      <c r="OCS35" s="545"/>
      <c r="OCT35" s="545"/>
      <c r="OCU35" s="545"/>
      <c r="OCV35" s="545"/>
      <c r="OCW35" s="545"/>
      <c r="OCX35" s="545"/>
      <c r="OCY35" s="545"/>
      <c r="OCZ35" s="545"/>
      <c r="ODA35" s="545"/>
      <c r="ODB35" s="545"/>
      <c r="ODC35" s="545"/>
      <c r="ODD35" s="545"/>
      <c r="ODE35" s="545"/>
      <c r="ODF35" s="545"/>
      <c r="ODG35" s="545"/>
      <c r="ODH35" s="545"/>
      <c r="ODI35" s="545"/>
      <c r="ODJ35" s="545"/>
      <c r="ODK35" s="545"/>
      <c r="ODL35" s="545"/>
      <c r="ODM35" s="545"/>
      <c r="ODN35" s="545"/>
      <c r="ODO35" s="545"/>
      <c r="ODP35" s="545"/>
      <c r="ODQ35" s="545"/>
      <c r="ODR35" s="545"/>
      <c r="ODS35" s="545"/>
      <c r="ODT35" s="545"/>
      <c r="ODU35" s="545"/>
      <c r="ODV35" s="545"/>
      <c r="ODW35" s="545"/>
      <c r="ODX35" s="545"/>
      <c r="ODY35" s="545"/>
      <c r="ODZ35" s="545"/>
      <c r="OEA35" s="545"/>
      <c r="OEB35" s="545"/>
      <c r="OEC35" s="545"/>
      <c r="OED35" s="545"/>
      <c r="OEE35" s="545"/>
      <c r="OEF35" s="545"/>
      <c r="OEG35" s="545"/>
      <c r="OEH35" s="545"/>
      <c r="OEI35" s="545"/>
      <c r="OEJ35" s="545"/>
      <c r="OEK35" s="545"/>
      <c r="OEL35" s="545"/>
      <c r="OEM35" s="545"/>
      <c r="OEN35" s="545"/>
      <c r="OEO35" s="545"/>
      <c r="OEP35" s="545"/>
      <c r="OEQ35" s="545"/>
      <c r="OER35" s="545"/>
      <c r="OES35" s="545"/>
      <c r="OET35" s="545"/>
      <c r="OEU35" s="545"/>
      <c r="OEV35" s="545"/>
      <c r="OEW35" s="545"/>
      <c r="OEX35" s="545"/>
      <c r="OEY35" s="545"/>
      <c r="OEZ35" s="545"/>
      <c r="OFA35" s="545"/>
      <c r="OFB35" s="545"/>
      <c r="OFC35" s="545"/>
      <c r="OFD35" s="545"/>
      <c r="OFE35" s="545"/>
      <c r="OFF35" s="545"/>
      <c r="OFG35" s="545"/>
      <c r="OFH35" s="545"/>
      <c r="OFI35" s="545"/>
      <c r="OFJ35" s="545"/>
      <c r="OFK35" s="545"/>
      <c r="OFL35" s="545"/>
      <c r="OFM35" s="545"/>
      <c r="OFN35" s="545"/>
      <c r="OFO35" s="545"/>
      <c r="OFP35" s="545"/>
      <c r="OFQ35" s="545"/>
      <c r="OFR35" s="545"/>
      <c r="OFS35" s="545"/>
      <c r="OFT35" s="545"/>
      <c r="OFU35" s="545"/>
      <c r="OFV35" s="545"/>
      <c r="OFW35" s="545"/>
      <c r="OFX35" s="545"/>
      <c r="OFY35" s="545"/>
      <c r="OFZ35" s="545"/>
      <c r="OGA35" s="545"/>
      <c r="OGB35" s="545"/>
      <c r="OGC35" s="545"/>
      <c r="OGD35" s="545"/>
      <c r="OGE35" s="545"/>
      <c r="OGF35" s="545"/>
      <c r="OGG35" s="545"/>
      <c r="OGH35" s="545"/>
      <c r="OGI35" s="545"/>
      <c r="OGJ35" s="545"/>
      <c r="OGK35" s="545"/>
      <c r="OGL35" s="545"/>
      <c r="OGM35" s="545"/>
      <c r="OGN35" s="545"/>
      <c r="OGO35" s="545"/>
      <c r="OGP35" s="545"/>
      <c r="OGQ35" s="545"/>
      <c r="OGR35" s="545"/>
      <c r="OGS35" s="545"/>
      <c r="OGT35" s="545"/>
      <c r="OGU35" s="545"/>
      <c r="OGV35" s="545"/>
      <c r="OGW35" s="545"/>
      <c r="OGX35" s="545"/>
      <c r="OGY35" s="545"/>
      <c r="OGZ35" s="545"/>
      <c r="OHA35" s="545"/>
      <c r="OHB35" s="545"/>
      <c r="OHC35" s="545"/>
      <c r="OHD35" s="545"/>
      <c r="OHE35" s="545"/>
      <c r="OHF35" s="545"/>
      <c r="OHG35" s="545"/>
      <c r="OHH35" s="545"/>
      <c r="OHI35" s="545"/>
      <c r="OHJ35" s="545"/>
      <c r="OHK35" s="545"/>
      <c r="OHL35" s="545"/>
      <c r="OHM35" s="545"/>
      <c r="OHN35" s="545"/>
      <c r="OHO35" s="545"/>
      <c r="OHP35" s="545"/>
      <c r="OHQ35" s="545"/>
      <c r="OHR35" s="545"/>
      <c r="OHS35" s="545"/>
      <c r="OHT35" s="545"/>
      <c r="OHU35" s="545"/>
      <c r="OHV35" s="545"/>
      <c r="OHW35" s="545"/>
      <c r="OHX35" s="545"/>
      <c r="OHY35" s="545"/>
      <c r="OHZ35" s="545"/>
      <c r="OIA35" s="545"/>
      <c r="OIB35" s="545"/>
      <c r="OIC35" s="545"/>
      <c r="OID35" s="545"/>
      <c r="OIE35" s="545"/>
      <c r="OIF35" s="545"/>
      <c r="OIG35" s="545"/>
      <c r="OIH35" s="545"/>
      <c r="OII35" s="545"/>
      <c r="OIJ35" s="545"/>
      <c r="OIK35" s="545"/>
      <c r="OIL35" s="545"/>
      <c r="OIM35" s="545"/>
      <c r="OIN35" s="545"/>
      <c r="OIO35" s="545"/>
      <c r="OIP35" s="545"/>
      <c r="OIQ35" s="545"/>
      <c r="OIR35" s="545"/>
      <c r="OIS35" s="545"/>
      <c r="OIT35" s="545"/>
      <c r="OIU35" s="545"/>
      <c r="OIV35" s="545"/>
      <c r="OIW35" s="545"/>
      <c r="OIX35" s="545"/>
      <c r="OIY35" s="545"/>
      <c r="OIZ35" s="545"/>
      <c r="OJA35" s="545"/>
      <c r="OJB35" s="545"/>
      <c r="OJC35" s="545"/>
      <c r="OJD35" s="545"/>
      <c r="OJE35" s="545"/>
      <c r="OJF35" s="545"/>
      <c r="OJG35" s="545"/>
      <c r="OJH35" s="545"/>
      <c r="OJI35" s="545"/>
      <c r="OJJ35" s="545"/>
      <c r="OJK35" s="545"/>
      <c r="OJL35" s="545"/>
      <c r="OJM35" s="545"/>
      <c r="OJN35" s="545"/>
      <c r="OJO35" s="545"/>
      <c r="OJP35" s="545"/>
      <c r="OJQ35" s="545"/>
      <c r="OJR35" s="545"/>
      <c r="OJS35" s="545"/>
      <c r="OJT35" s="545"/>
      <c r="OJU35" s="545"/>
      <c r="OJV35" s="545"/>
      <c r="OJW35" s="545"/>
      <c r="OJX35" s="545"/>
      <c r="OJY35" s="545"/>
      <c r="OJZ35" s="545"/>
      <c r="OKA35" s="545"/>
      <c r="OKB35" s="545"/>
      <c r="OKC35" s="545"/>
      <c r="OKD35" s="545"/>
      <c r="OKE35" s="545"/>
      <c r="OKF35" s="545"/>
      <c r="OKG35" s="545"/>
      <c r="OKH35" s="545"/>
      <c r="OKI35" s="545"/>
      <c r="OKJ35" s="545"/>
      <c r="OKK35" s="545"/>
      <c r="OKL35" s="545"/>
      <c r="OKM35" s="545"/>
      <c r="OKN35" s="545"/>
      <c r="OKO35" s="545"/>
      <c r="OKP35" s="545"/>
      <c r="OKQ35" s="545"/>
      <c r="OKR35" s="545"/>
      <c r="OKS35" s="545"/>
      <c r="OKT35" s="545"/>
      <c r="OKU35" s="545"/>
      <c r="OKV35" s="545"/>
      <c r="OKW35" s="545"/>
      <c r="OKX35" s="545"/>
      <c r="OKY35" s="545"/>
      <c r="OKZ35" s="545"/>
      <c r="OLA35" s="545"/>
      <c r="OLB35" s="545"/>
      <c r="OLC35" s="545"/>
      <c r="OLD35" s="545"/>
      <c r="OLE35" s="545"/>
      <c r="OLF35" s="545"/>
      <c r="OLG35" s="545"/>
      <c r="OLH35" s="545"/>
      <c r="OLI35" s="545"/>
      <c r="OLJ35" s="545"/>
      <c r="OLK35" s="545"/>
      <c r="OLL35" s="545"/>
      <c r="OLM35" s="545"/>
      <c r="OLN35" s="545"/>
      <c r="OLO35" s="545"/>
      <c r="OLP35" s="545"/>
      <c r="OLQ35" s="545"/>
      <c r="OLR35" s="545"/>
      <c r="OLS35" s="545"/>
      <c r="OLT35" s="545"/>
      <c r="OLU35" s="545"/>
      <c r="OLV35" s="545"/>
      <c r="OLW35" s="545"/>
      <c r="OLX35" s="545"/>
      <c r="OLY35" s="545"/>
      <c r="OLZ35" s="545"/>
      <c r="OMA35" s="545"/>
      <c r="OMB35" s="545"/>
      <c r="OMC35" s="545"/>
      <c r="OMD35" s="545"/>
      <c r="OME35" s="545"/>
      <c r="OMF35" s="545"/>
      <c r="OMG35" s="545"/>
      <c r="OMH35" s="545"/>
      <c r="OMI35" s="545"/>
      <c r="OMJ35" s="545"/>
      <c r="OMK35" s="545"/>
      <c r="OML35" s="545"/>
      <c r="OMM35" s="545"/>
      <c r="OMN35" s="545"/>
      <c r="OMO35" s="545"/>
      <c r="OMP35" s="545"/>
      <c r="OMQ35" s="545"/>
      <c r="OMR35" s="545"/>
      <c r="OMS35" s="545"/>
      <c r="OMT35" s="545"/>
      <c r="OMU35" s="545"/>
      <c r="OMV35" s="545"/>
      <c r="OMW35" s="545"/>
      <c r="OMX35" s="545"/>
      <c r="OMY35" s="545"/>
      <c r="OMZ35" s="545"/>
      <c r="ONA35" s="545"/>
      <c r="ONB35" s="545"/>
      <c r="ONC35" s="545"/>
      <c r="OND35" s="545"/>
      <c r="ONE35" s="545"/>
      <c r="ONF35" s="545"/>
      <c r="ONG35" s="545"/>
      <c r="ONH35" s="545"/>
      <c r="ONI35" s="545"/>
      <c r="ONJ35" s="545"/>
      <c r="ONK35" s="545"/>
      <c r="ONL35" s="545"/>
      <c r="ONM35" s="545"/>
      <c r="ONN35" s="545"/>
      <c r="ONO35" s="545"/>
      <c r="ONP35" s="545"/>
      <c r="ONQ35" s="545"/>
      <c r="ONR35" s="545"/>
      <c r="ONS35" s="545"/>
      <c r="ONT35" s="545"/>
      <c r="ONU35" s="545"/>
      <c r="ONV35" s="545"/>
      <c r="ONW35" s="545"/>
      <c r="ONX35" s="545"/>
      <c r="ONY35" s="545"/>
      <c r="ONZ35" s="545"/>
      <c r="OOA35" s="545"/>
      <c r="OOB35" s="545"/>
      <c r="OOC35" s="545"/>
      <c r="OOD35" s="545"/>
      <c r="OOE35" s="545"/>
      <c r="OOF35" s="545"/>
      <c r="OOG35" s="545"/>
      <c r="OOH35" s="545"/>
      <c r="OOI35" s="545"/>
      <c r="OOJ35" s="545"/>
      <c r="OOK35" s="545"/>
      <c r="OOL35" s="545"/>
      <c r="OOM35" s="545"/>
      <c r="OON35" s="545"/>
      <c r="OOO35" s="545"/>
      <c r="OOP35" s="545"/>
      <c r="OOQ35" s="545"/>
      <c r="OOR35" s="545"/>
      <c r="OOS35" s="545"/>
      <c r="OOT35" s="545"/>
      <c r="OOU35" s="545"/>
      <c r="OOV35" s="545"/>
      <c r="OOW35" s="545"/>
      <c r="OOX35" s="545"/>
      <c r="OOY35" s="545"/>
      <c r="OOZ35" s="545"/>
      <c r="OPA35" s="545"/>
      <c r="OPB35" s="545"/>
      <c r="OPC35" s="545"/>
      <c r="OPD35" s="545"/>
      <c r="OPE35" s="545"/>
      <c r="OPF35" s="545"/>
      <c r="OPG35" s="545"/>
      <c r="OPH35" s="545"/>
      <c r="OPI35" s="545"/>
      <c r="OPJ35" s="545"/>
      <c r="OPK35" s="545"/>
      <c r="OPL35" s="545"/>
      <c r="OPM35" s="545"/>
      <c r="OPN35" s="545"/>
      <c r="OPO35" s="545"/>
      <c r="OPP35" s="545"/>
      <c r="OPQ35" s="545"/>
      <c r="OPR35" s="545"/>
      <c r="OPS35" s="545"/>
      <c r="OPT35" s="545"/>
      <c r="OPU35" s="545"/>
      <c r="OPV35" s="545"/>
      <c r="OPW35" s="545"/>
      <c r="OPX35" s="545"/>
      <c r="OPY35" s="545"/>
      <c r="OPZ35" s="545"/>
      <c r="OQA35" s="545"/>
      <c r="OQB35" s="545"/>
      <c r="OQC35" s="545"/>
      <c r="OQD35" s="545"/>
      <c r="OQE35" s="545"/>
      <c r="OQF35" s="545"/>
      <c r="OQG35" s="545"/>
      <c r="OQH35" s="545"/>
      <c r="OQI35" s="545"/>
      <c r="OQJ35" s="545"/>
      <c r="OQK35" s="545"/>
      <c r="OQL35" s="545"/>
      <c r="OQM35" s="545"/>
      <c r="OQN35" s="545"/>
      <c r="OQO35" s="545"/>
      <c r="OQP35" s="545"/>
      <c r="OQQ35" s="545"/>
      <c r="OQR35" s="545"/>
      <c r="OQS35" s="545"/>
      <c r="OQT35" s="545"/>
      <c r="OQU35" s="545"/>
      <c r="OQV35" s="545"/>
      <c r="OQW35" s="545"/>
      <c r="OQX35" s="545"/>
      <c r="OQY35" s="545"/>
      <c r="OQZ35" s="545"/>
      <c r="ORA35" s="545"/>
      <c r="ORB35" s="545"/>
      <c r="ORC35" s="545"/>
      <c r="ORD35" s="545"/>
      <c r="ORE35" s="545"/>
      <c r="ORF35" s="545"/>
      <c r="ORG35" s="545"/>
      <c r="ORH35" s="545"/>
      <c r="ORI35" s="545"/>
      <c r="ORJ35" s="545"/>
      <c r="ORK35" s="545"/>
      <c r="ORL35" s="545"/>
      <c r="ORM35" s="545"/>
      <c r="ORN35" s="545"/>
      <c r="ORO35" s="545"/>
      <c r="ORP35" s="545"/>
      <c r="ORQ35" s="545"/>
      <c r="ORR35" s="545"/>
      <c r="ORS35" s="545"/>
      <c r="ORT35" s="545"/>
      <c r="ORU35" s="545"/>
      <c r="ORV35" s="545"/>
      <c r="ORW35" s="545"/>
      <c r="ORX35" s="545"/>
      <c r="ORY35" s="545"/>
      <c r="ORZ35" s="545"/>
      <c r="OSA35" s="545"/>
      <c r="OSB35" s="545"/>
      <c r="OSC35" s="545"/>
      <c r="OSD35" s="545"/>
      <c r="OSE35" s="545"/>
      <c r="OSF35" s="545"/>
      <c r="OSG35" s="545"/>
      <c r="OSH35" s="545"/>
      <c r="OSI35" s="545"/>
      <c r="OSJ35" s="545"/>
      <c r="OSK35" s="545"/>
      <c r="OSL35" s="545"/>
      <c r="OSM35" s="545"/>
      <c r="OSN35" s="545"/>
      <c r="OSO35" s="545"/>
      <c r="OSP35" s="545"/>
      <c r="OSQ35" s="545"/>
      <c r="OSR35" s="545"/>
      <c r="OSS35" s="545"/>
      <c r="OST35" s="545"/>
      <c r="OSU35" s="545"/>
      <c r="OSV35" s="545"/>
      <c r="OSW35" s="545"/>
      <c r="OSX35" s="545"/>
      <c r="OSY35" s="545"/>
      <c r="OSZ35" s="545"/>
      <c r="OTA35" s="545"/>
      <c r="OTB35" s="545"/>
      <c r="OTC35" s="545"/>
      <c r="OTD35" s="545"/>
      <c r="OTE35" s="545"/>
      <c r="OTF35" s="545"/>
      <c r="OTG35" s="545"/>
      <c r="OTH35" s="545"/>
      <c r="OTI35" s="545"/>
      <c r="OTJ35" s="545"/>
      <c r="OTK35" s="545"/>
      <c r="OTL35" s="545"/>
      <c r="OTM35" s="545"/>
      <c r="OTN35" s="545"/>
      <c r="OTO35" s="545"/>
      <c r="OTP35" s="545"/>
      <c r="OTQ35" s="545"/>
      <c r="OTR35" s="545"/>
      <c r="OTS35" s="545"/>
      <c r="OTT35" s="545"/>
      <c r="OTU35" s="545"/>
      <c r="OTV35" s="545"/>
      <c r="OTW35" s="545"/>
      <c r="OTX35" s="545"/>
      <c r="OTY35" s="545"/>
      <c r="OTZ35" s="545"/>
      <c r="OUA35" s="545"/>
      <c r="OUB35" s="545"/>
      <c r="OUC35" s="545"/>
      <c r="OUD35" s="545"/>
      <c r="OUE35" s="545"/>
      <c r="OUF35" s="545"/>
      <c r="OUG35" s="545"/>
      <c r="OUH35" s="545"/>
      <c r="OUI35" s="545"/>
      <c r="OUJ35" s="545"/>
      <c r="OUK35" s="545"/>
      <c r="OUL35" s="545"/>
      <c r="OUM35" s="545"/>
      <c r="OUN35" s="545"/>
      <c r="OUO35" s="545"/>
      <c r="OUP35" s="545"/>
      <c r="OUQ35" s="545"/>
      <c r="OUR35" s="545"/>
      <c r="OUS35" s="545"/>
      <c r="OUT35" s="545"/>
      <c r="OUU35" s="545"/>
      <c r="OUV35" s="545"/>
      <c r="OUW35" s="545"/>
      <c r="OUX35" s="545"/>
      <c r="OUY35" s="545"/>
      <c r="OUZ35" s="545"/>
      <c r="OVA35" s="545"/>
      <c r="OVB35" s="545"/>
      <c r="OVC35" s="545"/>
      <c r="OVD35" s="545"/>
      <c r="OVE35" s="545"/>
      <c r="OVF35" s="545"/>
      <c r="OVG35" s="545"/>
      <c r="OVH35" s="545"/>
      <c r="OVI35" s="545"/>
      <c r="OVJ35" s="545"/>
      <c r="OVK35" s="545"/>
      <c r="OVL35" s="545"/>
      <c r="OVM35" s="545"/>
      <c r="OVN35" s="545"/>
      <c r="OVO35" s="545"/>
      <c r="OVP35" s="545"/>
      <c r="OVQ35" s="545"/>
      <c r="OVR35" s="545"/>
      <c r="OVS35" s="545"/>
      <c r="OVT35" s="545"/>
      <c r="OVU35" s="545"/>
      <c r="OVV35" s="545"/>
      <c r="OVW35" s="545"/>
      <c r="OVX35" s="545"/>
      <c r="OVY35" s="545"/>
      <c r="OVZ35" s="545"/>
      <c r="OWA35" s="545"/>
      <c r="OWB35" s="545"/>
      <c r="OWC35" s="545"/>
      <c r="OWD35" s="545"/>
      <c r="OWE35" s="545"/>
      <c r="OWF35" s="545"/>
      <c r="OWG35" s="545"/>
      <c r="OWH35" s="545"/>
      <c r="OWI35" s="545"/>
      <c r="OWJ35" s="545"/>
      <c r="OWK35" s="545"/>
      <c r="OWL35" s="545"/>
      <c r="OWM35" s="545"/>
      <c r="OWN35" s="545"/>
      <c r="OWO35" s="545"/>
      <c r="OWP35" s="545"/>
      <c r="OWQ35" s="545"/>
      <c r="OWR35" s="545"/>
      <c r="OWS35" s="545"/>
      <c r="OWT35" s="545"/>
      <c r="OWU35" s="545"/>
      <c r="OWV35" s="545"/>
      <c r="OWW35" s="545"/>
      <c r="OWX35" s="545"/>
      <c r="OWY35" s="545"/>
      <c r="OWZ35" s="545"/>
      <c r="OXA35" s="545"/>
      <c r="OXB35" s="545"/>
      <c r="OXC35" s="545"/>
      <c r="OXD35" s="545"/>
      <c r="OXE35" s="545"/>
      <c r="OXF35" s="545"/>
      <c r="OXG35" s="545"/>
      <c r="OXH35" s="545"/>
      <c r="OXI35" s="545"/>
      <c r="OXJ35" s="545"/>
      <c r="OXK35" s="545"/>
      <c r="OXL35" s="545"/>
      <c r="OXM35" s="545"/>
      <c r="OXN35" s="545"/>
      <c r="OXO35" s="545"/>
      <c r="OXP35" s="545"/>
      <c r="OXQ35" s="545"/>
      <c r="OXR35" s="545"/>
      <c r="OXS35" s="545"/>
      <c r="OXT35" s="545"/>
      <c r="OXU35" s="545"/>
      <c r="OXV35" s="545"/>
      <c r="OXW35" s="545"/>
      <c r="OXX35" s="545"/>
      <c r="OXY35" s="545"/>
      <c r="OXZ35" s="545"/>
      <c r="OYA35" s="545"/>
      <c r="OYB35" s="545"/>
      <c r="OYC35" s="545"/>
      <c r="OYD35" s="545"/>
      <c r="OYE35" s="545"/>
      <c r="OYF35" s="545"/>
      <c r="OYG35" s="545"/>
      <c r="OYH35" s="545"/>
      <c r="OYI35" s="545"/>
      <c r="OYJ35" s="545"/>
      <c r="OYK35" s="545"/>
      <c r="OYL35" s="545"/>
      <c r="OYM35" s="545"/>
      <c r="OYN35" s="545"/>
      <c r="OYO35" s="545"/>
      <c r="OYP35" s="545"/>
      <c r="OYQ35" s="545"/>
      <c r="OYR35" s="545"/>
      <c r="OYS35" s="545"/>
      <c r="OYT35" s="545"/>
      <c r="OYU35" s="545"/>
      <c r="OYV35" s="545"/>
      <c r="OYW35" s="545"/>
      <c r="OYX35" s="545"/>
      <c r="OYY35" s="545"/>
      <c r="OYZ35" s="545"/>
      <c r="OZA35" s="545"/>
      <c r="OZB35" s="545"/>
      <c r="OZC35" s="545"/>
      <c r="OZD35" s="545"/>
      <c r="OZE35" s="545"/>
      <c r="OZF35" s="545"/>
      <c r="OZG35" s="545"/>
      <c r="OZH35" s="545"/>
      <c r="OZI35" s="545"/>
      <c r="OZJ35" s="545"/>
      <c r="OZK35" s="545"/>
      <c r="OZL35" s="545"/>
      <c r="OZM35" s="545"/>
      <c r="OZN35" s="545"/>
      <c r="OZO35" s="545"/>
      <c r="OZP35" s="545"/>
      <c r="OZQ35" s="545"/>
      <c r="OZR35" s="545"/>
      <c r="OZS35" s="545"/>
      <c r="OZT35" s="545"/>
      <c r="OZU35" s="545"/>
      <c r="OZV35" s="545"/>
      <c r="OZW35" s="545"/>
      <c r="OZX35" s="545"/>
      <c r="OZY35" s="545"/>
      <c r="OZZ35" s="545"/>
      <c r="PAA35" s="545"/>
      <c r="PAB35" s="545"/>
      <c r="PAC35" s="545"/>
      <c r="PAD35" s="545"/>
      <c r="PAE35" s="545"/>
      <c r="PAF35" s="545"/>
      <c r="PAG35" s="545"/>
      <c r="PAH35" s="545"/>
      <c r="PAI35" s="545"/>
      <c r="PAJ35" s="545"/>
      <c r="PAK35" s="545"/>
      <c r="PAL35" s="545"/>
      <c r="PAM35" s="545"/>
      <c r="PAN35" s="545"/>
      <c r="PAO35" s="545"/>
      <c r="PAP35" s="545"/>
      <c r="PAQ35" s="545"/>
      <c r="PAR35" s="545"/>
      <c r="PAS35" s="545"/>
      <c r="PAT35" s="545"/>
      <c r="PAU35" s="545"/>
      <c r="PAV35" s="545"/>
      <c r="PAW35" s="545"/>
      <c r="PAX35" s="545"/>
      <c r="PAY35" s="545"/>
      <c r="PAZ35" s="545"/>
      <c r="PBA35" s="545"/>
      <c r="PBB35" s="545"/>
      <c r="PBC35" s="545"/>
      <c r="PBD35" s="545"/>
      <c r="PBE35" s="545"/>
      <c r="PBF35" s="545"/>
      <c r="PBG35" s="545"/>
      <c r="PBH35" s="545"/>
      <c r="PBI35" s="545"/>
      <c r="PBJ35" s="545"/>
      <c r="PBK35" s="545"/>
      <c r="PBL35" s="545"/>
      <c r="PBM35" s="545"/>
      <c r="PBN35" s="545"/>
      <c r="PBO35" s="545"/>
      <c r="PBP35" s="545"/>
      <c r="PBQ35" s="545"/>
      <c r="PBR35" s="545"/>
      <c r="PBS35" s="545"/>
      <c r="PBT35" s="545"/>
      <c r="PBU35" s="545"/>
      <c r="PBV35" s="545"/>
      <c r="PBW35" s="545"/>
      <c r="PBX35" s="545"/>
      <c r="PBY35" s="545"/>
      <c r="PBZ35" s="545"/>
      <c r="PCA35" s="545"/>
      <c r="PCB35" s="545"/>
      <c r="PCC35" s="545"/>
      <c r="PCD35" s="545"/>
      <c r="PCE35" s="545"/>
      <c r="PCF35" s="545"/>
      <c r="PCG35" s="545"/>
      <c r="PCH35" s="545"/>
      <c r="PCI35" s="545"/>
      <c r="PCJ35" s="545"/>
      <c r="PCK35" s="545"/>
      <c r="PCL35" s="545"/>
      <c r="PCM35" s="545"/>
      <c r="PCN35" s="545"/>
      <c r="PCO35" s="545"/>
      <c r="PCP35" s="545"/>
      <c r="PCQ35" s="545"/>
      <c r="PCR35" s="545"/>
      <c r="PCS35" s="545"/>
      <c r="PCT35" s="545"/>
      <c r="PCU35" s="545"/>
      <c r="PCV35" s="545"/>
      <c r="PCW35" s="545"/>
      <c r="PCX35" s="545"/>
      <c r="PCY35" s="545"/>
      <c r="PCZ35" s="545"/>
      <c r="PDA35" s="545"/>
      <c r="PDB35" s="545"/>
      <c r="PDC35" s="545"/>
      <c r="PDD35" s="545"/>
      <c r="PDE35" s="545"/>
      <c r="PDF35" s="545"/>
      <c r="PDG35" s="545"/>
      <c r="PDH35" s="545"/>
      <c r="PDI35" s="545"/>
      <c r="PDJ35" s="545"/>
      <c r="PDK35" s="545"/>
      <c r="PDL35" s="545"/>
      <c r="PDM35" s="545"/>
      <c r="PDN35" s="545"/>
      <c r="PDO35" s="545"/>
      <c r="PDP35" s="545"/>
      <c r="PDQ35" s="545"/>
      <c r="PDR35" s="545"/>
      <c r="PDS35" s="545"/>
      <c r="PDT35" s="545"/>
      <c r="PDU35" s="545"/>
      <c r="PDV35" s="545"/>
      <c r="PDW35" s="545"/>
      <c r="PDX35" s="545"/>
      <c r="PDY35" s="545"/>
      <c r="PDZ35" s="545"/>
      <c r="PEA35" s="545"/>
      <c r="PEB35" s="545"/>
      <c r="PEC35" s="545"/>
      <c r="PED35" s="545"/>
      <c r="PEE35" s="545"/>
      <c r="PEF35" s="545"/>
      <c r="PEG35" s="545"/>
      <c r="PEH35" s="545"/>
      <c r="PEI35" s="545"/>
      <c r="PEJ35" s="545"/>
      <c r="PEK35" s="545"/>
      <c r="PEL35" s="545"/>
      <c r="PEM35" s="545"/>
      <c r="PEN35" s="545"/>
      <c r="PEO35" s="545"/>
      <c r="PEP35" s="545"/>
      <c r="PEQ35" s="545"/>
      <c r="PER35" s="545"/>
      <c r="PES35" s="545"/>
      <c r="PET35" s="545"/>
      <c r="PEU35" s="545"/>
      <c r="PEV35" s="545"/>
      <c r="PEW35" s="545"/>
      <c r="PEX35" s="545"/>
      <c r="PEY35" s="545"/>
      <c r="PEZ35" s="545"/>
      <c r="PFA35" s="545"/>
      <c r="PFB35" s="545"/>
      <c r="PFC35" s="545"/>
      <c r="PFD35" s="545"/>
      <c r="PFE35" s="545"/>
      <c r="PFF35" s="545"/>
      <c r="PFG35" s="545"/>
      <c r="PFH35" s="545"/>
      <c r="PFI35" s="545"/>
      <c r="PFJ35" s="545"/>
      <c r="PFK35" s="545"/>
      <c r="PFL35" s="545"/>
      <c r="PFM35" s="545"/>
      <c r="PFN35" s="545"/>
      <c r="PFO35" s="545"/>
      <c r="PFP35" s="545"/>
      <c r="PFQ35" s="545"/>
      <c r="PFR35" s="545"/>
      <c r="PFS35" s="545"/>
      <c r="PFT35" s="545"/>
      <c r="PFU35" s="545"/>
      <c r="PFV35" s="545"/>
      <c r="PFW35" s="545"/>
      <c r="PFX35" s="545"/>
      <c r="PFY35" s="545"/>
      <c r="PFZ35" s="545"/>
      <c r="PGA35" s="545"/>
      <c r="PGB35" s="545"/>
      <c r="PGC35" s="545"/>
      <c r="PGD35" s="545"/>
      <c r="PGE35" s="545"/>
      <c r="PGF35" s="545"/>
      <c r="PGG35" s="545"/>
      <c r="PGH35" s="545"/>
      <c r="PGI35" s="545"/>
      <c r="PGJ35" s="545"/>
      <c r="PGK35" s="545"/>
      <c r="PGL35" s="545"/>
      <c r="PGM35" s="545"/>
      <c r="PGN35" s="545"/>
      <c r="PGO35" s="545"/>
      <c r="PGP35" s="545"/>
      <c r="PGQ35" s="545"/>
      <c r="PGR35" s="545"/>
      <c r="PGS35" s="545"/>
      <c r="PGT35" s="545"/>
      <c r="PGU35" s="545"/>
      <c r="PGV35" s="545"/>
      <c r="PGW35" s="545"/>
      <c r="PGX35" s="545"/>
      <c r="PGY35" s="545"/>
      <c r="PGZ35" s="545"/>
      <c r="PHA35" s="545"/>
      <c r="PHB35" s="545"/>
      <c r="PHC35" s="545"/>
      <c r="PHD35" s="545"/>
      <c r="PHE35" s="545"/>
      <c r="PHF35" s="545"/>
      <c r="PHG35" s="545"/>
      <c r="PHH35" s="545"/>
      <c r="PHI35" s="545"/>
      <c r="PHJ35" s="545"/>
      <c r="PHK35" s="545"/>
      <c r="PHL35" s="545"/>
      <c r="PHM35" s="545"/>
      <c r="PHN35" s="545"/>
      <c r="PHO35" s="545"/>
      <c r="PHP35" s="545"/>
      <c r="PHQ35" s="545"/>
      <c r="PHR35" s="545"/>
      <c r="PHS35" s="545"/>
      <c r="PHT35" s="545"/>
      <c r="PHU35" s="545"/>
      <c r="PHV35" s="545"/>
      <c r="PHW35" s="545"/>
      <c r="PHX35" s="545"/>
      <c r="PHY35" s="545"/>
      <c r="PHZ35" s="545"/>
      <c r="PIA35" s="545"/>
      <c r="PIB35" s="545"/>
      <c r="PIC35" s="545"/>
      <c r="PID35" s="545"/>
      <c r="PIE35" s="545"/>
      <c r="PIF35" s="545"/>
      <c r="PIG35" s="545"/>
      <c r="PIH35" s="545"/>
      <c r="PII35" s="545"/>
      <c r="PIJ35" s="545"/>
      <c r="PIK35" s="545"/>
      <c r="PIL35" s="545"/>
      <c r="PIM35" s="545"/>
      <c r="PIN35" s="545"/>
      <c r="PIO35" s="545"/>
      <c r="PIP35" s="545"/>
      <c r="PIQ35" s="545"/>
      <c r="PIR35" s="545"/>
      <c r="PIS35" s="545"/>
      <c r="PIT35" s="545"/>
      <c r="PIU35" s="545"/>
      <c r="PIV35" s="545"/>
      <c r="PIW35" s="545"/>
      <c r="PIX35" s="545"/>
      <c r="PIY35" s="545"/>
      <c r="PIZ35" s="545"/>
      <c r="PJA35" s="545"/>
      <c r="PJB35" s="545"/>
      <c r="PJC35" s="545"/>
      <c r="PJD35" s="545"/>
      <c r="PJE35" s="545"/>
      <c r="PJF35" s="545"/>
      <c r="PJG35" s="545"/>
      <c r="PJH35" s="545"/>
      <c r="PJI35" s="545"/>
      <c r="PJJ35" s="545"/>
      <c r="PJK35" s="545"/>
      <c r="PJL35" s="545"/>
      <c r="PJM35" s="545"/>
      <c r="PJN35" s="545"/>
      <c r="PJO35" s="545"/>
      <c r="PJP35" s="545"/>
      <c r="PJQ35" s="545"/>
      <c r="PJR35" s="545"/>
      <c r="PJS35" s="545"/>
      <c r="PJT35" s="545"/>
      <c r="PJU35" s="545"/>
      <c r="PJV35" s="545"/>
      <c r="PJW35" s="545"/>
      <c r="PJX35" s="545"/>
      <c r="PJY35" s="545"/>
      <c r="PJZ35" s="545"/>
      <c r="PKA35" s="545"/>
      <c r="PKB35" s="545"/>
      <c r="PKC35" s="545"/>
      <c r="PKD35" s="545"/>
      <c r="PKE35" s="545"/>
      <c r="PKF35" s="545"/>
      <c r="PKG35" s="545"/>
      <c r="PKH35" s="545"/>
      <c r="PKI35" s="545"/>
      <c r="PKJ35" s="545"/>
      <c r="PKK35" s="545"/>
      <c r="PKL35" s="545"/>
      <c r="PKM35" s="545"/>
      <c r="PKN35" s="545"/>
      <c r="PKO35" s="545"/>
      <c r="PKP35" s="545"/>
      <c r="PKQ35" s="545"/>
      <c r="PKR35" s="545"/>
      <c r="PKS35" s="545"/>
      <c r="PKT35" s="545"/>
      <c r="PKU35" s="545"/>
      <c r="PKV35" s="545"/>
      <c r="PKW35" s="545"/>
      <c r="PKX35" s="545"/>
      <c r="PKY35" s="545"/>
      <c r="PKZ35" s="545"/>
      <c r="PLA35" s="545"/>
      <c r="PLB35" s="545"/>
      <c r="PLC35" s="545"/>
      <c r="PLD35" s="545"/>
      <c r="PLE35" s="545"/>
      <c r="PLF35" s="545"/>
      <c r="PLG35" s="545"/>
      <c r="PLH35" s="545"/>
      <c r="PLI35" s="545"/>
      <c r="PLJ35" s="545"/>
      <c r="PLK35" s="545"/>
      <c r="PLL35" s="545"/>
      <c r="PLM35" s="545"/>
      <c r="PLN35" s="545"/>
      <c r="PLO35" s="545"/>
      <c r="PLP35" s="545"/>
      <c r="PLQ35" s="545"/>
      <c r="PLR35" s="545"/>
      <c r="PLS35" s="545"/>
      <c r="PLT35" s="545"/>
      <c r="PLU35" s="545"/>
      <c r="PLV35" s="545"/>
      <c r="PLW35" s="545"/>
      <c r="PLX35" s="545"/>
      <c r="PLY35" s="545"/>
      <c r="PLZ35" s="545"/>
      <c r="PMA35" s="545"/>
      <c r="PMB35" s="545"/>
      <c r="PMC35" s="545"/>
      <c r="PMD35" s="545"/>
      <c r="PME35" s="545"/>
      <c r="PMF35" s="545"/>
      <c r="PMG35" s="545"/>
      <c r="PMH35" s="545"/>
      <c r="PMI35" s="545"/>
      <c r="PMJ35" s="545"/>
      <c r="PMK35" s="545"/>
      <c r="PML35" s="545"/>
      <c r="PMM35" s="545"/>
      <c r="PMN35" s="545"/>
      <c r="PMO35" s="545"/>
      <c r="PMP35" s="545"/>
      <c r="PMQ35" s="545"/>
      <c r="PMR35" s="545"/>
      <c r="PMS35" s="545"/>
      <c r="PMT35" s="545"/>
      <c r="PMU35" s="545"/>
      <c r="PMV35" s="545"/>
      <c r="PMW35" s="545"/>
      <c r="PMX35" s="545"/>
      <c r="PMY35" s="545"/>
      <c r="PMZ35" s="545"/>
      <c r="PNA35" s="545"/>
      <c r="PNB35" s="545"/>
      <c r="PNC35" s="545"/>
      <c r="PND35" s="545"/>
      <c r="PNE35" s="545"/>
      <c r="PNF35" s="545"/>
      <c r="PNG35" s="545"/>
      <c r="PNH35" s="545"/>
      <c r="PNI35" s="545"/>
      <c r="PNJ35" s="545"/>
      <c r="PNK35" s="545"/>
      <c r="PNL35" s="545"/>
      <c r="PNM35" s="545"/>
      <c r="PNN35" s="545"/>
      <c r="PNO35" s="545"/>
      <c r="PNP35" s="545"/>
      <c r="PNQ35" s="545"/>
      <c r="PNR35" s="545"/>
      <c r="PNS35" s="545"/>
      <c r="PNT35" s="545"/>
      <c r="PNU35" s="545"/>
      <c r="PNV35" s="545"/>
      <c r="PNW35" s="545"/>
      <c r="PNX35" s="545"/>
      <c r="PNY35" s="545"/>
      <c r="PNZ35" s="545"/>
      <c r="POA35" s="545"/>
      <c r="POB35" s="545"/>
      <c r="POC35" s="545"/>
      <c r="POD35" s="545"/>
      <c r="POE35" s="545"/>
      <c r="POF35" s="545"/>
      <c r="POG35" s="545"/>
      <c r="POH35" s="545"/>
      <c r="POI35" s="545"/>
      <c r="POJ35" s="545"/>
      <c r="POK35" s="545"/>
      <c r="POL35" s="545"/>
      <c r="POM35" s="545"/>
      <c r="PON35" s="545"/>
      <c r="POO35" s="545"/>
      <c r="POP35" s="545"/>
      <c r="POQ35" s="545"/>
      <c r="POR35" s="545"/>
      <c r="POS35" s="545"/>
      <c r="POT35" s="545"/>
      <c r="POU35" s="545"/>
      <c r="POV35" s="545"/>
      <c r="POW35" s="545"/>
      <c r="POX35" s="545"/>
      <c r="POY35" s="545"/>
      <c r="POZ35" s="545"/>
      <c r="PPA35" s="545"/>
      <c r="PPB35" s="545"/>
      <c r="PPC35" s="545"/>
      <c r="PPD35" s="545"/>
      <c r="PPE35" s="545"/>
      <c r="PPF35" s="545"/>
      <c r="PPG35" s="545"/>
      <c r="PPH35" s="545"/>
      <c r="PPI35" s="545"/>
      <c r="PPJ35" s="545"/>
      <c r="PPK35" s="545"/>
      <c r="PPL35" s="545"/>
      <c r="PPM35" s="545"/>
      <c r="PPN35" s="545"/>
      <c r="PPO35" s="545"/>
      <c r="PPP35" s="545"/>
      <c r="PPQ35" s="545"/>
      <c r="PPR35" s="545"/>
      <c r="PPS35" s="545"/>
      <c r="PPT35" s="545"/>
      <c r="PPU35" s="545"/>
      <c r="PPV35" s="545"/>
      <c r="PPW35" s="545"/>
      <c r="PPX35" s="545"/>
      <c r="PPY35" s="545"/>
      <c r="PPZ35" s="545"/>
      <c r="PQA35" s="545"/>
      <c r="PQB35" s="545"/>
      <c r="PQC35" s="545"/>
      <c r="PQD35" s="545"/>
      <c r="PQE35" s="545"/>
      <c r="PQF35" s="545"/>
      <c r="PQG35" s="545"/>
      <c r="PQH35" s="545"/>
      <c r="PQI35" s="545"/>
      <c r="PQJ35" s="545"/>
      <c r="PQK35" s="545"/>
      <c r="PQL35" s="545"/>
      <c r="PQM35" s="545"/>
      <c r="PQN35" s="545"/>
      <c r="PQO35" s="545"/>
      <c r="PQP35" s="545"/>
      <c r="PQQ35" s="545"/>
      <c r="PQR35" s="545"/>
      <c r="PQS35" s="545"/>
      <c r="PQT35" s="545"/>
      <c r="PQU35" s="545"/>
      <c r="PQV35" s="545"/>
      <c r="PQW35" s="545"/>
      <c r="PQX35" s="545"/>
      <c r="PQY35" s="545"/>
      <c r="PQZ35" s="545"/>
      <c r="PRA35" s="545"/>
      <c r="PRB35" s="545"/>
      <c r="PRC35" s="545"/>
      <c r="PRD35" s="545"/>
      <c r="PRE35" s="545"/>
      <c r="PRF35" s="545"/>
      <c r="PRG35" s="545"/>
      <c r="PRH35" s="545"/>
      <c r="PRI35" s="545"/>
      <c r="PRJ35" s="545"/>
      <c r="PRK35" s="545"/>
      <c r="PRL35" s="545"/>
      <c r="PRM35" s="545"/>
      <c r="PRN35" s="545"/>
      <c r="PRO35" s="545"/>
      <c r="PRP35" s="545"/>
      <c r="PRQ35" s="545"/>
      <c r="PRR35" s="545"/>
      <c r="PRS35" s="545"/>
      <c r="PRT35" s="545"/>
      <c r="PRU35" s="545"/>
      <c r="PRV35" s="545"/>
      <c r="PRW35" s="545"/>
      <c r="PRX35" s="545"/>
      <c r="PRY35" s="545"/>
      <c r="PRZ35" s="545"/>
      <c r="PSA35" s="545"/>
      <c r="PSB35" s="545"/>
      <c r="PSC35" s="545"/>
      <c r="PSD35" s="545"/>
      <c r="PSE35" s="545"/>
      <c r="PSF35" s="545"/>
      <c r="PSG35" s="545"/>
      <c r="PSH35" s="545"/>
      <c r="PSI35" s="545"/>
      <c r="PSJ35" s="545"/>
      <c r="PSK35" s="545"/>
      <c r="PSL35" s="545"/>
      <c r="PSM35" s="545"/>
      <c r="PSN35" s="545"/>
      <c r="PSO35" s="545"/>
      <c r="PSP35" s="545"/>
      <c r="PSQ35" s="545"/>
      <c r="PSR35" s="545"/>
      <c r="PSS35" s="545"/>
      <c r="PST35" s="545"/>
      <c r="PSU35" s="545"/>
      <c r="PSV35" s="545"/>
      <c r="PSW35" s="545"/>
      <c r="PSX35" s="545"/>
      <c r="PSY35" s="545"/>
      <c r="PSZ35" s="545"/>
      <c r="PTA35" s="545"/>
      <c r="PTB35" s="545"/>
      <c r="PTC35" s="545"/>
      <c r="PTD35" s="545"/>
      <c r="PTE35" s="545"/>
      <c r="PTF35" s="545"/>
      <c r="PTG35" s="545"/>
      <c r="PTH35" s="545"/>
      <c r="PTI35" s="545"/>
      <c r="PTJ35" s="545"/>
      <c r="PTK35" s="545"/>
      <c r="PTL35" s="545"/>
      <c r="PTM35" s="545"/>
      <c r="PTN35" s="545"/>
      <c r="PTO35" s="545"/>
      <c r="PTP35" s="545"/>
      <c r="PTQ35" s="545"/>
      <c r="PTR35" s="545"/>
      <c r="PTS35" s="545"/>
      <c r="PTT35" s="545"/>
      <c r="PTU35" s="545"/>
      <c r="PTV35" s="545"/>
      <c r="PTW35" s="545"/>
      <c r="PTX35" s="545"/>
      <c r="PTY35" s="545"/>
      <c r="PTZ35" s="545"/>
      <c r="PUA35" s="545"/>
      <c r="PUB35" s="545"/>
      <c r="PUC35" s="545"/>
      <c r="PUD35" s="545"/>
      <c r="PUE35" s="545"/>
      <c r="PUF35" s="545"/>
      <c r="PUG35" s="545"/>
      <c r="PUH35" s="545"/>
      <c r="PUI35" s="545"/>
      <c r="PUJ35" s="545"/>
      <c r="PUK35" s="545"/>
      <c r="PUL35" s="545"/>
      <c r="PUM35" s="545"/>
      <c r="PUN35" s="545"/>
      <c r="PUO35" s="545"/>
      <c r="PUP35" s="545"/>
      <c r="PUQ35" s="545"/>
      <c r="PUR35" s="545"/>
      <c r="PUS35" s="545"/>
      <c r="PUT35" s="545"/>
      <c r="PUU35" s="545"/>
      <c r="PUV35" s="545"/>
      <c r="PUW35" s="545"/>
      <c r="PUX35" s="545"/>
      <c r="PUY35" s="545"/>
      <c r="PUZ35" s="545"/>
      <c r="PVA35" s="545"/>
      <c r="PVB35" s="545"/>
      <c r="PVC35" s="545"/>
      <c r="PVD35" s="545"/>
      <c r="PVE35" s="545"/>
      <c r="PVF35" s="545"/>
      <c r="PVG35" s="545"/>
      <c r="PVH35" s="545"/>
      <c r="PVI35" s="545"/>
      <c r="PVJ35" s="545"/>
      <c r="PVK35" s="545"/>
      <c r="PVL35" s="545"/>
      <c r="PVM35" s="545"/>
      <c r="PVN35" s="545"/>
      <c r="PVO35" s="545"/>
      <c r="PVP35" s="545"/>
      <c r="PVQ35" s="545"/>
      <c r="PVR35" s="545"/>
      <c r="PVS35" s="545"/>
      <c r="PVT35" s="545"/>
      <c r="PVU35" s="545"/>
      <c r="PVV35" s="545"/>
      <c r="PVW35" s="545"/>
      <c r="PVX35" s="545"/>
      <c r="PVY35" s="545"/>
      <c r="PVZ35" s="545"/>
      <c r="PWA35" s="545"/>
      <c r="PWB35" s="545"/>
      <c r="PWC35" s="545"/>
      <c r="PWD35" s="545"/>
      <c r="PWE35" s="545"/>
      <c r="PWF35" s="545"/>
      <c r="PWG35" s="545"/>
      <c r="PWH35" s="545"/>
      <c r="PWI35" s="545"/>
      <c r="PWJ35" s="545"/>
      <c r="PWK35" s="545"/>
      <c r="PWL35" s="545"/>
      <c r="PWM35" s="545"/>
      <c r="PWN35" s="545"/>
      <c r="PWO35" s="545"/>
      <c r="PWP35" s="545"/>
      <c r="PWQ35" s="545"/>
      <c r="PWR35" s="545"/>
      <c r="PWS35" s="545"/>
      <c r="PWT35" s="545"/>
      <c r="PWU35" s="545"/>
      <c r="PWV35" s="545"/>
      <c r="PWW35" s="545"/>
      <c r="PWX35" s="545"/>
      <c r="PWY35" s="545"/>
      <c r="PWZ35" s="545"/>
      <c r="PXA35" s="545"/>
      <c r="PXB35" s="545"/>
      <c r="PXC35" s="545"/>
      <c r="PXD35" s="545"/>
      <c r="PXE35" s="545"/>
      <c r="PXF35" s="545"/>
      <c r="PXG35" s="545"/>
      <c r="PXH35" s="545"/>
      <c r="PXI35" s="545"/>
      <c r="PXJ35" s="545"/>
      <c r="PXK35" s="545"/>
      <c r="PXL35" s="545"/>
      <c r="PXM35" s="545"/>
      <c r="PXN35" s="545"/>
      <c r="PXO35" s="545"/>
      <c r="PXP35" s="545"/>
      <c r="PXQ35" s="545"/>
      <c r="PXR35" s="545"/>
      <c r="PXS35" s="545"/>
      <c r="PXT35" s="545"/>
      <c r="PXU35" s="545"/>
      <c r="PXV35" s="545"/>
      <c r="PXW35" s="545"/>
      <c r="PXX35" s="545"/>
      <c r="PXY35" s="545"/>
      <c r="PXZ35" s="545"/>
      <c r="PYA35" s="545"/>
      <c r="PYB35" s="545"/>
      <c r="PYC35" s="545"/>
      <c r="PYD35" s="545"/>
      <c r="PYE35" s="545"/>
      <c r="PYF35" s="545"/>
      <c r="PYG35" s="545"/>
      <c r="PYH35" s="545"/>
      <c r="PYI35" s="545"/>
      <c r="PYJ35" s="545"/>
      <c r="PYK35" s="545"/>
      <c r="PYL35" s="545"/>
      <c r="PYM35" s="545"/>
      <c r="PYN35" s="545"/>
      <c r="PYO35" s="545"/>
      <c r="PYP35" s="545"/>
      <c r="PYQ35" s="545"/>
      <c r="PYR35" s="545"/>
      <c r="PYS35" s="545"/>
      <c r="PYT35" s="545"/>
      <c r="PYU35" s="545"/>
      <c r="PYV35" s="545"/>
      <c r="PYW35" s="545"/>
      <c r="PYX35" s="545"/>
      <c r="PYY35" s="545"/>
      <c r="PYZ35" s="545"/>
      <c r="PZA35" s="545"/>
      <c r="PZB35" s="545"/>
      <c r="PZC35" s="545"/>
      <c r="PZD35" s="545"/>
      <c r="PZE35" s="545"/>
      <c r="PZF35" s="545"/>
      <c r="PZG35" s="545"/>
      <c r="PZH35" s="545"/>
      <c r="PZI35" s="545"/>
      <c r="PZJ35" s="545"/>
      <c r="PZK35" s="545"/>
      <c r="PZL35" s="545"/>
      <c r="PZM35" s="545"/>
      <c r="PZN35" s="545"/>
      <c r="PZO35" s="545"/>
      <c r="PZP35" s="545"/>
      <c r="PZQ35" s="545"/>
      <c r="PZR35" s="545"/>
      <c r="PZS35" s="545"/>
      <c r="PZT35" s="545"/>
      <c r="PZU35" s="545"/>
      <c r="PZV35" s="545"/>
      <c r="PZW35" s="545"/>
      <c r="PZX35" s="545"/>
      <c r="PZY35" s="545"/>
      <c r="PZZ35" s="545"/>
      <c r="QAA35" s="545"/>
      <c r="QAB35" s="545"/>
      <c r="QAC35" s="545"/>
      <c r="QAD35" s="545"/>
      <c r="QAE35" s="545"/>
      <c r="QAF35" s="545"/>
      <c r="QAG35" s="545"/>
      <c r="QAH35" s="545"/>
      <c r="QAI35" s="545"/>
      <c r="QAJ35" s="545"/>
      <c r="QAK35" s="545"/>
      <c r="QAL35" s="545"/>
      <c r="QAM35" s="545"/>
      <c r="QAN35" s="545"/>
      <c r="QAO35" s="545"/>
      <c r="QAP35" s="545"/>
      <c r="QAQ35" s="545"/>
      <c r="QAR35" s="545"/>
      <c r="QAS35" s="545"/>
      <c r="QAT35" s="545"/>
      <c r="QAU35" s="545"/>
      <c r="QAV35" s="545"/>
      <c r="QAW35" s="545"/>
      <c r="QAX35" s="545"/>
      <c r="QAY35" s="545"/>
      <c r="QAZ35" s="545"/>
      <c r="QBA35" s="545"/>
      <c r="QBB35" s="545"/>
      <c r="QBC35" s="545"/>
      <c r="QBD35" s="545"/>
      <c r="QBE35" s="545"/>
      <c r="QBF35" s="545"/>
      <c r="QBG35" s="545"/>
      <c r="QBH35" s="545"/>
      <c r="QBI35" s="545"/>
      <c r="QBJ35" s="545"/>
      <c r="QBK35" s="545"/>
      <c r="QBL35" s="545"/>
      <c r="QBM35" s="545"/>
      <c r="QBN35" s="545"/>
      <c r="QBO35" s="545"/>
      <c r="QBP35" s="545"/>
      <c r="QBQ35" s="545"/>
      <c r="QBR35" s="545"/>
      <c r="QBS35" s="545"/>
      <c r="QBT35" s="545"/>
      <c r="QBU35" s="545"/>
      <c r="QBV35" s="545"/>
      <c r="QBW35" s="545"/>
      <c r="QBX35" s="545"/>
      <c r="QBY35" s="545"/>
      <c r="QBZ35" s="545"/>
      <c r="QCA35" s="545"/>
      <c r="QCB35" s="545"/>
      <c r="QCC35" s="545"/>
      <c r="QCD35" s="545"/>
      <c r="QCE35" s="545"/>
      <c r="QCF35" s="545"/>
      <c r="QCG35" s="545"/>
      <c r="QCH35" s="545"/>
      <c r="QCI35" s="545"/>
      <c r="QCJ35" s="545"/>
      <c r="QCK35" s="545"/>
      <c r="QCL35" s="545"/>
      <c r="QCM35" s="545"/>
      <c r="QCN35" s="545"/>
      <c r="QCO35" s="545"/>
      <c r="QCP35" s="545"/>
      <c r="QCQ35" s="545"/>
      <c r="QCR35" s="545"/>
      <c r="QCS35" s="545"/>
      <c r="QCT35" s="545"/>
      <c r="QCU35" s="545"/>
      <c r="QCV35" s="545"/>
      <c r="QCW35" s="545"/>
      <c r="QCX35" s="545"/>
      <c r="QCY35" s="545"/>
      <c r="QCZ35" s="545"/>
      <c r="QDA35" s="545"/>
      <c r="QDB35" s="545"/>
      <c r="QDC35" s="545"/>
      <c r="QDD35" s="545"/>
      <c r="QDE35" s="545"/>
      <c r="QDF35" s="545"/>
      <c r="QDG35" s="545"/>
      <c r="QDH35" s="545"/>
      <c r="QDI35" s="545"/>
      <c r="QDJ35" s="545"/>
      <c r="QDK35" s="545"/>
      <c r="QDL35" s="545"/>
      <c r="QDM35" s="545"/>
      <c r="QDN35" s="545"/>
      <c r="QDO35" s="545"/>
      <c r="QDP35" s="545"/>
      <c r="QDQ35" s="545"/>
      <c r="QDR35" s="545"/>
      <c r="QDS35" s="545"/>
      <c r="QDT35" s="545"/>
      <c r="QDU35" s="545"/>
      <c r="QDV35" s="545"/>
      <c r="QDW35" s="545"/>
      <c r="QDX35" s="545"/>
      <c r="QDY35" s="545"/>
      <c r="QDZ35" s="545"/>
      <c r="QEA35" s="545"/>
      <c r="QEB35" s="545"/>
      <c r="QEC35" s="545"/>
      <c r="QED35" s="545"/>
      <c r="QEE35" s="545"/>
      <c r="QEF35" s="545"/>
      <c r="QEG35" s="545"/>
      <c r="QEH35" s="545"/>
      <c r="QEI35" s="545"/>
      <c r="QEJ35" s="545"/>
      <c r="QEK35" s="545"/>
      <c r="QEL35" s="545"/>
      <c r="QEM35" s="545"/>
      <c r="QEN35" s="545"/>
      <c r="QEO35" s="545"/>
      <c r="QEP35" s="545"/>
      <c r="QEQ35" s="545"/>
      <c r="QER35" s="545"/>
      <c r="QES35" s="545"/>
      <c r="QET35" s="545"/>
      <c r="QEU35" s="545"/>
      <c r="QEV35" s="545"/>
      <c r="QEW35" s="545"/>
      <c r="QEX35" s="545"/>
      <c r="QEY35" s="545"/>
      <c r="QEZ35" s="545"/>
      <c r="QFA35" s="545"/>
      <c r="QFB35" s="545"/>
      <c r="QFC35" s="545"/>
      <c r="QFD35" s="545"/>
      <c r="QFE35" s="545"/>
      <c r="QFF35" s="545"/>
      <c r="QFG35" s="545"/>
      <c r="QFH35" s="545"/>
      <c r="QFI35" s="545"/>
      <c r="QFJ35" s="545"/>
      <c r="QFK35" s="545"/>
      <c r="QFL35" s="545"/>
      <c r="QFM35" s="545"/>
      <c r="QFN35" s="545"/>
      <c r="QFO35" s="545"/>
      <c r="QFP35" s="545"/>
      <c r="QFQ35" s="545"/>
      <c r="QFR35" s="545"/>
      <c r="QFS35" s="545"/>
      <c r="QFT35" s="545"/>
      <c r="QFU35" s="545"/>
      <c r="QFV35" s="545"/>
      <c r="QFW35" s="545"/>
      <c r="QFX35" s="545"/>
      <c r="QFY35" s="545"/>
      <c r="QFZ35" s="545"/>
      <c r="QGA35" s="545"/>
      <c r="QGB35" s="545"/>
      <c r="QGC35" s="545"/>
      <c r="QGD35" s="545"/>
      <c r="QGE35" s="545"/>
      <c r="QGF35" s="545"/>
      <c r="QGG35" s="545"/>
      <c r="QGH35" s="545"/>
      <c r="QGI35" s="545"/>
      <c r="QGJ35" s="545"/>
      <c r="QGK35" s="545"/>
      <c r="QGL35" s="545"/>
      <c r="QGM35" s="545"/>
      <c r="QGN35" s="545"/>
      <c r="QGO35" s="545"/>
      <c r="QGP35" s="545"/>
      <c r="QGQ35" s="545"/>
      <c r="QGR35" s="545"/>
      <c r="QGS35" s="545"/>
      <c r="QGT35" s="545"/>
      <c r="QGU35" s="545"/>
      <c r="QGV35" s="545"/>
      <c r="QGW35" s="545"/>
      <c r="QGX35" s="545"/>
      <c r="QGY35" s="545"/>
      <c r="QGZ35" s="545"/>
      <c r="QHA35" s="545"/>
      <c r="QHB35" s="545"/>
      <c r="QHC35" s="545"/>
      <c r="QHD35" s="545"/>
      <c r="QHE35" s="545"/>
      <c r="QHF35" s="545"/>
      <c r="QHG35" s="545"/>
      <c r="QHH35" s="545"/>
      <c r="QHI35" s="545"/>
      <c r="QHJ35" s="545"/>
      <c r="QHK35" s="545"/>
      <c r="QHL35" s="545"/>
      <c r="QHM35" s="545"/>
      <c r="QHN35" s="545"/>
      <c r="QHO35" s="545"/>
      <c r="QHP35" s="545"/>
      <c r="QHQ35" s="545"/>
      <c r="QHR35" s="545"/>
      <c r="QHS35" s="545"/>
      <c r="QHT35" s="545"/>
      <c r="QHU35" s="545"/>
      <c r="QHV35" s="545"/>
      <c r="QHW35" s="545"/>
      <c r="QHX35" s="545"/>
      <c r="QHY35" s="545"/>
      <c r="QHZ35" s="545"/>
      <c r="QIA35" s="545"/>
      <c r="QIB35" s="545"/>
      <c r="QIC35" s="545"/>
      <c r="QID35" s="545"/>
      <c r="QIE35" s="545"/>
      <c r="QIF35" s="545"/>
      <c r="QIG35" s="545"/>
      <c r="QIH35" s="545"/>
      <c r="QII35" s="545"/>
      <c r="QIJ35" s="545"/>
      <c r="QIK35" s="545"/>
      <c r="QIL35" s="545"/>
      <c r="QIM35" s="545"/>
      <c r="QIN35" s="545"/>
      <c r="QIO35" s="545"/>
      <c r="QIP35" s="545"/>
      <c r="QIQ35" s="545"/>
      <c r="QIR35" s="545"/>
      <c r="QIS35" s="545"/>
      <c r="QIT35" s="545"/>
      <c r="QIU35" s="545"/>
      <c r="QIV35" s="545"/>
      <c r="QIW35" s="545"/>
      <c r="QIX35" s="545"/>
      <c r="QIY35" s="545"/>
      <c r="QIZ35" s="545"/>
      <c r="QJA35" s="545"/>
      <c r="QJB35" s="545"/>
      <c r="QJC35" s="545"/>
      <c r="QJD35" s="545"/>
      <c r="QJE35" s="545"/>
      <c r="QJF35" s="545"/>
      <c r="QJG35" s="545"/>
      <c r="QJH35" s="545"/>
      <c r="QJI35" s="545"/>
      <c r="QJJ35" s="545"/>
      <c r="QJK35" s="545"/>
      <c r="QJL35" s="545"/>
      <c r="QJM35" s="545"/>
      <c r="QJN35" s="545"/>
      <c r="QJO35" s="545"/>
      <c r="QJP35" s="545"/>
      <c r="QJQ35" s="545"/>
      <c r="QJR35" s="545"/>
      <c r="QJS35" s="545"/>
      <c r="QJT35" s="545"/>
      <c r="QJU35" s="545"/>
      <c r="QJV35" s="545"/>
      <c r="QJW35" s="545"/>
      <c r="QJX35" s="545"/>
      <c r="QJY35" s="545"/>
      <c r="QJZ35" s="545"/>
      <c r="QKA35" s="545"/>
      <c r="QKB35" s="545"/>
      <c r="QKC35" s="545"/>
      <c r="QKD35" s="545"/>
      <c r="QKE35" s="545"/>
      <c r="QKF35" s="545"/>
      <c r="QKG35" s="545"/>
      <c r="QKH35" s="545"/>
      <c r="QKI35" s="545"/>
      <c r="QKJ35" s="545"/>
      <c r="QKK35" s="545"/>
      <c r="QKL35" s="545"/>
      <c r="QKM35" s="545"/>
      <c r="QKN35" s="545"/>
      <c r="QKO35" s="545"/>
      <c r="QKP35" s="545"/>
      <c r="QKQ35" s="545"/>
      <c r="QKR35" s="545"/>
      <c r="QKS35" s="545"/>
      <c r="QKT35" s="545"/>
      <c r="QKU35" s="545"/>
      <c r="QKV35" s="545"/>
      <c r="QKW35" s="545"/>
      <c r="QKX35" s="545"/>
      <c r="QKY35" s="545"/>
      <c r="QKZ35" s="545"/>
      <c r="QLA35" s="545"/>
      <c r="QLB35" s="545"/>
      <c r="QLC35" s="545"/>
      <c r="QLD35" s="545"/>
      <c r="QLE35" s="545"/>
      <c r="QLF35" s="545"/>
      <c r="QLG35" s="545"/>
      <c r="QLH35" s="545"/>
      <c r="QLI35" s="545"/>
      <c r="QLJ35" s="545"/>
      <c r="QLK35" s="545"/>
      <c r="QLL35" s="545"/>
      <c r="QLM35" s="545"/>
      <c r="QLN35" s="545"/>
      <c r="QLO35" s="545"/>
      <c r="QLP35" s="545"/>
      <c r="QLQ35" s="545"/>
      <c r="QLR35" s="545"/>
      <c r="QLS35" s="545"/>
      <c r="QLT35" s="545"/>
      <c r="QLU35" s="545"/>
      <c r="QLV35" s="545"/>
      <c r="QLW35" s="545"/>
      <c r="QLX35" s="545"/>
      <c r="QLY35" s="545"/>
      <c r="QLZ35" s="545"/>
      <c r="QMA35" s="545"/>
      <c r="QMB35" s="545"/>
      <c r="QMC35" s="545"/>
      <c r="QMD35" s="545"/>
      <c r="QME35" s="545"/>
      <c r="QMF35" s="545"/>
      <c r="QMG35" s="545"/>
      <c r="QMH35" s="545"/>
      <c r="QMI35" s="545"/>
      <c r="QMJ35" s="545"/>
      <c r="QMK35" s="545"/>
      <c r="QML35" s="545"/>
      <c r="QMM35" s="545"/>
      <c r="QMN35" s="545"/>
      <c r="QMO35" s="545"/>
      <c r="QMP35" s="545"/>
      <c r="QMQ35" s="545"/>
      <c r="QMR35" s="545"/>
      <c r="QMS35" s="545"/>
      <c r="QMT35" s="545"/>
      <c r="QMU35" s="545"/>
      <c r="QMV35" s="545"/>
      <c r="QMW35" s="545"/>
      <c r="QMX35" s="545"/>
      <c r="QMY35" s="545"/>
      <c r="QMZ35" s="545"/>
      <c r="QNA35" s="545"/>
      <c r="QNB35" s="545"/>
      <c r="QNC35" s="545"/>
      <c r="QND35" s="545"/>
      <c r="QNE35" s="545"/>
      <c r="QNF35" s="545"/>
      <c r="QNG35" s="545"/>
      <c r="QNH35" s="545"/>
      <c r="QNI35" s="545"/>
      <c r="QNJ35" s="545"/>
      <c r="QNK35" s="545"/>
      <c r="QNL35" s="545"/>
      <c r="QNM35" s="545"/>
      <c r="QNN35" s="545"/>
      <c r="QNO35" s="545"/>
      <c r="QNP35" s="545"/>
      <c r="QNQ35" s="545"/>
      <c r="QNR35" s="545"/>
      <c r="QNS35" s="545"/>
      <c r="QNT35" s="545"/>
      <c r="QNU35" s="545"/>
      <c r="QNV35" s="545"/>
      <c r="QNW35" s="545"/>
      <c r="QNX35" s="545"/>
      <c r="QNY35" s="545"/>
      <c r="QNZ35" s="545"/>
      <c r="QOA35" s="545"/>
      <c r="QOB35" s="545"/>
      <c r="QOC35" s="545"/>
      <c r="QOD35" s="545"/>
      <c r="QOE35" s="545"/>
      <c r="QOF35" s="545"/>
      <c r="QOG35" s="545"/>
      <c r="QOH35" s="545"/>
      <c r="QOI35" s="545"/>
      <c r="QOJ35" s="545"/>
      <c r="QOK35" s="545"/>
      <c r="QOL35" s="545"/>
      <c r="QOM35" s="545"/>
      <c r="QON35" s="545"/>
      <c r="QOO35" s="545"/>
      <c r="QOP35" s="545"/>
      <c r="QOQ35" s="545"/>
      <c r="QOR35" s="545"/>
      <c r="QOS35" s="545"/>
      <c r="QOT35" s="545"/>
      <c r="QOU35" s="545"/>
      <c r="QOV35" s="545"/>
      <c r="QOW35" s="545"/>
      <c r="QOX35" s="545"/>
      <c r="QOY35" s="545"/>
      <c r="QOZ35" s="545"/>
      <c r="QPA35" s="545"/>
      <c r="QPB35" s="545"/>
      <c r="QPC35" s="545"/>
      <c r="QPD35" s="545"/>
      <c r="QPE35" s="545"/>
      <c r="QPF35" s="545"/>
      <c r="QPG35" s="545"/>
      <c r="QPH35" s="545"/>
      <c r="QPI35" s="545"/>
      <c r="QPJ35" s="545"/>
      <c r="QPK35" s="545"/>
      <c r="QPL35" s="545"/>
      <c r="QPM35" s="545"/>
      <c r="QPN35" s="545"/>
      <c r="QPO35" s="545"/>
      <c r="QPP35" s="545"/>
      <c r="QPQ35" s="545"/>
      <c r="QPR35" s="545"/>
      <c r="QPS35" s="545"/>
      <c r="QPT35" s="545"/>
      <c r="QPU35" s="545"/>
      <c r="QPV35" s="545"/>
      <c r="QPW35" s="545"/>
      <c r="QPX35" s="545"/>
      <c r="QPY35" s="545"/>
      <c r="QPZ35" s="545"/>
      <c r="QQA35" s="545"/>
      <c r="QQB35" s="545"/>
      <c r="QQC35" s="545"/>
      <c r="QQD35" s="545"/>
      <c r="QQE35" s="545"/>
      <c r="QQF35" s="545"/>
      <c r="QQG35" s="545"/>
      <c r="QQH35" s="545"/>
      <c r="QQI35" s="545"/>
      <c r="QQJ35" s="545"/>
      <c r="QQK35" s="545"/>
      <c r="QQL35" s="545"/>
      <c r="QQM35" s="545"/>
      <c r="QQN35" s="545"/>
      <c r="QQO35" s="545"/>
      <c r="QQP35" s="545"/>
      <c r="QQQ35" s="545"/>
      <c r="QQR35" s="545"/>
      <c r="QQS35" s="545"/>
      <c r="QQT35" s="545"/>
      <c r="QQU35" s="545"/>
      <c r="QQV35" s="545"/>
      <c r="QQW35" s="545"/>
      <c r="QQX35" s="545"/>
      <c r="QQY35" s="545"/>
      <c r="QQZ35" s="545"/>
      <c r="QRA35" s="545"/>
      <c r="QRB35" s="545"/>
      <c r="QRC35" s="545"/>
      <c r="QRD35" s="545"/>
      <c r="QRE35" s="545"/>
      <c r="QRF35" s="545"/>
      <c r="QRG35" s="545"/>
      <c r="QRH35" s="545"/>
      <c r="QRI35" s="545"/>
      <c r="QRJ35" s="545"/>
      <c r="QRK35" s="545"/>
      <c r="QRL35" s="545"/>
      <c r="QRM35" s="545"/>
      <c r="QRN35" s="545"/>
      <c r="QRO35" s="545"/>
      <c r="QRP35" s="545"/>
      <c r="QRQ35" s="545"/>
      <c r="QRR35" s="545"/>
      <c r="QRS35" s="545"/>
      <c r="QRT35" s="545"/>
      <c r="QRU35" s="545"/>
      <c r="QRV35" s="545"/>
      <c r="QRW35" s="545"/>
      <c r="QRX35" s="545"/>
      <c r="QRY35" s="545"/>
      <c r="QRZ35" s="545"/>
      <c r="QSA35" s="545"/>
      <c r="QSB35" s="545"/>
      <c r="QSC35" s="545"/>
      <c r="QSD35" s="545"/>
      <c r="QSE35" s="545"/>
      <c r="QSF35" s="545"/>
      <c r="QSG35" s="545"/>
      <c r="QSH35" s="545"/>
      <c r="QSI35" s="545"/>
      <c r="QSJ35" s="545"/>
      <c r="QSK35" s="545"/>
      <c r="QSL35" s="545"/>
      <c r="QSM35" s="545"/>
      <c r="QSN35" s="545"/>
      <c r="QSO35" s="545"/>
      <c r="QSP35" s="545"/>
      <c r="QSQ35" s="545"/>
      <c r="QSR35" s="545"/>
      <c r="QSS35" s="545"/>
      <c r="QST35" s="545"/>
      <c r="QSU35" s="545"/>
      <c r="QSV35" s="545"/>
      <c r="QSW35" s="545"/>
      <c r="QSX35" s="545"/>
      <c r="QSY35" s="545"/>
      <c r="QSZ35" s="545"/>
      <c r="QTA35" s="545"/>
      <c r="QTB35" s="545"/>
      <c r="QTC35" s="545"/>
      <c r="QTD35" s="545"/>
      <c r="QTE35" s="545"/>
      <c r="QTF35" s="545"/>
      <c r="QTG35" s="545"/>
      <c r="QTH35" s="545"/>
      <c r="QTI35" s="545"/>
      <c r="QTJ35" s="545"/>
      <c r="QTK35" s="545"/>
      <c r="QTL35" s="545"/>
      <c r="QTM35" s="545"/>
      <c r="QTN35" s="545"/>
      <c r="QTO35" s="545"/>
      <c r="QTP35" s="545"/>
      <c r="QTQ35" s="545"/>
      <c r="QTR35" s="545"/>
      <c r="QTS35" s="545"/>
      <c r="QTT35" s="545"/>
      <c r="QTU35" s="545"/>
      <c r="QTV35" s="545"/>
      <c r="QTW35" s="545"/>
      <c r="QTX35" s="545"/>
      <c r="QTY35" s="545"/>
      <c r="QTZ35" s="545"/>
      <c r="QUA35" s="545"/>
      <c r="QUB35" s="545"/>
      <c r="QUC35" s="545"/>
      <c r="QUD35" s="545"/>
      <c r="QUE35" s="545"/>
      <c r="QUF35" s="545"/>
      <c r="QUG35" s="545"/>
      <c r="QUH35" s="545"/>
      <c r="QUI35" s="545"/>
      <c r="QUJ35" s="545"/>
      <c r="QUK35" s="545"/>
      <c r="QUL35" s="545"/>
      <c r="QUM35" s="545"/>
      <c r="QUN35" s="545"/>
      <c r="QUO35" s="545"/>
      <c r="QUP35" s="545"/>
      <c r="QUQ35" s="545"/>
      <c r="QUR35" s="545"/>
      <c r="QUS35" s="545"/>
      <c r="QUT35" s="545"/>
      <c r="QUU35" s="545"/>
      <c r="QUV35" s="545"/>
      <c r="QUW35" s="545"/>
      <c r="QUX35" s="545"/>
      <c r="QUY35" s="545"/>
      <c r="QUZ35" s="545"/>
      <c r="QVA35" s="545"/>
      <c r="QVB35" s="545"/>
      <c r="QVC35" s="545"/>
      <c r="QVD35" s="545"/>
      <c r="QVE35" s="545"/>
      <c r="QVF35" s="545"/>
      <c r="QVG35" s="545"/>
      <c r="QVH35" s="545"/>
      <c r="QVI35" s="545"/>
      <c r="QVJ35" s="545"/>
      <c r="QVK35" s="545"/>
      <c r="QVL35" s="545"/>
      <c r="QVM35" s="545"/>
      <c r="QVN35" s="545"/>
      <c r="QVO35" s="545"/>
      <c r="QVP35" s="545"/>
      <c r="QVQ35" s="545"/>
      <c r="QVR35" s="545"/>
      <c r="QVS35" s="545"/>
      <c r="QVT35" s="545"/>
      <c r="QVU35" s="545"/>
      <c r="QVV35" s="545"/>
      <c r="QVW35" s="545"/>
      <c r="QVX35" s="545"/>
      <c r="QVY35" s="545"/>
      <c r="QVZ35" s="545"/>
      <c r="QWA35" s="545"/>
      <c r="QWB35" s="545"/>
      <c r="QWC35" s="545"/>
      <c r="QWD35" s="545"/>
      <c r="QWE35" s="545"/>
      <c r="QWF35" s="545"/>
      <c r="QWG35" s="545"/>
      <c r="QWH35" s="545"/>
      <c r="QWI35" s="545"/>
      <c r="QWJ35" s="545"/>
      <c r="QWK35" s="545"/>
      <c r="QWL35" s="545"/>
      <c r="QWM35" s="545"/>
      <c r="QWN35" s="545"/>
      <c r="QWO35" s="545"/>
      <c r="QWP35" s="545"/>
      <c r="QWQ35" s="545"/>
      <c r="QWR35" s="545"/>
      <c r="QWS35" s="545"/>
      <c r="QWT35" s="545"/>
      <c r="QWU35" s="545"/>
      <c r="QWV35" s="545"/>
      <c r="QWW35" s="545"/>
      <c r="QWX35" s="545"/>
      <c r="QWY35" s="545"/>
      <c r="QWZ35" s="545"/>
      <c r="QXA35" s="545"/>
      <c r="QXB35" s="545"/>
      <c r="QXC35" s="545"/>
      <c r="QXD35" s="545"/>
      <c r="QXE35" s="545"/>
      <c r="QXF35" s="545"/>
      <c r="QXG35" s="545"/>
      <c r="QXH35" s="545"/>
      <c r="QXI35" s="545"/>
      <c r="QXJ35" s="545"/>
      <c r="QXK35" s="545"/>
      <c r="QXL35" s="545"/>
      <c r="QXM35" s="545"/>
      <c r="QXN35" s="545"/>
      <c r="QXO35" s="545"/>
      <c r="QXP35" s="545"/>
      <c r="QXQ35" s="545"/>
      <c r="QXR35" s="545"/>
      <c r="QXS35" s="545"/>
      <c r="QXT35" s="545"/>
      <c r="QXU35" s="545"/>
      <c r="QXV35" s="545"/>
      <c r="QXW35" s="545"/>
      <c r="QXX35" s="545"/>
      <c r="QXY35" s="545"/>
      <c r="QXZ35" s="545"/>
      <c r="QYA35" s="545"/>
      <c r="QYB35" s="545"/>
      <c r="QYC35" s="545"/>
      <c r="QYD35" s="545"/>
      <c r="QYE35" s="545"/>
      <c r="QYF35" s="545"/>
      <c r="QYG35" s="545"/>
      <c r="QYH35" s="545"/>
      <c r="QYI35" s="545"/>
      <c r="QYJ35" s="545"/>
      <c r="QYK35" s="545"/>
      <c r="QYL35" s="545"/>
      <c r="QYM35" s="545"/>
      <c r="QYN35" s="545"/>
      <c r="QYO35" s="545"/>
      <c r="QYP35" s="545"/>
      <c r="QYQ35" s="545"/>
      <c r="QYR35" s="545"/>
      <c r="QYS35" s="545"/>
      <c r="QYT35" s="545"/>
      <c r="QYU35" s="545"/>
      <c r="QYV35" s="545"/>
      <c r="QYW35" s="545"/>
      <c r="QYX35" s="545"/>
      <c r="QYY35" s="545"/>
      <c r="QYZ35" s="545"/>
      <c r="QZA35" s="545"/>
      <c r="QZB35" s="545"/>
      <c r="QZC35" s="545"/>
      <c r="QZD35" s="545"/>
      <c r="QZE35" s="545"/>
      <c r="QZF35" s="545"/>
      <c r="QZG35" s="545"/>
      <c r="QZH35" s="545"/>
      <c r="QZI35" s="545"/>
      <c r="QZJ35" s="545"/>
      <c r="QZK35" s="545"/>
      <c r="QZL35" s="545"/>
      <c r="QZM35" s="545"/>
      <c r="QZN35" s="545"/>
      <c r="QZO35" s="545"/>
      <c r="QZP35" s="545"/>
      <c r="QZQ35" s="545"/>
      <c r="QZR35" s="545"/>
      <c r="QZS35" s="545"/>
      <c r="QZT35" s="545"/>
      <c r="QZU35" s="545"/>
      <c r="QZV35" s="545"/>
      <c r="QZW35" s="545"/>
      <c r="QZX35" s="545"/>
      <c r="QZY35" s="545"/>
      <c r="QZZ35" s="545"/>
      <c r="RAA35" s="545"/>
      <c r="RAB35" s="545"/>
      <c r="RAC35" s="545"/>
      <c r="RAD35" s="545"/>
      <c r="RAE35" s="545"/>
      <c r="RAF35" s="545"/>
      <c r="RAG35" s="545"/>
      <c r="RAH35" s="545"/>
      <c r="RAI35" s="545"/>
      <c r="RAJ35" s="545"/>
      <c r="RAK35" s="545"/>
      <c r="RAL35" s="545"/>
      <c r="RAM35" s="545"/>
      <c r="RAN35" s="545"/>
      <c r="RAO35" s="545"/>
      <c r="RAP35" s="545"/>
      <c r="RAQ35" s="545"/>
      <c r="RAR35" s="545"/>
      <c r="RAS35" s="545"/>
      <c r="RAT35" s="545"/>
      <c r="RAU35" s="545"/>
      <c r="RAV35" s="545"/>
      <c r="RAW35" s="545"/>
      <c r="RAX35" s="545"/>
      <c r="RAY35" s="545"/>
      <c r="RAZ35" s="545"/>
      <c r="RBA35" s="545"/>
      <c r="RBB35" s="545"/>
      <c r="RBC35" s="545"/>
      <c r="RBD35" s="545"/>
      <c r="RBE35" s="545"/>
      <c r="RBF35" s="545"/>
      <c r="RBG35" s="545"/>
      <c r="RBH35" s="545"/>
      <c r="RBI35" s="545"/>
      <c r="RBJ35" s="545"/>
      <c r="RBK35" s="545"/>
      <c r="RBL35" s="545"/>
      <c r="RBM35" s="545"/>
      <c r="RBN35" s="545"/>
      <c r="RBO35" s="545"/>
      <c r="RBP35" s="545"/>
      <c r="RBQ35" s="545"/>
      <c r="RBR35" s="545"/>
      <c r="RBS35" s="545"/>
      <c r="RBT35" s="545"/>
      <c r="RBU35" s="545"/>
      <c r="RBV35" s="545"/>
      <c r="RBW35" s="545"/>
      <c r="RBX35" s="545"/>
      <c r="RBY35" s="545"/>
      <c r="RBZ35" s="545"/>
      <c r="RCA35" s="545"/>
      <c r="RCB35" s="545"/>
      <c r="RCC35" s="545"/>
      <c r="RCD35" s="545"/>
      <c r="RCE35" s="545"/>
      <c r="RCF35" s="545"/>
      <c r="RCG35" s="545"/>
      <c r="RCH35" s="545"/>
      <c r="RCI35" s="545"/>
      <c r="RCJ35" s="545"/>
      <c r="RCK35" s="545"/>
      <c r="RCL35" s="545"/>
      <c r="RCM35" s="545"/>
      <c r="RCN35" s="545"/>
      <c r="RCO35" s="545"/>
      <c r="RCP35" s="545"/>
      <c r="RCQ35" s="545"/>
      <c r="RCR35" s="545"/>
      <c r="RCS35" s="545"/>
      <c r="RCT35" s="545"/>
      <c r="RCU35" s="545"/>
      <c r="RCV35" s="545"/>
      <c r="RCW35" s="545"/>
      <c r="RCX35" s="545"/>
      <c r="RCY35" s="545"/>
      <c r="RCZ35" s="545"/>
      <c r="RDA35" s="545"/>
      <c r="RDB35" s="545"/>
      <c r="RDC35" s="545"/>
      <c r="RDD35" s="545"/>
      <c r="RDE35" s="545"/>
      <c r="RDF35" s="545"/>
      <c r="RDG35" s="545"/>
      <c r="RDH35" s="545"/>
      <c r="RDI35" s="545"/>
      <c r="RDJ35" s="545"/>
      <c r="RDK35" s="545"/>
      <c r="RDL35" s="545"/>
      <c r="RDM35" s="545"/>
      <c r="RDN35" s="545"/>
      <c r="RDO35" s="545"/>
      <c r="RDP35" s="545"/>
      <c r="RDQ35" s="545"/>
      <c r="RDR35" s="545"/>
      <c r="RDS35" s="545"/>
      <c r="RDT35" s="545"/>
      <c r="RDU35" s="545"/>
      <c r="RDV35" s="545"/>
      <c r="RDW35" s="545"/>
      <c r="RDX35" s="545"/>
      <c r="RDY35" s="545"/>
      <c r="RDZ35" s="545"/>
      <c r="REA35" s="545"/>
      <c r="REB35" s="545"/>
      <c r="REC35" s="545"/>
      <c r="RED35" s="545"/>
      <c r="REE35" s="545"/>
      <c r="REF35" s="545"/>
      <c r="REG35" s="545"/>
      <c r="REH35" s="545"/>
      <c r="REI35" s="545"/>
      <c r="REJ35" s="545"/>
      <c r="REK35" s="545"/>
      <c r="REL35" s="545"/>
      <c r="REM35" s="545"/>
      <c r="REN35" s="545"/>
      <c r="REO35" s="545"/>
      <c r="REP35" s="545"/>
      <c r="REQ35" s="545"/>
      <c r="RER35" s="545"/>
      <c r="RES35" s="545"/>
      <c r="RET35" s="545"/>
      <c r="REU35" s="545"/>
      <c r="REV35" s="545"/>
      <c r="REW35" s="545"/>
      <c r="REX35" s="545"/>
      <c r="REY35" s="545"/>
      <c r="REZ35" s="545"/>
      <c r="RFA35" s="545"/>
      <c r="RFB35" s="545"/>
      <c r="RFC35" s="545"/>
      <c r="RFD35" s="545"/>
      <c r="RFE35" s="545"/>
      <c r="RFF35" s="545"/>
      <c r="RFG35" s="545"/>
      <c r="RFH35" s="545"/>
      <c r="RFI35" s="545"/>
      <c r="RFJ35" s="545"/>
      <c r="RFK35" s="545"/>
      <c r="RFL35" s="545"/>
      <c r="RFM35" s="545"/>
      <c r="RFN35" s="545"/>
      <c r="RFO35" s="545"/>
      <c r="RFP35" s="545"/>
      <c r="RFQ35" s="545"/>
      <c r="RFR35" s="545"/>
      <c r="RFS35" s="545"/>
      <c r="RFT35" s="545"/>
      <c r="RFU35" s="545"/>
      <c r="RFV35" s="545"/>
      <c r="RFW35" s="545"/>
      <c r="RFX35" s="545"/>
      <c r="RFY35" s="545"/>
      <c r="RFZ35" s="545"/>
      <c r="RGA35" s="545"/>
      <c r="RGB35" s="545"/>
      <c r="RGC35" s="545"/>
      <c r="RGD35" s="545"/>
      <c r="RGE35" s="545"/>
      <c r="RGF35" s="545"/>
      <c r="RGG35" s="545"/>
      <c r="RGH35" s="545"/>
      <c r="RGI35" s="545"/>
      <c r="RGJ35" s="545"/>
      <c r="RGK35" s="545"/>
      <c r="RGL35" s="545"/>
      <c r="RGM35" s="545"/>
      <c r="RGN35" s="545"/>
      <c r="RGO35" s="545"/>
      <c r="RGP35" s="545"/>
      <c r="RGQ35" s="545"/>
      <c r="RGR35" s="545"/>
      <c r="RGS35" s="545"/>
      <c r="RGT35" s="545"/>
      <c r="RGU35" s="545"/>
      <c r="RGV35" s="545"/>
      <c r="RGW35" s="545"/>
      <c r="RGX35" s="545"/>
      <c r="RGY35" s="545"/>
      <c r="RGZ35" s="545"/>
      <c r="RHA35" s="545"/>
      <c r="RHB35" s="545"/>
      <c r="RHC35" s="545"/>
      <c r="RHD35" s="545"/>
      <c r="RHE35" s="545"/>
      <c r="RHF35" s="545"/>
      <c r="RHG35" s="545"/>
      <c r="RHH35" s="545"/>
      <c r="RHI35" s="545"/>
      <c r="RHJ35" s="545"/>
      <c r="RHK35" s="545"/>
      <c r="RHL35" s="545"/>
      <c r="RHM35" s="545"/>
      <c r="RHN35" s="545"/>
      <c r="RHO35" s="545"/>
      <c r="RHP35" s="545"/>
      <c r="RHQ35" s="545"/>
      <c r="RHR35" s="545"/>
      <c r="RHS35" s="545"/>
      <c r="RHT35" s="545"/>
      <c r="RHU35" s="545"/>
      <c r="RHV35" s="545"/>
      <c r="RHW35" s="545"/>
      <c r="RHX35" s="545"/>
      <c r="RHY35" s="545"/>
      <c r="RHZ35" s="545"/>
      <c r="RIA35" s="545"/>
      <c r="RIB35" s="545"/>
      <c r="RIC35" s="545"/>
      <c r="RID35" s="545"/>
      <c r="RIE35" s="545"/>
      <c r="RIF35" s="545"/>
      <c r="RIG35" s="545"/>
      <c r="RIH35" s="545"/>
      <c r="RII35" s="545"/>
      <c r="RIJ35" s="545"/>
      <c r="RIK35" s="545"/>
      <c r="RIL35" s="545"/>
      <c r="RIM35" s="545"/>
      <c r="RIN35" s="545"/>
      <c r="RIO35" s="545"/>
      <c r="RIP35" s="545"/>
      <c r="RIQ35" s="545"/>
      <c r="RIR35" s="545"/>
      <c r="RIS35" s="545"/>
      <c r="RIT35" s="545"/>
      <c r="RIU35" s="545"/>
      <c r="RIV35" s="545"/>
      <c r="RIW35" s="545"/>
      <c r="RIX35" s="545"/>
      <c r="RIY35" s="545"/>
      <c r="RIZ35" s="545"/>
      <c r="RJA35" s="545"/>
      <c r="RJB35" s="545"/>
      <c r="RJC35" s="545"/>
      <c r="RJD35" s="545"/>
      <c r="RJE35" s="545"/>
      <c r="RJF35" s="545"/>
      <c r="RJG35" s="545"/>
      <c r="RJH35" s="545"/>
      <c r="RJI35" s="545"/>
      <c r="RJJ35" s="545"/>
      <c r="RJK35" s="545"/>
      <c r="RJL35" s="545"/>
      <c r="RJM35" s="545"/>
      <c r="RJN35" s="545"/>
      <c r="RJO35" s="545"/>
      <c r="RJP35" s="545"/>
      <c r="RJQ35" s="545"/>
      <c r="RJR35" s="545"/>
      <c r="RJS35" s="545"/>
      <c r="RJT35" s="545"/>
      <c r="RJU35" s="545"/>
      <c r="RJV35" s="545"/>
      <c r="RJW35" s="545"/>
      <c r="RJX35" s="545"/>
      <c r="RJY35" s="545"/>
      <c r="RJZ35" s="545"/>
      <c r="RKA35" s="545"/>
      <c r="RKB35" s="545"/>
      <c r="RKC35" s="545"/>
      <c r="RKD35" s="545"/>
      <c r="RKE35" s="545"/>
      <c r="RKF35" s="545"/>
      <c r="RKG35" s="545"/>
      <c r="RKH35" s="545"/>
      <c r="RKI35" s="545"/>
      <c r="RKJ35" s="545"/>
      <c r="RKK35" s="545"/>
      <c r="RKL35" s="545"/>
      <c r="RKM35" s="545"/>
      <c r="RKN35" s="545"/>
      <c r="RKO35" s="545"/>
      <c r="RKP35" s="545"/>
      <c r="RKQ35" s="545"/>
      <c r="RKR35" s="545"/>
      <c r="RKS35" s="545"/>
      <c r="RKT35" s="545"/>
      <c r="RKU35" s="545"/>
      <c r="RKV35" s="545"/>
      <c r="RKW35" s="545"/>
      <c r="RKX35" s="545"/>
      <c r="RKY35" s="545"/>
      <c r="RKZ35" s="545"/>
      <c r="RLA35" s="545"/>
      <c r="RLB35" s="545"/>
      <c r="RLC35" s="545"/>
      <c r="RLD35" s="545"/>
      <c r="RLE35" s="545"/>
      <c r="RLF35" s="545"/>
      <c r="RLG35" s="545"/>
      <c r="RLH35" s="545"/>
      <c r="RLI35" s="545"/>
      <c r="RLJ35" s="545"/>
      <c r="RLK35" s="545"/>
      <c r="RLL35" s="545"/>
      <c r="RLM35" s="545"/>
      <c r="RLN35" s="545"/>
      <c r="RLO35" s="545"/>
      <c r="RLP35" s="545"/>
      <c r="RLQ35" s="545"/>
      <c r="RLR35" s="545"/>
      <c r="RLS35" s="545"/>
      <c r="RLT35" s="545"/>
      <c r="RLU35" s="545"/>
      <c r="RLV35" s="545"/>
      <c r="RLW35" s="545"/>
      <c r="RLX35" s="545"/>
      <c r="RLY35" s="545"/>
      <c r="RLZ35" s="545"/>
      <c r="RMA35" s="545"/>
      <c r="RMB35" s="545"/>
      <c r="RMC35" s="545"/>
      <c r="RMD35" s="545"/>
      <c r="RME35" s="545"/>
      <c r="RMF35" s="545"/>
      <c r="RMG35" s="545"/>
      <c r="RMH35" s="545"/>
      <c r="RMI35" s="545"/>
      <c r="RMJ35" s="545"/>
      <c r="RMK35" s="545"/>
      <c r="RML35" s="545"/>
      <c r="RMM35" s="545"/>
      <c r="RMN35" s="545"/>
      <c r="RMO35" s="545"/>
      <c r="RMP35" s="545"/>
      <c r="RMQ35" s="545"/>
      <c r="RMR35" s="545"/>
      <c r="RMS35" s="545"/>
      <c r="RMT35" s="545"/>
      <c r="RMU35" s="545"/>
      <c r="RMV35" s="545"/>
      <c r="RMW35" s="545"/>
      <c r="RMX35" s="545"/>
      <c r="RMY35" s="545"/>
      <c r="RMZ35" s="545"/>
      <c r="RNA35" s="545"/>
      <c r="RNB35" s="545"/>
      <c r="RNC35" s="545"/>
      <c r="RND35" s="545"/>
      <c r="RNE35" s="545"/>
      <c r="RNF35" s="545"/>
      <c r="RNG35" s="545"/>
      <c r="RNH35" s="545"/>
      <c r="RNI35" s="545"/>
      <c r="RNJ35" s="545"/>
      <c r="RNK35" s="545"/>
      <c r="RNL35" s="545"/>
      <c r="RNM35" s="545"/>
      <c r="RNN35" s="545"/>
      <c r="RNO35" s="545"/>
      <c r="RNP35" s="545"/>
      <c r="RNQ35" s="545"/>
      <c r="RNR35" s="545"/>
      <c r="RNS35" s="545"/>
      <c r="RNT35" s="545"/>
      <c r="RNU35" s="545"/>
      <c r="RNV35" s="545"/>
      <c r="RNW35" s="545"/>
      <c r="RNX35" s="545"/>
      <c r="RNY35" s="545"/>
      <c r="RNZ35" s="545"/>
      <c r="ROA35" s="545"/>
      <c r="ROB35" s="545"/>
      <c r="ROC35" s="545"/>
      <c r="ROD35" s="545"/>
      <c r="ROE35" s="545"/>
      <c r="ROF35" s="545"/>
      <c r="ROG35" s="545"/>
      <c r="ROH35" s="545"/>
      <c r="ROI35" s="545"/>
      <c r="ROJ35" s="545"/>
      <c r="ROK35" s="545"/>
      <c r="ROL35" s="545"/>
      <c r="ROM35" s="545"/>
      <c r="RON35" s="545"/>
      <c r="ROO35" s="545"/>
      <c r="ROP35" s="545"/>
      <c r="ROQ35" s="545"/>
      <c r="ROR35" s="545"/>
      <c r="ROS35" s="545"/>
      <c r="ROT35" s="545"/>
      <c r="ROU35" s="545"/>
      <c r="ROV35" s="545"/>
      <c r="ROW35" s="545"/>
      <c r="ROX35" s="545"/>
      <c r="ROY35" s="545"/>
      <c r="ROZ35" s="545"/>
      <c r="RPA35" s="545"/>
      <c r="RPB35" s="545"/>
      <c r="RPC35" s="545"/>
      <c r="RPD35" s="545"/>
      <c r="RPE35" s="545"/>
      <c r="RPF35" s="545"/>
      <c r="RPG35" s="545"/>
      <c r="RPH35" s="545"/>
      <c r="RPI35" s="545"/>
      <c r="RPJ35" s="545"/>
      <c r="RPK35" s="545"/>
      <c r="RPL35" s="545"/>
      <c r="RPM35" s="545"/>
      <c r="RPN35" s="545"/>
      <c r="RPO35" s="545"/>
      <c r="RPP35" s="545"/>
      <c r="RPQ35" s="545"/>
      <c r="RPR35" s="545"/>
      <c r="RPS35" s="545"/>
      <c r="RPT35" s="545"/>
      <c r="RPU35" s="545"/>
      <c r="RPV35" s="545"/>
      <c r="RPW35" s="545"/>
      <c r="RPX35" s="545"/>
      <c r="RPY35" s="545"/>
      <c r="RPZ35" s="545"/>
      <c r="RQA35" s="545"/>
      <c r="RQB35" s="545"/>
      <c r="RQC35" s="545"/>
      <c r="RQD35" s="545"/>
      <c r="RQE35" s="545"/>
      <c r="RQF35" s="545"/>
      <c r="RQG35" s="545"/>
      <c r="RQH35" s="545"/>
      <c r="RQI35" s="545"/>
      <c r="RQJ35" s="545"/>
      <c r="RQK35" s="545"/>
      <c r="RQL35" s="545"/>
      <c r="RQM35" s="545"/>
      <c r="RQN35" s="545"/>
      <c r="RQO35" s="545"/>
      <c r="RQP35" s="545"/>
      <c r="RQQ35" s="545"/>
      <c r="RQR35" s="545"/>
      <c r="RQS35" s="545"/>
      <c r="RQT35" s="545"/>
      <c r="RQU35" s="545"/>
      <c r="RQV35" s="545"/>
      <c r="RQW35" s="545"/>
      <c r="RQX35" s="545"/>
      <c r="RQY35" s="545"/>
      <c r="RQZ35" s="545"/>
      <c r="RRA35" s="545"/>
      <c r="RRB35" s="545"/>
      <c r="RRC35" s="545"/>
      <c r="RRD35" s="545"/>
      <c r="RRE35" s="545"/>
      <c r="RRF35" s="545"/>
      <c r="RRG35" s="545"/>
      <c r="RRH35" s="545"/>
      <c r="RRI35" s="545"/>
      <c r="RRJ35" s="545"/>
      <c r="RRK35" s="545"/>
      <c r="RRL35" s="545"/>
      <c r="RRM35" s="545"/>
      <c r="RRN35" s="545"/>
      <c r="RRO35" s="545"/>
      <c r="RRP35" s="545"/>
      <c r="RRQ35" s="545"/>
      <c r="RRR35" s="545"/>
      <c r="RRS35" s="545"/>
      <c r="RRT35" s="545"/>
      <c r="RRU35" s="545"/>
      <c r="RRV35" s="545"/>
      <c r="RRW35" s="545"/>
      <c r="RRX35" s="545"/>
      <c r="RRY35" s="545"/>
      <c r="RRZ35" s="545"/>
      <c r="RSA35" s="545"/>
      <c r="RSB35" s="545"/>
      <c r="RSC35" s="545"/>
      <c r="RSD35" s="545"/>
      <c r="RSE35" s="545"/>
      <c r="RSF35" s="545"/>
      <c r="RSG35" s="545"/>
      <c r="RSH35" s="545"/>
      <c r="RSI35" s="545"/>
      <c r="RSJ35" s="545"/>
      <c r="RSK35" s="545"/>
      <c r="RSL35" s="545"/>
      <c r="RSM35" s="545"/>
      <c r="RSN35" s="545"/>
      <c r="RSO35" s="545"/>
      <c r="RSP35" s="545"/>
      <c r="RSQ35" s="545"/>
      <c r="RSR35" s="545"/>
      <c r="RSS35" s="545"/>
      <c r="RST35" s="545"/>
      <c r="RSU35" s="545"/>
      <c r="RSV35" s="545"/>
      <c r="RSW35" s="545"/>
      <c r="RSX35" s="545"/>
      <c r="RSY35" s="545"/>
      <c r="RSZ35" s="545"/>
      <c r="RTA35" s="545"/>
      <c r="RTB35" s="545"/>
      <c r="RTC35" s="545"/>
      <c r="RTD35" s="545"/>
      <c r="RTE35" s="545"/>
      <c r="RTF35" s="545"/>
      <c r="RTG35" s="545"/>
      <c r="RTH35" s="545"/>
      <c r="RTI35" s="545"/>
      <c r="RTJ35" s="545"/>
      <c r="RTK35" s="545"/>
      <c r="RTL35" s="545"/>
      <c r="RTM35" s="545"/>
      <c r="RTN35" s="545"/>
      <c r="RTO35" s="545"/>
      <c r="RTP35" s="545"/>
      <c r="RTQ35" s="545"/>
      <c r="RTR35" s="545"/>
      <c r="RTS35" s="545"/>
      <c r="RTT35" s="545"/>
      <c r="RTU35" s="545"/>
      <c r="RTV35" s="545"/>
      <c r="RTW35" s="545"/>
      <c r="RTX35" s="545"/>
      <c r="RTY35" s="545"/>
      <c r="RTZ35" s="545"/>
      <c r="RUA35" s="545"/>
      <c r="RUB35" s="545"/>
      <c r="RUC35" s="545"/>
      <c r="RUD35" s="545"/>
      <c r="RUE35" s="545"/>
      <c r="RUF35" s="545"/>
      <c r="RUG35" s="545"/>
      <c r="RUH35" s="545"/>
      <c r="RUI35" s="545"/>
      <c r="RUJ35" s="545"/>
      <c r="RUK35" s="545"/>
      <c r="RUL35" s="545"/>
      <c r="RUM35" s="545"/>
      <c r="RUN35" s="545"/>
      <c r="RUO35" s="545"/>
      <c r="RUP35" s="545"/>
      <c r="RUQ35" s="545"/>
      <c r="RUR35" s="545"/>
      <c r="RUS35" s="545"/>
      <c r="RUT35" s="545"/>
      <c r="RUU35" s="545"/>
      <c r="RUV35" s="545"/>
      <c r="RUW35" s="545"/>
      <c r="RUX35" s="545"/>
      <c r="RUY35" s="545"/>
      <c r="RUZ35" s="545"/>
      <c r="RVA35" s="545"/>
      <c r="RVB35" s="545"/>
      <c r="RVC35" s="545"/>
      <c r="RVD35" s="545"/>
      <c r="RVE35" s="545"/>
      <c r="RVF35" s="545"/>
      <c r="RVG35" s="545"/>
      <c r="RVH35" s="545"/>
      <c r="RVI35" s="545"/>
      <c r="RVJ35" s="545"/>
      <c r="RVK35" s="545"/>
      <c r="RVL35" s="545"/>
      <c r="RVM35" s="545"/>
      <c r="RVN35" s="545"/>
      <c r="RVO35" s="545"/>
      <c r="RVP35" s="545"/>
      <c r="RVQ35" s="545"/>
      <c r="RVR35" s="545"/>
      <c r="RVS35" s="545"/>
      <c r="RVT35" s="545"/>
      <c r="RVU35" s="545"/>
      <c r="RVV35" s="545"/>
      <c r="RVW35" s="545"/>
      <c r="RVX35" s="545"/>
      <c r="RVY35" s="545"/>
      <c r="RVZ35" s="545"/>
      <c r="RWA35" s="545"/>
      <c r="RWB35" s="545"/>
      <c r="RWC35" s="545"/>
      <c r="RWD35" s="545"/>
      <c r="RWE35" s="545"/>
      <c r="RWF35" s="545"/>
      <c r="RWG35" s="545"/>
      <c r="RWH35" s="545"/>
      <c r="RWI35" s="545"/>
      <c r="RWJ35" s="545"/>
      <c r="RWK35" s="545"/>
      <c r="RWL35" s="545"/>
      <c r="RWM35" s="545"/>
      <c r="RWN35" s="545"/>
      <c r="RWO35" s="545"/>
      <c r="RWP35" s="545"/>
      <c r="RWQ35" s="545"/>
      <c r="RWR35" s="545"/>
      <c r="RWS35" s="545"/>
      <c r="RWT35" s="545"/>
      <c r="RWU35" s="545"/>
      <c r="RWV35" s="545"/>
      <c r="RWW35" s="545"/>
      <c r="RWX35" s="545"/>
      <c r="RWY35" s="545"/>
      <c r="RWZ35" s="545"/>
      <c r="RXA35" s="545"/>
      <c r="RXB35" s="545"/>
      <c r="RXC35" s="545"/>
      <c r="RXD35" s="545"/>
      <c r="RXE35" s="545"/>
      <c r="RXF35" s="545"/>
      <c r="RXG35" s="545"/>
      <c r="RXH35" s="545"/>
      <c r="RXI35" s="545"/>
      <c r="RXJ35" s="545"/>
      <c r="RXK35" s="545"/>
      <c r="RXL35" s="545"/>
      <c r="RXM35" s="545"/>
      <c r="RXN35" s="545"/>
      <c r="RXO35" s="545"/>
      <c r="RXP35" s="545"/>
      <c r="RXQ35" s="545"/>
      <c r="RXR35" s="545"/>
      <c r="RXS35" s="545"/>
      <c r="RXT35" s="545"/>
      <c r="RXU35" s="545"/>
      <c r="RXV35" s="545"/>
      <c r="RXW35" s="545"/>
      <c r="RXX35" s="545"/>
      <c r="RXY35" s="545"/>
      <c r="RXZ35" s="545"/>
      <c r="RYA35" s="545"/>
      <c r="RYB35" s="545"/>
      <c r="RYC35" s="545"/>
      <c r="RYD35" s="545"/>
      <c r="RYE35" s="545"/>
      <c r="RYF35" s="545"/>
      <c r="RYG35" s="545"/>
      <c r="RYH35" s="545"/>
      <c r="RYI35" s="545"/>
      <c r="RYJ35" s="545"/>
      <c r="RYK35" s="545"/>
      <c r="RYL35" s="545"/>
      <c r="RYM35" s="545"/>
      <c r="RYN35" s="545"/>
      <c r="RYO35" s="545"/>
      <c r="RYP35" s="545"/>
      <c r="RYQ35" s="545"/>
      <c r="RYR35" s="545"/>
      <c r="RYS35" s="545"/>
      <c r="RYT35" s="545"/>
      <c r="RYU35" s="545"/>
      <c r="RYV35" s="545"/>
      <c r="RYW35" s="545"/>
      <c r="RYX35" s="545"/>
      <c r="RYY35" s="545"/>
      <c r="RYZ35" s="545"/>
      <c r="RZA35" s="545"/>
      <c r="RZB35" s="545"/>
      <c r="RZC35" s="545"/>
      <c r="RZD35" s="545"/>
      <c r="RZE35" s="545"/>
      <c r="RZF35" s="545"/>
      <c r="RZG35" s="545"/>
      <c r="RZH35" s="545"/>
      <c r="RZI35" s="545"/>
      <c r="RZJ35" s="545"/>
      <c r="RZK35" s="545"/>
      <c r="RZL35" s="545"/>
      <c r="RZM35" s="545"/>
      <c r="RZN35" s="545"/>
      <c r="RZO35" s="545"/>
      <c r="RZP35" s="545"/>
      <c r="RZQ35" s="545"/>
      <c r="RZR35" s="545"/>
      <c r="RZS35" s="545"/>
      <c r="RZT35" s="545"/>
      <c r="RZU35" s="545"/>
      <c r="RZV35" s="545"/>
      <c r="RZW35" s="545"/>
      <c r="RZX35" s="545"/>
      <c r="RZY35" s="545"/>
      <c r="RZZ35" s="545"/>
      <c r="SAA35" s="545"/>
      <c r="SAB35" s="545"/>
      <c r="SAC35" s="545"/>
      <c r="SAD35" s="545"/>
      <c r="SAE35" s="545"/>
      <c r="SAF35" s="545"/>
      <c r="SAG35" s="545"/>
      <c r="SAH35" s="545"/>
      <c r="SAI35" s="545"/>
      <c r="SAJ35" s="545"/>
      <c r="SAK35" s="545"/>
      <c r="SAL35" s="545"/>
      <c r="SAM35" s="545"/>
      <c r="SAN35" s="545"/>
      <c r="SAO35" s="545"/>
      <c r="SAP35" s="545"/>
      <c r="SAQ35" s="545"/>
      <c r="SAR35" s="545"/>
      <c r="SAS35" s="545"/>
      <c r="SAT35" s="545"/>
      <c r="SAU35" s="545"/>
      <c r="SAV35" s="545"/>
      <c r="SAW35" s="545"/>
      <c r="SAX35" s="545"/>
      <c r="SAY35" s="545"/>
      <c r="SAZ35" s="545"/>
      <c r="SBA35" s="545"/>
      <c r="SBB35" s="545"/>
      <c r="SBC35" s="545"/>
      <c r="SBD35" s="545"/>
      <c r="SBE35" s="545"/>
      <c r="SBF35" s="545"/>
      <c r="SBG35" s="545"/>
      <c r="SBH35" s="545"/>
      <c r="SBI35" s="545"/>
      <c r="SBJ35" s="545"/>
      <c r="SBK35" s="545"/>
      <c r="SBL35" s="545"/>
      <c r="SBM35" s="545"/>
      <c r="SBN35" s="545"/>
      <c r="SBO35" s="545"/>
      <c r="SBP35" s="545"/>
      <c r="SBQ35" s="545"/>
      <c r="SBR35" s="545"/>
      <c r="SBS35" s="545"/>
      <c r="SBT35" s="545"/>
      <c r="SBU35" s="545"/>
      <c r="SBV35" s="545"/>
      <c r="SBW35" s="545"/>
      <c r="SBX35" s="545"/>
      <c r="SBY35" s="545"/>
      <c r="SBZ35" s="545"/>
      <c r="SCA35" s="545"/>
      <c r="SCB35" s="545"/>
      <c r="SCC35" s="545"/>
      <c r="SCD35" s="545"/>
      <c r="SCE35" s="545"/>
      <c r="SCF35" s="545"/>
      <c r="SCG35" s="545"/>
      <c r="SCH35" s="545"/>
      <c r="SCI35" s="545"/>
      <c r="SCJ35" s="545"/>
      <c r="SCK35" s="545"/>
      <c r="SCL35" s="545"/>
      <c r="SCM35" s="545"/>
      <c r="SCN35" s="545"/>
      <c r="SCO35" s="545"/>
      <c r="SCP35" s="545"/>
      <c r="SCQ35" s="545"/>
      <c r="SCR35" s="545"/>
      <c r="SCS35" s="545"/>
      <c r="SCT35" s="545"/>
      <c r="SCU35" s="545"/>
      <c r="SCV35" s="545"/>
      <c r="SCW35" s="545"/>
      <c r="SCX35" s="545"/>
      <c r="SCY35" s="545"/>
      <c r="SCZ35" s="545"/>
      <c r="SDA35" s="545"/>
      <c r="SDB35" s="545"/>
      <c r="SDC35" s="545"/>
      <c r="SDD35" s="545"/>
      <c r="SDE35" s="545"/>
      <c r="SDF35" s="545"/>
      <c r="SDG35" s="545"/>
      <c r="SDH35" s="545"/>
      <c r="SDI35" s="545"/>
      <c r="SDJ35" s="545"/>
      <c r="SDK35" s="545"/>
      <c r="SDL35" s="545"/>
      <c r="SDM35" s="545"/>
      <c r="SDN35" s="545"/>
      <c r="SDO35" s="545"/>
      <c r="SDP35" s="545"/>
      <c r="SDQ35" s="545"/>
      <c r="SDR35" s="545"/>
      <c r="SDS35" s="545"/>
      <c r="SDT35" s="545"/>
      <c r="SDU35" s="545"/>
      <c r="SDV35" s="545"/>
      <c r="SDW35" s="545"/>
      <c r="SDX35" s="545"/>
      <c r="SDY35" s="545"/>
      <c r="SDZ35" s="545"/>
      <c r="SEA35" s="545"/>
      <c r="SEB35" s="545"/>
      <c r="SEC35" s="545"/>
      <c r="SED35" s="545"/>
      <c r="SEE35" s="545"/>
      <c r="SEF35" s="545"/>
      <c r="SEG35" s="545"/>
      <c r="SEH35" s="545"/>
      <c r="SEI35" s="545"/>
      <c r="SEJ35" s="545"/>
      <c r="SEK35" s="545"/>
      <c r="SEL35" s="545"/>
      <c r="SEM35" s="545"/>
      <c r="SEN35" s="545"/>
      <c r="SEO35" s="545"/>
      <c r="SEP35" s="545"/>
      <c r="SEQ35" s="545"/>
      <c r="SER35" s="545"/>
      <c r="SES35" s="545"/>
      <c r="SET35" s="545"/>
      <c r="SEU35" s="545"/>
      <c r="SEV35" s="545"/>
      <c r="SEW35" s="545"/>
      <c r="SEX35" s="545"/>
      <c r="SEY35" s="545"/>
      <c r="SEZ35" s="545"/>
      <c r="SFA35" s="545"/>
      <c r="SFB35" s="545"/>
      <c r="SFC35" s="545"/>
      <c r="SFD35" s="545"/>
      <c r="SFE35" s="545"/>
      <c r="SFF35" s="545"/>
      <c r="SFG35" s="545"/>
      <c r="SFH35" s="545"/>
      <c r="SFI35" s="545"/>
      <c r="SFJ35" s="545"/>
      <c r="SFK35" s="545"/>
      <c r="SFL35" s="545"/>
      <c r="SFM35" s="545"/>
      <c r="SFN35" s="545"/>
      <c r="SFO35" s="545"/>
      <c r="SFP35" s="545"/>
      <c r="SFQ35" s="545"/>
      <c r="SFR35" s="545"/>
      <c r="SFS35" s="545"/>
      <c r="SFT35" s="545"/>
      <c r="SFU35" s="545"/>
      <c r="SFV35" s="545"/>
      <c r="SFW35" s="545"/>
      <c r="SFX35" s="545"/>
      <c r="SFY35" s="545"/>
      <c r="SFZ35" s="545"/>
      <c r="SGA35" s="545"/>
      <c r="SGB35" s="545"/>
      <c r="SGC35" s="545"/>
      <c r="SGD35" s="545"/>
      <c r="SGE35" s="545"/>
      <c r="SGF35" s="545"/>
      <c r="SGG35" s="545"/>
      <c r="SGH35" s="545"/>
      <c r="SGI35" s="545"/>
      <c r="SGJ35" s="545"/>
      <c r="SGK35" s="545"/>
      <c r="SGL35" s="545"/>
      <c r="SGM35" s="545"/>
      <c r="SGN35" s="545"/>
      <c r="SGO35" s="545"/>
      <c r="SGP35" s="545"/>
      <c r="SGQ35" s="545"/>
      <c r="SGR35" s="545"/>
      <c r="SGS35" s="545"/>
      <c r="SGT35" s="545"/>
      <c r="SGU35" s="545"/>
      <c r="SGV35" s="545"/>
      <c r="SGW35" s="545"/>
      <c r="SGX35" s="545"/>
      <c r="SGY35" s="545"/>
      <c r="SGZ35" s="545"/>
      <c r="SHA35" s="545"/>
      <c r="SHB35" s="545"/>
      <c r="SHC35" s="545"/>
      <c r="SHD35" s="545"/>
      <c r="SHE35" s="545"/>
      <c r="SHF35" s="545"/>
      <c r="SHG35" s="545"/>
      <c r="SHH35" s="545"/>
      <c r="SHI35" s="545"/>
      <c r="SHJ35" s="545"/>
      <c r="SHK35" s="545"/>
      <c r="SHL35" s="545"/>
      <c r="SHM35" s="545"/>
      <c r="SHN35" s="545"/>
      <c r="SHO35" s="545"/>
      <c r="SHP35" s="545"/>
      <c r="SHQ35" s="545"/>
      <c r="SHR35" s="545"/>
      <c r="SHS35" s="545"/>
      <c r="SHT35" s="545"/>
      <c r="SHU35" s="545"/>
      <c r="SHV35" s="545"/>
      <c r="SHW35" s="545"/>
      <c r="SHX35" s="545"/>
      <c r="SHY35" s="545"/>
      <c r="SHZ35" s="545"/>
      <c r="SIA35" s="545"/>
      <c r="SIB35" s="545"/>
      <c r="SIC35" s="545"/>
      <c r="SID35" s="545"/>
      <c r="SIE35" s="545"/>
      <c r="SIF35" s="545"/>
      <c r="SIG35" s="545"/>
      <c r="SIH35" s="545"/>
      <c r="SII35" s="545"/>
      <c r="SIJ35" s="545"/>
      <c r="SIK35" s="545"/>
      <c r="SIL35" s="545"/>
      <c r="SIM35" s="545"/>
      <c r="SIN35" s="545"/>
      <c r="SIO35" s="545"/>
      <c r="SIP35" s="545"/>
      <c r="SIQ35" s="545"/>
      <c r="SIR35" s="545"/>
      <c r="SIS35" s="545"/>
      <c r="SIT35" s="545"/>
      <c r="SIU35" s="545"/>
      <c r="SIV35" s="545"/>
      <c r="SIW35" s="545"/>
      <c r="SIX35" s="545"/>
      <c r="SIY35" s="545"/>
      <c r="SIZ35" s="545"/>
      <c r="SJA35" s="545"/>
      <c r="SJB35" s="545"/>
      <c r="SJC35" s="545"/>
      <c r="SJD35" s="545"/>
      <c r="SJE35" s="545"/>
      <c r="SJF35" s="545"/>
      <c r="SJG35" s="545"/>
      <c r="SJH35" s="545"/>
      <c r="SJI35" s="545"/>
      <c r="SJJ35" s="545"/>
      <c r="SJK35" s="545"/>
      <c r="SJL35" s="545"/>
      <c r="SJM35" s="545"/>
      <c r="SJN35" s="545"/>
      <c r="SJO35" s="545"/>
      <c r="SJP35" s="545"/>
      <c r="SJQ35" s="545"/>
      <c r="SJR35" s="545"/>
      <c r="SJS35" s="545"/>
      <c r="SJT35" s="545"/>
      <c r="SJU35" s="545"/>
      <c r="SJV35" s="545"/>
      <c r="SJW35" s="545"/>
      <c r="SJX35" s="545"/>
      <c r="SJY35" s="545"/>
      <c r="SJZ35" s="545"/>
      <c r="SKA35" s="545"/>
      <c r="SKB35" s="545"/>
      <c r="SKC35" s="545"/>
      <c r="SKD35" s="545"/>
      <c r="SKE35" s="545"/>
      <c r="SKF35" s="545"/>
      <c r="SKG35" s="545"/>
      <c r="SKH35" s="545"/>
      <c r="SKI35" s="545"/>
      <c r="SKJ35" s="545"/>
      <c r="SKK35" s="545"/>
      <c r="SKL35" s="545"/>
      <c r="SKM35" s="545"/>
      <c r="SKN35" s="545"/>
      <c r="SKO35" s="545"/>
      <c r="SKP35" s="545"/>
      <c r="SKQ35" s="545"/>
      <c r="SKR35" s="545"/>
      <c r="SKS35" s="545"/>
      <c r="SKT35" s="545"/>
      <c r="SKU35" s="545"/>
      <c r="SKV35" s="545"/>
      <c r="SKW35" s="545"/>
      <c r="SKX35" s="545"/>
      <c r="SKY35" s="545"/>
      <c r="SKZ35" s="545"/>
      <c r="SLA35" s="545"/>
      <c r="SLB35" s="545"/>
      <c r="SLC35" s="545"/>
      <c r="SLD35" s="545"/>
      <c r="SLE35" s="545"/>
      <c r="SLF35" s="545"/>
      <c r="SLG35" s="545"/>
      <c r="SLH35" s="545"/>
      <c r="SLI35" s="545"/>
      <c r="SLJ35" s="545"/>
      <c r="SLK35" s="545"/>
      <c r="SLL35" s="545"/>
      <c r="SLM35" s="545"/>
      <c r="SLN35" s="545"/>
      <c r="SLO35" s="545"/>
      <c r="SLP35" s="545"/>
      <c r="SLQ35" s="545"/>
      <c r="SLR35" s="545"/>
      <c r="SLS35" s="545"/>
      <c r="SLT35" s="545"/>
      <c r="SLU35" s="545"/>
      <c r="SLV35" s="545"/>
      <c r="SLW35" s="545"/>
      <c r="SLX35" s="545"/>
      <c r="SLY35" s="545"/>
      <c r="SLZ35" s="545"/>
      <c r="SMA35" s="545"/>
      <c r="SMB35" s="545"/>
      <c r="SMC35" s="545"/>
      <c r="SMD35" s="545"/>
      <c r="SME35" s="545"/>
      <c r="SMF35" s="545"/>
      <c r="SMG35" s="545"/>
      <c r="SMH35" s="545"/>
      <c r="SMI35" s="545"/>
      <c r="SMJ35" s="545"/>
      <c r="SMK35" s="545"/>
      <c r="SML35" s="545"/>
      <c r="SMM35" s="545"/>
      <c r="SMN35" s="545"/>
      <c r="SMO35" s="545"/>
      <c r="SMP35" s="545"/>
      <c r="SMQ35" s="545"/>
      <c r="SMR35" s="545"/>
      <c r="SMS35" s="545"/>
      <c r="SMT35" s="545"/>
      <c r="SMU35" s="545"/>
      <c r="SMV35" s="545"/>
      <c r="SMW35" s="545"/>
      <c r="SMX35" s="545"/>
      <c r="SMY35" s="545"/>
      <c r="SMZ35" s="545"/>
      <c r="SNA35" s="545"/>
      <c r="SNB35" s="545"/>
      <c r="SNC35" s="545"/>
      <c r="SND35" s="545"/>
      <c r="SNE35" s="545"/>
      <c r="SNF35" s="545"/>
      <c r="SNG35" s="545"/>
      <c r="SNH35" s="545"/>
      <c r="SNI35" s="545"/>
      <c r="SNJ35" s="545"/>
      <c r="SNK35" s="545"/>
      <c r="SNL35" s="545"/>
      <c r="SNM35" s="545"/>
      <c r="SNN35" s="545"/>
      <c r="SNO35" s="545"/>
      <c r="SNP35" s="545"/>
      <c r="SNQ35" s="545"/>
      <c r="SNR35" s="545"/>
      <c r="SNS35" s="545"/>
      <c r="SNT35" s="545"/>
      <c r="SNU35" s="545"/>
      <c r="SNV35" s="545"/>
      <c r="SNW35" s="545"/>
      <c r="SNX35" s="545"/>
      <c r="SNY35" s="545"/>
      <c r="SNZ35" s="545"/>
      <c r="SOA35" s="545"/>
      <c r="SOB35" s="545"/>
      <c r="SOC35" s="545"/>
      <c r="SOD35" s="545"/>
      <c r="SOE35" s="545"/>
      <c r="SOF35" s="545"/>
      <c r="SOG35" s="545"/>
      <c r="SOH35" s="545"/>
      <c r="SOI35" s="545"/>
      <c r="SOJ35" s="545"/>
      <c r="SOK35" s="545"/>
      <c r="SOL35" s="545"/>
      <c r="SOM35" s="545"/>
      <c r="SON35" s="545"/>
      <c r="SOO35" s="545"/>
      <c r="SOP35" s="545"/>
      <c r="SOQ35" s="545"/>
      <c r="SOR35" s="545"/>
      <c r="SOS35" s="545"/>
      <c r="SOT35" s="545"/>
      <c r="SOU35" s="545"/>
      <c r="SOV35" s="545"/>
      <c r="SOW35" s="545"/>
      <c r="SOX35" s="545"/>
      <c r="SOY35" s="545"/>
      <c r="SOZ35" s="545"/>
      <c r="SPA35" s="545"/>
      <c r="SPB35" s="545"/>
      <c r="SPC35" s="545"/>
      <c r="SPD35" s="545"/>
      <c r="SPE35" s="545"/>
      <c r="SPF35" s="545"/>
      <c r="SPG35" s="545"/>
      <c r="SPH35" s="545"/>
      <c r="SPI35" s="545"/>
      <c r="SPJ35" s="545"/>
      <c r="SPK35" s="545"/>
      <c r="SPL35" s="545"/>
      <c r="SPM35" s="545"/>
      <c r="SPN35" s="545"/>
      <c r="SPO35" s="545"/>
      <c r="SPP35" s="545"/>
      <c r="SPQ35" s="545"/>
      <c r="SPR35" s="545"/>
      <c r="SPS35" s="545"/>
      <c r="SPT35" s="545"/>
      <c r="SPU35" s="545"/>
      <c r="SPV35" s="545"/>
      <c r="SPW35" s="545"/>
      <c r="SPX35" s="545"/>
      <c r="SPY35" s="545"/>
      <c r="SPZ35" s="545"/>
      <c r="SQA35" s="545"/>
      <c r="SQB35" s="545"/>
      <c r="SQC35" s="545"/>
      <c r="SQD35" s="545"/>
      <c r="SQE35" s="545"/>
      <c r="SQF35" s="545"/>
      <c r="SQG35" s="545"/>
      <c r="SQH35" s="545"/>
      <c r="SQI35" s="545"/>
      <c r="SQJ35" s="545"/>
      <c r="SQK35" s="545"/>
      <c r="SQL35" s="545"/>
      <c r="SQM35" s="545"/>
      <c r="SQN35" s="545"/>
      <c r="SQO35" s="545"/>
      <c r="SQP35" s="545"/>
      <c r="SQQ35" s="545"/>
      <c r="SQR35" s="545"/>
      <c r="SQS35" s="545"/>
      <c r="SQT35" s="545"/>
      <c r="SQU35" s="545"/>
      <c r="SQV35" s="545"/>
      <c r="SQW35" s="545"/>
      <c r="SQX35" s="545"/>
      <c r="SQY35" s="545"/>
      <c r="SQZ35" s="545"/>
      <c r="SRA35" s="545"/>
      <c r="SRB35" s="545"/>
      <c r="SRC35" s="545"/>
      <c r="SRD35" s="545"/>
      <c r="SRE35" s="545"/>
      <c r="SRF35" s="545"/>
      <c r="SRG35" s="545"/>
      <c r="SRH35" s="545"/>
      <c r="SRI35" s="545"/>
      <c r="SRJ35" s="545"/>
      <c r="SRK35" s="545"/>
      <c r="SRL35" s="545"/>
      <c r="SRM35" s="545"/>
      <c r="SRN35" s="545"/>
      <c r="SRO35" s="545"/>
      <c r="SRP35" s="545"/>
      <c r="SRQ35" s="545"/>
      <c r="SRR35" s="545"/>
      <c r="SRS35" s="545"/>
      <c r="SRT35" s="545"/>
      <c r="SRU35" s="545"/>
      <c r="SRV35" s="545"/>
      <c r="SRW35" s="545"/>
      <c r="SRX35" s="545"/>
      <c r="SRY35" s="545"/>
      <c r="SRZ35" s="545"/>
      <c r="SSA35" s="545"/>
      <c r="SSB35" s="545"/>
      <c r="SSC35" s="545"/>
      <c r="SSD35" s="545"/>
      <c r="SSE35" s="545"/>
      <c r="SSF35" s="545"/>
      <c r="SSG35" s="545"/>
      <c r="SSH35" s="545"/>
      <c r="SSI35" s="545"/>
      <c r="SSJ35" s="545"/>
      <c r="SSK35" s="545"/>
      <c r="SSL35" s="545"/>
      <c r="SSM35" s="545"/>
      <c r="SSN35" s="545"/>
      <c r="SSO35" s="545"/>
      <c r="SSP35" s="545"/>
      <c r="SSQ35" s="545"/>
      <c r="SSR35" s="545"/>
      <c r="SSS35" s="545"/>
      <c r="SST35" s="545"/>
      <c r="SSU35" s="545"/>
      <c r="SSV35" s="545"/>
      <c r="SSW35" s="545"/>
      <c r="SSX35" s="545"/>
      <c r="SSY35" s="545"/>
      <c r="SSZ35" s="545"/>
      <c r="STA35" s="545"/>
      <c r="STB35" s="545"/>
      <c r="STC35" s="545"/>
      <c r="STD35" s="545"/>
      <c r="STE35" s="545"/>
      <c r="STF35" s="545"/>
      <c r="STG35" s="545"/>
      <c r="STH35" s="545"/>
      <c r="STI35" s="545"/>
      <c r="STJ35" s="545"/>
      <c r="STK35" s="545"/>
      <c r="STL35" s="545"/>
      <c r="STM35" s="545"/>
      <c r="STN35" s="545"/>
      <c r="STO35" s="545"/>
      <c r="STP35" s="545"/>
      <c r="STQ35" s="545"/>
      <c r="STR35" s="545"/>
      <c r="STS35" s="545"/>
      <c r="STT35" s="545"/>
      <c r="STU35" s="545"/>
      <c r="STV35" s="545"/>
      <c r="STW35" s="545"/>
      <c r="STX35" s="545"/>
      <c r="STY35" s="545"/>
      <c r="STZ35" s="545"/>
      <c r="SUA35" s="545"/>
      <c r="SUB35" s="545"/>
      <c r="SUC35" s="545"/>
      <c r="SUD35" s="545"/>
      <c r="SUE35" s="545"/>
      <c r="SUF35" s="545"/>
      <c r="SUG35" s="545"/>
      <c r="SUH35" s="545"/>
      <c r="SUI35" s="545"/>
      <c r="SUJ35" s="545"/>
      <c r="SUK35" s="545"/>
      <c r="SUL35" s="545"/>
      <c r="SUM35" s="545"/>
      <c r="SUN35" s="545"/>
      <c r="SUO35" s="545"/>
      <c r="SUP35" s="545"/>
      <c r="SUQ35" s="545"/>
      <c r="SUR35" s="545"/>
      <c r="SUS35" s="545"/>
      <c r="SUT35" s="545"/>
      <c r="SUU35" s="545"/>
      <c r="SUV35" s="545"/>
      <c r="SUW35" s="545"/>
      <c r="SUX35" s="545"/>
      <c r="SUY35" s="545"/>
      <c r="SUZ35" s="545"/>
      <c r="SVA35" s="545"/>
      <c r="SVB35" s="545"/>
      <c r="SVC35" s="545"/>
      <c r="SVD35" s="545"/>
      <c r="SVE35" s="545"/>
      <c r="SVF35" s="545"/>
      <c r="SVG35" s="545"/>
      <c r="SVH35" s="545"/>
      <c r="SVI35" s="545"/>
      <c r="SVJ35" s="545"/>
      <c r="SVK35" s="545"/>
      <c r="SVL35" s="545"/>
      <c r="SVM35" s="545"/>
      <c r="SVN35" s="545"/>
      <c r="SVO35" s="545"/>
      <c r="SVP35" s="545"/>
      <c r="SVQ35" s="545"/>
      <c r="SVR35" s="545"/>
      <c r="SVS35" s="545"/>
      <c r="SVT35" s="545"/>
      <c r="SVU35" s="545"/>
      <c r="SVV35" s="545"/>
      <c r="SVW35" s="545"/>
      <c r="SVX35" s="545"/>
      <c r="SVY35" s="545"/>
      <c r="SVZ35" s="545"/>
      <c r="SWA35" s="545"/>
      <c r="SWB35" s="545"/>
      <c r="SWC35" s="545"/>
      <c r="SWD35" s="545"/>
      <c r="SWE35" s="545"/>
      <c r="SWF35" s="545"/>
      <c r="SWG35" s="545"/>
      <c r="SWH35" s="545"/>
      <c r="SWI35" s="545"/>
      <c r="SWJ35" s="545"/>
      <c r="SWK35" s="545"/>
      <c r="SWL35" s="545"/>
      <c r="SWM35" s="545"/>
      <c r="SWN35" s="545"/>
      <c r="SWO35" s="545"/>
      <c r="SWP35" s="545"/>
      <c r="SWQ35" s="545"/>
      <c r="SWR35" s="545"/>
      <c r="SWS35" s="545"/>
      <c r="SWT35" s="545"/>
      <c r="SWU35" s="545"/>
      <c r="SWV35" s="545"/>
      <c r="SWW35" s="545"/>
      <c r="SWX35" s="545"/>
      <c r="SWY35" s="545"/>
      <c r="SWZ35" s="545"/>
      <c r="SXA35" s="545"/>
      <c r="SXB35" s="545"/>
      <c r="SXC35" s="545"/>
      <c r="SXD35" s="545"/>
      <c r="SXE35" s="545"/>
      <c r="SXF35" s="545"/>
      <c r="SXG35" s="545"/>
      <c r="SXH35" s="545"/>
      <c r="SXI35" s="545"/>
      <c r="SXJ35" s="545"/>
      <c r="SXK35" s="545"/>
      <c r="SXL35" s="545"/>
      <c r="SXM35" s="545"/>
      <c r="SXN35" s="545"/>
      <c r="SXO35" s="545"/>
      <c r="SXP35" s="545"/>
      <c r="SXQ35" s="545"/>
      <c r="SXR35" s="545"/>
      <c r="SXS35" s="545"/>
      <c r="SXT35" s="545"/>
      <c r="SXU35" s="545"/>
      <c r="SXV35" s="545"/>
      <c r="SXW35" s="545"/>
      <c r="SXX35" s="545"/>
      <c r="SXY35" s="545"/>
      <c r="SXZ35" s="545"/>
      <c r="SYA35" s="545"/>
      <c r="SYB35" s="545"/>
      <c r="SYC35" s="545"/>
      <c r="SYD35" s="545"/>
      <c r="SYE35" s="545"/>
      <c r="SYF35" s="545"/>
      <c r="SYG35" s="545"/>
      <c r="SYH35" s="545"/>
      <c r="SYI35" s="545"/>
      <c r="SYJ35" s="545"/>
      <c r="SYK35" s="545"/>
      <c r="SYL35" s="545"/>
      <c r="SYM35" s="545"/>
      <c r="SYN35" s="545"/>
      <c r="SYO35" s="545"/>
      <c r="SYP35" s="545"/>
      <c r="SYQ35" s="545"/>
      <c r="SYR35" s="545"/>
      <c r="SYS35" s="545"/>
      <c r="SYT35" s="545"/>
      <c r="SYU35" s="545"/>
      <c r="SYV35" s="545"/>
      <c r="SYW35" s="545"/>
      <c r="SYX35" s="545"/>
      <c r="SYY35" s="545"/>
      <c r="SYZ35" s="545"/>
      <c r="SZA35" s="545"/>
      <c r="SZB35" s="545"/>
      <c r="SZC35" s="545"/>
      <c r="SZD35" s="545"/>
      <c r="SZE35" s="545"/>
      <c r="SZF35" s="545"/>
      <c r="SZG35" s="545"/>
      <c r="SZH35" s="545"/>
      <c r="SZI35" s="545"/>
      <c r="SZJ35" s="545"/>
      <c r="SZK35" s="545"/>
      <c r="SZL35" s="545"/>
      <c r="SZM35" s="545"/>
      <c r="SZN35" s="545"/>
      <c r="SZO35" s="545"/>
      <c r="SZP35" s="545"/>
      <c r="SZQ35" s="545"/>
      <c r="SZR35" s="545"/>
      <c r="SZS35" s="545"/>
      <c r="SZT35" s="545"/>
      <c r="SZU35" s="545"/>
      <c r="SZV35" s="545"/>
      <c r="SZW35" s="545"/>
      <c r="SZX35" s="545"/>
      <c r="SZY35" s="545"/>
      <c r="SZZ35" s="545"/>
      <c r="TAA35" s="545"/>
      <c r="TAB35" s="545"/>
      <c r="TAC35" s="545"/>
      <c r="TAD35" s="545"/>
      <c r="TAE35" s="545"/>
      <c r="TAF35" s="545"/>
      <c r="TAG35" s="545"/>
      <c r="TAH35" s="545"/>
      <c r="TAI35" s="545"/>
      <c r="TAJ35" s="545"/>
      <c r="TAK35" s="545"/>
      <c r="TAL35" s="545"/>
      <c r="TAM35" s="545"/>
      <c r="TAN35" s="545"/>
      <c r="TAO35" s="545"/>
      <c r="TAP35" s="545"/>
      <c r="TAQ35" s="545"/>
      <c r="TAR35" s="545"/>
      <c r="TAS35" s="545"/>
      <c r="TAT35" s="545"/>
      <c r="TAU35" s="545"/>
      <c r="TAV35" s="545"/>
      <c r="TAW35" s="545"/>
      <c r="TAX35" s="545"/>
      <c r="TAY35" s="545"/>
      <c r="TAZ35" s="545"/>
      <c r="TBA35" s="545"/>
      <c r="TBB35" s="545"/>
      <c r="TBC35" s="545"/>
      <c r="TBD35" s="545"/>
      <c r="TBE35" s="545"/>
      <c r="TBF35" s="545"/>
      <c r="TBG35" s="545"/>
      <c r="TBH35" s="545"/>
      <c r="TBI35" s="545"/>
      <c r="TBJ35" s="545"/>
      <c r="TBK35" s="545"/>
      <c r="TBL35" s="545"/>
      <c r="TBM35" s="545"/>
      <c r="TBN35" s="545"/>
      <c r="TBO35" s="545"/>
      <c r="TBP35" s="545"/>
      <c r="TBQ35" s="545"/>
      <c r="TBR35" s="545"/>
      <c r="TBS35" s="545"/>
      <c r="TBT35" s="545"/>
      <c r="TBU35" s="545"/>
      <c r="TBV35" s="545"/>
      <c r="TBW35" s="545"/>
      <c r="TBX35" s="545"/>
      <c r="TBY35" s="545"/>
      <c r="TBZ35" s="545"/>
      <c r="TCA35" s="545"/>
      <c r="TCB35" s="545"/>
      <c r="TCC35" s="545"/>
      <c r="TCD35" s="545"/>
      <c r="TCE35" s="545"/>
      <c r="TCF35" s="545"/>
      <c r="TCG35" s="545"/>
      <c r="TCH35" s="545"/>
      <c r="TCI35" s="545"/>
      <c r="TCJ35" s="545"/>
      <c r="TCK35" s="545"/>
      <c r="TCL35" s="545"/>
      <c r="TCM35" s="545"/>
      <c r="TCN35" s="545"/>
      <c r="TCO35" s="545"/>
      <c r="TCP35" s="545"/>
      <c r="TCQ35" s="545"/>
      <c r="TCR35" s="545"/>
      <c r="TCS35" s="545"/>
      <c r="TCT35" s="545"/>
      <c r="TCU35" s="545"/>
      <c r="TCV35" s="545"/>
      <c r="TCW35" s="545"/>
      <c r="TCX35" s="545"/>
      <c r="TCY35" s="545"/>
      <c r="TCZ35" s="545"/>
      <c r="TDA35" s="545"/>
      <c r="TDB35" s="545"/>
      <c r="TDC35" s="545"/>
      <c r="TDD35" s="545"/>
      <c r="TDE35" s="545"/>
      <c r="TDF35" s="545"/>
      <c r="TDG35" s="545"/>
      <c r="TDH35" s="545"/>
      <c r="TDI35" s="545"/>
      <c r="TDJ35" s="545"/>
      <c r="TDK35" s="545"/>
      <c r="TDL35" s="545"/>
      <c r="TDM35" s="545"/>
      <c r="TDN35" s="545"/>
      <c r="TDO35" s="545"/>
      <c r="TDP35" s="545"/>
      <c r="TDQ35" s="545"/>
      <c r="TDR35" s="545"/>
      <c r="TDS35" s="545"/>
      <c r="TDT35" s="545"/>
      <c r="TDU35" s="545"/>
      <c r="TDV35" s="545"/>
      <c r="TDW35" s="545"/>
      <c r="TDX35" s="545"/>
      <c r="TDY35" s="545"/>
      <c r="TDZ35" s="545"/>
      <c r="TEA35" s="545"/>
      <c r="TEB35" s="545"/>
      <c r="TEC35" s="545"/>
      <c r="TED35" s="545"/>
      <c r="TEE35" s="545"/>
      <c r="TEF35" s="545"/>
      <c r="TEG35" s="545"/>
      <c r="TEH35" s="545"/>
      <c r="TEI35" s="545"/>
      <c r="TEJ35" s="545"/>
      <c r="TEK35" s="545"/>
      <c r="TEL35" s="545"/>
      <c r="TEM35" s="545"/>
      <c r="TEN35" s="545"/>
      <c r="TEO35" s="545"/>
      <c r="TEP35" s="545"/>
      <c r="TEQ35" s="545"/>
      <c r="TER35" s="545"/>
      <c r="TES35" s="545"/>
      <c r="TET35" s="545"/>
      <c r="TEU35" s="545"/>
      <c r="TEV35" s="545"/>
      <c r="TEW35" s="545"/>
      <c r="TEX35" s="545"/>
      <c r="TEY35" s="545"/>
      <c r="TEZ35" s="545"/>
      <c r="TFA35" s="545"/>
      <c r="TFB35" s="545"/>
      <c r="TFC35" s="545"/>
      <c r="TFD35" s="545"/>
      <c r="TFE35" s="545"/>
      <c r="TFF35" s="545"/>
      <c r="TFG35" s="545"/>
      <c r="TFH35" s="545"/>
      <c r="TFI35" s="545"/>
      <c r="TFJ35" s="545"/>
      <c r="TFK35" s="545"/>
      <c r="TFL35" s="545"/>
      <c r="TFM35" s="545"/>
      <c r="TFN35" s="545"/>
      <c r="TFO35" s="545"/>
      <c r="TFP35" s="545"/>
      <c r="TFQ35" s="545"/>
      <c r="TFR35" s="545"/>
      <c r="TFS35" s="545"/>
      <c r="TFT35" s="545"/>
      <c r="TFU35" s="545"/>
      <c r="TFV35" s="545"/>
      <c r="TFW35" s="545"/>
      <c r="TFX35" s="545"/>
      <c r="TFY35" s="545"/>
      <c r="TFZ35" s="545"/>
      <c r="TGA35" s="545"/>
      <c r="TGB35" s="545"/>
      <c r="TGC35" s="545"/>
      <c r="TGD35" s="545"/>
      <c r="TGE35" s="545"/>
      <c r="TGF35" s="545"/>
      <c r="TGG35" s="545"/>
      <c r="TGH35" s="545"/>
      <c r="TGI35" s="545"/>
      <c r="TGJ35" s="545"/>
      <c r="TGK35" s="545"/>
      <c r="TGL35" s="545"/>
      <c r="TGM35" s="545"/>
      <c r="TGN35" s="545"/>
      <c r="TGO35" s="545"/>
      <c r="TGP35" s="545"/>
      <c r="TGQ35" s="545"/>
      <c r="TGR35" s="545"/>
      <c r="TGS35" s="545"/>
      <c r="TGT35" s="545"/>
      <c r="TGU35" s="545"/>
      <c r="TGV35" s="545"/>
      <c r="TGW35" s="545"/>
      <c r="TGX35" s="545"/>
      <c r="TGY35" s="545"/>
      <c r="TGZ35" s="545"/>
      <c r="THA35" s="545"/>
      <c r="THB35" s="545"/>
      <c r="THC35" s="545"/>
      <c r="THD35" s="545"/>
      <c r="THE35" s="545"/>
      <c r="THF35" s="545"/>
      <c r="THG35" s="545"/>
      <c r="THH35" s="545"/>
      <c r="THI35" s="545"/>
      <c r="THJ35" s="545"/>
      <c r="THK35" s="545"/>
      <c r="THL35" s="545"/>
      <c r="THM35" s="545"/>
      <c r="THN35" s="545"/>
      <c r="THO35" s="545"/>
      <c r="THP35" s="545"/>
      <c r="THQ35" s="545"/>
      <c r="THR35" s="545"/>
      <c r="THS35" s="545"/>
      <c r="THT35" s="545"/>
      <c r="THU35" s="545"/>
      <c r="THV35" s="545"/>
      <c r="THW35" s="545"/>
      <c r="THX35" s="545"/>
      <c r="THY35" s="545"/>
      <c r="THZ35" s="545"/>
      <c r="TIA35" s="545"/>
      <c r="TIB35" s="545"/>
      <c r="TIC35" s="545"/>
      <c r="TID35" s="545"/>
      <c r="TIE35" s="545"/>
      <c r="TIF35" s="545"/>
      <c r="TIG35" s="545"/>
      <c r="TIH35" s="545"/>
      <c r="TII35" s="545"/>
      <c r="TIJ35" s="545"/>
      <c r="TIK35" s="545"/>
      <c r="TIL35" s="545"/>
      <c r="TIM35" s="545"/>
      <c r="TIN35" s="545"/>
      <c r="TIO35" s="545"/>
      <c r="TIP35" s="545"/>
      <c r="TIQ35" s="545"/>
      <c r="TIR35" s="545"/>
      <c r="TIS35" s="545"/>
      <c r="TIT35" s="545"/>
      <c r="TIU35" s="545"/>
      <c r="TIV35" s="545"/>
      <c r="TIW35" s="545"/>
      <c r="TIX35" s="545"/>
      <c r="TIY35" s="545"/>
      <c r="TIZ35" s="545"/>
      <c r="TJA35" s="545"/>
      <c r="TJB35" s="545"/>
      <c r="TJC35" s="545"/>
      <c r="TJD35" s="545"/>
      <c r="TJE35" s="545"/>
      <c r="TJF35" s="545"/>
      <c r="TJG35" s="545"/>
      <c r="TJH35" s="545"/>
      <c r="TJI35" s="545"/>
      <c r="TJJ35" s="545"/>
      <c r="TJK35" s="545"/>
      <c r="TJL35" s="545"/>
      <c r="TJM35" s="545"/>
      <c r="TJN35" s="545"/>
      <c r="TJO35" s="545"/>
      <c r="TJP35" s="545"/>
      <c r="TJQ35" s="545"/>
      <c r="TJR35" s="545"/>
      <c r="TJS35" s="545"/>
      <c r="TJT35" s="545"/>
      <c r="TJU35" s="545"/>
      <c r="TJV35" s="545"/>
      <c r="TJW35" s="545"/>
      <c r="TJX35" s="545"/>
      <c r="TJY35" s="545"/>
      <c r="TJZ35" s="545"/>
      <c r="TKA35" s="545"/>
      <c r="TKB35" s="545"/>
      <c r="TKC35" s="545"/>
      <c r="TKD35" s="545"/>
      <c r="TKE35" s="545"/>
      <c r="TKF35" s="545"/>
      <c r="TKG35" s="545"/>
      <c r="TKH35" s="545"/>
      <c r="TKI35" s="545"/>
      <c r="TKJ35" s="545"/>
      <c r="TKK35" s="545"/>
      <c r="TKL35" s="545"/>
      <c r="TKM35" s="545"/>
      <c r="TKN35" s="545"/>
      <c r="TKO35" s="545"/>
      <c r="TKP35" s="545"/>
      <c r="TKQ35" s="545"/>
      <c r="TKR35" s="545"/>
      <c r="TKS35" s="545"/>
      <c r="TKT35" s="545"/>
      <c r="TKU35" s="545"/>
      <c r="TKV35" s="545"/>
      <c r="TKW35" s="545"/>
      <c r="TKX35" s="545"/>
      <c r="TKY35" s="545"/>
      <c r="TKZ35" s="545"/>
      <c r="TLA35" s="545"/>
      <c r="TLB35" s="545"/>
      <c r="TLC35" s="545"/>
      <c r="TLD35" s="545"/>
      <c r="TLE35" s="545"/>
      <c r="TLF35" s="545"/>
      <c r="TLG35" s="545"/>
      <c r="TLH35" s="545"/>
      <c r="TLI35" s="545"/>
      <c r="TLJ35" s="545"/>
      <c r="TLK35" s="545"/>
      <c r="TLL35" s="545"/>
      <c r="TLM35" s="545"/>
      <c r="TLN35" s="545"/>
      <c r="TLO35" s="545"/>
      <c r="TLP35" s="545"/>
      <c r="TLQ35" s="545"/>
      <c r="TLR35" s="545"/>
      <c r="TLS35" s="545"/>
      <c r="TLT35" s="545"/>
      <c r="TLU35" s="545"/>
      <c r="TLV35" s="545"/>
      <c r="TLW35" s="545"/>
      <c r="TLX35" s="545"/>
      <c r="TLY35" s="545"/>
      <c r="TLZ35" s="545"/>
      <c r="TMA35" s="545"/>
      <c r="TMB35" s="545"/>
      <c r="TMC35" s="545"/>
      <c r="TMD35" s="545"/>
      <c r="TME35" s="545"/>
      <c r="TMF35" s="545"/>
      <c r="TMG35" s="545"/>
      <c r="TMH35" s="545"/>
      <c r="TMI35" s="545"/>
      <c r="TMJ35" s="545"/>
      <c r="TMK35" s="545"/>
      <c r="TML35" s="545"/>
      <c r="TMM35" s="545"/>
      <c r="TMN35" s="545"/>
      <c r="TMO35" s="545"/>
      <c r="TMP35" s="545"/>
      <c r="TMQ35" s="545"/>
      <c r="TMR35" s="545"/>
      <c r="TMS35" s="545"/>
      <c r="TMT35" s="545"/>
      <c r="TMU35" s="545"/>
      <c r="TMV35" s="545"/>
      <c r="TMW35" s="545"/>
      <c r="TMX35" s="545"/>
      <c r="TMY35" s="545"/>
      <c r="TMZ35" s="545"/>
      <c r="TNA35" s="545"/>
      <c r="TNB35" s="545"/>
      <c r="TNC35" s="545"/>
      <c r="TND35" s="545"/>
      <c r="TNE35" s="545"/>
      <c r="TNF35" s="545"/>
      <c r="TNG35" s="545"/>
      <c r="TNH35" s="545"/>
      <c r="TNI35" s="545"/>
      <c r="TNJ35" s="545"/>
      <c r="TNK35" s="545"/>
      <c r="TNL35" s="545"/>
      <c r="TNM35" s="545"/>
      <c r="TNN35" s="545"/>
      <c r="TNO35" s="545"/>
      <c r="TNP35" s="545"/>
      <c r="TNQ35" s="545"/>
      <c r="TNR35" s="545"/>
      <c r="TNS35" s="545"/>
      <c r="TNT35" s="545"/>
      <c r="TNU35" s="545"/>
      <c r="TNV35" s="545"/>
      <c r="TNW35" s="545"/>
      <c r="TNX35" s="545"/>
      <c r="TNY35" s="545"/>
      <c r="TNZ35" s="545"/>
      <c r="TOA35" s="545"/>
      <c r="TOB35" s="545"/>
      <c r="TOC35" s="545"/>
      <c r="TOD35" s="545"/>
      <c r="TOE35" s="545"/>
      <c r="TOF35" s="545"/>
      <c r="TOG35" s="545"/>
      <c r="TOH35" s="545"/>
      <c r="TOI35" s="545"/>
      <c r="TOJ35" s="545"/>
      <c r="TOK35" s="545"/>
      <c r="TOL35" s="545"/>
      <c r="TOM35" s="545"/>
      <c r="TON35" s="545"/>
      <c r="TOO35" s="545"/>
      <c r="TOP35" s="545"/>
      <c r="TOQ35" s="545"/>
      <c r="TOR35" s="545"/>
      <c r="TOS35" s="545"/>
      <c r="TOT35" s="545"/>
      <c r="TOU35" s="545"/>
      <c r="TOV35" s="545"/>
      <c r="TOW35" s="545"/>
      <c r="TOX35" s="545"/>
      <c r="TOY35" s="545"/>
      <c r="TOZ35" s="545"/>
      <c r="TPA35" s="545"/>
      <c r="TPB35" s="545"/>
      <c r="TPC35" s="545"/>
      <c r="TPD35" s="545"/>
      <c r="TPE35" s="545"/>
      <c r="TPF35" s="545"/>
      <c r="TPG35" s="545"/>
      <c r="TPH35" s="545"/>
      <c r="TPI35" s="545"/>
      <c r="TPJ35" s="545"/>
      <c r="TPK35" s="545"/>
      <c r="TPL35" s="545"/>
      <c r="TPM35" s="545"/>
      <c r="TPN35" s="545"/>
      <c r="TPO35" s="545"/>
      <c r="TPP35" s="545"/>
      <c r="TPQ35" s="545"/>
      <c r="TPR35" s="545"/>
      <c r="TPS35" s="545"/>
      <c r="TPT35" s="545"/>
      <c r="TPU35" s="545"/>
      <c r="TPV35" s="545"/>
      <c r="TPW35" s="545"/>
      <c r="TPX35" s="545"/>
      <c r="TPY35" s="545"/>
      <c r="TPZ35" s="545"/>
      <c r="TQA35" s="545"/>
      <c r="TQB35" s="545"/>
      <c r="TQC35" s="545"/>
      <c r="TQD35" s="545"/>
      <c r="TQE35" s="545"/>
      <c r="TQF35" s="545"/>
      <c r="TQG35" s="545"/>
      <c r="TQH35" s="545"/>
      <c r="TQI35" s="545"/>
      <c r="TQJ35" s="545"/>
      <c r="TQK35" s="545"/>
      <c r="TQL35" s="545"/>
      <c r="TQM35" s="545"/>
      <c r="TQN35" s="545"/>
      <c r="TQO35" s="545"/>
      <c r="TQP35" s="545"/>
      <c r="TQQ35" s="545"/>
      <c r="TQR35" s="545"/>
      <c r="TQS35" s="545"/>
      <c r="TQT35" s="545"/>
      <c r="TQU35" s="545"/>
      <c r="TQV35" s="545"/>
      <c r="TQW35" s="545"/>
      <c r="TQX35" s="545"/>
      <c r="TQY35" s="545"/>
      <c r="TQZ35" s="545"/>
      <c r="TRA35" s="545"/>
      <c r="TRB35" s="545"/>
      <c r="TRC35" s="545"/>
      <c r="TRD35" s="545"/>
      <c r="TRE35" s="545"/>
      <c r="TRF35" s="545"/>
      <c r="TRG35" s="545"/>
      <c r="TRH35" s="545"/>
      <c r="TRI35" s="545"/>
      <c r="TRJ35" s="545"/>
      <c r="TRK35" s="545"/>
      <c r="TRL35" s="545"/>
      <c r="TRM35" s="545"/>
      <c r="TRN35" s="545"/>
      <c r="TRO35" s="545"/>
      <c r="TRP35" s="545"/>
      <c r="TRQ35" s="545"/>
      <c r="TRR35" s="545"/>
      <c r="TRS35" s="545"/>
      <c r="TRT35" s="545"/>
      <c r="TRU35" s="545"/>
      <c r="TRV35" s="545"/>
      <c r="TRW35" s="545"/>
      <c r="TRX35" s="545"/>
      <c r="TRY35" s="545"/>
      <c r="TRZ35" s="545"/>
      <c r="TSA35" s="545"/>
      <c r="TSB35" s="545"/>
      <c r="TSC35" s="545"/>
      <c r="TSD35" s="545"/>
      <c r="TSE35" s="545"/>
      <c r="TSF35" s="545"/>
      <c r="TSG35" s="545"/>
      <c r="TSH35" s="545"/>
      <c r="TSI35" s="545"/>
      <c r="TSJ35" s="545"/>
      <c r="TSK35" s="545"/>
      <c r="TSL35" s="545"/>
      <c r="TSM35" s="545"/>
      <c r="TSN35" s="545"/>
      <c r="TSO35" s="545"/>
      <c r="TSP35" s="545"/>
      <c r="TSQ35" s="545"/>
      <c r="TSR35" s="545"/>
      <c r="TSS35" s="545"/>
      <c r="TST35" s="545"/>
      <c r="TSU35" s="545"/>
      <c r="TSV35" s="545"/>
      <c r="TSW35" s="545"/>
      <c r="TSX35" s="545"/>
      <c r="TSY35" s="545"/>
      <c r="TSZ35" s="545"/>
      <c r="TTA35" s="545"/>
      <c r="TTB35" s="545"/>
      <c r="TTC35" s="545"/>
      <c r="TTD35" s="545"/>
      <c r="TTE35" s="545"/>
      <c r="TTF35" s="545"/>
      <c r="TTG35" s="545"/>
      <c r="TTH35" s="545"/>
      <c r="TTI35" s="545"/>
      <c r="TTJ35" s="545"/>
      <c r="TTK35" s="545"/>
      <c r="TTL35" s="545"/>
      <c r="TTM35" s="545"/>
      <c r="TTN35" s="545"/>
      <c r="TTO35" s="545"/>
      <c r="TTP35" s="545"/>
      <c r="TTQ35" s="545"/>
      <c r="TTR35" s="545"/>
      <c r="TTS35" s="545"/>
      <c r="TTT35" s="545"/>
      <c r="TTU35" s="545"/>
      <c r="TTV35" s="545"/>
      <c r="TTW35" s="545"/>
      <c r="TTX35" s="545"/>
      <c r="TTY35" s="545"/>
      <c r="TTZ35" s="545"/>
      <c r="TUA35" s="545"/>
      <c r="TUB35" s="545"/>
      <c r="TUC35" s="545"/>
      <c r="TUD35" s="545"/>
      <c r="TUE35" s="545"/>
      <c r="TUF35" s="545"/>
      <c r="TUG35" s="545"/>
      <c r="TUH35" s="545"/>
      <c r="TUI35" s="545"/>
      <c r="TUJ35" s="545"/>
      <c r="TUK35" s="545"/>
      <c r="TUL35" s="545"/>
      <c r="TUM35" s="545"/>
      <c r="TUN35" s="545"/>
      <c r="TUO35" s="545"/>
      <c r="TUP35" s="545"/>
      <c r="TUQ35" s="545"/>
      <c r="TUR35" s="545"/>
      <c r="TUS35" s="545"/>
      <c r="TUT35" s="545"/>
      <c r="TUU35" s="545"/>
      <c r="TUV35" s="545"/>
      <c r="TUW35" s="545"/>
      <c r="TUX35" s="545"/>
      <c r="TUY35" s="545"/>
      <c r="TUZ35" s="545"/>
      <c r="TVA35" s="545"/>
      <c r="TVB35" s="545"/>
      <c r="TVC35" s="545"/>
      <c r="TVD35" s="545"/>
      <c r="TVE35" s="545"/>
      <c r="TVF35" s="545"/>
      <c r="TVG35" s="545"/>
      <c r="TVH35" s="545"/>
      <c r="TVI35" s="545"/>
      <c r="TVJ35" s="545"/>
      <c r="TVK35" s="545"/>
      <c r="TVL35" s="545"/>
      <c r="TVM35" s="545"/>
      <c r="TVN35" s="545"/>
      <c r="TVO35" s="545"/>
      <c r="TVP35" s="545"/>
      <c r="TVQ35" s="545"/>
      <c r="TVR35" s="545"/>
      <c r="TVS35" s="545"/>
      <c r="TVT35" s="545"/>
      <c r="TVU35" s="545"/>
      <c r="TVV35" s="545"/>
      <c r="TVW35" s="545"/>
      <c r="TVX35" s="545"/>
      <c r="TVY35" s="545"/>
      <c r="TVZ35" s="545"/>
      <c r="TWA35" s="545"/>
      <c r="TWB35" s="545"/>
      <c r="TWC35" s="545"/>
      <c r="TWD35" s="545"/>
      <c r="TWE35" s="545"/>
      <c r="TWF35" s="545"/>
      <c r="TWG35" s="545"/>
      <c r="TWH35" s="545"/>
      <c r="TWI35" s="545"/>
      <c r="TWJ35" s="545"/>
      <c r="TWK35" s="545"/>
      <c r="TWL35" s="545"/>
      <c r="TWM35" s="545"/>
      <c r="TWN35" s="545"/>
      <c r="TWO35" s="545"/>
      <c r="TWP35" s="545"/>
      <c r="TWQ35" s="545"/>
      <c r="TWR35" s="545"/>
      <c r="TWS35" s="545"/>
      <c r="TWT35" s="545"/>
      <c r="TWU35" s="545"/>
      <c r="TWV35" s="545"/>
      <c r="TWW35" s="545"/>
      <c r="TWX35" s="545"/>
      <c r="TWY35" s="545"/>
      <c r="TWZ35" s="545"/>
      <c r="TXA35" s="545"/>
      <c r="TXB35" s="545"/>
      <c r="TXC35" s="545"/>
      <c r="TXD35" s="545"/>
      <c r="TXE35" s="545"/>
      <c r="TXF35" s="545"/>
      <c r="TXG35" s="545"/>
      <c r="TXH35" s="545"/>
      <c r="TXI35" s="545"/>
      <c r="TXJ35" s="545"/>
      <c r="TXK35" s="545"/>
      <c r="TXL35" s="545"/>
      <c r="TXM35" s="545"/>
      <c r="TXN35" s="545"/>
      <c r="TXO35" s="545"/>
      <c r="TXP35" s="545"/>
      <c r="TXQ35" s="545"/>
      <c r="TXR35" s="545"/>
      <c r="TXS35" s="545"/>
      <c r="TXT35" s="545"/>
      <c r="TXU35" s="545"/>
      <c r="TXV35" s="545"/>
      <c r="TXW35" s="545"/>
      <c r="TXX35" s="545"/>
      <c r="TXY35" s="545"/>
      <c r="TXZ35" s="545"/>
      <c r="TYA35" s="545"/>
      <c r="TYB35" s="545"/>
      <c r="TYC35" s="545"/>
      <c r="TYD35" s="545"/>
      <c r="TYE35" s="545"/>
      <c r="TYF35" s="545"/>
      <c r="TYG35" s="545"/>
      <c r="TYH35" s="545"/>
      <c r="TYI35" s="545"/>
      <c r="TYJ35" s="545"/>
      <c r="TYK35" s="545"/>
      <c r="TYL35" s="545"/>
      <c r="TYM35" s="545"/>
      <c r="TYN35" s="545"/>
      <c r="TYO35" s="545"/>
      <c r="TYP35" s="545"/>
      <c r="TYQ35" s="545"/>
      <c r="TYR35" s="545"/>
      <c r="TYS35" s="545"/>
      <c r="TYT35" s="545"/>
      <c r="TYU35" s="545"/>
      <c r="TYV35" s="545"/>
      <c r="TYW35" s="545"/>
      <c r="TYX35" s="545"/>
      <c r="TYY35" s="545"/>
      <c r="TYZ35" s="545"/>
      <c r="TZA35" s="545"/>
      <c r="TZB35" s="545"/>
      <c r="TZC35" s="545"/>
      <c r="TZD35" s="545"/>
      <c r="TZE35" s="545"/>
      <c r="TZF35" s="545"/>
      <c r="TZG35" s="545"/>
      <c r="TZH35" s="545"/>
      <c r="TZI35" s="545"/>
      <c r="TZJ35" s="545"/>
      <c r="TZK35" s="545"/>
      <c r="TZL35" s="545"/>
      <c r="TZM35" s="545"/>
      <c r="TZN35" s="545"/>
      <c r="TZO35" s="545"/>
      <c r="TZP35" s="545"/>
      <c r="TZQ35" s="545"/>
      <c r="TZR35" s="545"/>
      <c r="TZS35" s="545"/>
      <c r="TZT35" s="545"/>
      <c r="TZU35" s="545"/>
      <c r="TZV35" s="545"/>
      <c r="TZW35" s="545"/>
      <c r="TZX35" s="545"/>
      <c r="TZY35" s="545"/>
      <c r="TZZ35" s="545"/>
      <c r="UAA35" s="545"/>
      <c r="UAB35" s="545"/>
      <c r="UAC35" s="545"/>
      <c r="UAD35" s="545"/>
      <c r="UAE35" s="545"/>
      <c r="UAF35" s="545"/>
      <c r="UAG35" s="545"/>
      <c r="UAH35" s="545"/>
      <c r="UAI35" s="545"/>
      <c r="UAJ35" s="545"/>
      <c r="UAK35" s="545"/>
      <c r="UAL35" s="545"/>
      <c r="UAM35" s="545"/>
      <c r="UAN35" s="545"/>
      <c r="UAO35" s="545"/>
      <c r="UAP35" s="545"/>
      <c r="UAQ35" s="545"/>
      <c r="UAR35" s="545"/>
      <c r="UAS35" s="545"/>
      <c r="UAT35" s="545"/>
      <c r="UAU35" s="545"/>
      <c r="UAV35" s="545"/>
      <c r="UAW35" s="545"/>
      <c r="UAX35" s="545"/>
      <c r="UAY35" s="545"/>
      <c r="UAZ35" s="545"/>
      <c r="UBA35" s="545"/>
      <c r="UBB35" s="545"/>
      <c r="UBC35" s="545"/>
      <c r="UBD35" s="545"/>
      <c r="UBE35" s="545"/>
      <c r="UBF35" s="545"/>
      <c r="UBG35" s="545"/>
      <c r="UBH35" s="545"/>
      <c r="UBI35" s="545"/>
      <c r="UBJ35" s="545"/>
      <c r="UBK35" s="545"/>
      <c r="UBL35" s="545"/>
      <c r="UBM35" s="545"/>
      <c r="UBN35" s="545"/>
      <c r="UBO35" s="545"/>
      <c r="UBP35" s="545"/>
      <c r="UBQ35" s="545"/>
      <c r="UBR35" s="545"/>
      <c r="UBS35" s="545"/>
      <c r="UBT35" s="545"/>
      <c r="UBU35" s="545"/>
      <c r="UBV35" s="545"/>
      <c r="UBW35" s="545"/>
      <c r="UBX35" s="545"/>
      <c r="UBY35" s="545"/>
      <c r="UBZ35" s="545"/>
      <c r="UCA35" s="545"/>
      <c r="UCB35" s="545"/>
      <c r="UCC35" s="545"/>
      <c r="UCD35" s="545"/>
      <c r="UCE35" s="545"/>
      <c r="UCF35" s="545"/>
      <c r="UCG35" s="545"/>
      <c r="UCH35" s="545"/>
      <c r="UCI35" s="545"/>
      <c r="UCJ35" s="545"/>
      <c r="UCK35" s="545"/>
      <c r="UCL35" s="545"/>
      <c r="UCM35" s="545"/>
      <c r="UCN35" s="545"/>
      <c r="UCO35" s="545"/>
      <c r="UCP35" s="545"/>
      <c r="UCQ35" s="545"/>
      <c r="UCR35" s="545"/>
      <c r="UCS35" s="545"/>
      <c r="UCT35" s="545"/>
      <c r="UCU35" s="545"/>
      <c r="UCV35" s="545"/>
      <c r="UCW35" s="545"/>
      <c r="UCX35" s="545"/>
      <c r="UCY35" s="545"/>
      <c r="UCZ35" s="545"/>
      <c r="UDA35" s="545"/>
      <c r="UDB35" s="545"/>
      <c r="UDC35" s="545"/>
      <c r="UDD35" s="545"/>
      <c r="UDE35" s="545"/>
      <c r="UDF35" s="545"/>
      <c r="UDG35" s="545"/>
      <c r="UDH35" s="545"/>
      <c r="UDI35" s="545"/>
      <c r="UDJ35" s="545"/>
      <c r="UDK35" s="545"/>
      <c r="UDL35" s="545"/>
      <c r="UDM35" s="545"/>
      <c r="UDN35" s="545"/>
      <c r="UDO35" s="545"/>
      <c r="UDP35" s="545"/>
      <c r="UDQ35" s="545"/>
      <c r="UDR35" s="545"/>
      <c r="UDS35" s="545"/>
      <c r="UDT35" s="545"/>
      <c r="UDU35" s="545"/>
      <c r="UDV35" s="545"/>
      <c r="UDW35" s="545"/>
      <c r="UDX35" s="545"/>
      <c r="UDY35" s="545"/>
      <c r="UDZ35" s="545"/>
      <c r="UEA35" s="545"/>
      <c r="UEB35" s="545"/>
      <c r="UEC35" s="545"/>
      <c r="UED35" s="545"/>
      <c r="UEE35" s="545"/>
      <c r="UEF35" s="545"/>
      <c r="UEG35" s="545"/>
      <c r="UEH35" s="545"/>
      <c r="UEI35" s="545"/>
      <c r="UEJ35" s="545"/>
      <c r="UEK35" s="545"/>
      <c r="UEL35" s="545"/>
      <c r="UEM35" s="545"/>
      <c r="UEN35" s="545"/>
      <c r="UEO35" s="545"/>
      <c r="UEP35" s="545"/>
      <c r="UEQ35" s="545"/>
      <c r="UER35" s="545"/>
      <c r="UES35" s="545"/>
      <c r="UET35" s="545"/>
      <c r="UEU35" s="545"/>
      <c r="UEV35" s="545"/>
      <c r="UEW35" s="545"/>
      <c r="UEX35" s="545"/>
      <c r="UEY35" s="545"/>
      <c r="UEZ35" s="545"/>
      <c r="UFA35" s="545"/>
      <c r="UFB35" s="545"/>
      <c r="UFC35" s="545"/>
      <c r="UFD35" s="545"/>
      <c r="UFE35" s="545"/>
      <c r="UFF35" s="545"/>
      <c r="UFG35" s="545"/>
      <c r="UFH35" s="545"/>
      <c r="UFI35" s="545"/>
      <c r="UFJ35" s="545"/>
      <c r="UFK35" s="545"/>
      <c r="UFL35" s="545"/>
      <c r="UFM35" s="545"/>
      <c r="UFN35" s="545"/>
      <c r="UFO35" s="545"/>
      <c r="UFP35" s="545"/>
      <c r="UFQ35" s="545"/>
      <c r="UFR35" s="545"/>
      <c r="UFS35" s="545"/>
      <c r="UFT35" s="545"/>
      <c r="UFU35" s="545"/>
      <c r="UFV35" s="545"/>
      <c r="UFW35" s="545"/>
      <c r="UFX35" s="545"/>
      <c r="UFY35" s="545"/>
      <c r="UFZ35" s="545"/>
      <c r="UGA35" s="545"/>
      <c r="UGB35" s="545"/>
      <c r="UGC35" s="545"/>
      <c r="UGD35" s="545"/>
      <c r="UGE35" s="545"/>
      <c r="UGF35" s="545"/>
      <c r="UGG35" s="545"/>
      <c r="UGH35" s="545"/>
      <c r="UGI35" s="545"/>
      <c r="UGJ35" s="545"/>
      <c r="UGK35" s="545"/>
      <c r="UGL35" s="545"/>
      <c r="UGM35" s="545"/>
      <c r="UGN35" s="545"/>
      <c r="UGO35" s="545"/>
      <c r="UGP35" s="545"/>
      <c r="UGQ35" s="545"/>
      <c r="UGR35" s="545"/>
      <c r="UGS35" s="545"/>
      <c r="UGT35" s="545"/>
      <c r="UGU35" s="545"/>
      <c r="UGV35" s="545"/>
      <c r="UGW35" s="545"/>
      <c r="UGX35" s="545"/>
      <c r="UGY35" s="545"/>
      <c r="UGZ35" s="545"/>
      <c r="UHA35" s="545"/>
      <c r="UHB35" s="545"/>
      <c r="UHC35" s="545"/>
      <c r="UHD35" s="545"/>
      <c r="UHE35" s="545"/>
      <c r="UHF35" s="545"/>
      <c r="UHG35" s="545"/>
      <c r="UHH35" s="545"/>
      <c r="UHI35" s="545"/>
      <c r="UHJ35" s="545"/>
      <c r="UHK35" s="545"/>
      <c r="UHL35" s="545"/>
      <c r="UHM35" s="545"/>
      <c r="UHN35" s="545"/>
      <c r="UHO35" s="545"/>
      <c r="UHP35" s="545"/>
      <c r="UHQ35" s="545"/>
      <c r="UHR35" s="545"/>
      <c r="UHS35" s="545"/>
      <c r="UHT35" s="545"/>
      <c r="UHU35" s="545"/>
      <c r="UHV35" s="545"/>
      <c r="UHW35" s="545"/>
      <c r="UHX35" s="545"/>
      <c r="UHY35" s="545"/>
      <c r="UHZ35" s="545"/>
      <c r="UIA35" s="545"/>
      <c r="UIB35" s="545"/>
      <c r="UIC35" s="545"/>
      <c r="UID35" s="545"/>
      <c r="UIE35" s="545"/>
      <c r="UIF35" s="545"/>
      <c r="UIG35" s="545"/>
      <c r="UIH35" s="545"/>
      <c r="UII35" s="545"/>
      <c r="UIJ35" s="545"/>
      <c r="UIK35" s="545"/>
      <c r="UIL35" s="545"/>
      <c r="UIM35" s="545"/>
      <c r="UIN35" s="545"/>
      <c r="UIO35" s="545"/>
      <c r="UIP35" s="545"/>
      <c r="UIQ35" s="545"/>
      <c r="UIR35" s="545"/>
      <c r="UIS35" s="545"/>
      <c r="UIT35" s="545"/>
      <c r="UIU35" s="545"/>
      <c r="UIV35" s="545"/>
      <c r="UIW35" s="545"/>
      <c r="UIX35" s="545"/>
      <c r="UIY35" s="545"/>
      <c r="UIZ35" s="545"/>
      <c r="UJA35" s="545"/>
      <c r="UJB35" s="545"/>
      <c r="UJC35" s="545"/>
      <c r="UJD35" s="545"/>
      <c r="UJE35" s="545"/>
      <c r="UJF35" s="545"/>
      <c r="UJG35" s="545"/>
      <c r="UJH35" s="545"/>
      <c r="UJI35" s="545"/>
      <c r="UJJ35" s="545"/>
      <c r="UJK35" s="545"/>
      <c r="UJL35" s="545"/>
      <c r="UJM35" s="545"/>
      <c r="UJN35" s="545"/>
      <c r="UJO35" s="545"/>
      <c r="UJP35" s="545"/>
      <c r="UJQ35" s="545"/>
      <c r="UJR35" s="545"/>
      <c r="UJS35" s="545"/>
      <c r="UJT35" s="545"/>
      <c r="UJU35" s="545"/>
      <c r="UJV35" s="545"/>
      <c r="UJW35" s="545"/>
      <c r="UJX35" s="545"/>
      <c r="UJY35" s="545"/>
      <c r="UJZ35" s="545"/>
      <c r="UKA35" s="545"/>
      <c r="UKB35" s="545"/>
      <c r="UKC35" s="545"/>
      <c r="UKD35" s="545"/>
      <c r="UKE35" s="545"/>
      <c r="UKF35" s="545"/>
      <c r="UKG35" s="545"/>
      <c r="UKH35" s="545"/>
      <c r="UKI35" s="545"/>
      <c r="UKJ35" s="545"/>
      <c r="UKK35" s="545"/>
      <c r="UKL35" s="545"/>
      <c r="UKM35" s="545"/>
      <c r="UKN35" s="545"/>
      <c r="UKO35" s="545"/>
      <c r="UKP35" s="545"/>
      <c r="UKQ35" s="545"/>
      <c r="UKR35" s="545"/>
      <c r="UKS35" s="545"/>
      <c r="UKT35" s="545"/>
      <c r="UKU35" s="545"/>
      <c r="UKV35" s="545"/>
      <c r="UKW35" s="545"/>
      <c r="UKX35" s="545"/>
      <c r="UKY35" s="545"/>
      <c r="UKZ35" s="545"/>
      <c r="ULA35" s="545"/>
      <c r="ULB35" s="545"/>
      <c r="ULC35" s="545"/>
      <c r="ULD35" s="545"/>
      <c r="ULE35" s="545"/>
      <c r="ULF35" s="545"/>
      <c r="ULG35" s="545"/>
      <c r="ULH35" s="545"/>
      <c r="ULI35" s="545"/>
      <c r="ULJ35" s="545"/>
      <c r="ULK35" s="545"/>
      <c r="ULL35" s="545"/>
      <c r="ULM35" s="545"/>
      <c r="ULN35" s="545"/>
      <c r="ULO35" s="545"/>
      <c r="ULP35" s="545"/>
      <c r="ULQ35" s="545"/>
      <c r="ULR35" s="545"/>
      <c r="ULS35" s="545"/>
      <c r="ULT35" s="545"/>
      <c r="ULU35" s="545"/>
      <c r="ULV35" s="545"/>
      <c r="ULW35" s="545"/>
      <c r="ULX35" s="545"/>
      <c r="ULY35" s="545"/>
      <c r="ULZ35" s="545"/>
      <c r="UMA35" s="545"/>
      <c r="UMB35" s="545"/>
      <c r="UMC35" s="545"/>
      <c r="UMD35" s="545"/>
      <c r="UME35" s="545"/>
      <c r="UMF35" s="545"/>
      <c r="UMG35" s="545"/>
      <c r="UMH35" s="545"/>
      <c r="UMI35" s="545"/>
      <c r="UMJ35" s="545"/>
      <c r="UMK35" s="545"/>
      <c r="UML35" s="545"/>
      <c r="UMM35" s="545"/>
      <c r="UMN35" s="545"/>
      <c r="UMO35" s="545"/>
      <c r="UMP35" s="545"/>
      <c r="UMQ35" s="545"/>
      <c r="UMR35" s="545"/>
      <c r="UMS35" s="545"/>
      <c r="UMT35" s="545"/>
      <c r="UMU35" s="545"/>
      <c r="UMV35" s="545"/>
      <c r="UMW35" s="545"/>
      <c r="UMX35" s="545"/>
      <c r="UMY35" s="545"/>
      <c r="UMZ35" s="545"/>
      <c r="UNA35" s="545"/>
      <c r="UNB35" s="545"/>
      <c r="UNC35" s="545"/>
      <c r="UND35" s="545"/>
      <c r="UNE35" s="545"/>
      <c r="UNF35" s="545"/>
      <c r="UNG35" s="545"/>
      <c r="UNH35" s="545"/>
      <c r="UNI35" s="545"/>
      <c r="UNJ35" s="545"/>
      <c r="UNK35" s="545"/>
      <c r="UNL35" s="545"/>
      <c r="UNM35" s="545"/>
      <c r="UNN35" s="545"/>
      <c r="UNO35" s="545"/>
      <c r="UNP35" s="545"/>
      <c r="UNQ35" s="545"/>
      <c r="UNR35" s="545"/>
      <c r="UNS35" s="545"/>
      <c r="UNT35" s="545"/>
      <c r="UNU35" s="545"/>
      <c r="UNV35" s="545"/>
      <c r="UNW35" s="545"/>
      <c r="UNX35" s="545"/>
      <c r="UNY35" s="545"/>
      <c r="UNZ35" s="545"/>
      <c r="UOA35" s="545"/>
      <c r="UOB35" s="545"/>
      <c r="UOC35" s="545"/>
      <c r="UOD35" s="545"/>
      <c r="UOE35" s="545"/>
      <c r="UOF35" s="545"/>
      <c r="UOG35" s="545"/>
      <c r="UOH35" s="545"/>
      <c r="UOI35" s="545"/>
      <c r="UOJ35" s="545"/>
      <c r="UOK35" s="545"/>
      <c r="UOL35" s="545"/>
      <c r="UOM35" s="545"/>
      <c r="UON35" s="545"/>
      <c r="UOO35" s="545"/>
      <c r="UOP35" s="545"/>
      <c r="UOQ35" s="545"/>
      <c r="UOR35" s="545"/>
      <c r="UOS35" s="545"/>
      <c r="UOT35" s="545"/>
      <c r="UOU35" s="545"/>
      <c r="UOV35" s="545"/>
      <c r="UOW35" s="545"/>
      <c r="UOX35" s="545"/>
      <c r="UOY35" s="545"/>
      <c r="UOZ35" s="545"/>
      <c r="UPA35" s="545"/>
      <c r="UPB35" s="545"/>
      <c r="UPC35" s="545"/>
      <c r="UPD35" s="545"/>
      <c r="UPE35" s="545"/>
      <c r="UPF35" s="545"/>
      <c r="UPG35" s="545"/>
      <c r="UPH35" s="545"/>
      <c r="UPI35" s="545"/>
      <c r="UPJ35" s="545"/>
      <c r="UPK35" s="545"/>
      <c r="UPL35" s="545"/>
      <c r="UPM35" s="545"/>
      <c r="UPN35" s="545"/>
      <c r="UPO35" s="545"/>
      <c r="UPP35" s="545"/>
      <c r="UPQ35" s="545"/>
      <c r="UPR35" s="545"/>
      <c r="UPS35" s="545"/>
      <c r="UPT35" s="545"/>
      <c r="UPU35" s="545"/>
      <c r="UPV35" s="545"/>
      <c r="UPW35" s="545"/>
      <c r="UPX35" s="545"/>
      <c r="UPY35" s="545"/>
      <c r="UPZ35" s="545"/>
      <c r="UQA35" s="545"/>
      <c r="UQB35" s="545"/>
      <c r="UQC35" s="545"/>
      <c r="UQD35" s="545"/>
      <c r="UQE35" s="545"/>
      <c r="UQF35" s="545"/>
      <c r="UQG35" s="545"/>
      <c r="UQH35" s="545"/>
      <c r="UQI35" s="545"/>
      <c r="UQJ35" s="545"/>
      <c r="UQK35" s="545"/>
      <c r="UQL35" s="545"/>
      <c r="UQM35" s="545"/>
      <c r="UQN35" s="545"/>
      <c r="UQO35" s="545"/>
      <c r="UQP35" s="545"/>
      <c r="UQQ35" s="545"/>
      <c r="UQR35" s="545"/>
      <c r="UQS35" s="545"/>
      <c r="UQT35" s="545"/>
      <c r="UQU35" s="545"/>
      <c r="UQV35" s="545"/>
      <c r="UQW35" s="545"/>
      <c r="UQX35" s="545"/>
      <c r="UQY35" s="545"/>
      <c r="UQZ35" s="545"/>
      <c r="URA35" s="545"/>
      <c r="URB35" s="545"/>
      <c r="URC35" s="545"/>
      <c r="URD35" s="545"/>
      <c r="URE35" s="545"/>
      <c r="URF35" s="545"/>
      <c r="URG35" s="545"/>
      <c r="URH35" s="545"/>
      <c r="URI35" s="545"/>
      <c r="URJ35" s="545"/>
      <c r="URK35" s="545"/>
      <c r="URL35" s="545"/>
      <c r="URM35" s="545"/>
      <c r="URN35" s="545"/>
      <c r="URO35" s="545"/>
      <c r="URP35" s="545"/>
      <c r="URQ35" s="545"/>
      <c r="URR35" s="545"/>
      <c r="URS35" s="545"/>
      <c r="URT35" s="545"/>
      <c r="URU35" s="545"/>
      <c r="URV35" s="545"/>
      <c r="URW35" s="545"/>
      <c r="URX35" s="545"/>
      <c r="URY35" s="545"/>
      <c r="URZ35" s="545"/>
      <c r="USA35" s="545"/>
      <c r="USB35" s="545"/>
      <c r="USC35" s="545"/>
      <c r="USD35" s="545"/>
      <c r="USE35" s="545"/>
      <c r="USF35" s="545"/>
      <c r="USG35" s="545"/>
      <c r="USH35" s="545"/>
      <c r="USI35" s="545"/>
      <c r="USJ35" s="545"/>
      <c r="USK35" s="545"/>
      <c r="USL35" s="545"/>
      <c r="USM35" s="545"/>
      <c r="USN35" s="545"/>
      <c r="USO35" s="545"/>
      <c r="USP35" s="545"/>
      <c r="USQ35" s="545"/>
      <c r="USR35" s="545"/>
      <c r="USS35" s="545"/>
      <c r="UST35" s="545"/>
      <c r="USU35" s="545"/>
      <c r="USV35" s="545"/>
      <c r="USW35" s="545"/>
      <c r="USX35" s="545"/>
      <c r="USY35" s="545"/>
      <c r="USZ35" s="545"/>
      <c r="UTA35" s="545"/>
      <c r="UTB35" s="545"/>
      <c r="UTC35" s="545"/>
      <c r="UTD35" s="545"/>
      <c r="UTE35" s="545"/>
      <c r="UTF35" s="545"/>
      <c r="UTG35" s="545"/>
      <c r="UTH35" s="545"/>
      <c r="UTI35" s="545"/>
      <c r="UTJ35" s="545"/>
      <c r="UTK35" s="545"/>
      <c r="UTL35" s="545"/>
      <c r="UTM35" s="545"/>
      <c r="UTN35" s="545"/>
      <c r="UTO35" s="545"/>
      <c r="UTP35" s="545"/>
      <c r="UTQ35" s="545"/>
      <c r="UTR35" s="545"/>
      <c r="UTS35" s="545"/>
      <c r="UTT35" s="545"/>
      <c r="UTU35" s="545"/>
      <c r="UTV35" s="545"/>
      <c r="UTW35" s="545"/>
      <c r="UTX35" s="545"/>
      <c r="UTY35" s="545"/>
      <c r="UTZ35" s="545"/>
      <c r="UUA35" s="545"/>
      <c r="UUB35" s="545"/>
      <c r="UUC35" s="545"/>
      <c r="UUD35" s="545"/>
      <c r="UUE35" s="545"/>
      <c r="UUF35" s="545"/>
      <c r="UUG35" s="545"/>
      <c r="UUH35" s="545"/>
      <c r="UUI35" s="545"/>
      <c r="UUJ35" s="545"/>
      <c r="UUK35" s="545"/>
      <c r="UUL35" s="545"/>
      <c r="UUM35" s="545"/>
      <c r="UUN35" s="545"/>
      <c r="UUO35" s="545"/>
      <c r="UUP35" s="545"/>
      <c r="UUQ35" s="545"/>
      <c r="UUR35" s="545"/>
      <c r="UUS35" s="545"/>
      <c r="UUT35" s="545"/>
      <c r="UUU35" s="545"/>
      <c r="UUV35" s="545"/>
      <c r="UUW35" s="545"/>
      <c r="UUX35" s="545"/>
      <c r="UUY35" s="545"/>
      <c r="UUZ35" s="545"/>
      <c r="UVA35" s="545"/>
      <c r="UVB35" s="545"/>
      <c r="UVC35" s="545"/>
      <c r="UVD35" s="545"/>
      <c r="UVE35" s="545"/>
      <c r="UVF35" s="545"/>
      <c r="UVG35" s="545"/>
      <c r="UVH35" s="545"/>
      <c r="UVI35" s="545"/>
      <c r="UVJ35" s="545"/>
      <c r="UVK35" s="545"/>
      <c r="UVL35" s="545"/>
      <c r="UVM35" s="545"/>
      <c r="UVN35" s="545"/>
      <c r="UVO35" s="545"/>
      <c r="UVP35" s="545"/>
      <c r="UVQ35" s="545"/>
      <c r="UVR35" s="545"/>
      <c r="UVS35" s="545"/>
      <c r="UVT35" s="545"/>
      <c r="UVU35" s="545"/>
      <c r="UVV35" s="545"/>
      <c r="UVW35" s="545"/>
      <c r="UVX35" s="545"/>
      <c r="UVY35" s="545"/>
      <c r="UVZ35" s="545"/>
      <c r="UWA35" s="545"/>
      <c r="UWB35" s="545"/>
      <c r="UWC35" s="545"/>
      <c r="UWD35" s="545"/>
      <c r="UWE35" s="545"/>
      <c r="UWF35" s="545"/>
      <c r="UWG35" s="545"/>
      <c r="UWH35" s="545"/>
      <c r="UWI35" s="545"/>
      <c r="UWJ35" s="545"/>
      <c r="UWK35" s="545"/>
      <c r="UWL35" s="545"/>
      <c r="UWM35" s="545"/>
      <c r="UWN35" s="545"/>
      <c r="UWO35" s="545"/>
      <c r="UWP35" s="545"/>
      <c r="UWQ35" s="545"/>
      <c r="UWR35" s="545"/>
      <c r="UWS35" s="545"/>
      <c r="UWT35" s="545"/>
      <c r="UWU35" s="545"/>
      <c r="UWV35" s="545"/>
      <c r="UWW35" s="545"/>
      <c r="UWX35" s="545"/>
      <c r="UWY35" s="545"/>
      <c r="UWZ35" s="545"/>
      <c r="UXA35" s="545"/>
      <c r="UXB35" s="545"/>
      <c r="UXC35" s="545"/>
      <c r="UXD35" s="545"/>
      <c r="UXE35" s="545"/>
      <c r="UXF35" s="545"/>
      <c r="UXG35" s="545"/>
      <c r="UXH35" s="545"/>
      <c r="UXI35" s="545"/>
      <c r="UXJ35" s="545"/>
      <c r="UXK35" s="545"/>
      <c r="UXL35" s="545"/>
      <c r="UXM35" s="545"/>
      <c r="UXN35" s="545"/>
      <c r="UXO35" s="545"/>
      <c r="UXP35" s="545"/>
      <c r="UXQ35" s="545"/>
      <c r="UXR35" s="545"/>
      <c r="UXS35" s="545"/>
      <c r="UXT35" s="545"/>
      <c r="UXU35" s="545"/>
      <c r="UXV35" s="545"/>
      <c r="UXW35" s="545"/>
      <c r="UXX35" s="545"/>
      <c r="UXY35" s="545"/>
      <c r="UXZ35" s="545"/>
      <c r="UYA35" s="545"/>
      <c r="UYB35" s="545"/>
      <c r="UYC35" s="545"/>
      <c r="UYD35" s="545"/>
      <c r="UYE35" s="545"/>
      <c r="UYF35" s="545"/>
      <c r="UYG35" s="545"/>
      <c r="UYH35" s="545"/>
      <c r="UYI35" s="545"/>
      <c r="UYJ35" s="545"/>
      <c r="UYK35" s="545"/>
      <c r="UYL35" s="545"/>
      <c r="UYM35" s="545"/>
      <c r="UYN35" s="545"/>
      <c r="UYO35" s="545"/>
      <c r="UYP35" s="545"/>
      <c r="UYQ35" s="545"/>
      <c r="UYR35" s="545"/>
      <c r="UYS35" s="545"/>
      <c r="UYT35" s="545"/>
      <c r="UYU35" s="545"/>
      <c r="UYV35" s="545"/>
      <c r="UYW35" s="545"/>
      <c r="UYX35" s="545"/>
      <c r="UYY35" s="545"/>
      <c r="UYZ35" s="545"/>
      <c r="UZA35" s="545"/>
      <c r="UZB35" s="545"/>
      <c r="UZC35" s="545"/>
      <c r="UZD35" s="545"/>
      <c r="UZE35" s="545"/>
      <c r="UZF35" s="545"/>
      <c r="UZG35" s="545"/>
      <c r="UZH35" s="545"/>
      <c r="UZI35" s="545"/>
      <c r="UZJ35" s="545"/>
      <c r="UZK35" s="545"/>
      <c r="UZL35" s="545"/>
      <c r="UZM35" s="545"/>
      <c r="UZN35" s="545"/>
      <c r="UZO35" s="545"/>
      <c r="UZP35" s="545"/>
      <c r="UZQ35" s="545"/>
      <c r="UZR35" s="545"/>
      <c r="UZS35" s="545"/>
      <c r="UZT35" s="545"/>
      <c r="UZU35" s="545"/>
      <c r="UZV35" s="545"/>
      <c r="UZW35" s="545"/>
      <c r="UZX35" s="545"/>
      <c r="UZY35" s="545"/>
      <c r="UZZ35" s="545"/>
      <c r="VAA35" s="545"/>
      <c r="VAB35" s="545"/>
      <c r="VAC35" s="545"/>
      <c r="VAD35" s="545"/>
      <c r="VAE35" s="545"/>
      <c r="VAF35" s="545"/>
      <c r="VAG35" s="545"/>
      <c r="VAH35" s="545"/>
      <c r="VAI35" s="545"/>
      <c r="VAJ35" s="545"/>
      <c r="VAK35" s="545"/>
      <c r="VAL35" s="545"/>
      <c r="VAM35" s="545"/>
      <c r="VAN35" s="545"/>
      <c r="VAO35" s="545"/>
      <c r="VAP35" s="545"/>
      <c r="VAQ35" s="545"/>
      <c r="VAR35" s="545"/>
      <c r="VAS35" s="545"/>
      <c r="VAT35" s="545"/>
      <c r="VAU35" s="545"/>
      <c r="VAV35" s="545"/>
      <c r="VAW35" s="545"/>
      <c r="VAX35" s="545"/>
      <c r="VAY35" s="545"/>
      <c r="VAZ35" s="545"/>
      <c r="VBA35" s="545"/>
      <c r="VBB35" s="545"/>
      <c r="VBC35" s="545"/>
      <c r="VBD35" s="545"/>
      <c r="VBE35" s="545"/>
      <c r="VBF35" s="545"/>
      <c r="VBG35" s="545"/>
      <c r="VBH35" s="545"/>
      <c r="VBI35" s="545"/>
      <c r="VBJ35" s="545"/>
      <c r="VBK35" s="545"/>
      <c r="VBL35" s="545"/>
      <c r="VBM35" s="545"/>
      <c r="VBN35" s="545"/>
      <c r="VBO35" s="545"/>
      <c r="VBP35" s="545"/>
      <c r="VBQ35" s="545"/>
      <c r="VBR35" s="545"/>
      <c r="VBS35" s="545"/>
      <c r="VBT35" s="545"/>
      <c r="VBU35" s="545"/>
      <c r="VBV35" s="545"/>
      <c r="VBW35" s="545"/>
      <c r="VBX35" s="545"/>
      <c r="VBY35" s="545"/>
      <c r="VBZ35" s="545"/>
      <c r="VCA35" s="545"/>
      <c r="VCB35" s="545"/>
      <c r="VCC35" s="545"/>
      <c r="VCD35" s="545"/>
      <c r="VCE35" s="545"/>
      <c r="VCF35" s="545"/>
      <c r="VCG35" s="545"/>
      <c r="VCH35" s="545"/>
      <c r="VCI35" s="545"/>
      <c r="VCJ35" s="545"/>
      <c r="VCK35" s="545"/>
      <c r="VCL35" s="545"/>
      <c r="VCM35" s="545"/>
      <c r="VCN35" s="545"/>
      <c r="VCO35" s="545"/>
      <c r="VCP35" s="545"/>
      <c r="VCQ35" s="545"/>
      <c r="VCR35" s="545"/>
      <c r="VCS35" s="545"/>
      <c r="VCT35" s="545"/>
      <c r="VCU35" s="545"/>
      <c r="VCV35" s="545"/>
      <c r="VCW35" s="545"/>
      <c r="VCX35" s="545"/>
      <c r="VCY35" s="545"/>
      <c r="VCZ35" s="545"/>
      <c r="VDA35" s="545"/>
      <c r="VDB35" s="545"/>
      <c r="VDC35" s="545"/>
      <c r="VDD35" s="545"/>
      <c r="VDE35" s="545"/>
      <c r="VDF35" s="545"/>
      <c r="VDG35" s="545"/>
      <c r="VDH35" s="545"/>
      <c r="VDI35" s="545"/>
      <c r="VDJ35" s="545"/>
      <c r="VDK35" s="545"/>
      <c r="VDL35" s="545"/>
      <c r="VDM35" s="545"/>
      <c r="VDN35" s="545"/>
      <c r="VDO35" s="545"/>
      <c r="VDP35" s="545"/>
      <c r="VDQ35" s="545"/>
      <c r="VDR35" s="545"/>
      <c r="VDS35" s="545"/>
      <c r="VDT35" s="545"/>
      <c r="VDU35" s="545"/>
      <c r="VDV35" s="545"/>
      <c r="VDW35" s="545"/>
      <c r="VDX35" s="545"/>
      <c r="VDY35" s="545"/>
      <c r="VDZ35" s="545"/>
      <c r="VEA35" s="545"/>
      <c r="VEB35" s="545"/>
      <c r="VEC35" s="545"/>
      <c r="VED35" s="545"/>
      <c r="VEE35" s="545"/>
      <c r="VEF35" s="545"/>
      <c r="VEG35" s="545"/>
      <c r="VEH35" s="545"/>
      <c r="VEI35" s="545"/>
      <c r="VEJ35" s="545"/>
      <c r="VEK35" s="545"/>
      <c r="VEL35" s="545"/>
      <c r="VEM35" s="545"/>
      <c r="VEN35" s="545"/>
      <c r="VEO35" s="545"/>
      <c r="VEP35" s="545"/>
      <c r="VEQ35" s="545"/>
      <c r="VER35" s="545"/>
      <c r="VES35" s="545"/>
      <c r="VET35" s="545"/>
      <c r="VEU35" s="545"/>
      <c r="VEV35" s="545"/>
      <c r="VEW35" s="545"/>
      <c r="VEX35" s="545"/>
      <c r="VEY35" s="545"/>
      <c r="VEZ35" s="545"/>
      <c r="VFA35" s="545"/>
      <c r="VFB35" s="545"/>
      <c r="VFC35" s="545"/>
      <c r="VFD35" s="545"/>
      <c r="VFE35" s="545"/>
      <c r="VFF35" s="545"/>
      <c r="VFG35" s="545"/>
      <c r="VFH35" s="545"/>
      <c r="VFI35" s="545"/>
      <c r="VFJ35" s="545"/>
      <c r="VFK35" s="545"/>
      <c r="VFL35" s="545"/>
      <c r="VFM35" s="545"/>
      <c r="VFN35" s="545"/>
      <c r="VFO35" s="545"/>
      <c r="VFP35" s="545"/>
      <c r="VFQ35" s="545"/>
      <c r="VFR35" s="545"/>
      <c r="VFS35" s="545"/>
      <c r="VFT35" s="545"/>
      <c r="VFU35" s="545"/>
      <c r="VFV35" s="545"/>
      <c r="VFW35" s="545"/>
      <c r="VFX35" s="545"/>
      <c r="VFY35" s="545"/>
      <c r="VFZ35" s="545"/>
      <c r="VGA35" s="545"/>
      <c r="VGB35" s="545"/>
      <c r="VGC35" s="545"/>
      <c r="VGD35" s="545"/>
      <c r="VGE35" s="545"/>
      <c r="VGF35" s="545"/>
      <c r="VGG35" s="545"/>
      <c r="VGH35" s="545"/>
      <c r="VGI35" s="545"/>
      <c r="VGJ35" s="545"/>
      <c r="VGK35" s="545"/>
      <c r="VGL35" s="545"/>
      <c r="VGM35" s="545"/>
      <c r="VGN35" s="545"/>
      <c r="VGO35" s="545"/>
      <c r="VGP35" s="545"/>
      <c r="VGQ35" s="545"/>
      <c r="VGR35" s="545"/>
      <c r="VGS35" s="545"/>
      <c r="VGT35" s="545"/>
      <c r="VGU35" s="545"/>
      <c r="VGV35" s="545"/>
      <c r="VGW35" s="545"/>
      <c r="VGX35" s="545"/>
      <c r="VGY35" s="545"/>
      <c r="VGZ35" s="545"/>
      <c r="VHA35" s="545"/>
      <c r="VHB35" s="545"/>
      <c r="VHC35" s="545"/>
      <c r="VHD35" s="545"/>
      <c r="VHE35" s="545"/>
      <c r="VHF35" s="545"/>
      <c r="VHG35" s="545"/>
      <c r="VHH35" s="545"/>
      <c r="VHI35" s="545"/>
      <c r="VHJ35" s="545"/>
      <c r="VHK35" s="545"/>
      <c r="VHL35" s="545"/>
      <c r="VHM35" s="545"/>
      <c r="VHN35" s="545"/>
      <c r="VHO35" s="545"/>
      <c r="VHP35" s="545"/>
      <c r="VHQ35" s="545"/>
      <c r="VHR35" s="545"/>
      <c r="VHS35" s="545"/>
      <c r="VHT35" s="545"/>
      <c r="VHU35" s="545"/>
      <c r="VHV35" s="545"/>
      <c r="VHW35" s="545"/>
      <c r="VHX35" s="545"/>
      <c r="VHY35" s="545"/>
      <c r="VHZ35" s="545"/>
      <c r="VIA35" s="545"/>
      <c r="VIB35" s="545"/>
      <c r="VIC35" s="545"/>
      <c r="VID35" s="545"/>
      <c r="VIE35" s="545"/>
      <c r="VIF35" s="545"/>
      <c r="VIG35" s="545"/>
      <c r="VIH35" s="545"/>
      <c r="VII35" s="545"/>
      <c r="VIJ35" s="545"/>
      <c r="VIK35" s="545"/>
      <c r="VIL35" s="545"/>
      <c r="VIM35" s="545"/>
      <c r="VIN35" s="545"/>
      <c r="VIO35" s="545"/>
      <c r="VIP35" s="545"/>
      <c r="VIQ35" s="545"/>
      <c r="VIR35" s="545"/>
      <c r="VIS35" s="545"/>
      <c r="VIT35" s="545"/>
      <c r="VIU35" s="545"/>
      <c r="VIV35" s="545"/>
      <c r="VIW35" s="545"/>
      <c r="VIX35" s="545"/>
      <c r="VIY35" s="545"/>
      <c r="VIZ35" s="545"/>
      <c r="VJA35" s="545"/>
      <c r="VJB35" s="545"/>
      <c r="VJC35" s="545"/>
      <c r="VJD35" s="545"/>
      <c r="VJE35" s="545"/>
      <c r="VJF35" s="545"/>
      <c r="VJG35" s="545"/>
      <c r="VJH35" s="545"/>
      <c r="VJI35" s="545"/>
      <c r="VJJ35" s="545"/>
      <c r="VJK35" s="545"/>
      <c r="VJL35" s="545"/>
      <c r="VJM35" s="545"/>
      <c r="VJN35" s="545"/>
      <c r="VJO35" s="545"/>
      <c r="VJP35" s="545"/>
      <c r="VJQ35" s="545"/>
      <c r="VJR35" s="545"/>
      <c r="VJS35" s="545"/>
      <c r="VJT35" s="545"/>
      <c r="VJU35" s="545"/>
      <c r="VJV35" s="545"/>
      <c r="VJW35" s="545"/>
      <c r="VJX35" s="545"/>
      <c r="VJY35" s="545"/>
      <c r="VJZ35" s="545"/>
      <c r="VKA35" s="545"/>
      <c r="VKB35" s="545"/>
      <c r="VKC35" s="545"/>
      <c r="VKD35" s="545"/>
      <c r="VKE35" s="545"/>
      <c r="VKF35" s="545"/>
      <c r="VKG35" s="545"/>
      <c r="VKH35" s="545"/>
      <c r="VKI35" s="545"/>
      <c r="VKJ35" s="545"/>
      <c r="VKK35" s="545"/>
      <c r="VKL35" s="545"/>
      <c r="VKM35" s="545"/>
      <c r="VKN35" s="545"/>
      <c r="VKO35" s="545"/>
      <c r="VKP35" s="545"/>
      <c r="VKQ35" s="545"/>
      <c r="VKR35" s="545"/>
      <c r="VKS35" s="545"/>
      <c r="VKT35" s="545"/>
      <c r="VKU35" s="545"/>
      <c r="VKV35" s="545"/>
      <c r="VKW35" s="545"/>
      <c r="VKX35" s="545"/>
      <c r="VKY35" s="545"/>
      <c r="VKZ35" s="545"/>
      <c r="VLA35" s="545"/>
      <c r="VLB35" s="545"/>
      <c r="VLC35" s="545"/>
      <c r="VLD35" s="545"/>
      <c r="VLE35" s="545"/>
      <c r="VLF35" s="545"/>
      <c r="VLG35" s="545"/>
      <c r="VLH35" s="545"/>
      <c r="VLI35" s="545"/>
      <c r="VLJ35" s="545"/>
      <c r="VLK35" s="545"/>
      <c r="VLL35" s="545"/>
      <c r="VLM35" s="545"/>
      <c r="VLN35" s="545"/>
      <c r="VLO35" s="545"/>
      <c r="VLP35" s="545"/>
      <c r="VLQ35" s="545"/>
      <c r="VLR35" s="545"/>
      <c r="VLS35" s="545"/>
      <c r="VLT35" s="545"/>
      <c r="VLU35" s="545"/>
      <c r="VLV35" s="545"/>
      <c r="VLW35" s="545"/>
      <c r="VLX35" s="545"/>
      <c r="VLY35" s="545"/>
      <c r="VLZ35" s="545"/>
      <c r="VMA35" s="545"/>
      <c r="VMB35" s="545"/>
      <c r="VMC35" s="545"/>
      <c r="VMD35" s="545"/>
      <c r="VME35" s="545"/>
      <c r="VMF35" s="545"/>
      <c r="VMG35" s="545"/>
      <c r="VMH35" s="545"/>
      <c r="VMI35" s="545"/>
      <c r="VMJ35" s="545"/>
      <c r="VMK35" s="545"/>
      <c r="VML35" s="545"/>
      <c r="VMM35" s="545"/>
      <c r="VMN35" s="545"/>
      <c r="VMO35" s="545"/>
      <c r="VMP35" s="545"/>
      <c r="VMQ35" s="545"/>
      <c r="VMR35" s="545"/>
      <c r="VMS35" s="545"/>
      <c r="VMT35" s="545"/>
      <c r="VMU35" s="545"/>
      <c r="VMV35" s="545"/>
      <c r="VMW35" s="545"/>
      <c r="VMX35" s="545"/>
      <c r="VMY35" s="545"/>
      <c r="VMZ35" s="545"/>
      <c r="VNA35" s="545"/>
      <c r="VNB35" s="545"/>
      <c r="VNC35" s="545"/>
      <c r="VND35" s="545"/>
      <c r="VNE35" s="545"/>
      <c r="VNF35" s="545"/>
      <c r="VNG35" s="545"/>
      <c r="VNH35" s="545"/>
      <c r="VNI35" s="545"/>
      <c r="VNJ35" s="545"/>
      <c r="VNK35" s="545"/>
      <c r="VNL35" s="545"/>
      <c r="VNM35" s="545"/>
      <c r="VNN35" s="545"/>
      <c r="VNO35" s="545"/>
      <c r="VNP35" s="545"/>
      <c r="VNQ35" s="545"/>
      <c r="VNR35" s="545"/>
      <c r="VNS35" s="545"/>
      <c r="VNT35" s="545"/>
      <c r="VNU35" s="545"/>
      <c r="VNV35" s="545"/>
      <c r="VNW35" s="545"/>
      <c r="VNX35" s="545"/>
      <c r="VNY35" s="545"/>
      <c r="VNZ35" s="545"/>
      <c r="VOA35" s="545"/>
      <c r="VOB35" s="545"/>
      <c r="VOC35" s="545"/>
      <c r="VOD35" s="545"/>
      <c r="VOE35" s="545"/>
      <c r="VOF35" s="545"/>
      <c r="VOG35" s="545"/>
      <c r="VOH35" s="545"/>
      <c r="VOI35" s="545"/>
      <c r="VOJ35" s="545"/>
      <c r="VOK35" s="545"/>
      <c r="VOL35" s="545"/>
      <c r="VOM35" s="545"/>
      <c r="VON35" s="545"/>
      <c r="VOO35" s="545"/>
      <c r="VOP35" s="545"/>
      <c r="VOQ35" s="545"/>
      <c r="VOR35" s="545"/>
      <c r="VOS35" s="545"/>
      <c r="VOT35" s="545"/>
      <c r="VOU35" s="545"/>
      <c r="VOV35" s="545"/>
      <c r="VOW35" s="545"/>
      <c r="VOX35" s="545"/>
      <c r="VOY35" s="545"/>
      <c r="VOZ35" s="545"/>
      <c r="VPA35" s="545"/>
      <c r="VPB35" s="545"/>
      <c r="VPC35" s="545"/>
      <c r="VPD35" s="545"/>
      <c r="VPE35" s="545"/>
      <c r="VPF35" s="545"/>
      <c r="VPG35" s="545"/>
      <c r="VPH35" s="545"/>
      <c r="VPI35" s="545"/>
      <c r="VPJ35" s="545"/>
      <c r="VPK35" s="545"/>
      <c r="VPL35" s="545"/>
      <c r="VPM35" s="545"/>
      <c r="VPN35" s="545"/>
      <c r="VPO35" s="545"/>
      <c r="VPP35" s="545"/>
      <c r="VPQ35" s="545"/>
      <c r="VPR35" s="545"/>
      <c r="VPS35" s="545"/>
      <c r="VPT35" s="545"/>
      <c r="VPU35" s="545"/>
      <c r="VPV35" s="545"/>
      <c r="VPW35" s="545"/>
      <c r="VPX35" s="545"/>
      <c r="VPY35" s="545"/>
      <c r="VPZ35" s="545"/>
      <c r="VQA35" s="545"/>
      <c r="VQB35" s="545"/>
      <c r="VQC35" s="545"/>
      <c r="VQD35" s="545"/>
      <c r="VQE35" s="545"/>
      <c r="VQF35" s="545"/>
      <c r="VQG35" s="545"/>
      <c r="VQH35" s="545"/>
      <c r="VQI35" s="545"/>
      <c r="VQJ35" s="545"/>
      <c r="VQK35" s="545"/>
      <c r="VQL35" s="545"/>
      <c r="VQM35" s="545"/>
      <c r="VQN35" s="545"/>
      <c r="VQO35" s="545"/>
      <c r="VQP35" s="545"/>
      <c r="VQQ35" s="545"/>
      <c r="VQR35" s="545"/>
      <c r="VQS35" s="545"/>
      <c r="VQT35" s="545"/>
      <c r="VQU35" s="545"/>
      <c r="VQV35" s="545"/>
      <c r="VQW35" s="545"/>
      <c r="VQX35" s="545"/>
      <c r="VQY35" s="545"/>
      <c r="VQZ35" s="545"/>
      <c r="VRA35" s="545"/>
      <c r="VRB35" s="545"/>
      <c r="VRC35" s="545"/>
      <c r="VRD35" s="545"/>
      <c r="VRE35" s="545"/>
      <c r="VRF35" s="545"/>
      <c r="VRG35" s="545"/>
      <c r="VRH35" s="545"/>
      <c r="VRI35" s="545"/>
      <c r="VRJ35" s="545"/>
      <c r="VRK35" s="545"/>
      <c r="VRL35" s="545"/>
      <c r="VRM35" s="545"/>
      <c r="VRN35" s="545"/>
      <c r="VRO35" s="545"/>
      <c r="VRP35" s="545"/>
      <c r="VRQ35" s="545"/>
      <c r="VRR35" s="545"/>
      <c r="VRS35" s="545"/>
      <c r="VRT35" s="545"/>
      <c r="VRU35" s="545"/>
      <c r="VRV35" s="545"/>
      <c r="VRW35" s="545"/>
      <c r="VRX35" s="545"/>
      <c r="VRY35" s="545"/>
      <c r="VRZ35" s="545"/>
      <c r="VSA35" s="545"/>
      <c r="VSB35" s="545"/>
      <c r="VSC35" s="545"/>
      <c r="VSD35" s="545"/>
      <c r="VSE35" s="545"/>
      <c r="VSF35" s="545"/>
      <c r="VSG35" s="545"/>
      <c r="VSH35" s="545"/>
      <c r="VSI35" s="545"/>
      <c r="VSJ35" s="545"/>
      <c r="VSK35" s="545"/>
      <c r="VSL35" s="545"/>
      <c r="VSM35" s="545"/>
      <c r="VSN35" s="545"/>
      <c r="VSO35" s="545"/>
      <c r="VSP35" s="545"/>
      <c r="VSQ35" s="545"/>
      <c r="VSR35" s="545"/>
      <c r="VSS35" s="545"/>
      <c r="VST35" s="545"/>
      <c r="VSU35" s="545"/>
      <c r="VSV35" s="545"/>
      <c r="VSW35" s="545"/>
      <c r="VSX35" s="545"/>
      <c r="VSY35" s="545"/>
      <c r="VSZ35" s="545"/>
      <c r="VTA35" s="545"/>
      <c r="VTB35" s="545"/>
      <c r="VTC35" s="545"/>
      <c r="VTD35" s="545"/>
      <c r="VTE35" s="545"/>
      <c r="VTF35" s="545"/>
      <c r="VTG35" s="545"/>
      <c r="VTH35" s="545"/>
      <c r="VTI35" s="545"/>
      <c r="VTJ35" s="545"/>
      <c r="VTK35" s="545"/>
      <c r="VTL35" s="545"/>
      <c r="VTM35" s="545"/>
      <c r="VTN35" s="545"/>
      <c r="VTO35" s="545"/>
      <c r="VTP35" s="545"/>
      <c r="VTQ35" s="545"/>
      <c r="VTR35" s="545"/>
      <c r="VTS35" s="545"/>
      <c r="VTT35" s="545"/>
      <c r="VTU35" s="545"/>
      <c r="VTV35" s="545"/>
      <c r="VTW35" s="545"/>
      <c r="VTX35" s="545"/>
      <c r="VTY35" s="545"/>
      <c r="VTZ35" s="545"/>
      <c r="VUA35" s="545"/>
      <c r="VUB35" s="545"/>
      <c r="VUC35" s="545"/>
      <c r="VUD35" s="545"/>
      <c r="VUE35" s="545"/>
      <c r="VUF35" s="545"/>
      <c r="VUG35" s="545"/>
      <c r="VUH35" s="545"/>
      <c r="VUI35" s="545"/>
      <c r="VUJ35" s="545"/>
      <c r="VUK35" s="545"/>
      <c r="VUL35" s="545"/>
      <c r="VUM35" s="545"/>
      <c r="VUN35" s="545"/>
      <c r="VUO35" s="545"/>
      <c r="VUP35" s="545"/>
      <c r="VUQ35" s="545"/>
      <c r="VUR35" s="545"/>
      <c r="VUS35" s="545"/>
      <c r="VUT35" s="545"/>
      <c r="VUU35" s="545"/>
      <c r="VUV35" s="545"/>
      <c r="VUW35" s="545"/>
      <c r="VUX35" s="545"/>
      <c r="VUY35" s="545"/>
      <c r="VUZ35" s="545"/>
      <c r="VVA35" s="545"/>
      <c r="VVB35" s="545"/>
      <c r="VVC35" s="545"/>
      <c r="VVD35" s="545"/>
      <c r="VVE35" s="545"/>
      <c r="VVF35" s="545"/>
      <c r="VVG35" s="545"/>
      <c r="VVH35" s="545"/>
      <c r="VVI35" s="545"/>
      <c r="VVJ35" s="545"/>
      <c r="VVK35" s="545"/>
      <c r="VVL35" s="545"/>
      <c r="VVM35" s="545"/>
      <c r="VVN35" s="545"/>
      <c r="VVO35" s="545"/>
      <c r="VVP35" s="545"/>
      <c r="VVQ35" s="545"/>
      <c r="VVR35" s="545"/>
      <c r="VVS35" s="545"/>
      <c r="VVT35" s="545"/>
      <c r="VVU35" s="545"/>
      <c r="VVV35" s="545"/>
      <c r="VVW35" s="545"/>
      <c r="VVX35" s="545"/>
      <c r="VVY35" s="545"/>
      <c r="VVZ35" s="545"/>
      <c r="VWA35" s="545"/>
      <c r="VWB35" s="545"/>
      <c r="VWC35" s="545"/>
      <c r="VWD35" s="545"/>
      <c r="VWE35" s="545"/>
      <c r="VWF35" s="545"/>
      <c r="VWG35" s="545"/>
      <c r="VWH35" s="545"/>
      <c r="VWI35" s="545"/>
      <c r="VWJ35" s="545"/>
      <c r="VWK35" s="545"/>
      <c r="VWL35" s="545"/>
      <c r="VWM35" s="545"/>
      <c r="VWN35" s="545"/>
      <c r="VWO35" s="545"/>
      <c r="VWP35" s="545"/>
      <c r="VWQ35" s="545"/>
      <c r="VWR35" s="545"/>
      <c r="VWS35" s="545"/>
      <c r="VWT35" s="545"/>
      <c r="VWU35" s="545"/>
      <c r="VWV35" s="545"/>
      <c r="VWW35" s="545"/>
      <c r="VWX35" s="545"/>
      <c r="VWY35" s="545"/>
      <c r="VWZ35" s="545"/>
      <c r="VXA35" s="545"/>
      <c r="VXB35" s="545"/>
      <c r="VXC35" s="545"/>
      <c r="VXD35" s="545"/>
      <c r="VXE35" s="545"/>
      <c r="VXF35" s="545"/>
      <c r="VXG35" s="545"/>
      <c r="VXH35" s="545"/>
      <c r="VXI35" s="545"/>
      <c r="VXJ35" s="545"/>
      <c r="VXK35" s="545"/>
      <c r="VXL35" s="545"/>
      <c r="VXM35" s="545"/>
      <c r="VXN35" s="545"/>
      <c r="VXO35" s="545"/>
      <c r="VXP35" s="545"/>
      <c r="VXQ35" s="545"/>
      <c r="VXR35" s="545"/>
      <c r="VXS35" s="545"/>
      <c r="VXT35" s="545"/>
      <c r="VXU35" s="545"/>
      <c r="VXV35" s="545"/>
      <c r="VXW35" s="545"/>
      <c r="VXX35" s="545"/>
      <c r="VXY35" s="545"/>
      <c r="VXZ35" s="545"/>
      <c r="VYA35" s="545"/>
      <c r="VYB35" s="545"/>
      <c r="VYC35" s="545"/>
      <c r="VYD35" s="545"/>
      <c r="VYE35" s="545"/>
      <c r="VYF35" s="545"/>
      <c r="VYG35" s="545"/>
      <c r="VYH35" s="545"/>
      <c r="VYI35" s="545"/>
      <c r="VYJ35" s="545"/>
      <c r="VYK35" s="545"/>
      <c r="VYL35" s="545"/>
      <c r="VYM35" s="545"/>
      <c r="VYN35" s="545"/>
      <c r="VYO35" s="545"/>
      <c r="VYP35" s="545"/>
      <c r="VYQ35" s="545"/>
      <c r="VYR35" s="545"/>
      <c r="VYS35" s="545"/>
      <c r="VYT35" s="545"/>
      <c r="VYU35" s="545"/>
      <c r="VYV35" s="545"/>
      <c r="VYW35" s="545"/>
      <c r="VYX35" s="545"/>
      <c r="VYY35" s="545"/>
      <c r="VYZ35" s="545"/>
      <c r="VZA35" s="545"/>
      <c r="VZB35" s="545"/>
      <c r="VZC35" s="545"/>
      <c r="VZD35" s="545"/>
      <c r="VZE35" s="545"/>
      <c r="VZF35" s="545"/>
      <c r="VZG35" s="545"/>
      <c r="VZH35" s="545"/>
      <c r="VZI35" s="545"/>
      <c r="VZJ35" s="545"/>
      <c r="VZK35" s="545"/>
      <c r="VZL35" s="545"/>
      <c r="VZM35" s="545"/>
      <c r="VZN35" s="545"/>
      <c r="VZO35" s="545"/>
      <c r="VZP35" s="545"/>
      <c r="VZQ35" s="545"/>
      <c r="VZR35" s="545"/>
      <c r="VZS35" s="545"/>
      <c r="VZT35" s="545"/>
      <c r="VZU35" s="545"/>
      <c r="VZV35" s="545"/>
      <c r="VZW35" s="545"/>
      <c r="VZX35" s="545"/>
      <c r="VZY35" s="545"/>
      <c r="VZZ35" s="545"/>
      <c r="WAA35" s="545"/>
      <c r="WAB35" s="545"/>
      <c r="WAC35" s="545"/>
      <c r="WAD35" s="545"/>
      <c r="WAE35" s="545"/>
      <c r="WAF35" s="545"/>
      <c r="WAG35" s="545"/>
      <c r="WAH35" s="545"/>
      <c r="WAI35" s="545"/>
      <c r="WAJ35" s="545"/>
      <c r="WAK35" s="545"/>
      <c r="WAL35" s="545"/>
      <c r="WAM35" s="545"/>
      <c r="WAN35" s="545"/>
      <c r="WAO35" s="545"/>
      <c r="WAP35" s="545"/>
      <c r="WAQ35" s="545"/>
      <c r="WAR35" s="545"/>
      <c r="WAS35" s="545"/>
      <c r="WAT35" s="545"/>
      <c r="WAU35" s="545"/>
      <c r="WAV35" s="545"/>
      <c r="WAW35" s="545"/>
      <c r="WAX35" s="545"/>
      <c r="WAY35" s="545"/>
      <c r="WAZ35" s="545"/>
      <c r="WBA35" s="545"/>
      <c r="WBB35" s="545"/>
      <c r="WBC35" s="545"/>
      <c r="WBD35" s="545"/>
      <c r="WBE35" s="545"/>
      <c r="WBF35" s="545"/>
      <c r="WBG35" s="545"/>
      <c r="WBH35" s="545"/>
      <c r="WBI35" s="545"/>
      <c r="WBJ35" s="545"/>
      <c r="WBK35" s="545"/>
      <c r="WBL35" s="545"/>
      <c r="WBM35" s="545"/>
      <c r="WBN35" s="545"/>
      <c r="WBO35" s="545"/>
      <c r="WBP35" s="545"/>
      <c r="WBQ35" s="545"/>
      <c r="WBR35" s="545"/>
      <c r="WBS35" s="545"/>
      <c r="WBT35" s="545"/>
      <c r="WBU35" s="545"/>
      <c r="WBV35" s="545"/>
      <c r="WBW35" s="545"/>
      <c r="WBX35" s="545"/>
      <c r="WBY35" s="545"/>
      <c r="WBZ35" s="545"/>
      <c r="WCA35" s="545"/>
      <c r="WCB35" s="545"/>
      <c r="WCC35" s="545"/>
      <c r="WCD35" s="545"/>
      <c r="WCE35" s="545"/>
      <c r="WCF35" s="545"/>
      <c r="WCG35" s="545"/>
      <c r="WCH35" s="545"/>
      <c r="WCI35" s="545"/>
      <c r="WCJ35" s="545"/>
      <c r="WCK35" s="545"/>
      <c r="WCL35" s="545"/>
      <c r="WCM35" s="545"/>
      <c r="WCN35" s="545"/>
      <c r="WCO35" s="545"/>
      <c r="WCP35" s="545"/>
      <c r="WCQ35" s="545"/>
      <c r="WCR35" s="545"/>
      <c r="WCS35" s="545"/>
      <c r="WCT35" s="545"/>
      <c r="WCU35" s="545"/>
      <c r="WCV35" s="545"/>
      <c r="WCW35" s="545"/>
      <c r="WCX35" s="545"/>
      <c r="WCY35" s="545"/>
      <c r="WCZ35" s="545"/>
      <c r="WDA35" s="545"/>
      <c r="WDB35" s="545"/>
      <c r="WDC35" s="545"/>
      <c r="WDD35" s="545"/>
      <c r="WDE35" s="545"/>
      <c r="WDF35" s="545"/>
      <c r="WDG35" s="545"/>
      <c r="WDH35" s="545"/>
      <c r="WDI35" s="545"/>
      <c r="WDJ35" s="545"/>
      <c r="WDK35" s="545"/>
      <c r="WDL35" s="545"/>
      <c r="WDM35" s="545"/>
      <c r="WDN35" s="545"/>
      <c r="WDO35" s="545"/>
      <c r="WDP35" s="545"/>
      <c r="WDQ35" s="545"/>
      <c r="WDR35" s="545"/>
      <c r="WDS35" s="545"/>
      <c r="WDT35" s="545"/>
      <c r="WDU35" s="545"/>
      <c r="WDV35" s="545"/>
      <c r="WDW35" s="545"/>
      <c r="WDX35" s="545"/>
      <c r="WDY35" s="545"/>
      <c r="WDZ35" s="545"/>
      <c r="WEA35" s="545"/>
      <c r="WEB35" s="545"/>
      <c r="WEC35" s="545"/>
      <c r="WED35" s="545"/>
      <c r="WEE35" s="545"/>
      <c r="WEF35" s="545"/>
      <c r="WEG35" s="545"/>
      <c r="WEH35" s="545"/>
      <c r="WEI35" s="545"/>
      <c r="WEJ35" s="545"/>
      <c r="WEK35" s="545"/>
      <c r="WEL35" s="545"/>
      <c r="WEM35" s="545"/>
      <c r="WEN35" s="545"/>
      <c r="WEO35" s="545"/>
      <c r="WEP35" s="545"/>
      <c r="WEQ35" s="545"/>
      <c r="WER35" s="545"/>
      <c r="WES35" s="545"/>
      <c r="WET35" s="545"/>
      <c r="WEU35" s="545"/>
      <c r="WEV35" s="545"/>
      <c r="WEW35" s="545"/>
      <c r="WEX35" s="545"/>
      <c r="WEY35" s="545"/>
      <c r="WEZ35" s="545"/>
      <c r="WFA35" s="545"/>
      <c r="WFB35" s="545"/>
      <c r="WFC35" s="545"/>
      <c r="WFD35" s="545"/>
      <c r="WFE35" s="545"/>
      <c r="WFF35" s="545"/>
      <c r="WFG35" s="545"/>
      <c r="WFH35" s="545"/>
      <c r="WFI35" s="545"/>
      <c r="WFJ35" s="545"/>
      <c r="WFK35" s="545"/>
      <c r="WFL35" s="545"/>
      <c r="WFM35" s="545"/>
      <c r="WFN35" s="545"/>
      <c r="WFO35" s="545"/>
      <c r="WFP35" s="545"/>
      <c r="WFQ35" s="545"/>
      <c r="WFR35" s="545"/>
      <c r="WFS35" s="545"/>
      <c r="WFT35" s="545"/>
      <c r="WFU35" s="545"/>
      <c r="WFV35" s="545"/>
      <c r="WFW35" s="545"/>
      <c r="WFX35" s="545"/>
      <c r="WFY35" s="545"/>
      <c r="WFZ35" s="545"/>
      <c r="WGA35" s="545"/>
      <c r="WGB35" s="545"/>
      <c r="WGC35" s="545"/>
      <c r="WGD35" s="545"/>
      <c r="WGE35" s="545"/>
      <c r="WGF35" s="545"/>
      <c r="WGG35" s="545"/>
      <c r="WGH35" s="545"/>
      <c r="WGI35" s="545"/>
      <c r="WGJ35" s="545"/>
      <c r="WGK35" s="545"/>
      <c r="WGL35" s="545"/>
      <c r="WGM35" s="545"/>
      <c r="WGN35" s="545"/>
      <c r="WGO35" s="545"/>
      <c r="WGP35" s="545"/>
      <c r="WGQ35" s="545"/>
      <c r="WGR35" s="545"/>
      <c r="WGS35" s="545"/>
      <c r="WGT35" s="545"/>
      <c r="WGU35" s="545"/>
      <c r="WGV35" s="545"/>
      <c r="WGW35" s="545"/>
      <c r="WGX35" s="545"/>
      <c r="WGY35" s="545"/>
      <c r="WGZ35" s="545"/>
      <c r="WHA35" s="545"/>
      <c r="WHB35" s="545"/>
      <c r="WHC35" s="545"/>
      <c r="WHD35" s="545"/>
      <c r="WHE35" s="545"/>
      <c r="WHF35" s="545"/>
      <c r="WHG35" s="545"/>
      <c r="WHH35" s="545"/>
      <c r="WHI35" s="545"/>
      <c r="WHJ35" s="545"/>
      <c r="WHK35" s="545"/>
      <c r="WHL35" s="545"/>
      <c r="WHM35" s="545"/>
      <c r="WHN35" s="545"/>
      <c r="WHO35" s="545"/>
      <c r="WHP35" s="545"/>
      <c r="WHQ35" s="545"/>
      <c r="WHR35" s="545"/>
      <c r="WHS35" s="545"/>
      <c r="WHT35" s="545"/>
      <c r="WHU35" s="545"/>
      <c r="WHV35" s="545"/>
      <c r="WHW35" s="545"/>
      <c r="WHX35" s="545"/>
      <c r="WHY35" s="545"/>
      <c r="WHZ35" s="545"/>
      <c r="WIA35" s="545"/>
      <c r="WIB35" s="545"/>
      <c r="WIC35" s="545"/>
      <c r="WID35" s="545"/>
      <c r="WIE35" s="545"/>
      <c r="WIF35" s="545"/>
      <c r="WIG35" s="545"/>
      <c r="WIH35" s="545"/>
      <c r="WII35" s="545"/>
      <c r="WIJ35" s="545"/>
      <c r="WIK35" s="545"/>
      <c r="WIL35" s="545"/>
      <c r="WIM35" s="545"/>
      <c r="WIN35" s="545"/>
      <c r="WIO35" s="545"/>
      <c r="WIP35" s="545"/>
      <c r="WIQ35" s="545"/>
      <c r="WIR35" s="545"/>
      <c r="WIS35" s="545"/>
      <c r="WIT35" s="545"/>
      <c r="WIU35" s="545"/>
      <c r="WIV35" s="545"/>
      <c r="WIW35" s="545"/>
      <c r="WIX35" s="545"/>
      <c r="WIY35" s="545"/>
      <c r="WIZ35" s="545"/>
      <c r="WJA35" s="545"/>
      <c r="WJB35" s="545"/>
      <c r="WJC35" s="545"/>
      <c r="WJD35" s="545"/>
      <c r="WJE35" s="545"/>
      <c r="WJF35" s="545"/>
      <c r="WJG35" s="545"/>
      <c r="WJH35" s="545"/>
      <c r="WJI35" s="545"/>
      <c r="WJJ35" s="545"/>
      <c r="WJK35" s="545"/>
      <c r="WJL35" s="545"/>
      <c r="WJM35" s="545"/>
      <c r="WJN35" s="545"/>
      <c r="WJO35" s="545"/>
      <c r="WJP35" s="545"/>
      <c r="WJQ35" s="545"/>
      <c r="WJR35" s="545"/>
      <c r="WJS35" s="545"/>
      <c r="WJT35" s="545"/>
      <c r="WJU35" s="545"/>
      <c r="WJV35" s="545"/>
      <c r="WJW35" s="545"/>
      <c r="WJX35" s="545"/>
      <c r="WJY35" s="545"/>
      <c r="WJZ35" s="545"/>
      <c r="WKA35" s="545"/>
      <c r="WKB35" s="545"/>
      <c r="WKC35" s="545"/>
      <c r="WKD35" s="545"/>
      <c r="WKE35" s="545"/>
      <c r="WKF35" s="545"/>
      <c r="WKG35" s="545"/>
      <c r="WKH35" s="545"/>
      <c r="WKI35" s="545"/>
      <c r="WKJ35" s="545"/>
      <c r="WKK35" s="545"/>
      <c r="WKL35" s="545"/>
      <c r="WKM35" s="545"/>
      <c r="WKN35" s="545"/>
      <c r="WKO35" s="545"/>
      <c r="WKP35" s="545"/>
      <c r="WKQ35" s="545"/>
      <c r="WKR35" s="545"/>
      <c r="WKS35" s="545"/>
      <c r="WKT35" s="545"/>
      <c r="WKU35" s="545"/>
      <c r="WKV35" s="545"/>
      <c r="WKW35" s="545"/>
      <c r="WKX35" s="545"/>
      <c r="WKY35" s="545"/>
      <c r="WKZ35" s="545"/>
      <c r="WLA35" s="545"/>
      <c r="WLB35" s="545"/>
      <c r="WLC35" s="545"/>
      <c r="WLD35" s="545"/>
      <c r="WLE35" s="545"/>
      <c r="WLF35" s="545"/>
      <c r="WLG35" s="545"/>
      <c r="WLH35" s="545"/>
      <c r="WLI35" s="545"/>
      <c r="WLJ35" s="545"/>
      <c r="WLK35" s="545"/>
      <c r="WLL35" s="545"/>
      <c r="WLM35" s="545"/>
      <c r="WLN35" s="545"/>
      <c r="WLO35" s="545"/>
      <c r="WLP35" s="545"/>
      <c r="WLQ35" s="545"/>
      <c r="WLR35" s="545"/>
      <c r="WLS35" s="545"/>
      <c r="WLT35" s="545"/>
      <c r="WLU35" s="545"/>
      <c r="WLV35" s="545"/>
      <c r="WLW35" s="545"/>
      <c r="WLX35" s="545"/>
      <c r="WLY35" s="545"/>
      <c r="WLZ35" s="545"/>
      <c r="WMA35" s="545"/>
      <c r="WMB35" s="545"/>
      <c r="WMC35" s="545"/>
      <c r="WMD35" s="545"/>
      <c r="WME35" s="545"/>
      <c r="WMF35" s="545"/>
      <c r="WMG35" s="545"/>
      <c r="WMH35" s="545"/>
      <c r="WMI35" s="545"/>
      <c r="WMJ35" s="545"/>
      <c r="WMK35" s="545"/>
      <c r="WML35" s="545"/>
      <c r="WMM35" s="545"/>
      <c r="WMN35" s="545"/>
      <c r="WMO35" s="545"/>
      <c r="WMP35" s="545"/>
      <c r="WMQ35" s="545"/>
      <c r="WMR35" s="545"/>
      <c r="WMS35" s="545"/>
      <c r="WMT35" s="545"/>
      <c r="WMU35" s="545"/>
      <c r="WMV35" s="545"/>
      <c r="WMW35" s="545"/>
      <c r="WMX35" s="545"/>
      <c r="WMY35" s="545"/>
      <c r="WMZ35" s="545"/>
      <c r="WNA35" s="545"/>
      <c r="WNB35" s="545"/>
      <c r="WNC35" s="545"/>
      <c r="WND35" s="545"/>
      <c r="WNE35" s="545"/>
      <c r="WNF35" s="545"/>
      <c r="WNG35" s="545"/>
      <c r="WNH35" s="545"/>
      <c r="WNI35" s="545"/>
      <c r="WNJ35" s="545"/>
      <c r="WNK35" s="545"/>
      <c r="WNL35" s="545"/>
      <c r="WNM35" s="545"/>
      <c r="WNN35" s="545"/>
      <c r="WNO35" s="545"/>
      <c r="WNP35" s="545"/>
      <c r="WNQ35" s="545"/>
      <c r="WNR35" s="545"/>
      <c r="WNS35" s="545"/>
      <c r="WNT35" s="545"/>
      <c r="WNU35" s="545"/>
      <c r="WNV35" s="545"/>
      <c r="WNW35" s="545"/>
      <c r="WNX35" s="545"/>
      <c r="WNY35" s="545"/>
      <c r="WNZ35" s="545"/>
      <c r="WOA35" s="545"/>
      <c r="WOB35" s="545"/>
      <c r="WOC35" s="545"/>
      <c r="WOD35" s="545"/>
      <c r="WOE35" s="545"/>
      <c r="WOF35" s="545"/>
      <c r="WOG35" s="545"/>
      <c r="WOH35" s="545"/>
      <c r="WOI35" s="545"/>
      <c r="WOJ35" s="545"/>
      <c r="WOK35" s="545"/>
      <c r="WOL35" s="545"/>
      <c r="WOM35" s="545"/>
      <c r="WON35" s="545"/>
      <c r="WOO35" s="545"/>
      <c r="WOP35" s="545"/>
      <c r="WOQ35" s="545"/>
      <c r="WOR35" s="545"/>
      <c r="WOS35" s="545"/>
      <c r="WOT35" s="545"/>
      <c r="WOU35" s="545"/>
      <c r="WOV35" s="545"/>
      <c r="WOW35" s="545"/>
      <c r="WOX35" s="545"/>
      <c r="WOY35" s="545"/>
      <c r="WOZ35" s="545"/>
      <c r="WPA35" s="545"/>
      <c r="WPB35" s="545"/>
      <c r="WPC35" s="545"/>
      <c r="WPD35" s="545"/>
      <c r="WPE35" s="545"/>
      <c r="WPF35" s="545"/>
      <c r="WPG35" s="545"/>
      <c r="WPH35" s="545"/>
      <c r="WPI35" s="545"/>
      <c r="WPJ35" s="545"/>
      <c r="WPK35" s="545"/>
      <c r="WPL35" s="545"/>
      <c r="WPM35" s="545"/>
      <c r="WPN35" s="545"/>
      <c r="WPO35" s="545"/>
      <c r="WPP35" s="545"/>
      <c r="WPQ35" s="545"/>
      <c r="WPR35" s="545"/>
      <c r="WPS35" s="545"/>
      <c r="WPT35" s="545"/>
      <c r="WPU35" s="545"/>
      <c r="WPV35" s="545"/>
      <c r="WPW35" s="545"/>
      <c r="WPX35" s="545"/>
      <c r="WPY35" s="545"/>
      <c r="WPZ35" s="545"/>
      <c r="WQA35" s="545"/>
      <c r="WQB35" s="545"/>
      <c r="WQC35" s="545"/>
      <c r="WQD35" s="545"/>
      <c r="WQE35" s="545"/>
      <c r="WQF35" s="545"/>
      <c r="WQG35" s="545"/>
      <c r="WQH35" s="545"/>
      <c r="WQI35" s="545"/>
      <c r="WQJ35" s="545"/>
      <c r="WQK35" s="545"/>
      <c r="WQL35" s="545"/>
      <c r="WQM35" s="545"/>
      <c r="WQN35" s="545"/>
      <c r="WQO35" s="545"/>
      <c r="WQP35" s="545"/>
      <c r="WQQ35" s="545"/>
      <c r="WQR35" s="545"/>
      <c r="WQS35" s="545"/>
      <c r="WQT35" s="545"/>
      <c r="WQU35" s="545"/>
      <c r="WQV35" s="545"/>
      <c r="WQW35" s="545"/>
      <c r="WQX35" s="545"/>
      <c r="WQY35" s="545"/>
      <c r="WQZ35" s="545"/>
      <c r="WRA35" s="545"/>
      <c r="WRB35" s="545"/>
      <c r="WRC35" s="545"/>
      <c r="WRD35" s="545"/>
      <c r="WRE35" s="545"/>
      <c r="WRF35" s="545"/>
      <c r="WRG35" s="545"/>
      <c r="WRH35" s="545"/>
      <c r="WRI35" s="545"/>
      <c r="WRJ35" s="545"/>
      <c r="WRK35" s="545"/>
      <c r="WRL35" s="545"/>
      <c r="WRM35" s="545"/>
      <c r="WRN35" s="545"/>
      <c r="WRO35" s="545"/>
      <c r="WRP35" s="545"/>
      <c r="WRQ35" s="545"/>
      <c r="WRR35" s="545"/>
      <c r="WRS35" s="545"/>
      <c r="WRT35" s="545"/>
      <c r="WRU35" s="545"/>
      <c r="WRV35" s="545"/>
      <c r="WRW35" s="545"/>
      <c r="WRX35" s="545"/>
      <c r="WRY35" s="545"/>
      <c r="WRZ35" s="545"/>
      <c r="WSA35" s="545"/>
      <c r="WSB35" s="545"/>
      <c r="WSC35" s="545"/>
      <c r="WSD35" s="545"/>
      <c r="WSE35" s="545"/>
      <c r="WSF35" s="545"/>
      <c r="WSG35" s="545"/>
      <c r="WSH35" s="545"/>
      <c r="WSI35" s="545"/>
      <c r="WSJ35" s="545"/>
      <c r="WSK35" s="545"/>
      <c r="WSL35" s="545"/>
      <c r="WSM35" s="545"/>
      <c r="WSN35" s="545"/>
      <c r="WSO35" s="545"/>
      <c r="WSP35" s="545"/>
      <c r="WSQ35" s="545"/>
      <c r="WSR35" s="545"/>
      <c r="WSS35" s="545"/>
      <c r="WST35" s="545"/>
      <c r="WSU35" s="545"/>
      <c r="WSV35" s="545"/>
      <c r="WSW35" s="545"/>
      <c r="WSX35" s="545"/>
      <c r="WSY35" s="545"/>
      <c r="WSZ35" s="545"/>
      <c r="WTA35" s="545"/>
      <c r="WTB35" s="545"/>
      <c r="WTC35" s="545"/>
      <c r="WTD35" s="545"/>
      <c r="WTE35" s="545"/>
      <c r="WTF35" s="545"/>
      <c r="WTG35" s="545"/>
      <c r="WTH35" s="545"/>
      <c r="WTI35" s="545"/>
      <c r="WTJ35" s="545"/>
      <c r="WTK35" s="545"/>
      <c r="WTL35" s="545"/>
      <c r="WTM35" s="545"/>
      <c r="WTN35" s="545"/>
      <c r="WTO35" s="545"/>
      <c r="WTP35" s="545"/>
      <c r="WTQ35" s="545"/>
      <c r="WTR35" s="545"/>
      <c r="WTS35" s="545"/>
      <c r="WTT35" s="545"/>
      <c r="WTU35" s="545"/>
      <c r="WTV35" s="545"/>
      <c r="WTW35" s="545"/>
      <c r="WTX35" s="545"/>
      <c r="WTY35" s="545"/>
      <c r="WTZ35" s="545"/>
      <c r="WUA35" s="545"/>
      <c r="WUB35" s="545"/>
      <c r="WUC35" s="545"/>
      <c r="WUD35" s="545"/>
      <c r="WUE35" s="545"/>
      <c r="WUF35" s="545"/>
      <c r="WUG35" s="545"/>
      <c r="WUH35" s="545"/>
      <c r="WUI35" s="545"/>
      <c r="WUJ35" s="545"/>
      <c r="WUK35" s="545"/>
      <c r="WUL35" s="545"/>
      <c r="WUM35" s="545"/>
      <c r="WUN35" s="545"/>
      <c r="WUO35" s="545"/>
      <c r="WUP35" s="545"/>
      <c r="WUQ35" s="545"/>
      <c r="WUR35" s="545"/>
      <c r="WUS35" s="545"/>
      <c r="WUT35" s="545"/>
      <c r="WUU35" s="545"/>
      <c r="WUV35" s="545"/>
      <c r="WUW35" s="545"/>
      <c r="WUX35" s="545"/>
      <c r="WUY35" s="545"/>
      <c r="WUZ35" s="545"/>
      <c r="WVA35" s="545"/>
      <c r="WVB35" s="545"/>
      <c r="WVC35" s="545"/>
      <c r="WVD35" s="545"/>
      <c r="WVE35" s="545"/>
      <c r="WVF35" s="545"/>
      <c r="WVG35" s="545"/>
      <c r="WVH35" s="545"/>
      <c r="WVI35" s="545"/>
      <c r="WVJ35" s="545"/>
      <c r="WVK35" s="545"/>
      <c r="WVL35" s="545"/>
      <c r="WVM35" s="545"/>
      <c r="WVN35" s="545"/>
      <c r="WVO35" s="545"/>
      <c r="WVP35" s="545"/>
      <c r="WVQ35" s="545"/>
      <c r="WVR35" s="545"/>
      <c r="WVS35" s="545"/>
    </row>
    <row r="36" spans="1:16139" ht="42" customHeight="1" collapsed="1">
      <c r="A36" s="484">
        <v>2</v>
      </c>
      <c r="B36" s="485" t="s">
        <v>1426</v>
      </c>
      <c r="C36" s="486">
        <f t="shared" ref="C36:C37" si="18">SUM(D36:M36)</f>
        <v>100</v>
      </c>
      <c r="D36" s="486">
        <v>100</v>
      </c>
      <c r="E36" s="486"/>
      <c r="F36" s="1448"/>
      <c r="G36" s="1329"/>
      <c r="H36" s="1329"/>
      <c r="I36" s="1329"/>
      <c r="J36" s="1329"/>
      <c r="K36" s="486"/>
      <c r="L36" s="486"/>
      <c r="M36" s="486"/>
      <c r="N36" s="467" t="s">
        <v>1681</v>
      </c>
    </row>
    <row r="37" spans="1:16139" ht="36.75" customHeight="1">
      <c r="A37" s="484">
        <v>3</v>
      </c>
      <c r="B37" s="485" t="s">
        <v>1857</v>
      </c>
      <c r="C37" s="486">
        <f t="shared" si="18"/>
        <v>10714</v>
      </c>
      <c r="D37" s="486">
        <v>2355</v>
      </c>
      <c r="E37" s="486">
        <v>1285</v>
      </c>
      <c r="F37" s="1448">
        <v>833</v>
      </c>
      <c r="G37" s="1329">
        <v>929</v>
      </c>
      <c r="H37" s="1329">
        <v>1270</v>
      </c>
      <c r="I37" s="1329">
        <v>874</v>
      </c>
      <c r="J37" s="1329">
        <v>287</v>
      </c>
      <c r="K37" s="486">
        <v>669</v>
      </c>
      <c r="L37" s="486">
        <v>1038</v>
      </c>
      <c r="M37" s="486">
        <v>1174</v>
      </c>
      <c r="N37" s="467" t="s">
        <v>1576</v>
      </c>
      <c r="R37" s="669"/>
    </row>
    <row r="38" spans="1:16139" ht="45.75" customHeight="1">
      <c r="A38" s="670">
        <v>4</v>
      </c>
      <c r="B38" s="485" t="s">
        <v>1735</v>
      </c>
      <c r="C38" s="486">
        <f>SUM(D38:M38)</f>
        <v>6188</v>
      </c>
      <c r="D38" s="486">
        <v>616</v>
      </c>
      <c r="E38" s="486">
        <v>895</v>
      </c>
      <c r="F38" s="1448">
        <v>578</v>
      </c>
      <c r="G38" s="486">
        <v>477</v>
      </c>
      <c r="H38" s="486">
        <v>652</v>
      </c>
      <c r="I38" s="486">
        <v>832</v>
      </c>
      <c r="J38" s="486">
        <v>596</v>
      </c>
      <c r="K38" s="486">
        <v>462</v>
      </c>
      <c r="L38" s="486">
        <v>538</v>
      </c>
      <c r="M38" s="486">
        <v>542</v>
      </c>
      <c r="N38" s="467" t="s">
        <v>1736</v>
      </c>
      <c r="O38" s="682"/>
      <c r="R38" s="450"/>
    </row>
    <row r="39" spans="1:16139" ht="57.75" customHeight="1">
      <c r="A39" s="484">
        <v>5</v>
      </c>
      <c r="B39" s="553" t="s">
        <v>1979</v>
      </c>
      <c r="C39" s="486">
        <f>SUM(D39:M39)</f>
        <v>7000</v>
      </c>
      <c r="D39" s="671">
        <v>274</v>
      </c>
      <c r="E39" s="671">
        <v>907</v>
      </c>
      <c r="F39" s="1449">
        <v>594</v>
      </c>
      <c r="G39" s="671">
        <v>287</v>
      </c>
      <c r="H39" s="671">
        <v>854</v>
      </c>
      <c r="I39" s="671">
        <v>940</v>
      </c>
      <c r="J39" s="671">
        <v>366</v>
      </c>
      <c r="K39" s="671">
        <v>551</v>
      </c>
      <c r="L39" s="671">
        <v>1131</v>
      </c>
      <c r="M39" s="671">
        <v>1096</v>
      </c>
      <c r="N39" s="554" t="s">
        <v>1980</v>
      </c>
      <c r="O39" s="682"/>
    </row>
    <row r="40" spans="1:16139" ht="123" customHeight="1">
      <c r="A40" s="484">
        <v>6</v>
      </c>
      <c r="B40" s="553" t="s">
        <v>2402</v>
      </c>
      <c r="C40" s="486">
        <f>SUM(D40:M40)</f>
        <v>1220</v>
      </c>
      <c r="D40" s="671"/>
      <c r="E40" s="671"/>
      <c r="F40" s="1449"/>
      <c r="G40" s="671"/>
      <c r="H40" s="671">
        <v>1220</v>
      </c>
      <c r="I40" s="671"/>
      <c r="J40" s="671"/>
      <c r="K40" s="671"/>
      <c r="L40" s="671"/>
      <c r="M40" s="671"/>
      <c r="N40" s="554" t="s">
        <v>2296</v>
      </c>
      <c r="R40" s="450"/>
    </row>
    <row r="41" spans="1:16139" s="551" customFormat="1" ht="195.75" customHeight="1">
      <c r="A41" s="670">
        <v>7</v>
      </c>
      <c r="B41" s="485" t="s">
        <v>1981</v>
      </c>
      <c r="C41" s="544">
        <f t="shared" ref="C41:C45" si="19">SUM(D41:M41)</f>
        <v>5130</v>
      </c>
      <c r="D41" s="544">
        <v>600</v>
      </c>
      <c r="E41" s="544">
        <v>570</v>
      </c>
      <c r="F41" s="1446">
        <v>570</v>
      </c>
      <c r="G41" s="544">
        <v>570</v>
      </c>
      <c r="H41" s="544">
        <v>570</v>
      </c>
      <c r="I41" s="544">
        <v>570</v>
      </c>
      <c r="J41" s="544">
        <v>420</v>
      </c>
      <c r="K41" s="544">
        <v>420</v>
      </c>
      <c r="L41" s="544">
        <v>420</v>
      </c>
      <c r="M41" s="544">
        <v>420</v>
      </c>
      <c r="N41" s="467" t="s">
        <v>2404</v>
      </c>
      <c r="O41" s="681"/>
    </row>
    <row r="42" spans="1:16139" s="551" customFormat="1" ht="26.25" customHeight="1" outlineLevel="1">
      <c r="A42" s="552" t="s">
        <v>23</v>
      </c>
      <c r="B42" s="550" t="s">
        <v>2297</v>
      </c>
      <c r="C42" s="544">
        <f t="shared" si="19"/>
        <v>10804</v>
      </c>
      <c r="D42" s="544">
        <f>D43+D44</f>
        <v>721</v>
      </c>
      <c r="E42" s="544">
        <f t="shared" ref="E42:M42" si="20">E43+E44</f>
        <v>1262</v>
      </c>
      <c r="F42" s="1446">
        <f t="shared" si="20"/>
        <v>1291</v>
      </c>
      <c r="G42" s="544">
        <f t="shared" si="20"/>
        <v>1000</v>
      </c>
      <c r="H42" s="544">
        <f t="shared" si="20"/>
        <v>1600</v>
      </c>
      <c r="I42" s="544">
        <f t="shared" si="20"/>
        <v>1600</v>
      </c>
      <c r="J42" s="544">
        <f t="shared" si="20"/>
        <v>900</v>
      </c>
      <c r="K42" s="544">
        <f t="shared" si="20"/>
        <v>930</v>
      </c>
      <c r="L42" s="544">
        <f t="shared" si="20"/>
        <v>1000</v>
      </c>
      <c r="M42" s="544">
        <f t="shared" si="20"/>
        <v>500</v>
      </c>
      <c r="N42" s="554"/>
      <c r="O42" s="672"/>
    </row>
    <row r="43" spans="1:16139" s="551" customFormat="1" ht="26.25" customHeight="1" outlineLevel="1">
      <c r="A43" s="552" t="s">
        <v>281</v>
      </c>
      <c r="B43" s="673" t="s">
        <v>2299</v>
      </c>
      <c r="C43" s="544">
        <f t="shared" si="19"/>
        <v>5498</v>
      </c>
      <c r="D43" s="544">
        <v>402</v>
      </c>
      <c r="E43" s="544">
        <v>565</v>
      </c>
      <c r="F43" s="1446">
        <v>431</v>
      </c>
      <c r="G43" s="544">
        <v>550</v>
      </c>
      <c r="H43" s="544">
        <v>600</v>
      </c>
      <c r="I43" s="544">
        <v>750</v>
      </c>
      <c r="J43" s="544">
        <v>750</v>
      </c>
      <c r="K43" s="544">
        <v>450</v>
      </c>
      <c r="L43" s="544">
        <v>500</v>
      </c>
      <c r="M43" s="544">
        <v>500</v>
      </c>
      <c r="N43" s="554"/>
      <c r="O43" s="682"/>
    </row>
    <row r="44" spans="1:16139" s="551" customFormat="1" ht="26.25" customHeight="1" outlineLevel="1">
      <c r="A44" s="552" t="s">
        <v>281</v>
      </c>
      <c r="B44" s="673" t="s">
        <v>2300</v>
      </c>
      <c r="C44" s="544">
        <f t="shared" si="19"/>
        <v>5306</v>
      </c>
      <c r="D44" s="544">
        <v>319</v>
      </c>
      <c r="E44" s="544">
        <v>697</v>
      </c>
      <c r="F44" s="1446">
        <v>860</v>
      </c>
      <c r="G44" s="544">
        <v>450</v>
      </c>
      <c r="H44" s="544">
        <v>1000</v>
      </c>
      <c r="I44" s="544">
        <v>850</v>
      </c>
      <c r="J44" s="544">
        <v>150</v>
      </c>
      <c r="K44" s="544">
        <v>480</v>
      </c>
      <c r="L44" s="544">
        <v>500</v>
      </c>
      <c r="M44" s="544"/>
      <c r="N44" s="554"/>
      <c r="O44" s="682"/>
    </row>
    <row r="45" spans="1:16139" s="551" customFormat="1" ht="33.75" customHeight="1">
      <c r="A45" s="552">
        <v>8</v>
      </c>
      <c r="B45" s="553" t="s">
        <v>1982</v>
      </c>
      <c r="C45" s="544">
        <f t="shared" si="19"/>
        <v>9506</v>
      </c>
      <c r="D45" s="544">
        <v>2243</v>
      </c>
      <c r="E45" s="544">
        <v>1045</v>
      </c>
      <c r="F45" s="1446">
        <v>798</v>
      </c>
      <c r="G45" s="544">
        <v>687</v>
      </c>
      <c r="H45" s="544">
        <v>1062</v>
      </c>
      <c r="I45" s="544">
        <v>695</v>
      </c>
      <c r="J45" s="544">
        <v>270</v>
      </c>
      <c r="K45" s="544">
        <v>578</v>
      </c>
      <c r="L45" s="544">
        <v>950</v>
      </c>
      <c r="M45" s="544">
        <v>1178</v>
      </c>
      <c r="N45" s="554" t="s">
        <v>2425</v>
      </c>
      <c r="O45" s="682"/>
    </row>
    <row r="46" spans="1:16139" s="551" customFormat="1" ht="68.25" customHeight="1">
      <c r="A46" s="552">
        <v>9</v>
      </c>
      <c r="B46" s="553" t="s">
        <v>1983</v>
      </c>
      <c r="C46" s="544">
        <f t="shared" ref="C46" si="21">SUM(D46:M46)</f>
        <v>1600</v>
      </c>
      <c r="D46" s="544">
        <v>300</v>
      </c>
      <c r="E46" s="544">
        <v>300</v>
      </c>
      <c r="F46" s="1446">
        <v>100</v>
      </c>
      <c r="G46" s="544">
        <v>100</v>
      </c>
      <c r="H46" s="544">
        <v>100</v>
      </c>
      <c r="I46" s="544">
        <v>100</v>
      </c>
      <c r="J46" s="544">
        <v>100</v>
      </c>
      <c r="K46" s="544">
        <v>100</v>
      </c>
      <c r="L46" s="544">
        <v>300</v>
      </c>
      <c r="M46" s="544">
        <v>100</v>
      </c>
      <c r="N46" s="554" t="s">
        <v>1984</v>
      </c>
      <c r="O46" s="682"/>
      <c r="R46" s="580"/>
    </row>
    <row r="47" spans="1:16139" s="551" customFormat="1" ht="41.25" customHeight="1">
      <c r="A47" s="552">
        <v>10</v>
      </c>
      <c r="B47" s="553" t="s">
        <v>2010</v>
      </c>
      <c r="C47" s="544">
        <f t="shared" ref="C47:C50" si="22">SUM(D47:M47)</f>
        <v>204</v>
      </c>
      <c r="D47" s="674">
        <v>42</v>
      </c>
      <c r="E47" s="674">
        <v>22</v>
      </c>
      <c r="F47" s="1450">
        <v>18</v>
      </c>
      <c r="G47" s="674">
        <v>16</v>
      </c>
      <c r="H47" s="674">
        <v>24</v>
      </c>
      <c r="I47" s="674">
        <v>22</v>
      </c>
      <c r="J47" s="674">
        <v>6</v>
      </c>
      <c r="K47" s="674">
        <v>14</v>
      </c>
      <c r="L47" s="674">
        <v>18</v>
      </c>
      <c r="M47" s="674">
        <v>22</v>
      </c>
      <c r="N47" s="554" t="s">
        <v>2426</v>
      </c>
      <c r="O47" s="682"/>
      <c r="R47" s="580"/>
    </row>
    <row r="48" spans="1:16139" s="841" customFormat="1" ht="96.6">
      <c r="A48" s="840">
        <v>11</v>
      </c>
      <c r="B48" s="553" t="s">
        <v>2428</v>
      </c>
      <c r="C48" s="486">
        <f t="shared" si="22"/>
        <v>10000</v>
      </c>
      <c r="D48" s="671">
        <v>1500</v>
      </c>
      <c r="E48" s="671">
        <v>1000</v>
      </c>
      <c r="F48" s="1449">
        <v>1000</v>
      </c>
      <c r="G48" s="671">
        <v>1000</v>
      </c>
      <c r="H48" s="671">
        <v>1000</v>
      </c>
      <c r="I48" s="671">
        <v>1000</v>
      </c>
      <c r="J48" s="671">
        <v>500</v>
      </c>
      <c r="K48" s="671">
        <v>1000</v>
      </c>
      <c r="L48" s="671">
        <v>1000</v>
      </c>
      <c r="M48" s="671">
        <v>1000</v>
      </c>
      <c r="N48" s="554" t="s">
        <v>2456</v>
      </c>
      <c r="O48" s="682"/>
      <c r="R48" s="842"/>
    </row>
    <row r="49" spans="1:18" s="841" customFormat="1" ht="32.25" hidden="1" customHeight="1" outlineLevel="1">
      <c r="A49" s="840" t="s">
        <v>23</v>
      </c>
      <c r="B49" s="550" t="s">
        <v>2297</v>
      </c>
      <c r="C49" s="486">
        <f t="shared" si="22"/>
        <v>0</v>
      </c>
      <c r="D49" s="486"/>
      <c r="E49" s="486"/>
      <c r="F49" s="1448"/>
      <c r="G49" s="486"/>
      <c r="H49" s="486"/>
      <c r="I49" s="486"/>
      <c r="J49" s="486"/>
      <c r="K49" s="486"/>
      <c r="L49" s="486"/>
      <c r="M49" s="486"/>
      <c r="N49" s="554" t="s">
        <v>2298</v>
      </c>
      <c r="O49" s="672"/>
    </row>
    <row r="50" spans="1:18" s="841" customFormat="1" ht="47.25" customHeight="1" collapsed="1">
      <c r="A50" s="840">
        <v>12</v>
      </c>
      <c r="B50" s="553" t="s">
        <v>2474</v>
      </c>
      <c r="C50" s="486">
        <f t="shared" si="22"/>
        <v>5000</v>
      </c>
      <c r="D50" s="671">
        <v>5000</v>
      </c>
      <c r="E50" s="671"/>
      <c r="F50" s="1449"/>
      <c r="G50" s="671"/>
      <c r="H50" s="671"/>
      <c r="I50" s="671"/>
      <c r="J50" s="671"/>
      <c r="K50" s="671"/>
      <c r="L50" s="671"/>
      <c r="M50" s="671"/>
      <c r="N50" s="554" t="s">
        <v>2475</v>
      </c>
      <c r="O50" s="682"/>
      <c r="R50" s="842"/>
    </row>
    <row r="51" spans="1:18" ht="6.75" customHeight="1">
      <c r="A51" s="675"/>
      <c r="B51" s="676"/>
      <c r="C51" s="677"/>
      <c r="D51" s="677"/>
      <c r="E51" s="677"/>
      <c r="F51" s="1451"/>
      <c r="G51" s="678"/>
      <c r="H51" s="678"/>
      <c r="I51" s="678"/>
      <c r="J51" s="678"/>
      <c r="K51" s="677"/>
      <c r="L51" s="677"/>
      <c r="M51" s="677"/>
      <c r="N51" s="679" t="s">
        <v>1858</v>
      </c>
    </row>
    <row r="53" spans="1:18" ht="15" customHeight="1">
      <c r="A53" s="1589" t="s">
        <v>2427</v>
      </c>
      <c r="B53" s="1589"/>
      <c r="C53" s="1589"/>
      <c r="D53" s="1589"/>
      <c r="E53" s="1589"/>
      <c r="F53" s="1589"/>
      <c r="G53" s="1589"/>
      <c r="H53" s="1589"/>
      <c r="I53" s="1589"/>
      <c r="J53" s="1589"/>
      <c r="K53" s="1589"/>
      <c r="L53" s="1589"/>
      <c r="M53" s="1589"/>
      <c r="N53" s="1589"/>
    </row>
  </sheetData>
  <mergeCells count="12">
    <mergeCell ref="A53:N53"/>
    <mergeCell ref="A3:B3"/>
    <mergeCell ref="A4:N4"/>
    <mergeCell ref="L6:M6"/>
    <mergeCell ref="A7:A8"/>
    <mergeCell ref="B7:B8"/>
    <mergeCell ref="C7:C8"/>
    <mergeCell ref="D7:M7"/>
    <mergeCell ref="N7:N8"/>
    <mergeCell ref="N31:N32"/>
    <mergeCell ref="N33:N35"/>
    <mergeCell ref="A5:N5"/>
  </mergeCells>
  <dataValidations disablePrompts="1" count="5">
    <dataValidation allowBlank="1" showInputMessage="1" showErrorMessage="1" prompt="Chưa bao gồm kinh phí thực hiện các đề án cà phê, cao su và hỗ trợ đất trồng lúa vì lấy theo số Sở Nông nghiệp không lấy theo nhu cầu các huyện đề nghị" sqref="WVH982895:WVS982895 IV65391:JG65391 SR65391:TC65391 ACN65391:ACY65391 AMJ65391:AMU65391 AWF65391:AWQ65391 BGB65391:BGM65391 BPX65391:BQI65391 BZT65391:CAE65391 CJP65391:CKA65391 CTL65391:CTW65391 DDH65391:DDS65391 DND65391:DNO65391 DWZ65391:DXK65391 EGV65391:EHG65391 EQR65391:ERC65391 FAN65391:FAY65391 FKJ65391:FKU65391 FUF65391:FUQ65391 GEB65391:GEM65391 GNX65391:GOI65391 GXT65391:GYE65391 HHP65391:HIA65391 HRL65391:HRW65391 IBH65391:IBS65391 ILD65391:ILO65391 IUZ65391:IVK65391 JEV65391:JFG65391 JOR65391:JPC65391 JYN65391:JYY65391 KIJ65391:KIU65391 KSF65391:KSQ65391 LCB65391:LCM65391 LLX65391:LMI65391 LVT65391:LWE65391 MFP65391:MGA65391 MPL65391:MPW65391 MZH65391:MZS65391 NJD65391:NJO65391 NSZ65391:NTK65391 OCV65391:ODG65391 OMR65391:ONC65391 OWN65391:OWY65391 PGJ65391:PGU65391 PQF65391:PQQ65391 QAB65391:QAM65391 QJX65391:QKI65391 QTT65391:QUE65391 RDP65391:REA65391 RNL65391:RNW65391 RXH65391:RXS65391 SHD65391:SHO65391 SQZ65391:SRK65391 TAV65391:TBG65391 TKR65391:TLC65391 TUN65391:TUY65391 UEJ65391:UEU65391 UOF65391:UOQ65391 UYB65391:UYM65391 VHX65391:VII65391 VRT65391:VSE65391 WBP65391:WCA65391 WLL65391:WLW65391 WVH65391:WVS65391 IV130927:JG130927 SR130927:TC130927 ACN130927:ACY130927 AMJ130927:AMU130927 AWF130927:AWQ130927 BGB130927:BGM130927 BPX130927:BQI130927 BZT130927:CAE130927 CJP130927:CKA130927 CTL130927:CTW130927 DDH130927:DDS130927 DND130927:DNO130927 DWZ130927:DXK130927 EGV130927:EHG130927 EQR130927:ERC130927 FAN130927:FAY130927 FKJ130927:FKU130927 FUF130927:FUQ130927 GEB130927:GEM130927 GNX130927:GOI130927 GXT130927:GYE130927 HHP130927:HIA130927 HRL130927:HRW130927 IBH130927:IBS130927 ILD130927:ILO130927 IUZ130927:IVK130927 JEV130927:JFG130927 JOR130927:JPC130927 JYN130927:JYY130927 KIJ130927:KIU130927 KSF130927:KSQ130927 LCB130927:LCM130927 LLX130927:LMI130927 LVT130927:LWE130927 MFP130927:MGA130927 MPL130927:MPW130927 MZH130927:MZS130927 NJD130927:NJO130927 NSZ130927:NTK130927 OCV130927:ODG130927 OMR130927:ONC130927 OWN130927:OWY130927 PGJ130927:PGU130927 PQF130927:PQQ130927 QAB130927:QAM130927 QJX130927:QKI130927 QTT130927:QUE130927 RDP130927:REA130927 RNL130927:RNW130927 RXH130927:RXS130927 SHD130927:SHO130927 SQZ130927:SRK130927 TAV130927:TBG130927 TKR130927:TLC130927 TUN130927:TUY130927 UEJ130927:UEU130927 UOF130927:UOQ130927 UYB130927:UYM130927 VHX130927:VII130927 VRT130927:VSE130927 WBP130927:WCA130927 WLL130927:WLW130927 WVH130927:WVS130927 IV196463:JG196463 SR196463:TC196463 ACN196463:ACY196463 AMJ196463:AMU196463 AWF196463:AWQ196463 BGB196463:BGM196463 BPX196463:BQI196463 BZT196463:CAE196463 CJP196463:CKA196463 CTL196463:CTW196463 DDH196463:DDS196463 DND196463:DNO196463 DWZ196463:DXK196463 EGV196463:EHG196463 EQR196463:ERC196463 FAN196463:FAY196463 FKJ196463:FKU196463 FUF196463:FUQ196463 GEB196463:GEM196463 GNX196463:GOI196463 GXT196463:GYE196463 HHP196463:HIA196463 HRL196463:HRW196463 IBH196463:IBS196463 ILD196463:ILO196463 IUZ196463:IVK196463 JEV196463:JFG196463 JOR196463:JPC196463 JYN196463:JYY196463 KIJ196463:KIU196463 KSF196463:KSQ196463 LCB196463:LCM196463 LLX196463:LMI196463 LVT196463:LWE196463 MFP196463:MGA196463 MPL196463:MPW196463 MZH196463:MZS196463 NJD196463:NJO196463 NSZ196463:NTK196463 OCV196463:ODG196463 OMR196463:ONC196463 OWN196463:OWY196463 PGJ196463:PGU196463 PQF196463:PQQ196463 QAB196463:QAM196463 QJX196463:QKI196463 QTT196463:QUE196463 RDP196463:REA196463 RNL196463:RNW196463 RXH196463:RXS196463 SHD196463:SHO196463 SQZ196463:SRK196463 TAV196463:TBG196463 TKR196463:TLC196463 TUN196463:TUY196463 UEJ196463:UEU196463 UOF196463:UOQ196463 UYB196463:UYM196463 VHX196463:VII196463 VRT196463:VSE196463 WBP196463:WCA196463 WLL196463:WLW196463 WVH196463:WVS196463 IV261999:JG261999 SR261999:TC261999 ACN261999:ACY261999 AMJ261999:AMU261999 AWF261999:AWQ261999 BGB261999:BGM261999 BPX261999:BQI261999 BZT261999:CAE261999 CJP261999:CKA261999 CTL261999:CTW261999 DDH261999:DDS261999 DND261999:DNO261999 DWZ261999:DXK261999 EGV261999:EHG261999 EQR261999:ERC261999 FAN261999:FAY261999 FKJ261999:FKU261999 FUF261999:FUQ261999 GEB261999:GEM261999 GNX261999:GOI261999 GXT261999:GYE261999 HHP261999:HIA261999 HRL261999:HRW261999 IBH261999:IBS261999 ILD261999:ILO261999 IUZ261999:IVK261999 JEV261999:JFG261999 JOR261999:JPC261999 JYN261999:JYY261999 KIJ261999:KIU261999 KSF261999:KSQ261999 LCB261999:LCM261999 LLX261999:LMI261999 LVT261999:LWE261999 MFP261999:MGA261999 MPL261999:MPW261999 MZH261999:MZS261999 NJD261999:NJO261999 NSZ261999:NTK261999 OCV261999:ODG261999 OMR261999:ONC261999 OWN261999:OWY261999 PGJ261999:PGU261999 PQF261999:PQQ261999 QAB261999:QAM261999 QJX261999:QKI261999 QTT261999:QUE261999 RDP261999:REA261999 RNL261999:RNW261999 RXH261999:RXS261999 SHD261999:SHO261999 SQZ261999:SRK261999 TAV261999:TBG261999 TKR261999:TLC261999 TUN261999:TUY261999 UEJ261999:UEU261999 UOF261999:UOQ261999 UYB261999:UYM261999 VHX261999:VII261999 VRT261999:VSE261999 WBP261999:WCA261999 WLL261999:WLW261999 WVH261999:WVS261999 IV327535:JG327535 SR327535:TC327535 ACN327535:ACY327535 AMJ327535:AMU327535 AWF327535:AWQ327535 BGB327535:BGM327535 BPX327535:BQI327535 BZT327535:CAE327535 CJP327535:CKA327535 CTL327535:CTW327535 DDH327535:DDS327535 DND327535:DNO327535 DWZ327535:DXK327535 EGV327535:EHG327535 EQR327535:ERC327535 FAN327535:FAY327535 FKJ327535:FKU327535 FUF327535:FUQ327535 GEB327535:GEM327535 GNX327535:GOI327535 GXT327535:GYE327535 HHP327535:HIA327535 HRL327535:HRW327535 IBH327535:IBS327535 ILD327535:ILO327535 IUZ327535:IVK327535 JEV327535:JFG327535 JOR327535:JPC327535 JYN327535:JYY327535 KIJ327535:KIU327535 KSF327535:KSQ327535 LCB327535:LCM327535 LLX327535:LMI327535 LVT327535:LWE327535 MFP327535:MGA327535 MPL327535:MPW327535 MZH327535:MZS327535 NJD327535:NJO327535 NSZ327535:NTK327535 OCV327535:ODG327535 OMR327535:ONC327535 OWN327535:OWY327535 PGJ327535:PGU327535 PQF327535:PQQ327535 QAB327535:QAM327535 QJX327535:QKI327535 QTT327535:QUE327535 RDP327535:REA327535 RNL327535:RNW327535 RXH327535:RXS327535 SHD327535:SHO327535 SQZ327535:SRK327535 TAV327535:TBG327535 TKR327535:TLC327535 TUN327535:TUY327535 UEJ327535:UEU327535 UOF327535:UOQ327535 UYB327535:UYM327535 VHX327535:VII327535 VRT327535:VSE327535 WBP327535:WCA327535 WLL327535:WLW327535 WVH327535:WVS327535 IV393071:JG393071 SR393071:TC393071 ACN393071:ACY393071 AMJ393071:AMU393071 AWF393071:AWQ393071 BGB393071:BGM393071 BPX393071:BQI393071 BZT393071:CAE393071 CJP393071:CKA393071 CTL393071:CTW393071 DDH393071:DDS393071 DND393071:DNO393071 DWZ393071:DXK393071 EGV393071:EHG393071 EQR393071:ERC393071 FAN393071:FAY393071 FKJ393071:FKU393071 FUF393071:FUQ393071 GEB393071:GEM393071 GNX393071:GOI393071 GXT393071:GYE393071 HHP393071:HIA393071 HRL393071:HRW393071 IBH393071:IBS393071 ILD393071:ILO393071 IUZ393071:IVK393071 JEV393071:JFG393071 JOR393071:JPC393071 JYN393071:JYY393071 KIJ393071:KIU393071 KSF393071:KSQ393071 LCB393071:LCM393071 LLX393071:LMI393071 LVT393071:LWE393071 MFP393071:MGA393071 MPL393071:MPW393071 MZH393071:MZS393071 NJD393071:NJO393071 NSZ393071:NTK393071 OCV393071:ODG393071 OMR393071:ONC393071 OWN393071:OWY393071 PGJ393071:PGU393071 PQF393071:PQQ393071 QAB393071:QAM393071 QJX393071:QKI393071 QTT393071:QUE393071 RDP393071:REA393071 RNL393071:RNW393071 RXH393071:RXS393071 SHD393071:SHO393071 SQZ393071:SRK393071 TAV393071:TBG393071 TKR393071:TLC393071 TUN393071:TUY393071 UEJ393071:UEU393071 UOF393071:UOQ393071 UYB393071:UYM393071 VHX393071:VII393071 VRT393071:VSE393071 WBP393071:WCA393071 WLL393071:WLW393071 WVH393071:WVS393071 IV458607:JG458607 SR458607:TC458607 ACN458607:ACY458607 AMJ458607:AMU458607 AWF458607:AWQ458607 BGB458607:BGM458607 BPX458607:BQI458607 BZT458607:CAE458607 CJP458607:CKA458607 CTL458607:CTW458607 DDH458607:DDS458607 DND458607:DNO458607 DWZ458607:DXK458607 EGV458607:EHG458607 EQR458607:ERC458607 FAN458607:FAY458607 FKJ458607:FKU458607 FUF458607:FUQ458607 GEB458607:GEM458607 GNX458607:GOI458607 GXT458607:GYE458607 HHP458607:HIA458607 HRL458607:HRW458607 IBH458607:IBS458607 ILD458607:ILO458607 IUZ458607:IVK458607 JEV458607:JFG458607 JOR458607:JPC458607 JYN458607:JYY458607 KIJ458607:KIU458607 KSF458607:KSQ458607 LCB458607:LCM458607 LLX458607:LMI458607 LVT458607:LWE458607 MFP458607:MGA458607 MPL458607:MPW458607 MZH458607:MZS458607 NJD458607:NJO458607 NSZ458607:NTK458607 OCV458607:ODG458607 OMR458607:ONC458607 OWN458607:OWY458607 PGJ458607:PGU458607 PQF458607:PQQ458607 QAB458607:QAM458607 QJX458607:QKI458607 QTT458607:QUE458607 RDP458607:REA458607 RNL458607:RNW458607 RXH458607:RXS458607 SHD458607:SHO458607 SQZ458607:SRK458607 TAV458607:TBG458607 TKR458607:TLC458607 TUN458607:TUY458607 UEJ458607:UEU458607 UOF458607:UOQ458607 UYB458607:UYM458607 VHX458607:VII458607 VRT458607:VSE458607 WBP458607:WCA458607 WLL458607:WLW458607 WVH458607:WVS458607 IV524143:JG524143 SR524143:TC524143 ACN524143:ACY524143 AMJ524143:AMU524143 AWF524143:AWQ524143 BGB524143:BGM524143 BPX524143:BQI524143 BZT524143:CAE524143 CJP524143:CKA524143 CTL524143:CTW524143 DDH524143:DDS524143 DND524143:DNO524143 DWZ524143:DXK524143 EGV524143:EHG524143 EQR524143:ERC524143 FAN524143:FAY524143 FKJ524143:FKU524143 FUF524143:FUQ524143 GEB524143:GEM524143 GNX524143:GOI524143 GXT524143:GYE524143 HHP524143:HIA524143 HRL524143:HRW524143 IBH524143:IBS524143 ILD524143:ILO524143 IUZ524143:IVK524143 JEV524143:JFG524143 JOR524143:JPC524143 JYN524143:JYY524143 KIJ524143:KIU524143 KSF524143:KSQ524143 LCB524143:LCM524143 LLX524143:LMI524143 LVT524143:LWE524143 MFP524143:MGA524143 MPL524143:MPW524143 MZH524143:MZS524143 NJD524143:NJO524143 NSZ524143:NTK524143 OCV524143:ODG524143 OMR524143:ONC524143 OWN524143:OWY524143 PGJ524143:PGU524143 PQF524143:PQQ524143 QAB524143:QAM524143 QJX524143:QKI524143 QTT524143:QUE524143 RDP524143:REA524143 RNL524143:RNW524143 RXH524143:RXS524143 SHD524143:SHO524143 SQZ524143:SRK524143 TAV524143:TBG524143 TKR524143:TLC524143 TUN524143:TUY524143 UEJ524143:UEU524143 UOF524143:UOQ524143 UYB524143:UYM524143 VHX524143:VII524143 VRT524143:VSE524143 WBP524143:WCA524143 WLL524143:WLW524143 WVH524143:WVS524143 IV589679:JG589679 SR589679:TC589679 ACN589679:ACY589679 AMJ589679:AMU589679 AWF589679:AWQ589679 BGB589679:BGM589679 BPX589679:BQI589679 BZT589679:CAE589679 CJP589679:CKA589679 CTL589679:CTW589679 DDH589679:DDS589679 DND589679:DNO589679 DWZ589679:DXK589679 EGV589679:EHG589679 EQR589679:ERC589679 FAN589679:FAY589679 FKJ589679:FKU589679 FUF589679:FUQ589679 GEB589679:GEM589679 GNX589679:GOI589679 GXT589679:GYE589679 HHP589679:HIA589679 HRL589679:HRW589679 IBH589679:IBS589679 ILD589679:ILO589679 IUZ589679:IVK589679 JEV589679:JFG589679 JOR589679:JPC589679 JYN589679:JYY589679 KIJ589679:KIU589679 KSF589679:KSQ589679 LCB589679:LCM589679 LLX589679:LMI589679 LVT589679:LWE589679 MFP589679:MGA589679 MPL589679:MPW589679 MZH589679:MZS589679 NJD589679:NJO589679 NSZ589679:NTK589679 OCV589679:ODG589679 OMR589679:ONC589679 OWN589679:OWY589679 PGJ589679:PGU589679 PQF589679:PQQ589679 QAB589679:QAM589679 QJX589679:QKI589679 QTT589679:QUE589679 RDP589679:REA589679 RNL589679:RNW589679 RXH589679:RXS589679 SHD589679:SHO589679 SQZ589679:SRK589679 TAV589679:TBG589679 TKR589679:TLC589679 TUN589679:TUY589679 UEJ589679:UEU589679 UOF589679:UOQ589679 UYB589679:UYM589679 VHX589679:VII589679 VRT589679:VSE589679 WBP589679:WCA589679 WLL589679:WLW589679 WVH589679:WVS589679 IV655215:JG655215 SR655215:TC655215 ACN655215:ACY655215 AMJ655215:AMU655215 AWF655215:AWQ655215 BGB655215:BGM655215 BPX655215:BQI655215 BZT655215:CAE655215 CJP655215:CKA655215 CTL655215:CTW655215 DDH655215:DDS655215 DND655215:DNO655215 DWZ655215:DXK655215 EGV655215:EHG655215 EQR655215:ERC655215 FAN655215:FAY655215 FKJ655215:FKU655215 FUF655215:FUQ655215 GEB655215:GEM655215 GNX655215:GOI655215 GXT655215:GYE655215 HHP655215:HIA655215 HRL655215:HRW655215 IBH655215:IBS655215 ILD655215:ILO655215 IUZ655215:IVK655215 JEV655215:JFG655215 JOR655215:JPC655215 JYN655215:JYY655215 KIJ655215:KIU655215 KSF655215:KSQ655215 LCB655215:LCM655215 LLX655215:LMI655215 LVT655215:LWE655215 MFP655215:MGA655215 MPL655215:MPW655215 MZH655215:MZS655215 NJD655215:NJO655215 NSZ655215:NTK655215 OCV655215:ODG655215 OMR655215:ONC655215 OWN655215:OWY655215 PGJ655215:PGU655215 PQF655215:PQQ655215 QAB655215:QAM655215 QJX655215:QKI655215 QTT655215:QUE655215 RDP655215:REA655215 RNL655215:RNW655215 RXH655215:RXS655215 SHD655215:SHO655215 SQZ655215:SRK655215 TAV655215:TBG655215 TKR655215:TLC655215 TUN655215:TUY655215 UEJ655215:UEU655215 UOF655215:UOQ655215 UYB655215:UYM655215 VHX655215:VII655215 VRT655215:VSE655215 WBP655215:WCA655215 WLL655215:WLW655215 WVH655215:WVS655215 IV720751:JG720751 SR720751:TC720751 ACN720751:ACY720751 AMJ720751:AMU720751 AWF720751:AWQ720751 BGB720751:BGM720751 BPX720751:BQI720751 BZT720751:CAE720751 CJP720751:CKA720751 CTL720751:CTW720751 DDH720751:DDS720751 DND720751:DNO720751 DWZ720751:DXK720751 EGV720751:EHG720751 EQR720751:ERC720751 FAN720751:FAY720751 FKJ720751:FKU720751 FUF720751:FUQ720751 GEB720751:GEM720751 GNX720751:GOI720751 GXT720751:GYE720751 HHP720751:HIA720751 HRL720751:HRW720751 IBH720751:IBS720751 ILD720751:ILO720751 IUZ720751:IVK720751 JEV720751:JFG720751 JOR720751:JPC720751 JYN720751:JYY720751 KIJ720751:KIU720751 KSF720751:KSQ720751 LCB720751:LCM720751 LLX720751:LMI720751 LVT720751:LWE720751 MFP720751:MGA720751 MPL720751:MPW720751 MZH720751:MZS720751 NJD720751:NJO720751 NSZ720751:NTK720751 OCV720751:ODG720751 OMR720751:ONC720751 OWN720751:OWY720751 PGJ720751:PGU720751 PQF720751:PQQ720751 QAB720751:QAM720751 QJX720751:QKI720751 QTT720751:QUE720751 RDP720751:REA720751 RNL720751:RNW720751 RXH720751:RXS720751 SHD720751:SHO720751 SQZ720751:SRK720751 TAV720751:TBG720751 TKR720751:TLC720751 TUN720751:TUY720751 UEJ720751:UEU720751 UOF720751:UOQ720751 UYB720751:UYM720751 VHX720751:VII720751 VRT720751:VSE720751 WBP720751:WCA720751 WLL720751:WLW720751 WVH720751:WVS720751 IV786287:JG786287 SR786287:TC786287 ACN786287:ACY786287 AMJ786287:AMU786287 AWF786287:AWQ786287 BGB786287:BGM786287 BPX786287:BQI786287 BZT786287:CAE786287 CJP786287:CKA786287 CTL786287:CTW786287 DDH786287:DDS786287 DND786287:DNO786287 DWZ786287:DXK786287 EGV786287:EHG786287 EQR786287:ERC786287 FAN786287:FAY786287 FKJ786287:FKU786287 FUF786287:FUQ786287 GEB786287:GEM786287 GNX786287:GOI786287 GXT786287:GYE786287 HHP786287:HIA786287 HRL786287:HRW786287 IBH786287:IBS786287 ILD786287:ILO786287 IUZ786287:IVK786287 JEV786287:JFG786287 JOR786287:JPC786287 JYN786287:JYY786287 KIJ786287:KIU786287 KSF786287:KSQ786287 LCB786287:LCM786287 LLX786287:LMI786287 LVT786287:LWE786287 MFP786287:MGA786287 MPL786287:MPW786287 MZH786287:MZS786287 NJD786287:NJO786287 NSZ786287:NTK786287 OCV786287:ODG786287 OMR786287:ONC786287 OWN786287:OWY786287 PGJ786287:PGU786287 PQF786287:PQQ786287 QAB786287:QAM786287 QJX786287:QKI786287 QTT786287:QUE786287 RDP786287:REA786287 RNL786287:RNW786287 RXH786287:RXS786287 SHD786287:SHO786287 SQZ786287:SRK786287 TAV786287:TBG786287 TKR786287:TLC786287 TUN786287:TUY786287 UEJ786287:UEU786287 UOF786287:UOQ786287 UYB786287:UYM786287 VHX786287:VII786287 VRT786287:VSE786287 WBP786287:WCA786287 WLL786287:WLW786287 WVH786287:WVS786287 IV851823:JG851823 SR851823:TC851823 ACN851823:ACY851823 AMJ851823:AMU851823 AWF851823:AWQ851823 BGB851823:BGM851823 BPX851823:BQI851823 BZT851823:CAE851823 CJP851823:CKA851823 CTL851823:CTW851823 DDH851823:DDS851823 DND851823:DNO851823 DWZ851823:DXK851823 EGV851823:EHG851823 EQR851823:ERC851823 FAN851823:FAY851823 FKJ851823:FKU851823 FUF851823:FUQ851823 GEB851823:GEM851823 GNX851823:GOI851823 GXT851823:GYE851823 HHP851823:HIA851823 HRL851823:HRW851823 IBH851823:IBS851823 ILD851823:ILO851823 IUZ851823:IVK851823 JEV851823:JFG851823 JOR851823:JPC851823 JYN851823:JYY851823 KIJ851823:KIU851823 KSF851823:KSQ851823 LCB851823:LCM851823 LLX851823:LMI851823 LVT851823:LWE851823 MFP851823:MGA851823 MPL851823:MPW851823 MZH851823:MZS851823 NJD851823:NJO851823 NSZ851823:NTK851823 OCV851823:ODG851823 OMR851823:ONC851823 OWN851823:OWY851823 PGJ851823:PGU851823 PQF851823:PQQ851823 QAB851823:QAM851823 QJX851823:QKI851823 QTT851823:QUE851823 RDP851823:REA851823 RNL851823:RNW851823 RXH851823:RXS851823 SHD851823:SHO851823 SQZ851823:SRK851823 TAV851823:TBG851823 TKR851823:TLC851823 TUN851823:TUY851823 UEJ851823:UEU851823 UOF851823:UOQ851823 UYB851823:UYM851823 VHX851823:VII851823 VRT851823:VSE851823 WBP851823:WCA851823 WLL851823:WLW851823 WVH851823:WVS851823 IV917359:JG917359 SR917359:TC917359 ACN917359:ACY917359 AMJ917359:AMU917359 AWF917359:AWQ917359 BGB917359:BGM917359 BPX917359:BQI917359 BZT917359:CAE917359 CJP917359:CKA917359 CTL917359:CTW917359 DDH917359:DDS917359 DND917359:DNO917359 DWZ917359:DXK917359 EGV917359:EHG917359 EQR917359:ERC917359 FAN917359:FAY917359 FKJ917359:FKU917359 FUF917359:FUQ917359 GEB917359:GEM917359 GNX917359:GOI917359 GXT917359:GYE917359 HHP917359:HIA917359 HRL917359:HRW917359 IBH917359:IBS917359 ILD917359:ILO917359 IUZ917359:IVK917359 JEV917359:JFG917359 JOR917359:JPC917359 JYN917359:JYY917359 KIJ917359:KIU917359 KSF917359:KSQ917359 LCB917359:LCM917359 LLX917359:LMI917359 LVT917359:LWE917359 MFP917359:MGA917359 MPL917359:MPW917359 MZH917359:MZS917359 NJD917359:NJO917359 NSZ917359:NTK917359 OCV917359:ODG917359 OMR917359:ONC917359 OWN917359:OWY917359 PGJ917359:PGU917359 PQF917359:PQQ917359 QAB917359:QAM917359 QJX917359:QKI917359 QTT917359:QUE917359 RDP917359:REA917359 RNL917359:RNW917359 RXH917359:RXS917359 SHD917359:SHO917359 SQZ917359:SRK917359 TAV917359:TBG917359 TKR917359:TLC917359 TUN917359:TUY917359 UEJ917359:UEU917359 UOF917359:UOQ917359 UYB917359:UYM917359 VHX917359:VII917359 VRT917359:VSE917359 WBP917359:WCA917359 WLL917359:WLW917359 WVH917359:WVS917359 IV982895:JG982895 SR982895:TC982895 ACN982895:ACY982895 AMJ982895:AMU982895 AWF982895:AWQ982895 BGB982895:BGM982895 BPX982895:BQI982895 BZT982895:CAE982895 CJP982895:CKA982895 CTL982895:CTW982895 DDH982895:DDS982895 DND982895:DNO982895 DWZ982895:DXK982895 EGV982895:EHG982895 EQR982895:ERC982895 FAN982895:FAY982895 FKJ982895:FKU982895 FUF982895:FUQ982895 GEB982895:GEM982895 GNX982895:GOI982895 GXT982895:GYE982895 HHP982895:HIA982895 HRL982895:HRW982895 IBH982895:IBS982895 ILD982895:ILO982895 IUZ982895:IVK982895 JEV982895:JFG982895 JOR982895:JPC982895 JYN982895:JYY982895 KIJ982895:KIU982895 KSF982895:KSQ982895 LCB982895:LCM982895 LLX982895:LMI982895 LVT982895:LWE982895 MFP982895:MGA982895 MPL982895:MPW982895 MZH982895:MZS982895 NJD982895:NJO982895 NSZ982895:NTK982895 OCV982895:ODG982895 OMR982895:ONC982895 OWN982895:OWY982895 PGJ982895:PGU982895 PQF982895:PQQ982895 QAB982895:QAM982895 QJX982895:QKI982895 QTT982895:QUE982895 RDP982895:REA982895 RNL982895:RNW982895 RXH982895:RXS982895 SHD982895:SHO982895 SQZ982895:SRK982895 TAV982895:TBG982895 TKR982895:TLC982895 TUN982895:TUY982895 UEJ982895:UEU982895 UOF982895:UOQ982895 UYB982895:UYM982895 VHX982895:VII982895 VRT982895:VSE982895 WBP982895:WCA982895 WLL982895:WLW982895 C982897:M982897 C917361:M917361 C851825:M851825 C786289:M786289 C720753:M720753 C655217:M655217 C589681:M589681 C524145:M524145 C458609:M458609 C393073:M393073 C327537:M327537 C262001:M262001 C196465:M196465 C130929:M130929 C65393:M65393"/>
    <dataValidation allowBlank="1" showInputMessage="1" showErrorMessage="1" prompt="Chủ trương tại VB 864/UBND-HTKT, ngày 29/4/2016, quy hoạch chi tiết TT Khu VH - TDTT - YT - Dân cư phía Bắc Thị trấn huyện lỵ Kon Rẫy, trong đó: huyện cân đối, trường hợp khó khăn BC NST hỗ trợ" sqref="K65449 JD65447 SZ65447 ACV65447 AMR65447 AWN65447 BGJ65447 BQF65447 CAB65447 CJX65447 CTT65447 DDP65447 DNL65447 DXH65447 EHD65447 EQZ65447 FAV65447 FKR65447 FUN65447 GEJ65447 GOF65447 GYB65447 HHX65447 HRT65447 IBP65447 ILL65447 IVH65447 JFD65447 JOZ65447 JYV65447 KIR65447 KSN65447 LCJ65447 LMF65447 LWB65447 MFX65447 MPT65447 MZP65447 NJL65447 NTH65447 ODD65447 OMZ65447 OWV65447 PGR65447 PQN65447 QAJ65447 QKF65447 QUB65447 RDX65447 RNT65447 RXP65447 SHL65447 SRH65447 TBD65447 TKZ65447 TUV65447 UER65447 UON65447 UYJ65447 VIF65447 VSB65447 WBX65447 WLT65447 WVP65447 K130985 JD130983 SZ130983 ACV130983 AMR130983 AWN130983 BGJ130983 BQF130983 CAB130983 CJX130983 CTT130983 DDP130983 DNL130983 DXH130983 EHD130983 EQZ130983 FAV130983 FKR130983 FUN130983 GEJ130983 GOF130983 GYB130983 HHX130983 HRT130983 IBP130983 ILL130983 IVH130983 JFD130983 JOZ130983 JYV130983 KIR130983 KSN130983 LCJ130983 LMF130983 LWB130983 MFX130983 MPT130983 MZP130983 NJL130983 NTH130983 ODD130983 OMZ130983 OWV130983 PGR130983 PQN130983 QAJ130983 QKF130983 QUB130983 RDX130983 RNT130983 RXP130983 SHL130983 SRH130983 TBD130983 TKZ130983 TUV130983 UER130983 UON130983 UYJ130983 VIF130983 VSB130983 WBX130983 WLT130983 WVP130983 K196521 JD196519 SZ196519 ACV196519 AMR196519 AWN196519 BGJ196519 BQF196519 CAB196519 CJX196519 CTT196519 DDP196519 DNL196519 DXH196519 EHD196519 EQZ196519 FAV196519 FKR196519 FUN196519 GEJ196519 GOF196519 GYB196519 HHX196519 HRT196519 IBP196519 ILL196519 IVH196519 JFD196519 JOZ196519 JYV196519 KIR196519 KSN196519 LCJ196519 LMF196519 LWB196519 MFX196519 MPT196519 MZP196519 NJL196519 NTH196519 ODD196519 OMZ196519 OWV196519 PGR196519 PQN196519 QAJ196519 QKF196519 QUB196519 RDX196519 RNT196519 RXP196519 SHL196519 SRH196519 TBD196519 TKZ196519 TUV196519 UER196519 UON196519 UYJ196519 VIF196519 VSB196519 WBX196519 WLT196519 WVP196519 K262057 JD262055 SZ262055 ACV262055 AMR262055 AWN262055 BGJ262055 BQF262055 CAB262055 CJX262055 CTT262055 DDP262055 DNL262055 DXH262055 EHD262055 EQZ262055 FAV262055 FKR262055 FUN262055 GEJ262055 GOF262055 GYB262055 HHX262055 HRT262055 IBP262055 ILL262055 IVH262055 JFD262055 JOZ262055 JYV262055 KIR262055 KSN262055 LCJ262055 LMF262055 LWB262055 MFX262055 MPT262055 MZP262055 NJL262055 NTH262055 ODD262055 OMZ262055 OWV262055 PGR262055 PQN262055 QAJ262055 QKF262055 QUB262055 RDX262055 RNT262055 RXP262055 SHL262055 SRH262055 TBD262055 TKZ262055 TUV262055 UER262055 UON262055 UYJ262055 VIF262055 VSB262055 WBX262055 WLT262055 WVP262055 K327593 JD327591 SZ327591 ACV327591 AMR327591 AWN327591 BGJ327591 BQF327591 CAB327591 CJX327591 CTT327591 DDP327591 DNL327591 DXH327591 EHD327591 EQZ327591 FAV327591 FKR327591 FUN327591 GEJ327591 GOF327591 GYB327591 HHX327591 HRT327591 IBP327591 ILL327591 IVH327591 JFD327591 JOZ327591 JYV327591 KIR327591 KSN327591 LCJ327591 LMF327591 LWB327591 MFX327591 MPT327591 MZP327591 NJL327591 NTH327591 ODD327591 OMZ327591 OWV327591 PGR327591 PQN327591 QAJ327591 QKF327591 QUB327591 RDX327591 RNT327591 RXP327591 SHL327591 SRH327591 TBD327591 TKZ327591 TUV327591 UER327591 UON327591 UYJ327591 VIF327591 VSB327591 WBX327591 WLT327591 WVP327591 K393129 JD393127 SZ393127 ACV393127 AMR393127 AWN393127 BGJ393127 BQF393127 CAB393127 CJX393127 CTT393127 DDP393127 DNL393127 DXH393127 EHD393127 EQZ393127 FAV393127 FKR393127 FUN393127 GEJ393127 GOF393127 GYB393127 HHX393127 HRT393127 IBP393127 ILL393127 IVH393127 JFD393127 JOZ393127 JYV393127 KIR393127 KSN393127 LCJ393127 LMF393127 LWB393127 MFX393127 MPT393127 MZP393127 NJL393127 NTH393127 ODD393127 OMZ393127 OWV393127 PGR393127 PQN393127 QAJ393127 QKF393127 QUB393127 RDX393127 RNT393127 RXP393127 SHL393127 SRH393127 TBD393127 TKZ393127 TUV393127 UER393127 UON393127 UYJ393127 VIF393127 VSB393127 WBX393127 WLT393127 WVP393127 K458665 JD458663 SZ458663 ACV458663 AMR458663 AWN458663 BGJ458663 BQF458663 CAB458663 CJX458663 CTT458663 DDP458663 DNL458663 DXH458663 EHD458663 EQZ458663 FAV458663 FKR458663 FUN458663 GEJ458663 GOF458663 GYB458663 HHX458663 HRT458663 IBP458663 ILL458663 IVH458663 JFD458663 JOZ458663 JYV458663 KIR458663 KSN458663 LCJ458663 LMF458663 LWB458663 MFX458663 MPT458663 MZP458663 NJL458663 NTH458663 ODD458663 OMZ458663 OWV458663 PGR458663 PQN458663 QAJ458663 QKF458663 QUB458663 RDX458663 RNT458663 RXP458663 SHL458663 SRH458663 TBD458663 TKZ458663 TUV458663 UER458663 UON458663 UYJ458663 VIF458663 VSB458663 WBX458663 WLT458663 WVP458663 K524201 JD524199 SZ524199 ACV524199 AMR524199 AWN524199 BGJ524199 BQF524199 CAB524199 CJX524199 CTT524199 DDP524199 DNL524199 DXH524199 EHD524199 EQZ524199 FAV524199 FKR524199 FUN524199 GEJ524199 GOF524199 GYB524199 HHX524199 HRT524199 IBP524199 ILL524199 IVH524199 JFD524199 JOZ524199 JYV524199 KIR524199 KSN524199 LCJ524199 LMF524199 LWB524199 MFX524199 MPT524199 MZP524199 NJL524199 NTH524199 ODD524199 OMZ524199 OWV524199 PGR524199 PQN524199 QAJ524199 QKF524199 QUB524199 RDX524199 RNT524199 RXP524199 SHL524199 SRH524199 TBD524199 TKZ524199 TUV524199 UER524199 UON524199 UYJ524199 VIF524199 VSB524199 WBX524199 WLT524199 WVP524199 K589737 JD589735 SZ589735 ACV589735 AMR589735 AWN589735 BGJ589735 BQF589735 CAB589735 CJX589735 CTT589735 DDP589735 DNL589735 DXH589735 EHD589735 EQZ589735 FAV589735 FKR589735 FUN589735 GEJ589735 GOF589735 GYB589735 HHX589735 HRT589735 IBP589735 ILL589735 IVH589735 JFD589735 JOZ589735 JYV589735 KIR589735 KSN589735 LCJ589735 LMF589735 LWB589735 MFX589735 MPT589735 MZP589735 NJL589735 NTH589735 ODD589735 OMZ589735 OWV589735 PGR589735 PQN589735 QAJ589735 QKF589735 QUB589735 RDX589735 RNT589735 RXP589735 SHL589735 SRH589735 TBD589735 TKZ589735 TUV589735 UER589735 UON589735 UYJ589735 VIF589735 VSB589735 WBX589735 WLT589735 WVP589735 K655273 JD655271 SZ655271 ACV655271 AMR655271 AWN655271 BGJ655271 BQF655271 CAB655271 CJX655271 CTT655271 DDP655271 DNL655271 DXH655271 EHD655271 EQZ655271 FAV655271 FKR655271 FUN655271 GEJ655271 GOF655271 GYB655271 HHX655271 HRT655271 IBP655271 ILL655271 IVH655271 JFD655271 JOZ655271 JYV655271 KIR655271 KSN655271 LCJ655271 LMF655271 LWB655271 MFX655271 MPT655271 MZP655271 NJL655271 NTH655271 ODD655271 OMZ655271 OWV655271 PGR655271 PQN655271 QAJ655271 QKF655271 QUB655271 RDX655271 RNT655271 RXP655271 SHL655271 SRH655271 TBD655271 TKZ655271 TUV655271 UER655271 UON655271 UYJ655271 VIF655271 VSB655271 WBX655271 WLT655271 WVP655271 K720809 JD720807 SZ720807 ACV720807 AMR720807 AWN720807 BGJ720807 BQF720807 CAB720807 CJX720807 CTT720807 DDP720807 DNL720807 DXH720807 EHD720807 EQZ720807 FAV720807 FKR720807 FUN720807 GEJ720807 GOF720807 GYB720807 HHX720807 HRT720807 IBP720807 ILL720807 IVH720807 JFD720807 JOZ720807 JYV720807 KIR720807 KSN720807 LCJ720807 LMF720807 LWB720807 MFX720807 MPT720807 MZP720807 NJL720807 NTH720807 ODD720807 OMZ720807 OWV720807 PGR720807 PQN720807 QAJ720807 QKF720807 QUB720807 RDX720807 RNT720807 RXP720807 SHL720807 SRH720807 TBD720807 TKZ720807 TUV720807 UER720807 UON720807 UYJ720807 VIF720807 VSB720807 WBX720807 WLT720807 WVP720807 K786345 JD786343 SZ786343 ACV786343 AMR786343 AWN786343 BGJ786343 BQF786343 CAB786343 CJX786343 CTT786343 DDP786343 DNL786343 DXH786343 EHD786343 EQZ786343 FAV786343 FKR786343 FUN786343 GEJ786343 GOF786343 GYB786343 HHX786343 HRT786343 IBP786343 ILL786343 IVH786343 JFD786343 JOZ786343 JYV786343 KIR786343 KSN786343 LCJ786343 LMF786343 LWB786343 MFX786343 MPT786343 MZP786343 NJL786343 NTH786343 ODD786343 OMZ786343 OWV786343 PGR786343 PQN786343 QAJ786343 QKF786343 QUB786343 RDX786343 RNT786343 RXP786343 SHL786343 SRH786343 TBD786343 TKZ786343 TUV786343 UER786343 UON786343 UYJ786343 VIF786343 VSB786343 WBX786343 WLT786343 WVP786343 K851881 JD851879 SZ851879 ACV851879 AMR851879 AWN851879 BGJ851879 BQF851879 CAB851879 CJX851879 CTT851879 DDP851879 DNL851879 DXH851879 EHD851879 EQZ851879 FAV851879 FKR851879 FUN851879 GEJ851879 GOF851879 GYB851879 HHX851879 HRT851879 IBP851879 ILL851879 IVH851879 JFD851879 JOZ851879 JYV851879 KIR851879 KSN851879 LCJ851879 LMF851879 LWB851879 MFX851879 MPT851879 MZP851879 NJL851879 NTH851879 ODD851879 OMZ851879 OWV851879 PGR851879 PQN851879 QAJ851879 QKF851879 QUB851879 RDX851879 RNT851879 RXP851879 SHL851879 SRH851879 TBD851879 TKZ851879 TUV851879 UER851879 UON851879 UYJ851879 VIF851879 VSB851879 WBX851879 WLT851879 WVP851879 K917417 JD917415 SZ917415 ACV917415 AMR917415 AWN917415 BGJ917415 BQF917415 CAB917415 CJX917415 CTT917415 DDP917415 DNL917415 DXH917415 EHD917415 EQZ917415 FAV917415 FKR917415 FUN917415 GEJ917415 GOF917415 GYB917415 HHX917415 HRT917415 IBP917415 ILL917415 IVH917415 JFD917415 JOZ917415 JYV917415 KIR917415 KSN917415 LCJ917415 LMF917415 LWB917415 MFX917415 MPT917415 MZP917415 NJL917415 NTH917415 ODD917415 OMZ917415 OWV917415 PGR917415 PQN917415 QAJ917415 QKF917415 QUB917415 RDX917415 RNT917415 RXP917415 SHL917415 SRH917415 TBD917415 TKZ917415 TUV917415 UER917415 UON917415 UYJ917415 VIF917415 VSB917415 WBX917415 WLT917415 WVP917415 K982953 JD982951 SZ982951 ACV982951 AMR982951 AWN982951 BGJ982951 BQF982951 CAB982951 CJX982951 CTT982951 DDP982951 DNL982951 DXH982951 EHD982951 EQZ982951 FAV982951 FKR982951 FUN982951 GEJ982951 GOF982951 GYB982951 HHX982951 HRT982951 IBP982951 ILL982951 IVH982951 JFD982951 JOZ982951 JYV982951 KIR982951 KSN982951 LCJ982951 LMF982951 LWB982951 MFX982951 MPT982951 MZP982951 NJL982951 NTH982951 ODD982951 OMZ982951 OWV982951 PGR982951 PQN982951 QAJ982951 QKF982951 QUB982951 RDX982951 RNT982951 RXP982951 SHL982951 SRH982951 TBD982951 TKZ982951 TUV982951 UER982951 UON982951 UYJ982951 VIF982951 VSB982951 WBX982951 WLT982951 WVP982951"/>
    <dataValidation allowBlank="1" showInputMessage="1" showErrorMessage="1" prompt="may trang phục cho Đại đội khẩn cấp theo NĐ 25/1998/NĐ-CP 111 người, hiện nay thành phố chưa trang bị được_x000a_" sqref="D65504 IW65502 SS65502 ACO65502 AMK65502 AWG65502 BGC65502 BPY65502 BZU65502 CJQ65502 CTM65502 DDI65502 DNE65502 DXA65502 EGW65502 EQS65502 FAO65502 FKK65502 FUG65502 GEC65502 GNY65502 GXU65502 HHQ65502 HRM65502 IBI65502 ILE65502 IVA65502 JEW65502 JOS65502 JYO65502 KIK65502 KSG65502 LCC65502 LLY65502 LVU65502 MFQ65502 MPM65502 MZI65502 NJE65502 NTA65502 OCW65502 OMS65502 OWO65502 PGK65502 PQG65502 QAC65502 QJY65502 QTU65502 RDQ65502 RNM65502 RXI65502 SHE65502 SRA65502 TAW65502 TKS65502 TUO65502 UEK65502 UOG65502 UYC65502 VHY65502 VRU65502 WBQ65502 WLM65502 WVI65502 D131040 IW131038 SS131038 ACO131038 AMK131038 AWG131038 BGC131038 BPY131038 BZU131038 CJQ131038 CTM131038 DDI131038 DNE131038 DXA131038 EGW131038 EQS131038 FAO131038 FKK131038 FUG131038 GEC131038 GNY131038 GXU131038 HHQ131038 HRM131038 IBI131038 ILE131038 IVA131038 JEW131038 JOS131038 JYO131038 KIK131038 KSG131038 LCC131038 LLY131038 LVU131038 MFQ131038 MPM131038 MZI131038 NJE131038 NTA131038 OCW131038 OMS131038 OWO131038 PGK131038 PQG131038 QAC131038 QJY131038 QTU131038 RDQ131038 RNM131038 RXI131038 SHE131038 SRA131038 TAW131038 TKS131038 TUO131038 UEK131038 UOG131038 UYC131038 VHY131038 VRU131038 WBQ131038 WLM131038 WVI131038 D196576 IW196574 SS196574 ACO196574 AMK196574 AWG196574 BGC196574 BPY196574 BZU196574 CJQ196574 CTM196574 DDI196574 DNE196574 DXA196574 EGW196574 EQS196574 FAO196574 FKK196574 FUG196574 GEC196574 GNY196574 GXU196574 HHQ196574 HRM196574 IBI196574 ILE196574 IVA196574 JEW196574 JOS196574 JYO196574 KIK196574 KSG196574 LCC196574 LLY196574 LVU196574 MFQ196574 MPM196574 MZI196574 NJE196574 NTA196574 OCW196574 OMS196574 OWO196574 PGK196574 PQG196574 QAC196574 QJY196574 QTU196574 RDQ196574 RNM196574 RXI196574 SHE196574 SRA196574 TAW196574 TKS196574 TUO196574 UEK196574 UOG196574 UYC196574 VHY196574 VRU196574 WBQ196574 WLM196574 WVI196574 D262112 IW262110 SS262110 ACO262110 AMK262110 AWG262110 BGC262110 BPY262110 BZU262110 CJQ262110 CTM262110 DDI262110 DNE262110 DXA262110 EGW262110 EQS262110 FAO262110 FKK262110 FUG262110 GEC262110 GNY262110 GXU262110 HHQ262110 HRM262110 IBI262110 ILE262110 IVA262110 JEW262110 JOS262110 JYO262110 KIK262110 KSG262110 LCC262110 LLY262110 LVU262110 MFQ262110 MPM262110 MZI262110 NJE262110 NTA262110 OCW262110 OMS262110 OWO262110 PGK262110 PQG262110 QAC262110 QJY262110 QTU262110 RDQ262110 RNM262110 RXI262110 SHE262110 SRA262110 TAW262110 TKS262110 TUO262110 UEK262110 UOG262110 UYC262110 VHY262110 VRU262110 WBQ262110 WLM262110 WVI262110 D327648 IW327646 SS327646 ACO327646 AMK327646 AWG327646 BGC327646 BPY327646 BZU327646 CJQ327646 CTM327646 DDI327646 DNE327646 DXA327646 EGW327646 EQS327646 FAO327646 FKK327646 FUG327646 GEC327646 GNY327646 GXU327646 HHQ327646 HRM327646 IBI327646 ILE327646 IVA327646 JEW327646 JOS327646 JYO327646 KIK327646 KSG327646 LCC327646 LLY327646 LVU327646 MFQ327646 MPM327646 MZI327646 NJE327646 NTA327646 OCW327646 OMS327646 OWO327646 PGK327646 PQG327646 QAC327646 QJY327646 QTU327646 RDQ327646 RNM327646 RXI327646 SHE327646 SRA327646 TAW327646 TKS327646 TUO327646 UEK327646 UOG327646 UYC327646 VHY327646 VRU327646 WBQ327646 WLM327646 WVI327646 D393184 IW393182 SS393182 ACO393182 AMK393182 AWG393182 BGC393182 BPY393182 BZU393182 CJQ393182 CTM393182 DDI393182 DNE393182 DXA393182 EGW393182 EQS393182 FAO393182 FKK393182 FUG393182 GEC393182 GNY393182 GXU393182 HHQ393182 HRM393182 IBI393182 ILE393182 IVA393182 JEW393182 JOS393182 JYO393182 KIK393182 KSG393182 LCC393182 LLY393182 LVU393182 MFQ393182 MPM393182 MZI393182 NJE393182 NTA393182 OCW393182 OMS393182 OWO393182 PGK393182 PQG393182 QAC393182 QJY393182 QTU393182 RDQ393182 RNM393182 RXI393182 SHE393182 SRA393182 TAW393182 TKS393182 TUO393182 UEK393182 UOG393182 UYC393182 VHY393182 VRU393182 WBQ393182 WLM393182 WVI393182 D458720 IW458718 SS458718 ACO458718 AMK458718 AWG458718 BGC458718 BPY458718 BZU458718 CJQ458718 CTM458718 DDI458718 DNE458718 DXA458718 EGW458718 EQS458718 FAO458718 FKK458718 FUG458718 GEC458718 GNY458718 GXU458718 HHQ458718 HRM458718 IBI458718 ILE458718 IVA458718 JEW458718 JOS458718 JYO458718 KIK458718 KSG458718 LCC458718 LLY458718 LVU458718 MFQ458718 MPM458718 MZI458718 NJE458718 NTA458718 OCW458718 OMS458718 OWO458718 PGK458718 PQG458718 QAC458718 QJY458718 QTU458718 RDQ458718 RNM458718 RXI458718 SHE458718 SRA458718 TAW458718 TKS458718 TUO458718 UEK458718 UOG458718 UYC458718 VHY458718 VRU458718 WBQ458718 WLM458718 WVI458718 D524256 IW524254 SS524254 ACO524254 AMK524254 AWG524254 BGC524254 BPY524254 BZU524254 CJQ524254 CTM524254 DDI524254 DNE524254 DXA524254 EGW524254 EQS524254 FAO524254 FKK524254 FUG524254 GEC524254 GNY524254 GXU524254 HHQ524254 HRM524254 IBI524254 ILE524254 IVA524254 JEW524254 JOS524254 JYO524254 KIK524254 KSG524254 LCC524254 LLY524254 LVU524254 MFQ524254 MPM524254 MZI524254 NJE524254 NTA524254 OCW524254 OMS524254 OWO524254 PGK524254 PQG524254 QAC524254 QJY524254 QTU524254 RDQ524254 RNM524254 RXI524254 SHE524254 SRA524254 TAW524254 TKS524254 TUO524254 UEK524254 UOG524254 UYC524254 VHY524254 VRU524254 WBQ524254 WLM524254 WVI524254 D589792 IW589790 SS589790 ACO589790 AMK589790 AWG589790 BGC589790 BPY589790 BZU589790 CJQ589790 CTM589790 DDI589790 DNE589790 DXA589790 EGW589790 EQS589790 FAO589790 FKK589790 FUG589790 GEC589790 GNY589790 GXU589790 HHQ589790 HRM589790 IBI589790 ILE589790 IVA589790 JEW589790 JOS589790 JYO589790 KIK589790 KSG589790 LCC589790 LLY589790 LVU589790 MFQ589790 MPM589790 MZI589790 NJE589790 NTA589790 OCW589790 OMS589790 OWO589790 PGK589790 PQG589790 QAC589790 QJY589790 QTU589790 RDQ589790 RNM589790 RXI589790 SHE589790 SRA589790 TAW589790 TKS589790 TUO589790 UEK589790 UOG589790 UYC589790 VHY589790 VRU589790 WBQ589790 WLM589790 WVI589790 D655328 IW655326 SS655326 ACO655326 AMK655326 AWG655326 BGC655326 BPY655326 BZU655326 CJQ655326 CTM655326 DDI655326 DNE655326 DXA655326 EGW655326 EQS655326 FAO655326 FKK655326 FUG655326 GEC655326 GNY655326 GXU655326 HHQ655326 HRM655326 IBI655326 ILE655326 IVA655326 JEW655326 JOS655326 JYO655326 KIK655326 KSG655326 LCC655326 LLY655326 LVU655326 MFQ655326 MPM655326 MZI655326 NJE655326 NTA655326 OCW655326 OMS655326 OWO655326 PGK655326 PQG655326 QAC655326 QJY655326 QTU655326 RDQ655326 RNM655326 RXI655326 SHE655326 SRA655326 TAW655326 TKS655326 TUO655326 UEK655326 UOG655326 UYC655326 VHY655326 VRU655326 WBQ655326 WLM655326 WVI655326 D720864 IW720862 SS720862 ACO720862 AMK720862 AWG720862 BGC720862 BPY720862 BZU720862 CJQ720862 CTM720862 DDI720862 DNE720862 DXA720862 EGW720862 EQS720862 FAO720862 FKK720862 FUG720862 GEC720862 GNY720862 GXU720862 HHQ720862 HRM720862 IBI720862 ILE720862 IVA720862 JEW720862 JOS720862 JYO720862 KIK720862 KSG720862 LCC720862 LLY720862 LVU720862 MFQ720862 MPM720862 MZI720862 NJE720862 NTA720862 OCW720862 OMS720862 OWO720862 PGK720862 PQG720862 QAC720862 QJY720862 QTU720862 RDQ720862 RNM720862 RXI720862 SHE720862 SRA720862 TAW720862 TKS720862 TUO720862 UEK720862 UOG720862 UYC720862 VHY720862 VRU720862 WBQ720862 WLM720862 WVI720862 D786400 IW786398 SS786398 ACO786398 AMK786398 AWG786398 BGC786398 BPY786398 BZU786398 CJQ786398 CTM786398 DDI786398 DNE786398 DXA786398 EGW786398 EQS786398 FAO786398 FKK786398 FUG786398 GEC786398 GNY786398 GXU786398 HHQ786398 HRM786398 IBI786398 ILE786398 IVA786398 JEW786398 JOS786398 JYO786398 KIK786398 KSG786398 LCC786398 LLY786398 LVU786398 MFQ786398 MPM786398 MZI786398 NJE786398 NTA786398 OCW786398 OMS786398 OWO786398 PGK786398 PQG786398 QAC786398 QJY786398 QTU786398 RDQ786398 RNM786398 RXI786398 SHE786398 SRA786398 TAW786398 TKS786398 TUO786398 UEK786398 UOG786398 UYC786398 VHY786398 VRU786398 WBQ786398 WLM786398 WVI786398 D851936 IW851934 SS851934 ACO851934 AMK851934 AWG851934 BGC851934 BPY851934 BZU851934 CJQ851934 CTM851934 DDI851934 DNE851934 DXA851934 EGW851934 EQS851934 FAO851934 FKK851934 FUG851934 GEC851934 GNY851934 GXU851934 HHQ851934 HRM851934 IBI851934 ILE851934 IVA851934 JEW851934 JOS851934 JYO851934 KIK851934 KSG851934 LCC851934 LLY851934 LVU851934 MFQ851934 MPM851934 MZI851934 NJE851934 NTA851934 OCW851934 OMS851934 OWO851934 PGK851934 PQG851934 QAC851934 QJY851934 QTU851934 RDQ851934 RNM851934 RXI851934 SHE851934 SRA851934 TAW851934 TKS851934 TUO851934 UEK851934 UOG851934 UYC851934 VHY851934 VRU851934 WBQ851934 WLM851934 WVI851934 D917472 IW917470 SS917470 ACO917470 AMK917470 AWG917470 BGC917470 BPY917470 BZU917470 CJQ917470 CTM917470 DDI917470 DNE917470 DXA917470 EGW917470 EQS917470 FAO917470 FKK917470 FUG917470 GEC917470 GNY917470 GXU917470 HHQ917470 HRM917470 IBI917470 ILE917470 IVA917470 JEW917470 JOS917470 JYO917470 KIK917470 KSG917470 LCC917470 LLY917470 LVU917470 MFQ917470 MPM917470 MZI917470 NJE917470 NTA917470 OCW917470 OMS917470 OWO917470 PGK917470 PQG917470 QAC917470 QJY917470 QTU917470 RDQ917470 RNM917470 RXI917470 SHE917470 SRA917470 TAW917470 TKS917470 TUO917470 UEK917470 UOG917470 UYC917470 VHY917470 VRU917470 WBQ917470 WLM917470 WVI917470 D983008 IW983006 SS983006 ACO983006 AMK983006 AWG983006 BGC983006 BPY983006 BZU983006 CJQ983006 CTM983006 DDI983006 DNE983006 DXA983006 EGW983006 EQS983006 FAO983006 FKK983006 FUG983006 GEC983006 GNY983006 GXU983006 HHQ983006 HRM983006 IBI983006 ILE983006 IVA983006 JEW983006 JOS983006 JYO983006 KIK983006 KSG983006 LCC983006 LLY983006 LVU983006 MFQ983006 MPM983006 MZI983006 NJE983006 NTA983006 OCW983006 OMS983006 OWO983006 PGK983006 PQG983006 QAC983006 QJY983006 QTU983006 RDQ983006 RNM983006 RXI983006 SHE983006 SRA983006 TAW983006 TKS983006 TUO983006 UEK983006 UOG983006 UYC983006 VHY983006 VRU983006 WBQ983006 WLM983006 WVI983006"/>
    <dataValidation allowBlank="1" showInputMessage="1" showErrorMessage="1" prompt="Quy hoạch chi tiết cụm công nghiệp phí Tây thị trấn (Chưa có chủ trương)" sqref="F65449 IY65447 SU65447 ACQ65447 AMM65447 AWI65447 BGE65447 BQA65447 BZW65447 CJS65447 CTO65447 DDK65447 DNG65447 DXC65447 EGY65447 EQU65447 FAQ65447 FKM65447 FUI65447 GEE65447 GOA65447 GXW65447 HHS65447 HRO65447 IBK65447 ILG65447 IVC65447 JEY65447 JOU65447 JYQ65447 KIM65447 KSI65447 LCE65447 LMA65447 LVW65447 MFS65447 MPO65447 MZK65447 NJG65447 NTC65447 OCY65447 OMU65447 OWQ65447 PGM65447 PQI65447 QAE65447 QKA65447 QTW65447 RDS65447 RNO65447 RXK65447 SHG65447 SRC65447 TAY65447 TKU65447 TUQ65447 UEM65447 UOI65447 UYE65447 VIA65447 VRW65447 WBS65447 WLO65447 WVK65447 F130985 IY130983 SU130983 ACQ130983 AMM130983 AWI130983 BGE130983 BQA130983 BZW130983 CJS130983 CTO130983 DDK130983 DNG130983 DXC130983 EGY130983 EQU130983 FAQ130983 FKM130983 FUI130983 GEE130983 GOA130983 GXW130983 HHS130983 HRO130983 IBK130983 ILG130983 IVC130983 JEY130983 JOU130983 JYQ130983 KIM130983 KSI130983 LCE130983 LMA130983 LVW130983 MFS130983 MPO130983 MZK130983 NJG130983 NTC130983 OCY130983 OMU130983 OWQ130983 PGM130983 PQI130983 QAE130983 QKA130983 QTW130983 RDS130983 RNO130983 RXK130983 SHG130983 SRC130983 TAY130983 TKU130983 TUQ130983 UEM130983 UOI130983 UYE130983 VIA130983 VRW130983 WBS130983 WLO130983 WVK130983 F196521 IY196519 SU196519 ACQ196519 AMM196519 AWI196519 BGE196519 BQA196519 BZW196519 CJS196519 CTO196519 DDK196519 DNG196519 DXC196519 EGY196519 EQU196519 FAQ196519 FKM196519 FUI196519 GEE196519 GOA196519 GXW196519 HHS196519 HRO196519 IBK196519 ILG196519 IVC196519 JEY196519 JOU196519 JYQ196519 KIM196519 KSI196519 LCE196519 LMA196519 LVW196519 MFS196519 MPO196519 MZK196519 NJG196519 NTC196519 OCY196519 OMU196519 OWQ196519 PGM196519 PQI196519 QAE196519 QKA196519 QTW196519 RDS196519 RNO196519 RXK196519 SHG196519 SRC196519 TAY196519 TKU196519 TUQ196519 UEM196519 UOI196519 UYE196519 VIA196519 VRW196519 WBS196519 WLO196519 WVK196519 F262057 IY262055 SU262055 ACQ262055 AMM262055 AWI262055 BGE262055 BQA262055 BZW262055 CJS262055 CTO262055 DDK262055 DNG262055 DXC262055 EGY262055 EQU262055 FAQ262055 FKM262055 FUI262055 GEE262055 GOA262055 GXW262055 HHS262055 HRO262055 IBK262055 ILG262055 IVC262055 JEY262055 JOU262055 JYQ262055 KIM262055 KSI262055 LCE262055 LMA262055 LVW262055 MFS262055 MPO262055 MZK262055 NJG262055 NTC262055 OCY262055 OMU262055 OWQ262055 PGM262055 PQI262055 QAE262055 QKA262055 QTW262055 RDS262055 RNO262055 RXK262055 SHG262055 SRC262055 TAY262055 TKU262055 TUQ262055 UEM262055 UOI262055 UYE262055 VIA262055 VRW262055 WBS262055 WLO262055 WVK262055 F327593 IY327591 SU327591 ACQ327591 AMM327591 AWI327591 BGE327591 BQA327591 BZW327591 CJS327591 CTO327591 DDK327591 DNG327591 DXC327591 EGY327591 EQU327591 FAQ327591 FKM327591 FUI327591 GEE327591 GOA327591 GXW327591 HHS327591 HRO327591 IBK327591 ILG327591 IVC327591 JEY327591 JOU327591 JYQ327591 KIM327591 KSI327591 LCE327591 LMA327591 LVW327591 MFS327591 MPO327591 MZK327591 NJG327591 NTC327591 OCY327591 OMU327591 OWQ327591 PGM327591 PQI327591 QAE327591 QKA327591 QTW327591 RDS327591 RNO327591 RXK327591 SHG327591 SRC327591 TAY327591 TKU327591 TUQ327591 UEM327591 UOI327591 UYE327591 VIA327591 VRW327591 WBS327591 WLO327591 WVK327591 F393129 IY393127 SU393127 ACQ393127 AMM393127 AWI393127 BGE393127 BQA393127 BZW393127 CJS393127 CTO393127 DDK393127 DNG393127 DXC393127 EGY393127 EQU393127 FAQ393127 FKM393127 FUI393127 GEE393127 GOA393127 GXW393127 HHS393127 HRO393127 IBK393127 ILG393127 IVC393127 JEY393127 JOU393127 JYQ393127 KIM393127 KSI393127 LCE393127 LMA393127 LVW393127 MFS393127 MPO393127 MZK393127 NJG393127 NTC393127 OCY393127 OMU393127 OWQ393127 PGM393127 PQI393127 QAE393127 QKA393127 QTW393127 RDS393127 RNO393127 RXK393127 SHG393127 SRC393127 TAY393127 TKU393127 TUQ393127 UEM393127 UOI393127 UYE393127 VIA393127 VRW393127 WBS393127 WLO393127 WVK393127 F458665 IY458663 SU458663 ACQ458663 AMM458663 AWI458663 BGE458663 BQA458663 BZW458663 CJS458663 CTO458663 DDK458663 DNG458663 DXC458663 EGY458663 EQU458663 FAQ458663 FKM458663 FUI458663 GEE458663 GOA458663 GXW458663 HHS458663 HRO458663 IBK458663 ILG458663 IVC458663 JEY458663 JOU458663 JYQ458663 KIM458663 KSI458663 LCE458663 LMA458663 LVW458663 MFS458663 MPO458663 MZK458663 NJG458663 NTC458663 OCY458663 OMU458663 OWQ458663 PGM458663 PQI458663 QAE458663 QKA458663 QTW458663 RDS458663 RNO458663 RXK458663 SHG458663 SRC458663 TAY458663 TKU458663 TUQ458663 UEM458663 UOI458663 UYE458663 VIA458663 VRW458663 WBS458663 WLO458663 WVK458663 F524201 IY524199 SU524199 ACQ524199 AMM524199 AWI524199 BGE524199 BQA524199 BZW524199 CJS524199 CTO524199 DDK524199 DNG524199 DXC524199 EGY524199 EQU524199 FAQ524199 FKM524199 FUI524199 GEE524199 GOA524199 GXW524199 HHS524199 HRO524199 IBK524199 ILG524199 IVC524199 JEY524199 JOU524199 JYQ524199 KIM524199 KSI524199 LCE524199 LMA524199 LVW524199 MFS524199 MPO524199 MZK524199 NJG524199 NTC524199 OCY524199 OMU524199 OWQ524199 PGM524199 PQI524199 QAE524199 QKA524199 QTW524199 RDS524199 RNO524199 RXK524199 SHG524199 SRC524199 TAY524199 TKU524199 TUQ524199 UEM524199 UOI524199 UYE524199 VIA524199 VRW524199 WBS524199 WLO524199 WVK524199 F589737 IY589735 SU589735 ACQ589735 AMM589735 AWI589735 BGE589735 BQA589735 BZW589735 CJS589735 CTO589735 DDK589735 DNG589735 DXC589735 EGY589735 EQU589735 FAQ589735 FKM589735 FUI589735 GEE589735 GOA589735 GXW589735 HHS589735 HRO589735 IBK589735 ILG589735 IVC589735 JEY589735 JOU589735 JYQ589735 KIM589735 KSI589735 LCE589735 LMA589735 LVW589735 MFS589735 MPO589735 MZK589735 NJG589735 NTC589735 OCY589735 OMU589735 OWQ589735 PGM589735 PQI589735 QAE589735 QKA589735 QTW589735 RDS589735 RNO589735 RXK589735 SHG589735 SRC589735 TAY589735 TKU589735 TUQ589735 UEM589735 UOI589735 UYE589735 VIA589735 VRW589735 WBS589735 WLO589735 WVK589735 F655273 IY655271 SU655271 ACQ655271 AMM655271 AWI655271 BGE655271 BQA655271 BZW655271 CJS655271 CTO655271 DDK655271 DNG655271 DXC655271 EGY655271 EQU655271 FAQ655271 FKM655271 FUI655271 GEE655271 GOA655271 GXW655271 HHS655271 HRO655271 IBK655271 ILG655271 IVC655271 JEY655271 JOU655271 JYQ655271 KIM655271 KSI655271 LCE655271 LMA655271 LVW655271 MFS655271 MPO655271 MZK655271 NJG655271 NTC655271 OCY655271 OMU655271 OWQ655271 PGM655271 PQI655271 QAE655271 QKA655271 QTW655271 RDS655271 RNO655271 RXK655271 SHG655271 SRC655271 TAY655271 TKU655271 TUQ655271 UEM655271 UOI655271 UYE655271 VIA655271 VRW655271 WBS655271 WLO655271 WVK655271 F720809 IY720807 SU720807 ACQ720807 AMM720807 AWI720807 BGE720807 BQA720807 BZW720807 CJS720807 CTO720807 DDK720807 DNG720807 DXC720807 EGY720807 EQU720807 FAQ720807 FKM720807 FUI720807 GEE720807 GOA720807 GXW720807 HHS720807 HRO720807 IBK720807 ILG720807 IVC720807 JEY720807 JOU720807 JYQ720807 KIM720807 KSI720807 LCE720807 LMA720807 LVW720807 MFS720807 MPO720807 MZK720807 NJG720807 NTC720807 OCY720807 OMU720807 OWQ720807 PGM720807 PQI720807 QAE720807 QKA720807 QTW720807 RDS720807 RNO720807 RXK720807 SHG720807 SRC720807 TAY720807 TKU720807 TUQ720807 UEM720807 UOI720807 UYE720807 VIA720807 VRW720807 WBS720807 WLO720807 WVK720807 F786345 IY786343 SU786343 ACQ786343 AMM786343 AWI786343 BGE786343 BQA786343 BZW786343 CJS786343 CTO786343 DDK786343 DNG786343 DXC786343 EGY786343 EQU786343 FAQ786343 FKM786343 FUI786343 GEE786343 GOA786343 GXW786343 HHS786343 HRO786343 IBK786343 ILG786343 IVC786343 JEY786343 JOU786343 JYQ786343 KIM786343 KSI786343 LCE786343 LMA786343 LVW786343 MFS786343 MPO786343 MZK786343 NJG786343 NTC786343 OCY786343 OMU786343 OWQ786343 PGM786343 PQI786343 QAE786343 QKA786343 QTW786343 RDS786343 RNO786343 RXK786343 SHG786343 SRC786343 TAY786343 TKU786343 TUQ786343 UEM786343 UOI786343 UYE786343 VIA786343 VRW786343 WBS786343 WLO786343 WVK786343 F851881 IY851879 SU851879 ACQ851879 AMM851879 AWI851879 BGE851879 BQA851879 BZW851879 CJS851879 CTO851879 DDK851879 DNG851879 DXC851879 EGY851879 EQU851879 FAQ851879 FKM851879 FUI851879 GEE851879 GOA851879 GXW851879 HHS851879 HRO851879 IBK851879 ILG851879 IVC851879 JEY851879 JOU851879 JYQ851879 KIM851879 KSI851879 LCE851879 LMA851879 LVW851879 MFS851879 MPO851879 MZK851879 NJG851879 NTC851879 OCY851879 OMU851879 OWQ851879 PGM851879 PQI851879 QAE851879 QKA851879 QTW851879 RDS851879 RNO851879 RXK851879 SHG851879 SRC851879 TAY851879 TKU851879 TUQ851879 UEM851879 UOI851879 UYE851879 VIA851879 VRW851879 WBS851879 WLO851879 WVK851879 F917417 IY917415 SU917415 ACQ917415 AMM917415 AWI917415 BGE917415 BQA917415 BZW917415 CJS917415 CTO917415 DDK917415 DNG917415 DXC917415 EGY917415 EQU917415 FAQ917415 FKM917415 FUI917415 GEE917415 GOA917415 GXW917415 HHS917415 HRO917415 IBK917415 ILG917415 IVC917415 JEY917415 JOU917415 JYQ917415 KIM917415 KSI917415 LCE917415 LMA917415 LVW917415 MFS917415 MPO917415 MZK917415 NJG917415 NTC917415 OCY917415 OMU917415 OWQ917415 PGM917415 PQI917415 QAE917415 QKA917415 QTW917415 RDS917415 RNO917415 RXK917415 SHG917415 SRC917415 TAY917415 TKU917415 TUQ917415 UEM917415 UOI917415 UYE917415 VIA917415 VRW917415 WBS917415 WLO917415 WVK917415 F982953 IY982951 SU982951 ACQ982951 AMM982951 AWI982951 BGE982951 BQA982951 BZW982951 CJS982951 CTO982951 DDK982951 DNG982951 DXC982951 EGY982951 EQU982951 FAQ982951 FKM982951 FUI982951 GEE982951 GOA982951 GXW982951 HHS982951 HRO982951 IBK982951 ILG982951 IVC982951 JEY982951 JOU982951 JYQ982951 KIM982951 KSI982951 LCE982951 LMA982951 LVW982951 MFS982951 MPO982951 MZK982951 NJG982951 NTC982951 OCY982951 OMU982951 OWQ982951 PGM982951 PQI982951 QAE982951 QKA982951 QTW982951 RDS982951 RNO982951 RXK982951 SHG982951 SRC982951 TAY982951 TKU982951 TUQ982951 UEM982951 UOI982951 UYE982951 VIA982951 VRW982951 WBS982951 WLO982951 WVK982951"/>
    <dataValidation allowBlank="1" showInputMessage="1" showErrorMessage="1" prompt="Quy hoạch chi tiết xã Đăk Sút, Đăk Kroong, huyện phê duyệt NS tỉnh khó khăn" sqref="H65449 JA65447 SW65447 ACS65447 AMO65447 AWK65447 BGG65447 BQC65447 BZY65447 CJU65447 CTQ65447 DDM65447 DNI65447 DXE65447 EHA65447 EQW65447 FAS65447 FKO65447 FUK65447 GEG65447 GOC65447 GXY65447 HHU65447 HRQ65447 IBM65447 ILI65447 IVE65447 JFA65447 JOW65447 JYS65447 KIO65447 KSK65447 LCG65447 LMC65447 LVY65447 MFU65447 MPQ65447 MZM65447 NJI65447 NTE65447 ODA65447 OMW65447 OWS65447 PGO65447 PQK65447 QAG65447 QKC65447 QTY65447 RDU65447 RNQ65447 RXM65447 SHI65447 SRE65447 TBA65447 TKW65447 TUS65447 UEO65447 UOK65447 UYG65447 VIC65447 VRY65447 WBU65447 WLQ65447 WVM65447 H130985 JA130983 SW130983 ACS130983 AMO130983 AWK130983 BGG130983 BQC130983 BZY130983 CJU130983 CTQ130983 DDM130983 DNI130983 DXE130983 EHA130983 EQW130983 FAS130983 FKO130983 FUK130983 GEG130983 GOC130983 GXY130983 HHU130983 HRQ130983 IBM130983 ILI130983 IVE130983 JFA130983 JOW130983 JYS130983 KIO130983 KSK130983 LCG130983 LMC130983 LVY130983 MFU130983 MPQ130983 MZM130983 NJI130983 NTE130983 ODA130983 OMW130983 OWS130983 PGO130983 PQK130983 QAG130983 QKC130983 QTY130983 RDU130983 RNQ130983 RXM130983 SHI130983 SRE130983 TBA130983 TKW130983 TUS130983 UEO130983 UOK130983 UYG130983 VIC130983 VRY130983 WBU130983 WLQ130983 WVM130983 H196521 JA196519 SW196519 ACS196519 AMO196519 AWK196519 BGG196519 BQC196519 BZY196519 CJU196519 CTQ196519 DDM196519 DNI196519 DXE196519 EHA196519 EQW196519 FAS196519 FKO196519 FUK196519 GEG196519 GOC196519 GXY196519 HHU196519 HRQ196519 IBM196519 ILI196519 IVE196519 JFA196519 JOW196519 JYS196519 KIO196519 KSK196519 LCG196519 LMC196519 LVY196519 MFU196519 MPQ196519 MZM196519 NJI196519 NTE196519 ODA196519 OMW196519 OWS196519 PGO196519 PQK196519 QAG196519 QKC196519 QTY196519 RDU196519 RNQ196519 RXM196519 SHI196519 SRE196519 TBA196519 TKW196519 TUS196519 UEO196519 UOK196519 UYG196519 VIC196519 VRY196519 WBU196519 WLQ196519 WVM196519 H262057 JA262055 SW262055 ACS262055 AMO262055 AWK262055 BGG262055 BQC262055 BZY262055 CJU262055 CTQ262055 DDM262055 DNI262055 DXE262055 EHA262055 EQW262055 FAS262055 FKO262055 FUK262055 GEG262055 GOC262055 GXY262055 HHU262055 HRQ262055 IBM262055 ILI262055 IVE262055 JFA262055 JOW262055 JYS262055 KIO262055 KSK262055 LCG262055 LMC262055 LVY262055 MFU262055 MPQ262055 MZM262055 NJI262055 NTE262055 ODA262055 OMW262055 OWS262055 PGO262055 PQK262055 QAG262055 QKC262055 QTY262055 RDU262055 RNQ262055 RXM262055 SHI262055 SRE262055 TBA262055 TKW262055 TUS262055 UEO262055 UOK262055 UYG262055 VIC262055 VRY262055 WBU262055 WLQ262055 WVM262055 H327593 JA327591 SW327591 ACS327591 AMO327591 AWK327591 BGG327591 BQC327591 BZY327591 CJU327591 CTQ327591 DDM327591 DNI327591 DXE327591 EHA327591 EQW327591 FAS327591 FKO327591 FUK327591 GEG327591 GOC327591 GXY327591 HHU327591 HRQ327591 IBM327591 ILI327591 IVE327591 JFA327591 JOW327591 JYS327591 KIO327591 KSK327591 LCG327591 LMC327591 LVY327591 MFU327591 MPQ327591 MZM327591 NJI327591 NTE327591 ODA327591 OMW327591 OWS327591 PGO327591 PQK327591 QAG327591 QKC327591 QTY327591 RDU327591 RNQ327591 RXM327591 SHI327591 SRE327591 TBA327591 TKW327591 TUS327591 UEO327591 UOK327591 UYG327591 VIC327591 VRY327591 WBU327591 WLQ327591 WVM327591 H393129 JA393127 SW393127 ACS393127 AMO393127 AWK393127 BGG393127 BQC393127 BZY393127 CJU393127 CTQ393127 DDM393127 DNI393127 DXE393127 EHA393127 EQW393127 FAS393127 FKO393127 FUK393127 GEG393127 GOC393127 GXY393127 HHU393127 HRQ393127 IBM393127 ILI393127 IVE393127 JFA393127 JOW393127 JYS393127 KIO393127 KSK393127 LCG393127 LMC393127 LVY393127 MFU393127 MPQ393127 MZM393127 NJI393127 NTE393127 ODA393127 OMW393127 OWS393127 PGO393127 PQK393127 QAG393127 QKC393127 QTY393127 RDU393127 RNQ393127 RXM393127 SHI393127 SRE393127 TBA393127 TKW393127 TUS393127 UEO393127 UOK393127 UYG393127 VIC393127 VRY393127 WBU393127 WLQ393127 WVM393127 H458665 JA458663 SW458663 ACS458663 AMO458663 AWK458663 BGG458663 BQC458663 BZY458663 CJU458663 CTQ458663 DDM458663 DNI458663 DXE458663 EHA458663 EQW458663 FAS458663 FKO458663 FUK458663 GEG458663 GOC458663 GXY458663 HHU458663 HRQ458663 IBM458663 ILI458663 IVE458663 JFA458663 JOW458663 JYS458663 KIO458663 KSK458663 LCG458663 LMC458663 LVY458663 MFU458663 MPQ458663 MZM458663 NJI458663 NTE458663 ODA458663 OMW458663 OWS458663 PGO458663 PQK458663 QAG458663 QKC458663 QTY458663 RDU458663 RNQ458663 RXM458663 SHI458663 SRE458663 TBA458663 TKW458663 TUS458663 UEO458663 UOK458663 UYG458663 VIC458663 VRY458663 WBU458663 WLQ458663 WVM458663 H524201 JA524199 SW524199 ACS524199 AMO524199 AWK524199 BGG524199 BQC524199 BZY524199 CJU524199 CTQ524199 DDM524199 DNI524199 DXE524199 EHA524199 EQW524199 FAS524199 FKO524199 FUK524199 GEG524199 GOC524199 GXY524199 HHU524199 HRQ524199 IBM524199 ILI524199 IVE524199 JFA524199 JOW524199 JYS524199 KIO524199 KSK524199 LCG524199 LMC524199 LVY524199 MFU524199 MPQ524199 MZM524199 NJI524199 NTE524199 ODA524199 OMW524199 OWS524199 PGO524199 PQK524199 QAG524199 QKC524199 QTY524199 RDU524199 RNQ524199 RXM524199 SHI524199 SRE524199 TBA524199 TKW524199 TUS524199 UEO524199 UOK524199 UYG524199 VIC524199 VRY524199 WBU524199 WLQ524199 WVM524199 H589737 JA589735 SW589735 ACS589735 AMO589735 AWK589735 BGG589735 BQC589735 BZY589735 CJU589735 CTQ589735 DDM589735 DNI589735 DXE589735 EHA589735 EQW589735 FAS589735 FKO589735 FUK589735 GEG589735 GOC589735 GXY589735 HHU589735 HRQ589735 IBM589735 ILI589735 IVE589735 JFA589735 JOW589735 JYS589735 KIO589735 KSK589735 LCG589735 LMC589735 LVY589735 MFU589735 MPQ589735 MZM589735 NJI589735 NTE589735 ODA589735 OMW589735 OWS589735 PGO589735 PQK589735 QAG589735 QKC589735 QTY589735 RDU589735 RNQ589735 RXM589735 SHI589735 SRE589735 TBA589735 TKW589735 TUS589735 UEO589735 UOK589735 UYG589735 VIC589735 VRY589735 WBU589735 WLQ589735 WVM589735 H655273 JA655271 SW655271 ACS655271 AMO655271 AWK655271 BGG655271 BQC655271 BZY655271 CJU655271 CTQ655271 DDM655271 DNI655271 DXE655271 EHA655271 EQW655271 FAS655271 FKO655271 FUK655271 GEG655271 GOC655271 GXY655271 HHU655271 HRQ655271 IBM655271 ILI655271 IVE655271 JFA655271 JOW655271 JYS655271 KIO655271 KSK655271 LCG655271 LMC655271 LVY655271 MFU655271 MPQ655271 MZM655271 NJI655271 NTE655271 ODA655271 OMW655271 OWS655271 PGO655271 PQK655271 QAG655271 QKC655271 QTY655271 RDU655271 RNQ655271 RXM655271 SHI655271 SRE655271 TBA655271 TKW655271 TUS655271 UEO655271 UOK655271 UYG655271 VIC655271 VRY655271 WBU655271 WLQ655271 WVM655271 H720809 JA720807 SW720807 ACS720807 AMO720807 AWK720807 BGG720807 BQC720807 BZY720807 CJU720807 CTQ720807 DDM720807 DNI720807 DXE720807 EHA720807 EQW720807 FAS720807 FKO720807 FUK720807 GEG720807 GOC720807 GXY720807 HHU720807 HRQ720807 IBM720807 ILI720807 IVE720807 JFA720807 JOW720807 JYS720807 KIO720807 KSK720807 LCG720807 LMC720807 LVY720807 MFU720807 MPQ720807 MZM720807 NJI720807 NTE720807 ODA720807 OMW720807 OWS720807 PGO720807 PQK720807 QAG720807 QKC720807 QTY720807 RDU720807 RNQ720807 RXM720807 SHI720807 SRE720807 TBA720807 TKW720807 TUS720807 UEO720807 UOK720807 UYG720807 VIC720807 VRY720807 WBU720807 WLQ720807 WVM720807 H786345 JA786343 SW786343 ACS786343 AMO786343 AWK786343 BGG786343 BQC786343 BZY786343 CJU786343 CTQ786343 DDM786343 DNI786343 DXE786343 EHA786343 EQW786343 FAS786343 FKO786343 FUK786343 GEG786343 GOC786343 GXY786343 HHU786343 HRQ786343 IBM786343 ILI786343 IVE786343 JFA786343 JOW786343 JYS786343 KIO786343 KSK786343 LCG786343 LMC786343 LVY786343 MFU786343 MPQ786343 MZM786343 NJI786343 NTE786343 ODA786343 OMW786343 OWS786343 PGO786343 PQK786343 QAG786343 QKC786343 QTY786343 RDU786343 RNQ786343 RXM786343 SHI786343 SRE786343 TBA786343 TKW786343 TUS786343 UEO786343 UOK786343 UYG786343 VIC786343 VRY786343 WBU786343 WLQ786343 WVM786343 H851881 JA851879 SW851879 ACS851879 AMO851879 AWK851879 BGG851879 BQC851879 BZY851879 CJU851879 CTQ851879 DDM851879 DNI851879 DXE851879 EHA851879 EQW851879 FAS851879 FKO851879 FUK851879 GEG851879 GOC851879 GXY851879 HHU851879 HRQ851879 IBM851879 ILI851879 IVE851879 JFA851879 JOW851879 JYS851879 KIO851879 KSK851879 LCG851879 LMC851879 LVY851879 MFU851879 MPQ851879 MZM851879 NJI851879 NTE851879 ODA851879 OMW851879 OWS851879 PGO851879 PQK851879 QAG851879 QKC851879 QTY851879 RDU851879 RNQ851879 RXM851879 SHI851879 SRE851879 TBA851879 TKW851879 TUS851879 UEO851879 UOK851879 UYG851879 VIC851879 VRY851879 WBU851879 WLQ851879 WVM851879 H917417 JA917415 SW917415 ACS917415 AMO917415 AWK917415 BGG917415 BQC917415 BZY917415 CJU917415 CTQ917415 DDM917415 DNI917415 DXE917415 EHA917415 EQW917415 FAS917415 FKO917415 FUK917415 GEG917415 GOC917415 GXY917415 HHU917415 HRQ917415 IBM917415 ILI917415 IVE917415 JFA917415 JOW917415 JYS917415 KIO917415 KSK917415 LCG917415 LMC917415 LVY917415 MFU917415 MPQ917415 MZM917415 NJI917415 NTE917415 ODA917415 OMW917415 OWS917415 PGO917415 PQK917415 QAG917415 QKC917415 QTY917415 RDU917415 RNQ917415 RXM917415 SHI917415 SRE917415 TBA917415 TKW917415 TUS917415 UEO917415 UOK917415 UYG917415 VIC917415 VRY917415 WBU917415 WLQ917415 WVM917415 H982953 JA982951 SW982951 ACS982951 AMO982951 AWK982951 BGG982951 BQC982951 BZY982951 CJU982951 CTQ982951 DDM982951 DNI982951 DXE982951 EHA982951 EQW982951 FAS982951 FKO982951 FUK982951 GEG982951 GOC982951 GXY982951 HHU982951 HRQ982951 IBM982951 ILI982951 IVE982951 JFA982951 JOW982951 JYS982951 KIO982951 KSK982951 LCG982951 LMC982951 LVY982951 MFU982951 MPQ982951 MZM982951 NJI982951 NTE982951 ODA982951 OMW982951 OWS982951 PGO982951 PQK982951 QAG982951 QKC982951 QTY982951 RDU982951 RNQ982951 RXM982951 SHI982951 SRE982951 TBA982951 TKW982951 TUS982951 UEO982951 UOK982951 UYG982951 VIC982951 VRY982951 WBU982951 WLQ982951 WVM982951"/>
  </dataValidations>
  <printOptions horizontalCentered="1"/>
  <pageMargins left="0.55118110236220474" right="0.19685039370078741" top="0.51181102362204722" bottom="0.39370078740157483" header="0" footer="0"/>
  <pageSetup paperSize="9" scale="69" fitToHeight="0" orientation="landscape" blackAndWhite="1" r:id="rId1"/>
  <headerFoot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37</vt:i4>
      </vt:variant>
    </vt:vector>
  </HeadingPairs>
  <TitlesOfParts>
    <vt:vector size="57" baseType="lpstr">
      <vt:lpstr>THu NS cac cap huong</vt:lpstr>
      <vt:lpstr>Bieu 01 TT</vt:lpstr>
      <vt:lpstr>Bieu 02 TT</vt:lpstr>
      <vt:lpstr>Bieu 2a_TT phí le phi</vt:lpstr>
      <vt:lpstr>Bieu 02b_TT</vt:lpstr>
      <vt:lpstr>Bieu 03 TT</vt:lpstr>
      <vt:lpstr>Bieu 3a_10% tien dat </vt:lpstr>
      <vt:lpstr>Bieu 04_TT</vt:lpstr>
      <vt:lpstr>Bieu 5 TT</vt:lpstr>
      <vt:lpstr>Bieu 07b TT_dao tao</vt:lpstr>
      <vt:lpstr>File goc huyen</vt:lpstr>
      <vt:lpstr>Bieu 06 TT</vt:lpstr>
      <vt:lpstr>Bieu 07 TT</vt:lpstr>
      <vt:lpstr>Bieu 07a TT_MSSC</vt:lpstr>
      <vt:lpstr>Bieu 08_ TT</vt:lpstr>
      <vt:lpstr>Bieu 09_TT</vt:lpstr>
      <vt:lpstr>Bieu 09a_TT_TUBSMT huyen</vt:lpstr>
      <vt:lpstr>Bieu 10_TT </vt:lpstr>
      <vt:lpstr>DT chi TX 2022 theo ĐM HĐND</vt:lpstr>
      <vt:lpstr>TH chinh sach </vt:lpstr>
      <vt:lpstr>'Bieu 01 TT'!Print_Area</vt:lpstr>
      <vt:lpstr>'Bieu 02 TT'!Print_Area</vt:lpstr>
      <vt:lpstr>'Bieu 02b_TT'!Print_Area</vt:lpstr>
      <vt:lpstr>'Bieu 03 TT'!Print_Area</vt:lpstr>
      <vt:lpstr>'Bieu 04_TT'!Print_Area</vt:lpstr>
      <vt:lpstr>'Bieu 06 TT'!Print_Area</vt:lpstr>
      <vt:lpstr>'Bieu 07 TT'!Print_Area</vt:lpstr>
      <vt:lpstr>'Bieu 07a TT_MSSC'!Print_Area</vt:lpstr>
      <vt:lpstr>'Bieu 08_ TT'!Print_Area</vt:lpstr>
      <vt:lpstr>'Bieu 09_TT'!Print_Area</vt:lpstr>
      <vt:lpstr>'Bieu 09a_TT_TUBSMT huyen'!Print_Area</vt:lpstr>
      <vt:lpstr>'Bieu 10_TT '!Print_Area</vt:lpstr>
      <vt:lpstr>'Bieu 2a_TT phí le phi'!Print_Area</vt:lpstr>
      <vt:lpstr>'Bieu 3a_10% tien dat '!Print_Area</vt:lpstr>
      <vt:lpstr>'Bieu 5 TT'!Print_Area</vt:lpstr>
      <vt:lpstr>'Bieu 01 TT'!Print_Titles</vt:lpstr>
      <vt:lpstr>'Bieu 02 TT'!Print_Titles</vt:lpstr>
      <vt:lpstr>'Bieu 02b_TT'!Print_Titles</vt:lpstr>
      <vt:lpstr>'Bieu 03 TT'!Print_Titles</vt:lpstr>
      <vt:lpstr>'Bieu 04_TT'!Print_Titles</vt:lpstr>
      <vt:lpstr>'Bieu 06 TT'!Print_Titles</vt:lpstr>
      <vt:lpstr>'Bieu 07 TT'!Print_Titles</vt:lpstr>
      <vt:lpstr>'Bieu 07a TT_MSSC'!Print_Titles</vt:lpstr>
      <vt:lpstr>'Bieu 07b TT_dao tao'!Print_Titles</vt:lpstr>
      <vt:lpstr>'Bieu 08_ TT'!Print_Titles</vt:lpstr>
      <vt:lpstr>'Bieu 09_TT'!Print_Titles</vt:lpstr>
      <vt:lpstr>'Bieu 09a_TT_TUBSMT huyen'!Print_Titles</vt:lpstr>
      <vt:lpstr>'Bieu 10_TT '!Print_Titles</vt:lpstr>
      <vt:lpstr>'Bieu 2a_TT phí le phi'!Print_Titles</vt:lpstr>
      <vt:lpstr>'Bieu 3a_10% tien dat '!Print_Titles</vt:lpstr>
      <vt:lpstr>'Bieu 5 TT'!Print_Titles</vt:lpstr>
      <vt:lpstr>'DT chi TX 2022 theo ĐM HĐND'!Print_Titles</vt:lpstr>
      <vt:lpstr>'TH chinh sach '!Print_Titles</vt:lpstr>
      <vt:lpstr>'THu NS cac cap huong'!Print_Titles</vt:lpstr>
      <vt:lpstr>'Bieu 02 TT'!uu.54</vt:lpstr>
      <vt:lpstr>'Bieu 02 TT'!xxx54</vt:lpstr>
      <vt:lpstr>'Bieu 02 TT'!zzz54</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Quach T. Long</dc:creator>
  <cp:lastModifiedBy>Windows User</cp:lastModifiedBy>
  <cp:lastPrinted>2023-11-28T03:52:59Z</cp:lastPrinted>
  <dcterms:created xsi:type="dcterms:W3CDTF">2021-10-06T03:08:06Z</dcterms:created>
  <dcterms:modified xsi:type="dcterms:W3CDTF">2023-12-13T10:38:43Z</dcterms:modified>
</cp:coreProperties>
</file>